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399154B2-6B5D-4A78-823A-A75A572F2BF0}" xr6:coauthVersionLast="47" xr6:coauthVersionMax="47" xr10:uidLastSave="{00000000-0000-0000-0000-000000000000}"/>
  <bookViews>
    <workbookView xWindow="28680" yWindow="-120" windowWidth="29040" windowHeight="15840" tabRatio="920" xr2:uid="{00000000-000D-0000-FFFF-FFFF00000000}"/>
  </bookViews>
  <sheets>
    <sheet name="Item 1-Supervisor" sheetId="1" r:id="rId1"/>
    <sheet name="Item 2-Consultor TI" sheetId="6" r:id="rId2"/>
    <sheet name="Item 3-Tec Suporte III" sheetId="8" r:id="rId3"/>
    <sheet name="Item 5-Tec Suporte I" sheetId="9" r:id="rId4"/>
    <sheet name="Item 6-Tec Suporte II" sheetId="10" r:id="rId5"/>
    <sheet name="Resumo" sheetId="14" r:id="rId6"/>
    <sheet name="Tabela Encargos" sheetId="18" r:id="rId7"/>
    <sheet name="Calculos e garantia" sheetId="17" state="hidden" r:id="rId8"/>
  </sheets>
  <definedNames>
    <definedName name="Print_Area" localSheetId="7">'Calculos e garantia'!$A$1:$K$34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9" l="1"/>
  <c r="G36" i="17" l="1"/>
  <c r="D36" i="17" s="1"/>
  <c r="X40" i="18" l="1"/>
  <c r="X39" i="18"/>
  <c r="X41" i="18" s="1"/>
  <c r="X48" i="18" s="1"/>
  <c r="X21" i="18"/>
  <c r="X46" i="18" s="1"/>
  <c r="X15" i="18"/>
  <c r="X16" i="18" s="1"/>
  <c r="X45" i="18" s="1"/>
  <c r="X9" i="18"/>
  <c r="X11" i="18" s="1"/>
  <c r="N13" i="10"/>
  <c r="N7" i="10"/>
  <c r="N7" i="9"/>
  <c r="N13" i="8"/>
  <c r="N7" i="8"/>
  <c r="N13" i="6"/>
  <c r="N7" i="6"/>
  <c r="X28" i="18" l="1"/>
  <c r="X30" i="18" s="1"/>
  <c r="X47" i="18" s="1"/>
  <c r="X44" i="18"/>
  <c r="N13" i="1"/>
  <c r="N7" i="1"/>
  <c r="X50" i="18" l="1"/>
  <c r="J8" i="14"/>
  <c r="N23" i="10"/>
  <c r="N39" i="10" s="1"/>
  <c r="N15" i="10"/>
  <c r="N10" i="10"/>
  <c r="N8" i="10"/>
  <c r="N39" i="9"/>
  <c r="N15" i="9"/>
  <c r="N10" i="9"/>
  <c r="N11" i="9"/>
  <c r="N39" i="8"/>
  <c r="N10" i="8"/>
  <c r="N8" i="8"/>
  <c r="N39" i="6"/>
  <c r="N10" i="6"/>
  <c r="N8" i="6"/>
  <c r="N39" i="1"/>
  <c r="N14" i="1"/>
  <c r="N15" i="1" s="1"/>
  <c r="N18" i="1" s="1"/>
  <c r="N38" i="1" s="1"/>
  <c r="N10" i="1"/>
  <c r="N11" i="1"/>
  <c r="N26" i="10" l="1"/>
  <c r="N40" i="10" s="1"/>
  <c r="N37" i="10"/>
  <c r="N11" i="10"/>
  <c r="N12" i="10" s="1"/>
  <c r="N18" i="10" s="1"/>
  <c r="N12" i="9"/>
  <c r="N18" i="9" s="1"/>
  <c r="N38" i="9" s="1"/>
  <c r="N8" i="9"/>
  <c r="N26" i="8"/>
  <c r="N40" i="8" s="1"/>
  <c r="N37" i="8"/>
  <c r="N11" i="8"/>
  <c r="N12" i="8" s="1"/>
  <c r="N14" i="8"/>
  <c r="N15" i="8" s="1"/>
  <c r="N26" i="6"/>
  <c r="N40" i="6" s="1"/>
  <c r="N37" i="6"/>
  <c r="N11" i="6"/>
  <c r="N14" i="6"/>
  <c r="N15" i="6" s="1"/>
  <c r="N18" i="6" s="1"/>
  <c r="N38" i="6" s="1"/>
  <c r="N8" i="1"/>
  <c r="D61" i="17"/>
  <c r="G60" i="17"/>
  <c r="G49" i="17"/>
  <c r="D49" i="17" s="1"/>
  <c r="G48" i="17"/>
  <c r="D48" i="17"/>
  <c r="J28" i="17"/>
  <c r="G28" i="17"/>
  <c r="G30" i="17" s="1"/>
  <c r="G27" i="17"/>
  <c r="I3" i="17"/>
  <c r="C19" i="17" s="1"/>
  <c r="C20" i="17" s="1"/>
  <c r="D47" i="18"/>
  <c r="D45" i="18"/>
  <c r="S40" i="18"/>
  <c r="S41" i="18" s="1"/>
  <c r="S48" i="18" s="1"/>
  <c r="S39" i="18"/>
  <c r="N39" i="18"/>
  <c r="I39" i="18"/>
  <c r="I40" i="18" s="1"/>
  <c r="I41" i="18" s="1"/>
  <c r="I48" i="18" s="1"/>
  <c r="D39" i="18"/>
  <c r="D41" i="18" s="1"/>
  <c r="D48" i="18" s="1"/>
  <c r="D30" i="18"/>
  <c r="I28" i="18"/>
  <c r="I30" i="18" s="1"/>
  <c r="I47" i="18" s="1"/>
  <c r="S21" i="18"/>
  <c r="S46" i="18" s="1"/>
  <c r="N21" i="18"/>
  <c r="N46" i="18" s="1"/>
  <c r="I21" i="18"/>
  <c r="I46" i="18" s="1"/>
  <c r="D21" i="18"/>
  <c r="D46" i="18" s="1"/>
  <c r="D16" i="18"/>
  <c r="S15" i="18"/>
  <c r="S16" i="18" s="1"/>
  <c r="S45" i="18" s="1"/>
  <c r="I15" i="18"/>
  <c r="I16" i="18" s="1"/>
  <c r="I45" i="18" s="1"/>
  <c r="I11" i="18"/>
  <c r="I44" i="18" s="1"/>
  <c r="D11" i="18"/>
  <c r="D44" i="18" s="1"/>
  <c r="S9" i="18"/>
  <c r="S11" i="18" s="1"/>
  <c r="N9" i="18"/>
  <c r="N11" i="18" s="1"/>
  <c r="I8" i="14"/>
  <c r="H8" i="14"/>
  <c r="G8" i="14"/>
  <c r="F8" i="14"/>
  <c r="G40" i="10"/>
  <c r="M39" i="10"/>
  <c r="H39" i="10"/>
  <c r="J37" i="10"/>
  <c r="H37" i="10"/>
  <c r="G37" i="10"/>
  <c r="F37" i="10"/>
  <c r="E37" i="10"/>
  <c r="D30" i="10"/>
  <c r="D35" i="10" s="1"/>
  <c r="H26" i="10"/>
  <c r="H40" i="10" s="1"/>
  <c r="G26" i="10"/>
  <c r="F26" i="10"/>
  <c r="F40" i="10" s="1"/>
  <c r="E26" i="10"/>
  <c r="E40" i="10" s="1"/>
  <c r="M23" i="10"/>
  <c r="L23" i="10"/>
  <c r="L39" i="10" s="1"/>
  <c r="K23" i="10"/>
  <c r="K39" i="10" s="1"/>
  <c r="J23" i="10"/>
  <c r="J39" i="10" s="1"/>
  <c r="I23" i="10"/>
  <c r="I39" i="10" s="1"/>
  <c r="H23" i="10"/>
  <c r="G23" i="10"/>
  <c r="G39" i="10" s="1"/>
  <c r="F23" i="10"/>
  <c r="F39" i="10" s="1"/>
  <c r="E23" i="10"/>
  <c r="E39" i="10" s="1"/>
  <c r="H18" i="10"/>
  <c r="H38" i="10" s="1"/>
  <c r="G18" i="10"/>
  <c r="F18" i="10"/>
  <c r="F38" i="10" s="1"/>
  <c r="E18" i="10"/>
  <c r="M15" i="10"/>
  <c r="K15" i="10"/>
  <c r="I14" i="10"/>
  <c r="I15" i="10" s="1"/>
  <c r="M13" i="10"/>
  <c r="L13" i="10"/>
  <c r="L15" i="10" s="1"/>
  <c r="K13" i="10"/>
  <c r="J13" i="10"/>
  <c r="J14" i="10" s="1"/>
  <c r="I13" i="10"/>
  <c r="L12" i="10"/>
  <c r="L18" i="10" s="1"/>
  <c r="L11" i="10"/>
  <c r="J11" i="10"/>
  <c r="I11" i="10"/>
  <c r="M10" i="10"/>
  <c r="L10" i="10"/>
  <c r="K10" i="10"/>
  <c r="J10" i="10"/>
  <c r="J12" i="10" s="1"/>
  <c r="I10" i="10"/>
  <c r="L8" i="10"/>
  <c r="L26" i="10" s="1"/>
  <c r="L40" i="10" s="1"/>
  <c r="J8" i="10"/>
  <c r="J26" i="10" s="1"/>
  <c r="J40" i="10" s="1"/>
  <c r="I8" i="10"/>
  <c r="I37" i="10" s="1"/>
  <c r="M7" i="10"/>
  <c r="M11" i="10" s="1"/>
  <c r="L7" i="10"/>
  <c r="K7" i="10"/>
  <c r="K11" i="10" s="1"/>
  <c r="H40" i="9"/>
  <c r="M39" i="9"/>
  <c r="L39" i="9"/>
  <c r="K39" i="9"/>
  <c r="J39" i="9"/>
  <c r="I39" i="9"/>
  <c r="H39" i="9"/>
  <c r="G39" i="9"/>
  <c r="F39" i="9"/>
  <c r="E39" i="9"/>
  <c r="H37" i="9"/>
  <c r="G37" i="9"/>
  <c r="F37" i="9"/>
  <c r="E37" i="9"/>
  <c r="D30" i="9"/>
  <c r="D35" i="9" s="1"/>
  <c r="H26" i="9"/>
  <c r="G26" i="9"/>
  <c r="G40" i="9" s="1"/>
  <c r="F26" i="9"/>
  <c r="E26" i="9"/>
  <c r="E40" i="9" s="1"/>
  <c r="H18" i="9"/>
  <c r="H38" i="9" s="1"/>
  <c r="G18" i="9"/>
  <c r="F18" i="9"/>
  <c r="E18" i="9"/>
  <c r="E28" i="9" s="1"/>
  <c r="M13" i="9"/>
  <c r="M15" i="9" s="1"/>
  <c r="L13" i="9"/>
  <c r="L15" i="9" s="1"/>
  <c r="K13" i="9"/>
  <c r="K15" i="9" s="1"/>
  <c r="J13" i="9"/>
  <c r="J15" i="9" s="1"/>
  <c r="I13" i="9"/>
  <c r="I15" i="9" s="1"/>
  <c r="M10" i="9"/>
  <c r="L10" i="9"/>
  <c r="K10" i="9"/>
  <c r="J10" i="9"/>
  <c r="I10" i="9"/>
  <c r="H10" i="9"/>
  <c r="G10" i="9"/>
  <c r="F10" i="9"/>
  <c r="J8" i="9"/>
  <c r="J37" i="9" s="1"/>
  <c r="M7" i="9"/>
  <c r="M11" i="9" s="1"/>
  <c r="L7" i="9"/>
  <c r="L11" i="9" s="1"/>
  <c r="K7" i="9"/>
  <c r="K8" i="9" s="1"/>
  <c r="J7" i="9"/>
  <c r="J11" i="9" s="1"/>
  <c r="J12" i="9" s="1"/>
  <c r="I7" i="9"/>
  <c r="I8" i="9" s="1"/>
  <c r="M39" i="8"/>
  <c r="L39" i="8"/>
  <c r="K39" i="8"/>
  <c r="J39" i="8"/>
  <c r="I39" i="8"/>
  <c r="H39" i="8"/>
  <c r="G39" i="8"/>
  <c r="F39" i="8"/>
  <c r="E39" i="8"/>
  <c r="H37" i="8"/>
  <c r="G37" i="8"/>
  <c r="F37" i="8"/>
  <c r="E37" i="8"/>
  <c r="D30" i="8"/>
  <c r="D35" i="8" s="1"/>
  <c r="H26" i="8"/>
  <c r="H40" i="8" s="1"/>
  <c r="G26" i="8"/>
  <c r="G40" i="8" s="1"/>
  <c r="F26" i="8"/>
  <c r="F40" i="8" s="1"/>
  <c r="E26" i="8"/>
  <c r="E40" i="8" s="1"/>
  <c r="H18" i="8"/>
  <c r="H28" i="8" s="1"/>
  <c r="G18" i="8"/>
  <c r="G38" i="8" s="1"/>
  <c r="F18" i="8"/>
  <c r="F28" i="8" s="1"/>
  <c r="E18" i="8"/>
  <c r="E38" i="8" s="1"/>
  <c r="M13" i="8"/>
  <c r="M14" i="8" s="1"/>
  <c r="M15" i="8" s="1"/>
  <c r="L13" i="8"/>
  <c r="L14" i="8" s="1"/>
  <c r="K13" i="8"/>
  <c r="J13" i="8"/>
  <c r="I13" i="8"/>
  <c r="I14" i="8" s="1"/>
  <c r="I15" i="8" s="1"/>
  <c r="J11" i="8"/>
  <c r="I11" i="8"/>
  <c r="M10" i="8"/>
  <c r="L10" i="8"/>
  <c r="K10" i="8"/>
  <c r="J10" i="8"/>
  <c r="J12" i="8" s="1"/>
  <c r="I10" i="8"/>
  <c r="I12" i="8" s="1"/>
  <c r="I18" i="8" s="1"/>
  <c r="H10" i="8"/>
  <c r="G10" i="8"/>
  <c r="F10" i="8"/>
  <c r="J8" i="8"/>
  <c r="I8" i="8"/>
  <c r="M7" i="8"/>
  <c r="M8" i="8" s="1"/>
  <c r="L7" i="8"/>
  <c r="L11" i="8" s="1"/>
  <c r="L12" i="8" s="1"/>
  <c r="K7" i="8"/>
  <c r="K8" i="8" s="1"/>
  <c r="M39" i="6"/>
  <c r="L39" i="6"/>
  <c r="K39" i="6"/>
  <c r="J39" i="6"/>
  <c r="I39" i="6"/>
  <c r="H39" i="6"/>
  <c r="G39" i="6"/>
  <c r="F39" i="6"/>
  <c r="E39" i="6"/>
  <c r="F38" i="6"/>
  <c r="E38" i="6"/>
  <c r="H37" i="6"/>
  <c r="G37" i="6"/>
  <c r="F37" i="6"/>
  <c r="E37" i="6"/>
  <c r="D30" i="6"/>
  <c r="D35" i="6" s="1"/>
  <c r="H26" i="6"/>
  <c r="H40" i="6" s="1"/>
  <c r="G26" i="6"/>
  <c r="G40" i="6" s="1"/>
  <c r="F26" i="6"/>
  <c r="E26" i="6"/>
  <c r="E28" i="6" s="1"/>
  <c r="H14" i="6"/>
  <c r="H15" i="6" s="1"/>
  <c r="H18" i="6" s="1"/>
  <c r="G14" i="6"/>
  <c r="G15" i="6" s="1"/>
  <c r="G18" i="6" s="1"/>
  <c r="M13" i="6"/>
  <c r="M14" i="6" s="1"/>
  <c r="L13" i="6"/>
  <c r="L14" i="6" s="1"/>
  <c r="K13" i="6"/>
  <c r="K14" i="6" s="1"/>
  <c r="J13" i="6"/>
  <c r="J14" i="6" s="1"/>
  <c r="J15" i="6" s="1"/>
  <c r="J18" i="6" s="1"/>
  <c r="I13" i="6"/>
  <c r="I14" i="6" s="1"/>
  <c r="I15" i="6" s="1"/>
  <c r="I18" i="6" s="1"/>
  <c r="J11" i="6"/>
  <c r="I11" i="6"/>
  <c r="M10" i="6"/>
  <c r="L10" i="6"/>
  <c r="K10" i="6"/>
  <c r="J10" i="6"/>
  <c r="I10" i="6"/>
  <c r="J8" i="6"/>
  <c r="J26" i="6" s="1"/>
  <c r="J40" i="6" s="1"/>
  <c r="I8" i="6"/>
  <c r="I26" i="6" s="1"/>
  <c r="I40" i="6" s="1"/>
  <c r="M7" i="6"/>
  <c r="M11" i="6" s="1"/>
  <c r="L7" i="6"/>
  <c r="L11" i="6" s="1"/>
  <c r="K7" i="6"/>
  <c r="K11" i="6" s="1"/>
  <c r="H40" i="1"/>
  <c r="G40" i="1"/>
  <c r="F40" i="1"/>
  <c r="E40" i="1"/>
  <c r="M39" i="1"/>
  <c r="L39" i="1"/>
  <c r="K39" i="1"/>
  <c r="J39" i="1"/>
  <c r="I39" i="1"/>
  <c r="H39" i="1"/>
  <c r="G39" i="1"/>
  <c r="F39" i="1"/>
  <c r="E39" i="1"/>
  <c r="H38" i="1"/>
  <c r="G38" i="1"/>
  <c r="H37" i="1"/>
  <c r="D30" i="1"/>
  <c r="H28" i="1"/>
  <c r="H29" i="1" s="1"/>
  <c r="H32" i="1" s="1"/>
  <c r="F18" i="1"/>
  <c r="F38" i="1" s="1"/>
  <c r="E18" i="1"/>
  <c r="E38" i="1" s="1"/>
  <c r="M13" i="1"/>
  <c r="M14" i="1" s="1"/>
  <c r="M15" i="1" s="1"/>
  <c r="M18" i="1" s="1"/>
  <c r="M38" i="1" s="1"/>
  <c r="L13" i="1"/>
  <c r="L14" i="1" s="1"/>
  <c r="K13" i="1"/>
  <c r="K14" i="1" s="1"/>
  <c r="J13" i="1"/>
  <c r="J14" i="1" s="1"/>
  <c r="J15" i="1" s="1"/>
  <c r="J18" i="1" s="1"/>
  <c r="I13" i="1"/>
  <c r="I14" i="1" s="1"/>
  <c r="F13" i="1"/>
  <c r="F14" i="1" s="1"/>
  <c r="F15" i="1" s="1"/>
  <c r="E13" i="1"/>
  <c r="E14" i="1" s="1"/>
  <c r="J11" i="1"/>
  <c r="I11" i="1"/>
  <c r="M10" i="1"/>
  <c r="L10" i="1"/>
  <c r="K10" i="1"/>
  <c r="J10" i="1"/>
  <c r="I10" i="1"/>
  <c r="J8" i="1"/>
  <c r="J26" i="1" s="1"/>
  <c r="J40" i="1" s="1"/>
  <c r="I8" i="1"/>
  <c r="I37" i="1" s="1"/>
  <c r="G8" i="1"/>
  <c r="G37" i="1" s="1"/>
  <c r="F8" i="1"/>
  <c r="E8" i="1"/>
  <c r="E11" i="1" s="1"/>
  <c r="M7" i="1"/>
  <c r="M8" i="1" s="1"/>
  <c r="L7" i="1"/>
  <c r="L11" i="1" s="1"/>
  <c r="K7" i="1"/>
  <c r="K8" i="1" s="1"/>
  <c r="G7" i="1"/>
  <c r="N40" i="18" l="1"/>
  <c r="N44" i="18"/>
  <c r="N28" i="18"/>
  <c r="N30" i="18" s="1"/>
  <c r="N47" i="18" s="1"/>
  <c r="N15" i="18"/>
  <c r="N16" i="18" s="1"/>
  <c r="N45" i="18" s="1"/>
  <c r="S44" i="18"/>
  <c r="S28" i="18"/>
  <c r="S30" i="18" s="1"/>
  <c r="S47" i="18" s="1"/>
  <c r="I50" i="18"/>
  <c r="D50" i="18"/>
  <c r="G41" i="1"/>
  <c r="F41" i="10"/>
  <c r="H41" i="10"/>
  <c r="N41" i="18"/>
  <c r="N48" i="18" s="1"/>
  <c r="G41" i="8"/>
  <c r="L8" i="8"/>
  <c r="J15" i="10"/>
  <c r="J14" i="8"/>
  <c r="J15" i="8" s="1"/>
  <c r="J18" i="8" s="1"/>
  <c r="L8" i="9"/>
  <c r="H41" i="9"/>
  <c r="D62" i="17"/>
  <c r="D64" i="17" s="1"/>
  <c r="G67" i="17" s="1"/>
  <c r="G68" i="17" s="1"/>
  <c r="M8" i="6"/>
  <c r="M37" i="6" s="1"/>
  <c r="F28" i="6"/>
  <c r="F29" i="6" s="1"/>
  <c r="M8" i="9"/>
  <c r="M37" i="9" s="1"/>
  <c r="M12" i="9"/>
  <c r="M18" i="9" s="1"/>
  <c r="I12" i="10"/>
  <c r="I18" i="10" s="1"/>
  <c r="K3" i="17"/>
  <c r="M11" i="8"/>
  <c r="M12" i="8" s="1"/>
  <c r="M18" i="8" s="1"/>
  <c r="M38" i="8" s="1"/>
  <c r="F29" i="8"/>
  <c r="F31" i="8" s="1"/>
  <c r="K8" i="10"/>
  <c r="H28" i="10"/>
  <c r="H29" i="10" s="1"/>
  <c r="J18" i="9"/>
  <c r="J38" i="9" s="1"/>
  <c r="K12" i="10"/>
  <c r="K18" i="10" s="1"/>
  <c r="K38" i="10" s="1"/>
  <c r="M12" i="10"/>
  <c r="M18" i="10" s="1"/>
  <c r="M38" i="10" s="1"/>
  <c r="I38" i="10"/>
  <c r="I41" i="10" s="1"/>
  <c r="L38" i="10"/>
  <c r="L28" i="10"/>
  <c r="J18" i="10"/>
  <c r="E28" i="10"/>
  <c r="L29" i="10"/>
  <c r="L33" i="10" s="1"/>
  <c r="K37" i="10"/>
  <c r="M8" i="10"/>
  <c r="F28" i="10"/>
  <c r="E29" i="10"/>
  <c r="L37" i="10"/>
  <c r="G28" i="10"/>
  <c r="G29" i="10" s="1"/>
  <c r="F29" i="10"/>
  <c r="I26" i="10"/>
  <c r="I40" i="10" s="1"/>
  <c r="E38" i="10"/>
  <c r="E41" i="10" s="1"/>
  <c r="K26" i="10"/>
  <c r="K40" i="10" s="1"/>
  <c r="G38" i="10"/>
  <c r="G41" i="10" s="1"/>
  <c r="E34" i="9"/>
  <c r="K26" i="9"/>
  <c r="K40" i="9" s="1"/>
  <c r="K37" i="9"/>
  <c r="I37" i="9"/>
  <c r="I26" i="9"/>
  <c r="I40" i="9" s="1"/>
  <c r="L12" i="9"/>
  <c r="L18" i="9" s="1"/>
  <c r="L38" i="9" s="1"/>
  <c r="M38" i="9"/>
  <c r="M41" i="9" s="1"/>
  <c r="F28" i="9"/>
  <c r="F29" i="9" s="1"/>
  <c r="F31" i="9" s="1"/>
  <c r="E29" i="9"/>
  <c r="L37" i="9"/>
  <c r="G28" i="9"/>
  <c r="H28" i="9"/>
  <c r="G29" i="9"/>
  <c r="G32" i="9" s="1"/>
  <c r="E38" i="9"/>
  <c r="E41" i="9" s="1"/>
  <c r="K11" i="9"/>
  <c r="K12" i="9" s="1"/>
  <c r="K18" i="9" s="1"/>
  <c r="K38" i="9" s="1"/>
  <c r="J26" i="9"/>
  <c r="J40" i="9" s="1"/>
  <c r="J41" i="9" s="1"/>
  <c r="E31" i="9"/>
  <c r="F38" i="9"/>
  <c r="I11" i="9"/>
  <c r="I12" i="9" s="1"/>
  <c r="I18" i="9" s="1"/>
  <c r="I38" i="9" s="1"/>
  <c r="J28" i="9"/>
  <c r="J29" i="9" s="1"/>
  <c r="J32" i="9" s="1"/>
  <c r="E32" i="9"/>
  <c r="G38" i="9"/>
  <c r="G41" i="9" s="1"/>
  <c r="L26" i="9"/>
  <c r="L40" i="9" s="1"/>
  <c r="E33" i="9"/>
  <c r="F40" i="9"/>
  <c r="M26" i="9"/>
  <c r="M40" i="9" s="1"/>
  <c r="M37" i="8"/>
  <c r="M26" i="8"/>
  <c r="M40" i="8" s="1"/>
  <c r="K37" i="8"/>
  <c r="K26" i="8"/>
  <c r="K40" i="8" s="1"/>
  <c r="I38" i="8"/>
  <c r="E41" i="8"/>
  <c r="L15" i="8"/>
  <c r="L18" i="8" s="1"/>
  <c r="J26" i="8"/>
  <c r="J40" i="8" s="1"/>
  <c r="H29" i="8"/>
  <c r="H33" i="8" s="1"/>
  <c r="F38" i="8"/>
  <c r="F41" i="8" s="1"/>
  <c r="K14" i="8"/>
  <c r="K15" i="8" s="1"/>
  <c r="L26" i="8"/>
  <c r="L40" i="8" s="1"/>
  <c r="F32" i="8"/>
  <c r="I37" i="8"/>
  <c r="H38" i="8"/>
  <c r="H41" i="8" s="1"/>
  <c r="K11" i="8"/>
  <c r="K12" i="8" s="1"/>
  <c r="H31" i="8"/>
  <c r="J37" i="8"/>
  <c r="E28" i="8"/>
  <c r="H32" i="8"/>
  <c r="L37" i="8"/>
  <c r="G28" i="8"/>
  <c r="H34" i="8"/>
  <c r="I26" i="8"/>
  <c r="I40" i="8" s="1"/>
  <c r="E29" i="6"/>
  <c r="E33" i="6" s="1"/>
  <c r="H28" i="6"/>
  <c r="H38" i="6"/>
  <c r="H41" i="6" s="1"/>
  <c r="J38" i="6"/>
  <c r="F41" i="6"/>
  <c r="I28" i="6"/>
  <c r="I38" i="6"/>
  <c r="G28" i="6"/>
  <c r="G38" i="6"/>
  <c r="G41" i="6" s="1"/>
  <c r="K15" i="6"/>
  <c r="K18" i="6" s="1"/>
  <c r="K38" i="6" s="1"/>
  <c r="J28" i="6"/>
  <c r="E40" i="6"/>
  <c r="E41" i="6" s="1"/>
  <c r="L15" i="6"/>
  <c r="L18" i="6" s="1"/>
  <c r="L38" i="6" s="1"/>
  <c r="I37" i="6"/>
  <c r="I41" i="6" s="1"/>
  <c r="F40" i="6"/>
  <c r="M15" i="6"/>
  <c r="M18" i="6" s="1"/>
  <c r="M26" i="6"/>
  <c r="M40" i="6" s="1"/>
  <c r="J37" i="6"/>
  <c r="J41" i="6" s="1"/>
  <c r="K8" i="6"/>
  <c r="L8" i="6"/>
  <c r="K11" i="1"/>
  <c r="M11" i="1"/>
  <c r="J28" i="1"/>
  <c r="J29" i="1" s="1"/>
  <c r="H41" i="1"/>
  <c r="E15" i="1"/>
  <c r="J37" i="1"/>
  <c r="I15" i="1"/>
  <c r="I18" i="1" s="1"/>
  <c r="I38" i="1" s="1"/>
  <c r="N18" i="8"/>
  <c r="N38" i="8" s="1"/>
  <c r="N41" i="8" s="1"/>
  <c r="N28" i="6"/>
  <c r="N29" i="6" s="1"/>
  <c r="N31" i="6" s="1"/>
  <c r="K26" i="1"/>
  <c r="K40" i="1" s="1"/>
  <c r="K37" i="1"/>
  <c r="M37" i="1"/>
  <c r="M26" i="1"/>
  <c r="M40" i="1" s="1"/>
  <c r="J38" i="1"/>
  <c r="J41" i="1" s="1"/>
  <c r="H31" i="1"/>
  <c r="E28" i="1"/>
  <c r="E29" i="1" s="1"/>
  <c r="E31" i="1" s="1"/>
  <c r="L8" i="1"/>
  <c r="F11" i="1"/>
  <c r="K15" i="1"/>
  <c r="K18" i="1" s="1"/>
  <c r="K38" i="1" s="1"/>
  <c r="F28" i="1"/>
  <c r="H33" i="1"/>
  <c r="E37" i="1"/>
  <c r="E41" i="1" s="1"/>
  <c r="L15" i="1"/>
  <c r="L18" i="1" s="1"/>
  <c r="L38" i="1" s="1"/>
  <c r="G28" i="1"/>
  <c r="H34" i="1"/>
  <c r="F37" i="1"/>
  <c r="F41" i="1" s="1"/>
  <c r="I26" i="1"/>
  <c r="I40" i="1" s="1"/>
  <c r="N38" i="10"/>
  <c r="N41" i="10" s="1"/>
  <c r="N28" i="10"/>
  <c r="N29" i="10" s="1"/>
  <c r="N31" i="10" s="1"/>
  <c r="N26" i="9"/>
  <c r="N40" i="9" s="1"/>
  <c r="N37" i="9"/>
  <c r="N41" i="6"/>
  <c r="N26" i="1"/>
  <c r="N40" i="1" s="1"/>
  <c r="N37" i="1"/>
  <c r="J28" i="8" l="1"/>
  <c r="J38" i="8"/>
  <c r="H31" i="10"/>
  <c r="H32" i="10"/>
  <c r="H30" i="10" s="1"/>
  <c r="H35" i="10" s="1"/>
  <c r="H42" i="10" s="1"/>
  <c r="H43" i="10" s="1"/>
  <c r="H45" i="10" s="1"/>
  <c r="H33" i="10"/>
  <c r="F32" i="6"/>
  <c r="F31" i="6"/>
  <c r="F30" i="6" s="1"/>
  <c r="F35" i="6" s="1"/>
  <c r="F42" i="6" s="1"/>
  <c r="F43" i="6" s="1"/>
  <c r="F45" i="6" s="1"/>
  <c r="F34" i="6"/>
  <c r="F33" i="6"/>
  <c r="J34" i="1"/>
  <c r="J32" i="1"/>
  <c r="J33" i="1"/>
  <c r="J31" i="1"/>
  <c r="F41" i="9"/>
  <c r="F33" i="8"/>
  <c r="S50" i="18"/>
  <c r="M41" i="8"/>
  <c r="E32" i="6"/>
  <c r="H29" i="9"/>
  <c r="H33" i="9" s="1"/>
  <c r="M28" i="9"/>
  <c r="M33" i="9" s="1"/>
  <c r="K18" i="8"/>
  <c r="J31" i="9"/>
  <c r="F31" i="10"/>
  <c r="N50" i="18"/>
  <c r="H29" i="6"/>
  <c r="H33" i="6" s="1"/>
  <c r="F34" i="8"/>
  <c r="F30" i="8" s="1"/>
  <c r="F35" i="8" s="1"/>
  <c r="F42" i="8" s="1"/>
  <c r="F43" i="8" s="1"/>
  <c r="F45" i="8" s="1"/>
  <c r="H34" i="10"/>
  <c r="E31" i="10"/>
  <c r="G32" i="10"/>
  <c r="F33" i="10"/>
  <c r="M37" i="10"/>
  <c r="M26" i="10"/>
  <c r="M40" i="10" s="1"/>
  <c r="E34" i="10"/>
  <c r="I28" i="10"/>
  <c r="L41" i="10"/>
  <c r="K41" i="10"/>
  <c r="L32" i="10"/>
  <c r="F32" i="10"/>
  <c r="F34" i="10"/>
  <c r="J28" i="10"/>
  <c r="J29" i="10" s="1"/>
  <c r="J33" i="10" s="1"/>
  <c r="J38" i="10"/>
  <c r="J41" i="10" s="1"/>
  <c r="E32" i="10"/>
  <c r="I33" i="10"/>
  <c r="G33" i="10"/>
  <c r="G31" i="10"/>
  <c r="G34" i="10"/>
  <c r="K28" i="10"/>
  <c r="L34" i="10"/>
  <c r="I29" i="10"/>
  <c r="I32" i="10" s="1"/>
  <c r="L31" i="10"/>
  <c r="E33" i="10"/>
  <c r="H32" i="9"/>
  <c r="M29" i="9"/>
  <c r="G31" i="9"/>
  <c r="E30" i="9"/>
  <c r="E35" i="9" s="1"/>
  <c r="E42" i="9" s="1"/>
  <c r="E43" i="9" s="1"/>
  <c r="E45" i="9" s="1"/>
  <c r="L28" i="9"/>
  <c r="J34" i="9"/>
  <c r="L41" i="9"/>
  <c r="G33" i="9"/>
  <c r="F32" i="9"/>
  <c r="F30" i="9" s="1"/>
  <c r="F35" i="9" s="1"/>
  <c r="F42" i="9" s="1"/>
  <c r="I41" i="9"/>
  <c r="K28" i="9"/>
  <c r="I28" i="9"/>
  <c r="I29" i="9" s="1"/>
  <c r="F34" i="9"/>
  <c r="J33" i="9"/>
  <c r="G34" i="9"/>
  <c r="F33" i="9"/>
  <c r="H34" i="9"/>
  <c r="H31" i="9"/>
  <c r="K41" i="9"/>
  <c r="K38" i="8"/>
  <c r="K28" i="8"/>
  <c r="L38" i="8"/>
  <c r="L41" i="8" s="1"/>
  <c r="L28" i="8"/>
  <c r="J32" i="8"/>
  <c r="H30" i="8"/>
  <c r="H35" i="8" s="1"/>
  <c r="H42" i="8" s="1"/>
  <c r="H43" i="8" s="1"/>
  <c r="H45" i="8" s="1"/>
  <c r="G29" i="8"/>
  <c r="J29" i="8"/>
  <c r="J31" i="8" s="1"/>
  <c r="I28" i="8"/>
  <c r="K41" i="8"/>
  <c r="E29" i="8"/>
  <c r="M28" i="8"/>
  <c r="J41" i="8"/>
  <c r="I41" i="8"/>
  <c r="E34" i="6"/>
  <c r="I33" i="6"/>
  <c r="H31" i="6"/>
  <c r="H32" i="6"/>
  <c r="J29" i="6"/>
  <c r="J32" i="6" s="1"/>
  <c r="G29" i="6"/>
  <c r="M38" i="6"/>
  <c r="M41" i="6" s="1"/>
  <c r="L37" i="6"/>
  <c r="L26" i="6"/>
  <c r="L40" i="6" s="1"/>
  <c r="M28" i="6"/>
  <c r="M29" i="6" s="1"/>
  <c r="G31" i="6"/>
  <c r="J34" i="6"/>
  <c r="J33" i="6"/>
  <c r="K37" i="6"/>
  <c r="K26" i="6"/>
  <c r="K40" i="6" s="1"/>
  <c r="E31" i="6"/>
  <c r="I29" i="6"/>
  <c r="I32" i="6" s="1"/>
  <c r="I28" i="1"/>
  <c r="I29" i="1" s="1"/>
  <c r="I31" i="1" s="1"/>
  <c r="K28" i="1"/>
  <c r="K29" i="1" s="1"/>
  <c r="I41" i="1"/>
  <c r="N28" i="8"/>
  <c r="N29" i="8" s="1"/>
  <c r="F29" i="1"/>
  <c r="F34" i="1" s="1"/>
  <c r="E34" i="1"/>
  <c r="E32" i="1"/>
  <c r="K41" i="1"/>
  <c r="J30" i="1"/>
  <c r="J35" i="1" s="1"/>
  <c r="J42" i="1" s="1"/>
  <c r="J43" i="1" s="1"/>
  <c r="J45" i="1" s="1"/>
  <c r="D5" i="14" s="1"/>
  <c r="G29" i="1"/>
  <c r="G32" i="1" s="1"/>
  <c r="H30" i="1"/>
  <c r="H35" i="1" s="1"/>
  <c r="H42" i="1" s="1"/>
  <c r="H43" i="1" s="1"/>
  <c r="H45" i="1" s="1"/>
  <c r="M28" i="1"/>
  <c r="L37" i="1"/>
  <c r="L26" i="1"/>
  <c r="L40" i="1" s="1"/>
  <c r="M41" i="1"/>
  <c r="E33" i="1"/>
  <c r="N32" i="10"/>
  <c r="N33" i="10"/>
  <c r="N34" i="10"/>
  <c r="N41" i="9"/>
  <c r="N28" i="9"/>
  <c r="N34" i="6"/>
  <c r="N33" i="6"/>
  <c r="N32" i="6"/>
  <c r="N41" i="1"/>
  <c r="N28" i="1"/>
  <c r="J34" i="8" l="1"/>
  <c r="F43" i="9"/>
  <c r="F45" i="9" s="1"/>
  <c r="I34" i="10"/>
  <c r="I34" i="6"/>
  <c r="J30" i="9"/>
  <c r="J35" i="9" s="1"/>
  <c r="J42" i="9" s="1"/>
  <c r="J43" i="9" s="1"/>
  <c r="J45" i="9" s="1"/>
  <c r="D9" i="14" s="1"/>
  <c r="M28" i="10"/>
  <c r="M29" i="10" s="1"/>
  <c r="M33" i="10" s="1"/>
  <c r="F30" i="10"/>
  <c r="F35" i="10" s="1"/>
  <c r="F42" i="10" s="1"/>
  <c r="F43" i="10" s="1"/>
  <c r="F45" i="10" s="1"/>
  <c r="H34" i="6"/>
  <c r="H30" i="6" s="1"/>
  <c r="H35" i="6" s="1"/>
  <c r="H42" i="6" s="1"/>
  <c r="H43" i="6" s="1"/>
  <c r="H45" i="6" s="1"/>
  <c r="I31" i="10"/>
  <c r="I30" i="10" s="1"/>
  <c r="I35" i="10" s="1"/>
  <c r="I42" i="10" s="1"/>
  <c r="I43" i="10" s="1"/>
  <c r="I45" i="10" s="1"/>
  <c r="C10" i="14" s="1"/>
  <c r="J31" i="10"/>
  <c r="G30" i="10"/>
  <c r="G35" i="10" s="1"/>
  <c r="G42" i="10" s="1"/>
  <c r="G43" i="10" s="1"/>
  <c r="G45" i="10" s="1"/>
  <c r="E30" i="10"/>
  <c r="E35" i="10" s="1"/>
  <c r="E42" i="10" s="1"/>
  <c r="E43" i="10" s="1"/>
  <c r="E45" i="10" s="1"/>
  <c r="M41" i="10"/>
  <c r="J32" i="10"/>
  <c r="K29" i="10"/>
  <c r="K32" i="10" s="1"/>
  <c r="L30" i="10"/>
  <c r="L35" i="10" s="1"/>
  <c r="L42" i="10" s="1"/>
  <c r="L43" i="10" s="1"/>
  <c r="L45" i="10" s="1"/>
  <c r="G10" i="14" s="1"/>
  <c r="J34" i="10"/>
  <c r="I33" i="9"/>
  <c r="G30" i="9"/>
  <c r="G35" i="9" s="1"/>
  <c r="G42" i="9" s="1"/>
  <c r="G43" i="9" s="1"/>
  <c r="G45" i="9" s="1"/>
  <c r="M32" i="9"/>
  <c r="M31" i="9"/>
  <c r="K29" i="9"/>
  <c r="K31" i="9" s="1"/>
  <c r="H30" i="9"/>
  <c r="H35" i="9" s="1"/>
  <c r="H42" i="9" s="1"/>
  <c r="H43" i="9" s="1"/>
  <c r="H45" i="9" s="1"/>
  <c r="M34" i="9"/>
  <c r="I32" i="9"/>
  <c r="I34" i="9"/>
  <c r="I31" i="9"/>
  <c r="L29" i="9"/>
  <c r="L34" i="9" s="1"/>
  <c r="K32" i="9"/>
  <c r="G31" i="8"/>
  <c r="I29" i="8"/>
  <c r="I34" i="8" s="1"/>
  <c r="I33" i="8"/>
  <c r="G34" i="8"/>
  <c r="G33" i="8"/>
  <c r="K29" i="8"/>
  <c r="K31" i="8" s="1"/>
  <c r="E34" i="8"/>
  <c r="E33" i="8"/>
  <c r="E31" i="8"/>
  <c r="L29" i="8"/>
  <c r="L31" i="8" s="1"/>
  <c r="K34" i="8"/>
  <c r="M29" i="8"/>
  <c r="M33" i="8" s="1"/>
  <c r="E32" i="8"/>
  <c r="J33" i="8"/>
  <c r="J30" i="8" s="1"/>
  <c r="J35" i="8" s="1"/>
  <c r="J42" i="8" s="1"/>
  <c r="J43" i="8" s="1"/>
  <c r="J45" i="8" s="1"/>
  <c r="D7" i="14" s="1"/>
  <c r="G32" i="8"/>
  <c r="L28" i="6"/>
  <c r="L29" i="6" s="1"/>
  <c r="M31" i="6"/>
  <c r="K28" i="6"/>
  <c r="K29" i="6" s="1"/>
  <c r="K31" i="6" s="1"/>
  <c r="M32" i="6"/>
  <c r="M34" i="6"/>
  <c r="M33" i="6"/>
  <c r="E30" i="6"/>
  <c r="E35" i="6" s="1"/>
  <c r="E42" i="6" s="1"/>
  <c r="E43" i="6" s="1"/>
  <c r="E45" i="6" s="1"/>
  <c r="K41" i="6"/>
  <c r="I31" i="6"/>
  <c r="I30" i="6" s="1"/>
  <c r="I35" i="6" s="1"/>
  <c r="I42" i="6" s="1"/>
  <c r="I43" i="6" s="1"/>
  <c r="I45" i="6" s="1"/>
  <c r="C6" i="14" s="1"/>
  <c r="L41" i="6"/>
  <c r="G34" i="6"/>
  <c r="G33" i="6"/>
  <c r="G32" i="6"/>
  <c r="J31" i="6"/>
  <c r="J30" i="6" s="1"/>
  <c r="J35" i="6" s="1"/>
  <c r="J42" i="6" s="1"/>
  <c r="J43" i="6" s="1"/>
  <c r="J45" i="6" s="1"/>
  <c r="D6" i="14" s="1"/>
  <c r="K32" i="1"/>
  <c r="K30" i="1" s="1"/>
  <c r="K35" i="1" s="1"/>
  <c r="K42" i="1" s="1"/>
  <c r="K43" i="1" s="1"/>
  <c r="K45" i="1" s="1"/>
  <c r="K34" i="1"/>
  <c r="K31" i="1"/>
  <c r="K33" i="1"/>
  <c r="G34" i="1"/>
  <c r="G31" i="1"/>
  <c r="G33" i="1"/>
  <c r="I32" i="1"/>
  <c r="E30" i="1"/>
  <c r="E35" i="1" s="1"/>
  <c r="E42" i="1" s="1"/>
  <c r="E43" i="1" s="1"/>
  <c r="E45" i="1" s="1"/>
  <c r="I33" i="1"/>
  <c r="N30" i="10"/>
  <c r="N35" i="10" s="1"/>
  <c r="N42" i="10" s="1"/>
  <c r="N43" i="10" s="1"/>
  <c r="N45" i="10" s="1"/>
  <c r="J10" i="14" s="1"/>
  <c r="N34" i="8"/>
  <c r="N33" i="8"/>
  <c r="N32" i="8"/>
  <c r="N31" i="8"/>
  <c r="N30" i="6"/>
  <c r="N35" i="6" s="1"/>
  <c r="N42" i="6" s="1"/>
  <c r="N43" i="6" s="1"/>
  <c r="N45" i="6" s="1"/>
  <c r="J6" i="14" s="1"/>
  <c r="I34" i="1"/>
  <c r="F31" i="1"/>
  <c r="M29" i="1"/>
  <c r="M33" i="1" s="1"/>
  <c r="L28" i="1"/>
  <c r="L41" i="1"/>
  <c r="F32" i="1"/>
  <c r="F33" i="1"/>
  <c r="N29" i="9"/>
  <c r="N32" i="9" s="1"/>
  <c r="N29" i="1"/>
  <c r="L32" i="6" l="1"/>
  <c r="L31" i="6"/>
  <c r="L34" i="6"/>
  <c r="M32" i="10"/>
  <c r="M34" i="10"/>
  <c r="M30" i="6"/>
  <c r="M35" i="6" s="1"/>
  <c r="M42" i="6" s="1"/>
  <c r="M43" i="6" s="1"/>
  <c r="M45" i="6" s="1"/>
  <c r="G30" i="1"/>
  <c r="G35" i="1" s="1"/>
  <c r="G42" i="1" s="1"/>
  <c r="G43" i="1" s="1"/>
  <c r="G45" i="1" s="1"/>
  <c r="M31" i="10"/>
  <c r="K33" i="9"/>
  <c r="K33" i="8"/>
  <c r="L33" i="9"/>
  <c r="G30" i="6"/>
  <c r="G35" i="6" s="1"/>
  <c r="G42" i="6" s="1"/>
  <c r="G43" i="6" s="1"/>
  <c r="G45" i="6" s="1"/>
  <c r="L32" i="8"/>
  <c r="L31" i="9"/>
  <c r="L30" i="9" s="1"/>
  <c r="L35" i="9" s="1"/>
  <c r="L42" i="9" s="1"/>
  <c r="L43" i="9" s="1"/>
  <c r="L45" i="9" s="1"/>
  <c r="G9" i="14" s="1"/>
  <c r="M30" i="10"/>
  <c r="M35" i="10" s="1"/>
  <c r="M42" i="10" s="1"/>
  <c r="M43" i="10" s="1"/>
  <c r="M45" i="10" s="1"/>
  <c r="K34" i="10"/>
  <c r="K31" i="10"/>
  <c r="K33" i="10"/>
  <c r="J30" i="10"/>
  <c r="J35" i="10" s="1"/>
  <c r="J42" i="10" s="1"/>
  <c r="J43" i="10" s="1"/>
  <c r="J45" i="10" s="1"/>
  <c r="D10" i="14" s="1"/>
  <c r="D11" i="14" s="1"/>
  <c r="M30" i="9"/>
  <c r="M35" i="9" s="1"/>
  <c r="M42" i="9" s="1"/>
  <c r="M43" i="9" s="1"/>
  <c r="M45" i="9" s="1"/>
  <c r="K34" i="9"/>
  <c r="K30" i="9" s="1"/>
  <c r="K35" i="9" s="1"/>
  <c r="K42" i="9" s="1"/>
  <c r="K43" i="9" s="1"/>
  <c r="K45" i="9" s="1"/>
  <c r="L32" i="9"/>
  <c r="I30" i="9"/>
  <c r="I35" i="9" s="1"/>
  <c r="I42" i="9" s="1"/>
  <c r="I43" i="9" s="1"/>
  <c r="I45" i="9" s="1"/>
  <c r="C9" i="14" s="1"/>
  <c r="I31" i="8"/>
  <c r="L33" i="8"/>
  <c r="L34" i="8"/>
  <c r="M32" i="8"/>
  <c r="K32" i="8"/>
  <c r="K30" i="8" s="1"/>
  <c r="K35" i="8" s="1"/>
  <c r="K42" i="8" s="1"/>
  <c r="K43" i="8" s="1"/>
  <c r="K45" i="8" s="1"/>
  <c r="E30" i="8"/>
  <c r="E35" i="8" s="1"/>
  <c r="E42" i="8" s="1"/>
  <c r="E43" i="8" s="1"/>
  <c r="E45" i="8" s="1"/>
  <c r="M31" i="8"/>
  <c r="G30" i="8"/>
  <c r="G35" i="8" s="1"/>
  <c r="G42" i="8" s="1"/>
  <c r="G43" i="8" s="1"/>
  <c r="G45" i="8" s="1"/>
  <c r="M34" i="8"/>
  <c r="N30" i="8"/>
  <c r="N35" i="8" s="1"/>
  <c r="N42" i="8" s="1"/>
  <c r="N43" i="8" s="1"/>
  <c r="N45" i="8" s="1"/>
  <c r="J7" i="14" s="1"/>
  <c r="I32" i="8"/>
  <c r="I6" i="14"/>
  <c r="H6" i="14"/>
  <c r="K33" i="6"/>
  <c r="L33" i="6"/>
  <c r="L30" i="6" s="1"/>
  <c r="L35" i="6" s="1"/>
  <c r="L42" i="6" s="1"/>
  <c r="L43" i="6" s="1"/>
  <c r="L45" i="6" s="1"/>
  <c r="G6" i="14" s="1"/>
  <c r="K32" i="6"/>
  <c r="K34" i="6"/>
  <c r="F30" i="1"/>
  <c r="F35" i="1" s="1"/>
  <c r="F42" i="1" s="1"/>
  <c r="F43" i="1" s="1"/>
  <c r="F45" i="1" s="1"/>
  <c r="I30" i="1"/>
  <c r="I35" i="1" s="1"/>
  <c r="I42" i="1" s="1"/>
  <c r="I43" i="1" s="1"/>
  <c r="I45" i="1" s="1"/>
  <c r="C5" i="14" s="1"/>
  <c r="F5" i="14"/>
  <c r="E5" i="14"/>
  <c r="M32" i="1"/>
  <c r="L29" i="1"/>
  <c r="L34" i="1" s="1"/>
  <c r="M31" i="1"/>
  <c r="M34" i="1"/>
  <c r="N34" i="9"/>
  <c r="N33" i="9"/>
  <c r="N31" i="9"/>
  <c r="N33" i="1"/>
  <c r="N32" i="1"/>
  <c r="N31" i="1"/>
  <c r="N34" i="1"/>
  <c r="L30" i="8" l="1"/>
  <c r="L35" i="8" s="1"/>
  <c r="L42" i="8" s="1"/>
  <c r="L43" i="8" s="1"/>
  <c r="L45" i="8" s="1"/>
  <c r="G7" i="14" s="1"/>
  <c r="K30" i="6"/>
  <c r="K35" i="6" s="1"/>
  <c r="K42" i="6" s="1"/>
  <c r="K43" i="6" s="1"/>
  <c r="K45" i="6" s="1"/>
  <c r="I10" i="14"/>
  <c r="H10" i="14"/>
  <c r="K30" i="10"/>
  <c r="K35" i="10" s="1"/>
  <c r="K42" i="10" s="1"/>
  <c r="K43" i="10" s="1"/>
  <c r="K45" i="10" s="1"/>
  <c r="F9" i="14"/>
  <c r="E9" i="14"/>
  <c r="I9" i="14"/>
  <c r="H9" i="14"/>
  <c r="F7" i="14"/>
  <c r="E7" i="14"/>
  <c r="M30" i="8"/>
  <c r="M35" i="8" s="1"/>
  <c r="M42" i="8" s="1"/>
  <c r="M43" i="8" s="1"/>
  <c r="M45" i="8" s="1"/>
  <c r="I30" i="8"/>
  <c r="I35" i="8" s="1"/>
  <c r="I42" i="8" s="1"/>
  <c r="I43" i="8" s="1"/>
  <c r="I45" i="8" s="1"/>
  <c r="C7" i="14" s="1"/>
  <c r="C11" i="14" s="1"/>
  <c r="E6" i="14"/>
  <c r="F6" i="14"/>
  <c r="L32" i="1"/>
  <c r="L33" i="1"/>
  <c r="M30" i="1"/>
  <c r="M35" i="1" s="1"/>
  <c r="M42" i="1" s="1"/>
  <c r="M43" i="1" s="1"/>
  <c r="M45" i="1" s="1"/>
  <c r="L31" i="1"/>
  <c r="N30" i="9"/>
  <c r="N35" i="9" s="1"/>
  <c r="N42" i="9" s="1"/>
  <c r="N43" i="9" s="1"/>
  <c r="N45" i="9" s="1"/>
  <c r="J9" i="14" s="1"/>
  <c r="N30" i="1"/>
  <c r="N35" i="1" s="1"/>
  <c r="N42" i="1" s="1"/>
  <c r="N43" i="1" s="1"/>
  <c r="N45" i="1" s="1"/>
  <c r="J5" i="14" s="1"/>
  <c r="F10" i="14" l="1"/>
  <c r="F11" i="14" s="1"/>
  <c r="E10" i="14"/>
  <c r="E11" i="14" s="1"/>
  <c r="I7" i="14"/>
  <c r="H7" i="14"/>
  <c r="L30" i="1"/>
  <c r="L35" i="1" s="1"/>
  <c r="L42" i="1" s="1"/>
  <c r="L43" i="1" s="1"/>
  <c r="L45" i="1" s="1"/>
  <c r="G5" i="14" s="1"/>
  <c r="G11" i="14" s="1"/>
  <c r="J11" i="14"/>
  <c r="I5" i="14"/>
  <c r="H5" i="14"/>
  <c r="H11" i="14" s="1"/>
  <c r="I11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cláusula 12ª. Letra "b". CCT DF000358/2019</t>
        </r>
      </text>
    </comment>
    <comment ref="K14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 §3º.Cláusula 12ª. CCTDF000358/2019. Desconto de 10%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3" authorId="0" shapeId="0" xr:uid="{00000000-0006-0000-0100-000001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J13" authorId="0" shapeId="0" xr:uid="{00000000-0006-0000-0100-000002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K13" authorId="0" shapeId="0" xr:uid="{00000000-0006-0000-0100-000003000000}">
      <text>
        <r>
          <rPr>
            <sz val="10"/>
            <color indexed="81"/>
            <rFont val="Times New Roman"/>
            <family val="1"/>
          </rPr>
          <t>cláusula 12ª. Letra "b". CCT DF000358/2019.</t>
        </r>
      </text>
    </comment>
    <comment ref="I14" authorId="0" shapeId="0" xr:uid="{00000000-0006-0000-0100-000004000000}">
      <text>
        <r>
          <rPr>
            <sz val="10"/>
            <color indexed="81"/>
            <rFont val="Times New Roman"/>
            <family val="1"/>
          </rPr>
          <t>Desconto conforme cláusula 12ª da 
CCT DF000416/2017.
10% DESCONTO</t>
        </r>
      </text>
    </comment>
    <comment ref="J14" authorId="0" shapeId="0" xr:uid="{00000000-0006-0000-0100-000005000000}">
      <text>
        <r>
          <rPr>
            <sz val="10"/>
            <color indexed="81"/>
            <rFont val="Times New Roman"/>
            <family val="1"/>
          </rPr>
          <t>Desconto conforme cláusula 12ª da 
CCT DF000416/2017.
10% DESCONTO</t>
        </r>
      </text>
    </comment>
    <comment ref="K14" authorId="0" shapeId="0" xr:uid="{00000000-0006-0000-0100-000006000000}">
      <text>
        <r>
          <rPr>
            <sz val="10"/>
            <color indexed="81"/>
            <rFont val="Times New Roman"/>
            <family val="1"/>
          </rPr>
          <t>Desconto PAT -Programa de Alimentação ao Trabalhador. §3º cláusula 12ª. CCT DF000358/2019.10% desconto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3" authorId="0" shapeId="0" xr:uid="{00000000-0006-0000-0200-000001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J13" authorId="0" shapeId="0" xr:uid="{00000000-0006-0000-0200-000002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K13" authorId="0" shapeId="0" xr:uid="{00000000-0006-0000-0200-000003000000}">
      <text>
        <r>
          <rPr>
            <sz val="10"/>
            <color indexed="81"/>
            <rFont val="Times New Roman"/>
            <family val="1"/>
          </rPr>
          <t>cláusula 12ª. Letra "b". CCT DF000358/2019</t>
        </r>
      </text>
    </comment>
    <comment ref="I14" authorId="0" shapeId="0" xr:uid="{00000000-0006-0000-0200-000004000000}">
      <text>
        <r>
          <rPr>
            <sz val="10"/>
            <color indexed="81"/>
            <rFont val="Times New Roman"/>
            <family val="1"/>
          </rPr>
          <t>Desconto conforme cláusula 12ª da 
CCT DF000416/2017.
5% DESCONTO</t>
        </r>
      </text>
    </comment>
    <comment ref="J14" authorId="0" shapeId="0" xr:uid="{00000000-0006-0000-0200-000005000000}">
      <text>
        <r>
          <rPr>
            <sz val="10"/>
            <color indexed="81"/>
            <rFont val="Times New Roman"/>
            <family val="1"/>
          </rPr>
          <t>Desconto conforme cláusula 12ª da 
CCT DF000416/2017.
5% DESCONTO</t>
        </r>
      </text>
    </comment>
    <comment ref="K14" authorId="0" shapeId="0" xr:uid="{00000000-0006-0000-0200-000006000000}">
      <text>
        <r>
          <rPr>
            <sz val="10"/>
            <color indexed="81"/>
            <rFont val="Times New Roman"/>
            <family val="1"/>
          </rPr>
          <t>Desconto PAT -Programa de Alimentação ao Trabalhador. §3º cláusula 12ª. CCT DF000358/2019.
5% desconto.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3" authorId="0" shapeId="0" xr:uid="{00000000-0006-0000-0300-000001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J13" authorId="0" shapeId="0" xr:uid="{00000000-0006-0000-0300-000002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K13" authorId="0" shapeId="0" xr:uid="{00000000-0006-0000-0300-000003000000}">
      <text>
        <r>
          <rPr>
            <sz val="10"/>
            <color indexed="81"/>
            <rFont val="Times New Roman"/>
            <family val="1"/>
          </rPr>
          <t xml:space="preserve">cláusula 12ª. Letra "b". CCT DF000358/2019
</t>
        </r>
      </text>
    </comment>
    <comment ref="I14" authorId="0" shapeId="0" xr:uid="{00000000-0006-0000-0300-000004000000}">
      <text>
        <r>
          <rPr>
            <sz val="10"/>
            <color indexed="81"/>
            <rFont val="Times New Roman"/>
            <family val="1"/>
          </rPr>
          <t xml:space="preserve">Desconto conforme cláusula 12ª da 
CCT DF000416/2017.
ISENTO ATÉ R$ 1.703,35
</t>
        </r>
      </text>
    </comment>
    <comment ref="J14" authorId="0" shapeId="0" xr:uid="{00000000-0006-0000-0300-000005000000}">
      <text>
        <r>
          <rPr>
            <sz val="10"/>
            <color indexed="81"/>
            <rFont val="Times New Roman"/>
            <family val="1"/>
          </rPr>
          <t xml:space="preserve">Desconto conforme cláusula 12ª da 
CCT DF000416/2017.
ISENTO ATÉ R$ 1.703,35
</t>
        </r>
      </text>
    </comment>
    <comment ref="K14" authorId="0" shapeId="0" xr:uid="{00000000-0006-0000-0300-000006000000}">
      <text>
        <r>
          <rPr>
            <sz val="10"/>
            <color indexed="81"/>
            <rFont val="Times New Roman"/>
            <family val="1"/>
          </rPr>
          <t xml:space="preserve">Desconto conforme cláusula 12ª da 
Desconto PAT -Programa de Alimentação ao Trabalhador. §3º cláusula 12ª. CCT DF000358/2019.10% desconto.ISENTO até R$ 1.817,71.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3" authorId="0" shapeId="0" xr:uid="{00000000-0006-0000-0400-000001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J13" authorId="0" shapeId="0" xr:uid="{00000000-0006-0000-0400-000002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K13" authorId="0" shapeId="0" xr:uid="{00000000-0006-0000-0400-000003000000}">
      <text>
        <r>
          <rPr>
            <sz val="10"/>
            <color indexed="81"/>
            <rFont val="Times New Roman"/>
            <family val="1"/>
          </rPr>
          <t>Quantidade = 22 vales
Valor conforme cláusula 12ª da 
CCT DF000416/2017</t>
        </r>
      </text>
    </comment>
    <comment ref="I14" authorId="0" shapeId="0" xr:uid="{00000000-0006-0000-0400-000004000000}">
      <text>
        <r>
          <rPr>
            <sz val="10"/>
            <color indexed="81"/>
            <rFont val="Times New Roman"/>
            <family val="1"/>
          </rPr>
          <t>Desconto conforme cláusula 12ª da 
CCT DF000416/2017. 
ISENTO ATÉ R$ 1.703,35</t>
        </r>
      </text>
    </comment>
    <comment ref="J14" authorId="0" shapeId="0" xr:uid="{00000000-0006-0000-0400-000005000000}">
      <text>
        <r>
          <rPr>
            <sz val="10"/>
            <color indexed="81"/>
            <rFont val="Times New Roman"/>
            <family val="1"/>
          </rPr>
          <t>Desconto conforme cláusula 12ª da 
CCT DF000416/2017. 
ISENTO ATÉ R$ 1.703,35</t>
        </r>
      </text>
    </comment>
    <comment ref="K14" authorId="0" shapeId="0" xr:uid="{00000000-0006-0000-0400-000006000000}">
      <text>
        <r>
          <rPr>
            <sz val="10"/>
            <color indexed="81"/>
            <rFont val="Times New Roman"/>
            <family val="1"/>
          </rPr>
          <t xml:space="preserve">Desconto PAT -Programa de Alimentação ao Trabalhador. §3º cláusula 12ª. CCT DF000358/2019. ISENTO até R$ 1.817,71.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De 7/8/2018 a 30/8/2018</t>
        </r>
      </text>
    </comment>
    <comment ref="F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 xml:space="preserve"> 7/12/2018 a 30/12/2018</t>
        </r>
      </text>
    </comment>
    <comment ref="F27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1 a 7/12/2020
</t>
        </r>
      </text>
    </comment>
  </commentList>
</comments>
</file>

<file path=xl/sharedStrings.xml><?xml version="1.0" encoding="utf-8"?>
<sst xmlns="http://schemas.openxmlformats.org/spreadsheetml/2006/main" count="1099" uniqueCount="162">
  <si>
    <t>A</t>
  </si>
  <si>
    <t>B</t>
  </si>
  <si>
    <t>C</t>
  </si>
  <si>
    <t>D</t>
  </si>
  <si>
    <t>Total da Remuneração</t>
  </si>
  <si>
    <t>E</t>
  </si>
  <si>
    <t>F</t>
  </si>
  <si>
    <t>G</t>
  </si>
  <si>
    <t>H</t>
  </si>
  <si>
    <t>Total de Benefícios mensais e diários</t>
  </si>
  <si>
    <t>Total de Insumos diversos</t>
  </si>
  <si>
    <t>4.1</t>
  </si>
  <si>
    <t>Encargos previdenciários e FGTS</t>
  </si>
  <si>
    <t>%</t>
  </si>
  <si>
    <t>INSS</t>
  </si>
  <si>
    <t>SESI ou SESC</t>
  </si>
  <si>
    <t>SENAI ou SENAC</t>
  </si>
  <si>
    <t>INCRA</t>
  </si>
  <si>
    <t>Salário Educação</t>
  </si>
  <si>
    <t>FGTS</t>
  </si>
  <si>
    <t>SEBRAE</t>
  </si>
  <si>
    <t>4.2</t>
  </si>
  <si>
    <t>13º Salário e Adicional de Férias</t>
  </si>
  <si>
    <t>13 º Salário</t>
  </si>
  <si>
    <t>Incidência do Submódulo 4.1 sobre 13º Salário e Adicional de Férias</t>
  </si>
  <si>
    <t>4.3</t>
  </si>
  <si>
    <t>Afastamento Maternidade:</t>
  </si>
  <si>
    <t>Afastamento maternidade</t>
  </si>
  <si>
    <t>Incidência do submódulo 4.1 sobre afastamento maternidade</t>
  </si>
  <si>
    <t>4.4</t>
  </si>
  <si>
    <t>Provisão para Rescisão</t>
  </si>
  <si>
    <t>Aviso prévio indenizado</t>
  </si>
  <si>
    <t>Incidência do FGTS sobre aviso prévio indenizado</t>
  </si>
  <si>
    <t>Multa do FGTS do aviso prévio indenizado</t>
  </si>
  <si>
    <t xml:space="preserve">Aviso prévio trabalhado  </t>
  </si>
  <si>
    <t>Incidência do submódulo 4.1 sobre aviso prévio trabalhado</t>
  </si>
  <si>
    <t xml:space="preserve">Multa do FGTS do aviso prévio trabalhado </t>
  </si>
  <si>
    <t>4.5</t>
  </si>
  <si>
    <t>Composição do Custo de Reposição do Profissional Ausente</t>
  </si>
  <si>
    <t>Férias e Terço Constitucional de Férias</t>
  </si>
  <si>
    <t>Ausência por doença</t>
  </si>
  <si>
    <t>Licença paternidade</t>
  </si>
  <si>
    <t>Ausências legais</t>
  </si>
  <si>
    <t>Ausência por Acidente de trabalho</t>
  </si>
  <si>
    <t>Outros (especificar)</t>
  </si>
  <si>
    <t>Subtotal</t>
  </si>
  <si>
    <t xml:space="preserve">Incidência do submódulo 4.1 sobre o Custo de reposição </t>
  </si>
  <si>
    <t>Custo de rescisão</t>
  </si>
  <si>
    <t>Custo de reposição do profissional ausente</t>
  </si>
  <si>
    <t>4.6</t>
  </si>
  <si>
    <t>Custos Indiretos</t>
  </si>
  <si>
    <t>Lucro</t>
  </si>
  <si>
    <t>Módulo 1 – Composição da Remuneração</t>
  </si>
  <si>
    <t>Módulo 2 – Benefícios Mensais e Diários</t>
  </si>
  <si>
    <t>Módulo 3 – Insumos Diversos, uniformes e outros</t>
  </si>
  <si>
    <t>Módulo 4 – Encargos Sociais e Trabalhistas</t>
  </si>
  <si>
    <t>Subtotal (A + B +C+ D)</t>
  </si>
  <si>
    <t>Módulo 5 – Custos indiretos, tributos e lucro</t>
  </si>
  <si>
    <t>Valor total por empregado</t>
  </si>
  <si>
    <t>Auxílio Transporte Total</t>
  </si>
  <si>
    <t>Desconto de 6% do salário base</t>
  </si>
  <si>
    <t>Auxílio Transporte - Empregador</t>
  </si>
  <si>
    <t>Auxílio Alimentação Total</t>
  </si>
  <si>
    <t>Desconto Percentual</t>
  </si>
  <si>
    <t>Auxílio Alimentação - Empregador</t>
  </si>
  <si>
    <t>Seguro de Vida</t>
  </si>
  <si>
    <t>Plano de Saúde</t>
  </si>
  <si>
    <t>Uniformes e EPI</t>
  </si>
  <si>
    <t>Materiais</t>
  </si>
  <si>
    <t>Equipamentos</t>
  </si>
  <si>
    <t>Serviço Especializado em ITIL</t>
  </si>
  <si>
    <t>Serviço de Gestão de incidentes, requisições de serviço e documentação técnica</t>
  </si>
  <si>
    <t>Serviço de Atendimento Remoto</t>
  </si>
  <si>
    <t>Serviço de Atendimento Presencial</t>
  </si>
  <si>
    <t>CATEGORIA: SUPERVISOR</t>
  </si>
  <si>
    <t xml:space="preserve">SINDICATO: SINDPD-DF </t>
  </si>
  <si>
    <t>Data base da categoria: 1º de maio</t>
  </si>
  <si>
    <t>Salário-base</t>
  </si>
  <si>
    <t>Total 4.1</t>
  </si>
  <si>
    <t>Total 4.2</t>
  </si>
  <si>
    <t>Total 4.3</t>
  </si>
  <si>
    <t>Total 4.4</t>
  </si>
  <si>
    <t>Total 4.5</t>
  </si>
  <si>
    <t>Valor</t>
  </si>
  <si>
    <t>Total Encargos Sociais e Trabalhistas</t>
  </si>
  <si>
    <t>Encargos</t>
  </si>
  <si>
    <t>Quantidade de postos</t>
  </si>
  <si>
    <t>1 CPRB</t>
  </si>
  <si>
    <t>Tributos (a+b+c+1)</t>
  </si>
  <si>
    <t>Total Custos indiretos, tributos e lucro (A+B+C)</t>
  </si>
  <si>
    <t>Módulo 1 : Composição da Remuneração</t>
  </si>
  <si>
    <t>Módulo 2: Benefícios Mensais e Diários</t>
  </si>
  <si>
    <t>Módulo 3: Insumos Diversos</t>
  </si>
  <si>
    <t>Módulo 4: Encargos Sociais e Trabalhistas</t>
  </si>
  <si>
    <t>Módulo 5: Custos Indiretos, Tributos e Lucro</t>
  </si>
  <si>
    <t>Quadro Resumo do Custo por Empregado</t>
  </si>
  <si>
    <t>Quadro Resumo - Encargos Sociais e Trabalhistas</t>
  </si>
  <si>
    <t>Serviço de Suporte à Administração do Atendimento remoto e presencial</t>
  </si>
  <si>
    <t>SERVIÇO DE SUPORTE À ADMINISTRAÇÃO DO ATENDIMENTO REMOTO E PRESENCIAL</t>
  </si>
  <si>
    <t xml:space="preserve">a) COFINS </t>
  </si>
  <si>
    <t>b) PIS</t>
  </si>
  <si>
    <t xml:space="preserve">c) ISS </t>
  </si>
  <si>
    <t>CATEGORIA: CONSULTOR TI</t>
  </si>
  <si>
    <t>SERVIÇO ESPECIALIZADO EM ITIL</t>
  </si>
  <si>
    <t>SERVIÇO DE GESTÃO DE INCIDENTES, REQUISIÇÕES DE SERVIÇO E DOCUMENTAÇÃO TÉCNICA</t>
  </si>
  <si>
    <t>CATEGORIA: TÉCNICO DE SUPORTE III</t>
  </si>
  <si>
    <t xml:space="preserve">SERVIÇO DE ATENDIMENTO REMOTO </t>
  </si>
  <si>
    <t>CATEGORIA: TÉCNICO DE SUPORTE I</t>
  </si>
  <si>
    <t>SERVIÇO DE ATENDIMENTO PRESENCIAL</t>
  </si>
  <si>
    <t>CATEGORIA: TÉCNICO DE SUPORTE II</t>
  </si>
  <si>
    <t xml:space="preserve">Descrição </t>
  </si>
  <si>
    <t>Item</t>
  </si>
  <si>
    <t>Serviço (Solução) de Gestão da Central de Serviços TI</t>
  </si>
  <si>
    <t>garantia complementar 3%</t>
  </si>
  <si>
    <t>Valor mensal do posto</t>
  </si>
  <si>
    <t>Total Mensal</t>
  </si>
  <si>
    <t xml:space="preserve">QUADRO RESUMO  </t>
  </si>
  <si>
    <t>Valor
a partir 1º/1/2019
revisão RAT</t>
  </si>
  <si>
    <t>Valor
a partir 1º/5/2019
repactuação</t>
  </si>
  <si>
    <t>TABELA ENCARGOS SOCIAIS E TRABALHISTAS
PERÍODO: A PARTIR DE 1º/1/2019</t>
  </si>
  <si>
    <t xml:space="preserve">Auxílio Alimentação Total </t>
  </si>
  <si>
    <t xml:space="preserve">Desconto Percentual </t>
  </si>
  <si>
    <t>garantia 3%</t>
  </si>
  <si>
    <t>Valor Final
I T.Aditivo</t>
  </si>
  <si>
    <t>Valor Final 
I T.Aditivo</t>
  </si>
  <si>
    <t>Valor
a partir 1º/5/2020
repactuação</t>
  </si>
  <si>
    <t>Valor
a partir 1º/1/2020
revisão RAT</t>
  </si>
  <si>
    <t>Valor
a partir 7/12/2019
reajuste</t>
  </si>
  <si>
    <t>Garantia I Apostilamento</t>
  </si>
  <si>
    <t>Garantia II T.A</t>
  </si>
  <si>
    <t xml:space="preserve">Garantia IV T.A. </t>
  </si>
  <si>
    <t>Garantia Complementar (Endosso)</t>
  </si>
  <si>
    <t>6 dias</t>
  </si>
  <si>
    <t>25 dias (reajute a partir de 7/12/2020)</t>
  </si>
  <si>
    <t>Valor
a partir 7/12/2020
reajuste¹</t>
  </si>
  <si>
    <t>¹reajuste de 8%, conforme negociação,  do item 4 - índice IGP-DI (FGV) período 12/2019 a 11/2020</t>
  </si>
  <si>
    <t>7/12/2019 a 6/12/2021</t>
  </si>
  <si>
    <t>a partir de 7/12/2019</t>
  </si>
  <si>
    <t>1º/1/2020 a 6/12/2021</t>
  </si>
  <si>
    <t>data-base CCT 1º/5</t>
  </si>
  <si>
    <t>Alteração Fap</t>
  </si>
  <si>
    <t>SAT (RAT*FAP2020= 2*0,9987%)</t>
  </si>
  <si>
    <t>SAT</t>
  </si>
  <si>
    <t>TABELA ENCARGOS SOCIAIS E TRABALHISTAS
PERÍODO: A PARTIR 7/8/2018</t>
  </si>
  <si>
    <t>SAT (RAT*FAP2019= 2*0,8462%)</t>
  </si>
  <si>
    <t>TABELA ENCARGOS SOCIAIS E TRABALHISTAS
PERÍODO: 7/12/2016 A 6/8/2018</t>
  </si>
  <si>
    <t xml:space="preserve">Valor a partir 7/8/2018
</t>
  </si>
  <si>
    <t>Valor
a partir 1°/1/2017</t>
  </si>
  <si>
    <t>Valor
a partir 2/1/2017</t>
  </si>
  <si>
    <t>Valor
a partir 1º/5/2017</t>
  </si>
  <si>
    <t>Valor
a partir 1º/1/2018</t>
  </si>
  <si>
    <t>Valor
a partir 1º/9/2021
repactuação</t>
  </si>
  <si>
    <t>SAT (RAT*FAP2021= 2*0,9959%)</t>
  </si>
  <si>
    <t>25 dias (a partir de 7/12/2020)</t>
  </si>
  <si>
    <t>data do reajuste salário 1º/09</t>
  </si>
  <si>
    <t>não teve</t>
  </si>
  <si>
    <t>TABELA ENCARGOS SOCIAIS E TRABALHISTAS
PERÍODO: A PARTIR DE 1º/9/2021</t>
  </si>
  <si>
    <t xml:space="preserve">Garantia I Termo de Reconhecimento de Direito. </t>
  </si>
  <si>
    <r>
      <t xml:space="preserve">Convenção Coletiva de Trabalho n. </t>
    </r>
    <r>
      <rPr>
        <b/>
        <sz val="10"/>
        <rFont val="Times New Roman"/>
        <family val="1"/>
      </rPr>
      <t>DF000608/2021</t>
    </r>
  </si>
  <si>
    <t>Convenção Coletiva de Trabalho n. DF000608/2021</t>
  </si>
  <si>
    <t>ANEXO ÚNICO AO PRIMEIRO TERMO DE RECONHECIMENTO DE DIREITO AO CONTRATO 023/2016-CJF</t>
  </si>
  <si>
    <t>ANEXO ÚNICO AO PRIMEIRO TERMO DE RECONHECIMENTO DE DIREITO AO CONTRATO 023/2016 - CJF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</si>
</sst>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[$-416]mmmm\-yy;@"/>
    <numFmt numFmtId="166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Segoe U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indexed="81"/>
      <name val="Segoe U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horizontal="center" vertical="center" wrapText="1"/>
    </xf>
    <xf numFmtId="10" fontId="2" fillId="0" borderId="6" xfId="2" applyNumberFormat="1" applyFont="1" applyFill="1" applyBorder="1" applyAlignment="1">
      <alignment vertical="center"/>
    </xf>
    <xf numFmtId="10" fontId="3" fillId="0" borderId="6" xfId="2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0" fontId="3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0" fontId="3" fillId="2" borderId="6" xfId="2" applyNumberFormat="1" applyFont="1" applyFill="1" applyBorder="1" applyAlignment="1">
      <alignment horizontal="center" vertical="center"/>
    </xf>
    <xf numFmtId="10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Alignment="1">
      <alignment horizontal="center" vertical="center"/>
    </xf>
    <xf numFmtId="44" fontId="2" fillId="0" borderId="6" xfId="1" applyNumberFormat="1" applyFont="1" applyFill="1" applyBorder="1" applyAlignment="1">
      <alignment horizontal="center" vertical="center"/>
    </xf>
    <xf numFmtId="44" fontId="2" fillId="0" borderId="6" xfId="1" applyNumberFormat="1" applyFont="1" applyFill="1" applyBorder="1" applyAlignment="1">
      <alignment horizontal="center" vertical="center" wrapText="1"/>
    </xf>
    <xf numFmtId="44" fontId="3" fillId="0" borderId="6" xfId="1" applyNumberFormat="1" applyFont="1" applyFill="1" applyBorder="1" applyAlignment="1">
      <alignment horizontal="center" vertical="center" wrapText="1"/>
    </xf>
    <xf numFmtId="44" fontId="3" fillId="0" borderId="6" xfId="0" applyNumberFormat="1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43" fontId="2" fillId="0" borderId="5" xfId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43" fontId="3" fillId="0" borderId="5" xfId="1" applyFont="1" applyFill="1" applyBorder="1" applyAlignment="1">
      <alignment horizontal="right" vertical="center" wrapText="1"/>
    </xf>
    <xf numFmtId="44" fontId="3" fillId="2" borderId="6" xfId="0" applyNumberFormat="1" applyFont="1" applyFill="1" applyBorder="1" applyAlignment="1">
      <alignment horizontal="center" vertical="center"/>
    </xf>
    <xf numFmtId="44" fontId="3" fillId="2" borderId="6" xfId="1" applyNumberFormat="1" applyFont="1" applyFill="1" applyBorder="1" applyAlignment="1">
      <alignment horizontal="center" vertical="center"/>
    </xf>
    <xf numFmtId="44" fontId="3" fillId="2" borderId="6" xfId="0" applyNumberFormat="1" applyFont="1" applyFill="1" applyBorder="1" applyAlignment="1">
      <alignment horizontal="center" vertical="center" wrapText="1"/>
    </xf>
    <xf numFmtId="44" fontId="3" fillId="2" borderId="6" xfId="1" applyNumberFormat="1" applyFont="1" applyFill="1" applyBorder="1" applyAlignment="1">
      <alignment vertical="center" wrapText="1"/>
    </xf>
    <xf numFmtId="44" fontId="2" fillId="0" borderId="0" xfId="0" applyNumberFormat="1" applyFont="1" applyFill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3" fillId="2" borderId="6" xfId="0" applyNumberFormat="1" applyFont="1" applyFill="1" applyBorder="1" applyAlignment="1">
      <alignment vertical="center" wrapText="1"/>
    </xf>
    <xf numFmtId="165" fontId="9" fillId="0" borderId="0" xfId="0" applyNumberFormat="1" applyFont="1"/>
    <xf numFmtId="0" fontId="9" fillId="0" borderId="0" xfId="0" applyFont="1"/>
    <xf numFmtId="43" fontId="9" fillId="0" borderId="0" xfId="0" applyNumberFormat="1" applyFont="1"/>
    <xf numFmtId="43" fontId="11" fillId="0" borderId="0" xfId="0" applyNumberFormat="1" applyFont="1"/>
    <xf numFmtId="43" fontId="11" fillId="3" borderId="0" xfId="0" applyNumberFormat="1" applyFont="1" applyFill="1"/>
    <xf numFmtId="166" fontId="2" fillId="0" borderId="6" xfId="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4" fontId="3" fillId="0" borderId="6" xfId="1" applyNumberFormat="1" applyFont="1" applyFill="1" applyBorder="1" applyAlignment="1">
      <alignment horizontal="center" vertical="center"/>
    </xf>
    <xf numFmtId="44" fontId="3" fillId="0" borderId="6" xfId="0" applyNumberFormat="1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44" fontId="3" fillId="0" borderId="6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44" fontId="9" fillId="0" borderId="0" xfId="0" applyNumberFormat="1" applyFont="1"/>
    <xf numFmtId="164" fontId="9" fillId="0" borderId="0" xfId="0" applyNumberFormat="1" applyFont="1"/>
    <xf numFmtId="44" fontId="11" fillId="0" borderId="0" xfId="0" applyNumberFormat="1" applyFont="1" applyAlignment="1">
      <alignment horizontal="center" wrapText="1"/>
    </xf>
    <xf numFmtId="164" fontId="11" fillId="3" borderId="0" xfId="0" applyNumberFormat="1" applyFont="1" applyFill="1"/>
    <xf numFmtId="43" fontId="11" fillId="0" borderId="0" xfId="0" applyNumberFormat="1" applyFont="1" applyFill="1"/>
    <xf numFmtId="165" fontId="11" fillId="3" borderId="0" xfId="0" applyNumberFormat="1" applyFont="1" applyFill="1"/>
    <xf numFmtId="165" fontId="9" fillId="0" borderId="0" xfId="0" applyNumberFormat="1" applyFont="1" applyFill="1"/>
    <xf numFmtId="43" fontId="9" fillId="0" borderId="0" xfId="0" applyNumberFormat="1" applyFont="1" applyFill="1"/>
    <xf numFmtId="43" fontId="12" fillId="0" borderId="0" xfId="0" applyNumberFormat="1" applyFont="1" applyFill="1"/>
    <xf numFmtId="44" fontId="7" fillId="0" borderId="6" xfId="0" applyNumberFormat="1" applyFont="1" applyBorder="1" applyAlignment="1">
      <alignment horizontal="justify" vertical="center" wrapText="1"/>
    </xf>
    <xf numFmtId="164" fontId="7" fillId="0" borderId="6" xfId="0" applyNumberFormat="1" applyFont="1" applyBorder="1" applyAlignment="1">
      <alignment horizontal="justify" vertical="center" wrapText="1"/>
    </xf>
    <xf numFmtId="44" fontId="6" fillId="2" borderId="5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0" fontId="14" fillId="0" borderId="6" xfId="2" applyNumberFormat="1" applyFont="1" applyFill="1" applyBorder="1" applyAlignment="1">
      <alignment horizontal="center" vertical="center" wrapText="1"/>
    </xf>
    <xf numFmtId="10" fontId="15" fillId="2" borderId="6" xfId="0" applyNumberFormat="1" applyFont="1" applyFill="1" applyBorder="1" applyAlignment="1">
      <alignment horizontal="center" vertical="center"/>
    </xf>
    <xf numFmtId="10" fontId="14" fillId="0" borderId="6" xfId="2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5" fontId="9" fillId="3" borderId="0" xfId="0" applyNumberFormat="1" applyFont="1" applyFill="1"/>
    <xf numFmtId="17" fontId="9" fillId="0" borderId="0" xfId="0" applyNumberFormat="1" applyFont="1"/>
    <xf numFmtId="0" fontId="9" fillId="0" borderId="0" xfId="0" applyNumberFormat="1" applyFont="1"/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wrapText="1"/>
    </xf>
    <xf numFmtId="44" fontId="2" fillId="0" borderId="5" xfId="0" applyNumberFormat="1" applyFont="1" applyFill="1" applyBorder="1" applyAlignment="1">
      <alignment horizontal="left" vertical="center" wrapText="1"/>
    </xf>
    <xf numFmtId="44" fontId="3" fillId="4" borderId="6" xfId="1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left" vertical="center" wrapText="1"/>
    </xf>
    <xf numFmtId="44" fontId="3" fillId="2" borderId="5" xfId="0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horizontal="center" vertical="center" wrapText="1"/>
    </xf>
    <xf numFmtId="44" fontId="2" fillId="0" borderId="5" xfId="0" applyNumberFormat="1" applyFont="1" applyFill="1" applyBorder="1" applyAlignment="1">
      <alignment vertical="center"/>
    </xf>
    <xf numFmtId="44" fontId="2" fillId="0" borderId="6" xfId="0" applyNumberFormat="1" applyFont="1" applyFill="1" applyBorder="1" applyAlignment="1">
      <alignment horizontal="right" vertical="center"/>
    </xf>
    <xf numFmtId="10" fontId="3" fillId="4" borderId="6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44" fontId="2" fillId="0" borderId="5" xfId="1" applyNumberFormat="1" applyFont="1" applyFill="1" applyBorder="1" applyAlignment="1">
      <alignment horizontal="center" vertical="center" wrapText="1"/>
    </xf>
    <xf numFmtId="44" fontId="3" fillId="0" borderId="5" xfId="1" applyNumberFormat="1" applyFont="1" applyFill="1" applyBorder="1" applyAlignment="1">
      <alignment horizontal="center" vertical="center" wrapText="1"/>
    </xf>
    <xf numFmtId="44" fontId="3" fillId="0" borderId="5" xfId="0" applyNumberFormat="1" applyFont="1" applyFill="1" applyBorder="1" applyAlignment="1">
      <alignment vertical="center"/>
    </xf>
    <xf numFmtId="44" fontId="3" fillId="2" borderId="5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4" fontId="3" fillId="4" borderId="6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vertical="center" wrapText="1"/>
    </xf>
    <xf numFmtId="43" fontId="17" fillId="0" borderId="0" xfId="0" applyNumberFormat="1" applyFont="1"/>
    <xf numFmtId="43" fontId="9" fillId="3" borderId="0" xfId="0" applyNumberFormat="1" applyFont="1" applyFill="1"/>
    <xf numFmtId="0" fontId="9" fillId="3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17" fillId="0" borderId="0" xfId="0" applyNumberFormat="1" applyFont="1" applyAlignment="1">
      <alignment wrapText="1"/>
    </xf>
    <xf numFmtId="0" fontId="17" fillId="0" borderId="0" xfId="0" applyFont="1"/>
    <xf numFmtId="43" fontId="17" fillId="4" borderId="0" xfId="0" applyNumberFormat="1" applyFont="1" applyFill="1"/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44" fontId="3" fillId="4" borderId="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zoomScale="110" zoomScaleNormal="110" workbookViewId="0">
      <selection activeCell="T31" sqref="T31"/>
    </sheetView>
  </sheetViews>
  <sheetFormatPr defaultColWidth="9.140625" defaultRowHeight="12.75" x14ac:dyDescent="0.25"/>
  <cols>
    <col min="1" max="1" width="4" style="3" customWidth="1"/>
    <col min="2" max="2" width="40.7109375" style="4" customWidth="1"/>
    <col min="3" max="3" width="5.42578125" style="4" customWidth="1"/>
    <col min="4" max="4" width="7.5703125" style="4" bestFit="1" customWidth="1"/>
    <col min="5" max="5" width="16" style="4" hidden="1" customWidth="1"/>
    <col min="6" max="6" width="14.7109375" style="4" hidden="1" customWidth="1"/>
    <col min="7" max="7" width="15.7109375" style="4" hidden="1" customWidth="1"/>
    <col min="8" max="8" width="16.140625" style="4" hidden="1" customWidth="1"/>
    <col min="9" max="13" width="15.28515625" style="22" hidden="1" customWidth="1"/>
    <col min="14" max="14" width="16.28515625" style="4" customWidth="1"/>
    <col min="15" max="16" width="9.140625" style="4"/>
    <col min="17" max="17" width="10.85546875" style="4" bestFit="1" customWidth="1"/>
    <col min="18" max="16384" width="9.140625" style="4"/>
  </cols>
  <sheetData>
    <row r="1" spans="1:17" ht="30" customHeight="1" x14ac:dyDescent="0.25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7" ht="24.95" customHeight="1" x14ac:dyDescent="0.25">
      <c r="A2" s="122" t="s">
        <v>98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69"/>
      <c r="N2" s="111"/>
    </row>
    <row r="3" spans="1:17" ht="18" customHeight="1" x14ac:dyDescent="0.25">
      <c r="A3" s="119" t="s">
        <v>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1"/>
      <c r="M3" s="70"/>
      <c r="N3" s="112"/>
    </row>
    <row r="4" spans="1:17" ht="18" customHeight="1" x14ac:dyDescent="0.25">
      <c r="A4" s="116" t="s">
        <v>158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68"/>
      <c r="N4" s="110"/>
    </row>
    <row r="5" spans="1:17" ht="18" customHeight="1" x14ac:dyDescent="0.25">
      <c r="A5" s="138" t="s">
        <v>76</v>
      </c>
      <c r="B5" s="138"/>
      <c r="C5" s="168" t="s">
        <v>75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</row>
    <row r="6" spans="1:17" ht="48" customHeight="1" x14ac:dyDescent="0.2">
      <c r="A6" s="132" t="s">
        <v>90</v>
      </c>
      <c r="B6" s="133"/>
      <c r="C6" s="133"/>
      <c r="D6" s="134"/>
      <c r="E6" s="80" t="s">
        <v>147</v>
      </c>
      <c r="F6" s="80" t="s">
        <v>148</v>
      </c>
      <c r="G6" s="80" t="s">
        <v>149</v>
      </c>
      <c r="H6" s="80" t="s">
        <v>150</v>
      </c>
      <c r="I6" s="89" t="s">
        <v>146</v>
      </c>
      <c r="J6" s="35" t="s">
        <v>117</v>
      </c>
      <c r="K6" s="35" t="s">
        <v>118</v>
      </c>
      <c r="L6" s="35" t="s">
        <v>126</v>
      </c>
      <c r="M6" s="35" t="s">
        <v>125</v>
      </c>
      <c r="N6" s="35" t="s">
        <v>151</v>
      </c>
    </row>
    <row r="7" spans="1:17" s="5" customFormat="1" ht="18" customHeight="1" x14ac:dyDescent="0.25">
      <c r="A7" s="13" t="s">
        <v>0</v>
      </c>
      <c r="B7" s="116" t="s">
        <v>77</v>
      </c>
      <c r="C7" s="117"/>
      <c r="D7" s="118"/>
      <c r="E7" s="90">
        <v>4371.2</v>
      </c>
      <c r="F7" s="90">
        <v>4371.2</v>
      </c>
      <c r="G7" s="90">
        <f>ROUND((4371.2*1.0408),2)</f>
        <v>4549.54</v>
      </c>
      <c r="H7" s="90">
        <v>4549.54</v>
      </c>
      <c r="I7" s="23">
        <v>4549.54</v>
      </c>
      <c r="J7" s="23">
        <v>4549.54</v>
      </c>
      <c r="K7" s="23">
        <f>ROUND((4549.54*1.0494),2)</f>
        <v>4774.29</v>
      </c>
      <c r="L7" s="23">
        <f>ROUND((4549.54*1.0494),2)</f>
        <v>4774.29</v>
      </c>
      <c r="M7" s="23">
        <f>ROUND((4549.54*1.0494*1.012),2)</f>
        <v>4831.58</v>
      </c>
      <c r="N7" s="23">
        <f>ROUND((4549.54*1.0494*1.012*1.0676),2)</f>
        <v>5158.1899999999996</v>
      </c>
    </row>
    <row r="8" spans="1:17" ht="18" customHeight="1" x14ac:dyDescent="0.25">
      <c r="A8" s="128" t="s">
        <v>4</v>
      </c>
      <c r="B8" s="129"/>
      <c r="C8" s="129"/>
      <c r="D8" s="130"/>
      <c r="E8" s="91">
        <f>SUM(E4:E7)</f>
        <v>4371.2</v>
      </c>
      <c r="F8" s="91">
        <f>SUM(F4:F7)</f>
        <v>4371.2</v>
      </c>
      <c r="G8" s="92">
        <f>ROUND((4371.2*1.0408),2)</f>
        <v>4549.54</v>
      </c>
      <c r="H8" s="92">
        <v>4549.54</v>
      </c>
      <c r="I8" s="51">
        <f t="shared" ref="I8:N8" si="0">SUM(I7:I7)</f>
        <v>4549.54</v>
      </c>
      <c r="J8" s="51">
        <f t="shared" si="0"/>
        <v>4549.54</v>
      </c>
      <c r="K8" s="51">
        <f t="shared" si="0"/>
        <v>4774.29</v>
      </c>
      <c r="L8" s="51">
        <f t="shared" si="0"/>
        <v>4774.29</v>
      </c>
      <c r="M8" s="51">
        <f t="shared" si="0"/>
        <v>4831.58</v>
      </c>
      <c r="N8" s="51">
        <f t="shared" si="0"/>
        <v>5158.1899999999996</v>
      </c>
    </row>
    <row r="9" spans="1:17" ht="18" customHeight="1" x14ac:dyDescent="0.25">
      <c r="A9" s="132" t="s">
        <v>91</v>
      </c>
      <c r="B9" s="133"/>
      <c r="C9" s="133"/>
      <c r="D9" s="134"/>
      <c r="E9" s="33" t="s">
        <v>83</v>
      </c>
      <c r="F9" s="33" t="s">
        <v>83</v>
      </c>
      <c r="G9" s="33" t="s">
        <v>83</v>
      </c>
      <c r="H9" s="33" t="s">
        <v>83</v>
      </c>
      <c r="I9" s="33" t="s">
        <v>83</v>
      </c>
      <c r="J9" s="33" t="s">
        <v>83</v>
      </c>
      <c r="K9" s="33" t="s">
        <v>83</v>
      </c>
      <c r="L9" s="33" t="s">
        <v>83</v>
      </c>
      <c r="M9" s="33" t="s">
        <v>83</v>
      </c>
      <c r="N9" s="33" t="s">
        <v>83</v>
      </c>
    </row>
    <row r="10" spans="1:17" ht="18" customHeight="1" x14ac:dyDescent="0.25">
      <c r="A10" s="13" t="s">
        <v>0</v>
      </c>
      <c r="B10" s="116" t="s">
        <v>59</v>
      </c>
      <c r="C10" s="117"/>
      <c r="D10" s="118"/>
      <c r="E10" s="24">
        <v>176</v>
      </c>
      <c r="F10" s="90">
        <v>220</v>
      </c>
      <c r="G10" s="90">
        <v>220</v>
      </c>
      <c r="H10" s="90">
        <v>220</v>
      </c>
      <c r="I10" s="24">
        <f t="shared" ref="I10:N10" si="1">10*22</f>
        <v>220</v>
      </c>
      <c r="J10" s="24">
        <f t="shared" si="1"/>
        <v>220</v>
      </c>
      <c r="K10" s="24">
        <f t="shared" si="1"/>
        <v>220</v>
      </c>
      <c r="L10" s="24">
        <f t="shared" si="1"/>
        <v>220</v>
      </c>
      <c r="M10" s="24">
        <f t="shared" si="1"/>
        <v>220</v>
      </c>
      <c r="N10" s="24">
        <f t="shared" si="1"/>
        <v>220</v>
      </c>
    </row>
    <row r="11" spans="1:17" ht="18" customHeight="1" x14ac:dyDescent="0.25">
      <c r="A11" s="13" t="s">
        <v>1</v>
      </c>
      <c r="B11" s="116" t="s">
        <v>60</v>
      </c>
      <c r="C11" s="117"/>
      <c r="D11" s="118"/>
      <c r="E11" s="24">
        <f>ROUND((E8*6%),2)</f>
        <v>262.27</v>
      </c>
      <c r="F11" s="24">
        <f>ROUND((F8*6%),2)</f>
        <v>262.27</v>
      </c>
      <c r="G11" s="90">
        <v>272.97000000000003</v>
      </c>
      <c r="H11" s="90">
        <v>272.97000000000003</v>
      </c>
      <c r="I11" s="24">
        <f t="shared" ref="I11:N11" si="2">ROUND((I7*6%),2)</f>
        <v>272.97000000000003</v>
      </c>
      <c r="J11" s="24">
        <f t="shared" si="2"/>
        <v>272.97000000000003</v>
      </c>
      <c r="K11" s="24">
        <f t="shared" si="2"/>
        <v>286.45999999999998</v>
      </c>
      <c r="L11" s="24">
        <f t="shared" si="2"/>
        <v>286.45999999999998</v>
      </c>
      <c r="M11" s="24">
        <f t="shared" si="2"/>
        <v>289.89</v>
      </c>
      <c r="N11" s="24">
        <f t="shared" si="2"/>
        <v>309.49</v>
      </c>
      <c r="P11" s="37"/>
      <c r="Q11" s="37"/>
    </row>
    <row r="12" spans="1:17" ht="18" customHeight="1" x14ac:dyDescent="0.25">
      <c r="A12" s="13" t="s">
        <v>2</v>
      </c>
      <c r="B12" s="116" t="s">
        <v>61</v>
      </c>
      <c r="C12" s="117"/>
      <c r="D12" s="118"/>
      <c r="E12" s="25">
        <v>0</v>
      </c>
      <c r="F12" s="25">
        <v>0</v>
      </c>
      <c r="G12" s="25">
        <v>0</v>
      </c>
      <c r="H12" s="25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P12" s="37"/>
    </row>
    <row r="13" spans="1:17" ht="18" customHeight="1" x14ac:dyDescent="0.25">
      <c r="A13" s="13" t="s">
        <v>3</v>
      </c>
      <c r="B13" s="116" t="s">
        <v>120</v>
      </c>
      <c r="C13" s="117"/>
      <c r="D13" s="118"/>
      <c r="E13" s="24">
        <f>22*23</f>
        <v>506</v>
      </c>
      <c r="F13" s="24">
        <f>22*23</f>
        <v>506</v>
      </c>
      <c r="G13" s="90">
        <v>528</v>
      </c>
      <c r="H13" s="90">
        <v>528</v>
      </c>
      <c r="I13" s="24">
        <f>22*24</f>
        <v>528</v>
      </c>
      <c r="J13" s="24">
        <f>22*24</f>
        <v>528</v>
      </c>
      <c r="K13" s="24">
        <f>22*26.24</f>
        <v>577.28</v>
      </c>
      <c r="L13" s="24">
        <f>22*26.24</f>
        <v>577.28</v>
      </c>
      <c r="M13" s="24">
        <f>22*26.87</f>
        <v>591.14</v>
      </c>
      <c r="N13" s="24">
        <f>22*28.69</f>
        <v>631.18000000000006</v>
      </c>
    </row>
    <row r="14" spans="1:17" ht="18" customHeight="1" x14ac:dyDescent="0.25">
      <c r="A14" s="13" t="s">
        <v>5</v>
      </c>
      <c r="B14" s="116" t="s">
        <v>121</v>
      </c>
      <c r="C14" s="117"/>
      <c r="D14" s="118"/>
      <c r="E14" s="24">
        <f>ROUND((E13*10%),2)</f>
        <v>50.6</v>
      </c>
      <c r="F14" s="24">
        <f>ROUND((F13*10%),2)</f>
        <v>50.6</v>
      </c>
      <c r="G14" s="90">
        <v>52.8</v>
      </c>
      <c r="H14" s="90">
        <v>52.8</v>
      </c>
      <c r="I14" s="24">
        <f t="shared" ref="I14:N14" si="3">ROUND((I13*10%),2)</f>
        <v>52.8</v>
      </c>
      <c r="J14" s="24">
        <f t="shared" si="3"/>
        <v>52.8</v>
      </c>
      <c r="K14" s="24">
        <f t="shared" si="3"/>
        <v>57.73</v>
      </c>
      <c r="L14" s="24">
        <f t="shared" si="3"/>
        <v>57.73</v>
      </c>
      <c r="M14" s="24">
        <f t="shared" si="3"/>
        <v>59.11</v>
      </c>
      <c r="N14" s="24">
        <f t="shared" si="3"/>
        <v>63.12</v>
      </c>
    </row>
    <row r="15" spans="1:17" ht="18" customHeight="1" x14ac:dyDescent="0.25">
      <c r="A15" s="8" t="s">
        <v>6</v>
      </c>
      <c r="B15" s="116" t="s">
        <v>64</v>
      </c>
      <c r="C15" s="117"/>
      <c r="D15" s="118"/>
      <c r="E15" s="25">
        <f>E13-E14</f>
        <v>455.4</v>
      </c>
      <c r="F15" s="25">
        <f>F13-F14</f>
        <v>455.4</v>
      </c>
      <c r="G15" s="92">
        <v>475.2</v>
      </c>
      <c r="H15" s="92">
        <v>475.2</v>
      </c>
      <c r="I15" s="25">
        <f t="shared" ref="I15:N15" si="4">I13-I14</f>
        <v>475.2</v>
      </c>
      <c r="J15" s="25">
        <f t="shared" si="4"/>
        <v>475.2</v>
      </c>
      <c r="K15" s="25">
        <f t="shared" si="4"/>
        <v>519.54999999999995</v>
      </c>
      <c r="L15" s="25">
        <f t="shared" si="4"/>
        <v>519.54999999999995</v>
      </c>
      <c r="M15" s="25">
        <f t="shared" si="4"/>
        <v>532.03</v>
      </c>
      <c r="N15" s="25">
        <f t="shared" si="4"/>
        <v>568.06000000000006</v>
      </c>
    </row>
    <row r="16" spans="1:17" ht="18" customHeight="1" x14ac:dyDescent="0.25">
      <c r="A16" s="8" t="s">
        <v>7</v>
      </c>
      <c r="B16" s="116" t="s">
        <v>65</v>
      </c>
      <c r="C16" s="117"/>
      <c r="D16" s="118"/>
      <c r="E16" s="25">
        <v>9.14</v>
      </c>
      <c r="F16" s="25">
        <v>9.14</v>
      </c>
      <c r="G16" s="25">
        <v>9.14</v>
      </c>
      <c r="H16" s="25">
        <v>9.14</v>
      </c>
      <c r="I16" s="25">
        <v>9.14</v>
      </c>
      <c r="J16" s="25">
        <v>9.14</v>
      </c>
      <c r="K16" s="25">
        <v>9.14</v>
      </c>
      <c r="L16" s="25">
        <v>9.14</v>
      </c>
      <c r="M16" s="25">
        <v>9.14</v>
      </c>
      <c r="N16" s="25">
        <v>9.14</v>
      </c>
    </row>
    <row r="17" spans="1:15" ht="18" customHeight="1" x14ac:dyDescent="0.25">
      <c r="A17" s="8" t="s">
        <v>8</v>
      </c>
      <c r="B17" s="116" t="s">
        <v>66</v>
      </c>
      <c r="C17" s="117"/>
      <c r="D17" s="118"/>
      <c r="E17" s="25">
        <v>161.63999999999999</v>
      </c>
      <c r="F17" s="25">
        <v>161.63999999999999</v>
      </c>
      <c r="G17" s="25">
        <v>161.63999999999999</v>
      </c>
      <c r="H17" s="25">
        <v>161.63999999999999</v>
      </c>
      <c r="I17" s="25">
        <v>161.63999999999999</v>
      </c>
      <c r="J17" s="25">
        <v>161.63999999999999</v>
      </c>
      <c r="K17" s="25">
        <v>161.63999999999999</v>
      </c>
      <c r="L17" s="25">
        <v>161.63999999999999</v>
      </c>
      <c r="M17" s="25">
        <v>161.63999999999999</v>
      </c>
      <c r="N17" s="25">
        <v>161.63999999999999</v>
      </c>
      <c r="O17" s="37"/>
    </row>
    <row r="18" spans="1:15" ht="18" customHeight="1" x14ac:dyDescent="0.25">
      <c r="A18" s="122" t="s">
        <v>9</v>
      </c>
      <c r="B18" s="123"/>
      <c r="C18" s="123"/>
      <c r="D18" s="124"/>
      <c r="E18" s="36">
        <f>626.18</f>
        <v>626.17999999999995</v>
      </c>
      <c r="F18" s="36">
        <f>626.18</f>
        <v>626.17999999999995</v>
      </c>
      <c r="G18" s="93">
        <v>645.98</v>
      </c>
      <c r="H18" s="93">
        <v>645.98</v>
      </c>
      <c r="I18" s="36">
        <f t="shared" ref="I18:N18" si="5">I12+I15+I16+I17</f>
        <v>645.98</v>
      </c>
      <c r="J18" s="36">
        <f t="shared" si="5"/>
        <v>645.98</v>
      </c>
      <c r="K18" s="36">
        <f t="shared" si="5"/>
        <v>690.32999999999993</v>
      </c>
      <c r="L18" s="36">
        <f t="shared" si="5"/>
        <v>690.32999999999993</v>
      </c>
      <c r="M18" s="36">
        <f t="shared" si="5"/>
        <v>702.81</v>
      </c>
      <c r="N18" s="36">
        <f t="shared" si="5"/>
        <v>738.84</v>
      </c>
    </row>
    <row r="19" spans="1:15" ht="18" customHeight="1" x14ac:dyDescent="0.25">
      <c r="A19" s="141" t="s">
        <v>92</v>
      </c>
      <c r="B19" s="142"/>
      <c r="C19" s="142"/>
      <c r="D19" s="143"/>
      <c r="E19" s="52" t="s">
        <v>83</v>
      </c>
      <c r="F19" s="52" t="s">
        <v>83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83</v>
      </c>
    </row>
    <row r="20" spans="1:15" ht="18" hidden="1" customHeight="1" x14ac:dyDescent="0.25">
      <c r="A20" s="13" t="s">
        <v>0</v>
      </c>
      <c r="B20" s="138" t="s">
        <v>67</v>
      </c>
      <c r="C20" s="116"/>
      <c r="D20" s="28"/>
      <c r="E20" s="28"/>
      <c r="F20" s="28"/>
      <c r="G20" s="28"/>
      <c r="H20" s="95"/>
      <c r="I20" s="23">
        <v>0</v>
      </c>
      <c r="J20" s="23">
        <v>0</v>
      </c>
      <c r="K20" s="23">
        <v>0</v>
      </c>
      <c r="L20" s="23"/>
      <c r="M20" s="23"/>
      <c r="N20" s="23"/>
    </row>
    <row r="21" spans="1:15" ht="18" hidden="1" customHeight="1" x14ac:dyDescent="0.25">
      <c r="A21" s="13" t="s">
        <v>1</v>
      </c>
      <c r="B21" s="138" t="s">
        <v>68</v>
      </c>
      <c r="C21" s="116"/>
      <c r="D21" s="28"/>
      <c r="E21" s="28"/>
      <c r="F21" s="28"/>
      <c r="G21" s="28"/>
      <c r="H21" s="95"/>
      <c r="I21" s="23">
        <v>0</v>
      </c>
      <c r="J21" s="23">
        <v>0</v>
      </c>
      <c r="K21" s="23">
        <v>0</v>
      </c>
      <c r="L21" s="23"/>
      <c r="M21" s="23"/>
      <c r="N21" s="23"/>
    </row>
    <row r="22" spans="1:15" ht="18" hidden="1" customHeight="1" x14ac:dyDescent="0.25">
      <c r="A22" s="13" t="s">
        <v>2</v>
      </c>
      <c r="B22" s="138" t="s">
        <v>69</v>
      </c>
      <c r="C22" s="116"/>
      <c r="D22" s="28"/>
      <c r="E22" s="28"/>
      <c r="F22" s="28"/>
      <c r="G22" s="28"/>
      <c r="H22" s="95"/>
      <c r="I22" s="23">
        <v>0</v>
      </c>
      <c r="J22" s="23">
        <v>0</v>
      </c>
      <c r="K22" s="23">
        <v>0</v>
      </c>
      <c r="L22" s="23"/>
      <c r="M22" s="23"/>
      <c r="N22" s="23"/>
    </row>
    <row r="23" spans="1:15" ht="18" customHeight="1" x14ac:dyDescent="0.25">
      <c r="A23" s="122" t="s">
        <v>10</v>
      </c>
      <c r="B23" s="123"/>
      <c r="C23" s="123"/>
      <c r="D23" s="124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5" s="20" customFormat="1" ht="18" customHeight="1" x14ac:dyDescent="0.25">
      <c r="A24" s="136" t="s">
        <v>93</v>
      </c>
      <c r="B24" s="136"/>
      <c r="C24" s="136"/>
      <c r="D24" s="136"/>
      <c r="E24" s="33" t="s">
        <v>85</v>
      </c>
      <c r="F24" s="33" t="s">
        <v>85</v>
      </c>
      <c r="G24" s="33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</row>
    <row r="25" spans="1:15" s="20" customFormat="1" ht="18" customHeight="1" x14ac:dyDescent="0.25">
      <c r="A25" s="136"/>
      <c r="B25" s="136"/>
      <c r="C25" s="136"/>
      <c r="D25" s="136"/>
      <c r="E25" s="97">
        <v>0.45989999999999998</v>
      </c>
      <c r="F25" s="97">
        <v>0.45989999999999998</v>
      </c>
      <c r="G25" s="97">
        <v>0.45989999999999998</v>
      </c>
      <c r="H25" s="97">
        <v>0.4733</v>
      </c>
      <c r="I25" s="15">
        <v>0.4531</v>
      </c>
      <c r="J25" s="15">
        <v>0.44819999999999999</v>
      </c>
      <c r="K25" s="15">
        <v>0.44819999999999999</v>
      </c>
      <c r="L25" s="15">
        <v>0.45179999999999998</v>
      </c>
      <c r="M25" s="15">
        <v>0.45179999999999998</v>
      </c>
      <c r="N25" s="97">
        <v>0.45179999999999998</v>
      </c>
    </row>
    <row r="26" spans="1:15" ht="18" customHeight="1" x14ac:dyDescent="0.25">
      <c r="A26" s="135" t="s">
        <v>84</v>
      </c>
      <c r="B26" s="135"/>
      <c r="C26" s="135"/>
      <c r="D26" s="135"/>
      <c r="E26" s="26">
        <v>2010.31</v>
      </c>
      <c r="F26" s="26">
        <v>2010.31</v>
      </c>
      <c r="G26" s="26">
        <v>2092.33</v>
      </c>
      <c r="H26" s="26">
        <v>2153.3000000000002</v>
      </c>
      <c r="I26" s="52">
        <f t="shared" ref="I26:N26" si="6">ROUND((I8*I25),2)</f>
        <v>2061.4</v>
      </c>
      <c r="J26" s="52">
        <f t="shared" si="6"/>
        <v>2039.1</v>
      </c>
      <c r="K26" s="52">
        <f t="shared" si="6"/>
        <v>2139.84</v>
      </c>
      <c r="L26" s="52">
        <f t="shared" si="6"/>
        <v>2157.02</v>
      </c>
      <c r="M26" s="52">
        <f t="shared" si="6"/>
        <v>2182.91</v>
      </c>
      <c r="N26" s="52">
        <f t="shared" si="6"/>
        <v>2330.4699999999998</v>
      </c>
    </row>
    <row r="27" spans="1:15" ht="18" customHeight="1" x14ac:dyDescent="0.25">
      <c r="A27" s="132" t="s">
        <v>94</v>
      </c>
      <c r="B27" s="133"/>
      <c r="C27" s="133"/>
      <c r="D27" s="134"/>
      <c r="E27" s="33" t="s">
        <v>83</v>
      </c>
      <c r="F27" s="33" t="s">
        <v>83</v>
      </c>
      <c r="G27" s="33" t="s">
        <v>83</v>
      </c>
      <c r="H27" s="33" t="s">
        <v>83</v>
      </c>
      <c r="I27" s="33" t="s">
        <v>83</v>
      </c>
      <c r="J27" s="33" t="s">
        <v>83</v>
      </c>
      <c r="K27" s="33" t="s">
        <v>83</v>
      </c>
      <c r="L27" s="33" t="s">
        <v>83</v>
      </c>
      <c r="M27" s="33" t="s">
        <v>83</v>
      </c>
      <c r="N27" s="33" t="s">
        <v>83</v>
      </c>
    </row>
    <row r="28" spans="1:15" ht="18" customHeight="1" x14ac:dyDescent="0.25">
      <c r="A28" s="6" t="s">
        <v>0</v>
      </c>
      <c r="B28" s="119" t="s">
        <v>50</v>
      </c>
      <c r="C28" s="121"/>
      <c r="D28" s="11">
        <v>0.2959</v>
      </c>
      <c r="E28" s="26">
        <f t="shared" ref="E28:M28" si="7">ROUND(((E8+E18+E23+E26)*$D$28),2)</f>
        <v>2073.58</v>
      </c>
      <c r="F28" s="26">
        <f t="shared" si="7"/>
        <v>2073.58</v>
      </c>
      <c r="G28" s="26">
        <f t="shared" si="7"/>
        <v>2156.4699999999998</v>
      </c>
      <c r="H28" s="26">
        <f t="shared" si="7"/>
        <v>2174.52</v>
      </c>
      <c r="I28" s="26">
        <f t="shared" si="7"/>
        <v>2147.3200000000002</v>
      </c>
      <c r="J28" s="26">
        <f t="shared" si="7"/>
        <v>2140.7199999999998</v>
      </c>
      <c r="K28" s="26">
        <f t="shared" si="7"/>
        <v>2250.16</v>
      </c>
      <c r="L28" s="26">
        <f t="shared" si="7"/>
        <v>2255.2399999999998</v>
      </c>
      <c r="M28" s="26">
        <f t="shared" si="7"/>
        <v>2283.5500000000002</v>
      </c>
      <c r="N28" s="26">
        <f t="shared" ref="N28" si="8">ROUND(((N8+N18+N23+N26)*$D$28),2)</f>
        <v>2434.52</v>
      </c>
    </row>
    <row r="29" spans="1:15" ht="18" customHeight="1" x14ac:dyDescent="0.25">
      <c r="A29" s="6" t="s">
        <v>1</v>
      </c>
      <c r="B29" s="119" t="s">
        <v>51</v>
      </c>
      <c r="C29" s="121"/>
      <c r="D29" s="11">
        <v>0.01</v>
      </c>
      <c r="E29" s="26">
        <f t="shared" ref="E29:M29" si="9">ROUND(((E8+E18+E23+E26+E28)*$D$29),2)</f>
        <v>90.81</v>
      </c>
      <c r="F29" s="26">
        <f t="shared" si="9"/>
        <v>90.81</v>
      </c>
      <c r="G29" s="26">
        <f t="shared" si="9"/>
        <v>94.44</v>
      </c>
      <c r="H29" s="26">
        <f t="shared" si="9"/>
        <v>95.23</v>
      </c>
      <c r="I29" s="26">
        <f t="shared" si="9"/>
        <v>94.04</v>
      </c>
      <c r="J29" s="26">
        <f t="shared" si="9"/>
        <v>93.75</v>
      </c>
      <c r="K29" s="26">
        <f t="shared" si="9"/>
        <v>98.55</v>
      </c>
      <c r="L29" s="26">
        <f t="shared" si="9"/>
        <v>98.77</v>
      </c>
      <c r="M29" s="26">
        <f t="shared" si="9"/>
        <v>100.01</v>
      </c>
      <c r="N29" s="26">
        <f t="shared" ref="N29" si="10">ROUND(((N8+N18+N23+N26+N28)*$D$29),2)</f>
        <v>106.62</v>
      </c>
    </row>
    <row r="30" spans="1:15" ht="18" customHeight="1" x14ac:dyDescent="0.25">
      <c r="A30" s="6" t="s">
        <v>2</v>
      </c>
      <c r="B30" s="119" t="s">
        <v>88</v>
      </c>
      <c r="C30" s="121"/>
      <c r="D30" s="11">
        <f>13.15%</f>
        <v>0.13150000000000001</v>
      </c>
      <c r="E30" s="26">
        <f t="shared" ref="E30:M30" si="11">E31+E32+E33+E34</f>
        <v>1388.75</v>
      </c>
      <c r="F30" s="26">
        <f t="shared" si="11"/>
        <v>1388.75</v>
      </c>
      <c r="G30" s="26">
        <f t="shared" si="11"/>
        <v>1444.27</v>
      </c>
      <c r="H30" s="26">
        <f t="shared" si="11"/>
        <v>1456.3600000000001</v>
      </c>
      <c r="I30" s="26">
        <f t="shared" si="11"/>
        <v>1438.1399999999999</v>
      </c>
      <c r="J30" s="26">
        <f t="shared" si="11"/>
        <v>1433.7199999999998</v>
      </c>
      <c r="K30" s="26">
        <f t="shared" si="11"/>
        <v>1507.02</v>
      </c>
      <c r="L30" s="26">
        <f t="shared" si="11"/>
        <v>1510.4099999999999</v>
      </c>
      <c r="M30" s="26">
        <f t="shared" si="11"/>
        <v>1529.38</v>
      </c>
      <c r="N30" s="26">
        <f t="shared" ref="N30" si="12">N31+N32+N33+N34</f>
        <v>1630.48</v>
      </c>
    </row>
    <row r="31" spans="1:15" ht="18" customHeight="1" x14ac:dyDescent="0.25">
      <c r="A31" s="12"/>
      <c r="B31" s="116" t="s">
        <v>99</v>
      </c>
      <c r="C31" s="118"/>
      <c r="D31" s="9">
        <v>0.03</v>
      </c>
      <c r="E31" s="27">
        <f t="shared" ref="E31:M31" si="13">ROUND(((E8+E18+E23+E26+E28+E29)/0.8685*$D$31),2)</f>
        <v>316.82</v>
      </c>
      <c r="F31" s="27">
        <f t="shared" si="13"/>
        <v>316.82</v>
      </c>
      <c r="G31" s="27">
        <f t="shared" si="13"/>
        <v>329.49</v>
      </c>
      <c r="H31" s="27">
        <f t="shared" si="13"/>
        <v>332.25</v>
      </c>
      <c r="I31" s="27">
        <f t="shared" si="13"/>
        <v>328.09</v>
      </c>
      <c r="J31" s="27">
        <f t="shared" si="13"/>
        <v>327.08</v>
      </c>
      <c r="K31" s="27">
        <f t="shared" si="13"/>
        <v>343.81</v>
      </c>
      <c r="L31" s="27">
        <f t="shared" si="13"/>
        <v>344.58</v>
      </c>
      <c r="M31" s="27">
        <f t="shared" si="13"/>
        <v>348.91</v>
      </c>
      <c r="N31" s="27">
        <f t="shared" ref="N31" si="14">ROUND(((N8+N18+N23+N26+N28+N29)/0.8685*$D$31),2)</f>
        <v>371.97</v>
      </c>
    </row>
    <row r="32" spans="1:15" ht="18" customHeight="1" x14ac:dyDescent="0.25">
      <c r="A32" s="12"/>
      <c r="B32" s="116" t="s">
        <v>100</v>
      </c>
      <c r="C32" s="118"/>
      <c r="D32" s="9">
        <v>6.4999999999999997E-3</v>
      </c>
      <c r="E32" s="27">
        <f t="shared" ref="E32:M32" si="15">ROUND(((E8+E18+E23+E26+E28+E29)/0.8685*$D$32),2)</f>
        <v>68.650000000000006</v>
      </c>
      <c r="F32" s="27">
        <f t="shared" si="15"/>
        <v>68.650000000000006</v>
      </c>
      <c r="G32" s="27">
        <f t="shared" si="15"/>
        <v>71.39</v>
      </c>
      <c r="H32" s="27">
        <f t="shared" si="15"/>
        <v>71.989999999999995</v>
      </c>
      <c r="I32" s="27">
        <f t="shared" si="15"/>
        <v>71.09</v>
      </c>
      <c r="J32" s="27">
        <f t="shared" si="15"/>
        <v>70.87</v>
      </c>
      <c r="K32" s="27">
        <f t="shared" si="15"/>
        <v>74.489999999999995</v>
      </c>
      <c r="L32" s="27">
        <f t="shared" si="15"/>
        <v>74.66</v>
      </c>
      <c r="M32" s="27">
        <f t="shared" si="15"/>
        <v>75.599999999999994</v>
      </c>
      <c r="N32" s="27">
        <f t="shared" ref="N32" si="16">ROUND(((N8+N18+N23+N26+N28+N29)/0.8685*$D$32),2)</f>
        <v>80.59</v>
      </c>
    </row>
    <row r="33" spans="1:14" ht="18" customHeight="1" x14ac:dyDescent="0.25">
      <c r="A33" s="12"/>
      <c r="B33" s="116" t="s">
        <v>101</v>
      </c>
      <c r="C33" s="118"/>
      <c r="D33" s="9">
        <v>0.05</v>
      </c>
      <c r="E33" s="27">
        <f t="shared" ref="E33:M33" si="17">ROUND(((E8+E18+E23+E26+E28+E29)/0.8685*$D$33),2)</f>
        <v>528.04</v>
      </c>
      <c r="F33" s="27">
        <f t="shared" si="17"/>
        <v>528.04</v>
      </c>
      <c r="G33" s="27">
        <f t="shared" si="17"/>
        <v>549.15</v>
      </c>
      <c r="H33" s="27">
        <f t="shared" si="17"/>
        <v>553.75</v>
      </c>
      <c r="I33" s="27">
        <f t="shared" si="17"/>
        <v>546.82000000000005</v>
      </c>
      <c r="J33" s="27">
        <f t="shared" si="17"/>
        <v>545.14</v>
      </c>
      <c r="K33" s="27">
        <f t="shared" si="17"/>
        <v>573.01</v>
      </c>
      <c r="L33" s="27">
        <f t="shared" si="17"/>
        <v>574.29999999999995</v>
      </c>
      <c r="M33" s="27">
        <f t="shared" si="17"/>
        <v>581.51</v>
      </c>
      <c r="N33" s="27">
        <f t="shared" ref="N33" si="18">ROUND(((N8+N18+N23+N26+N28+N29)/0.8685*$D$33),2)</f>
        <v>619.96</v>
      </c>
    </row>
    <row r="34" spans="1:14" ht="18" customHeight="1" x14ac:dyDescent="0.25">
      <c r="A34" s="12"/>
      <c r="B34" s="116" t="s">
        <v>87</v>
      </c>
      <c r="C34" s="118"/>
      <c r="D34" s="9">
        <v>4.4999999999999998E-2</v>
      </c>
      <c r="E34" s="27">
        <f t="shared" ref="E34:M34" si="19">ROUND((((E8+E18+E23+E26+E28+E29)/0.8685)*$D$34),2)</f>
        <v>475.24</v>
      </c>
      <c r="F34" s="27">
        <f t="shared" si="19"/>
        <v>475.24</v>
      </c>
      <c r="G34" s="27">
        <f t="shared" si="19"/>
        <v>494.24</v>
      </c>
      <c r="H34" s="27">
        <f t="shared" si="19"/>
        <v>498.37</v>
      </c>
      <c r="I34" s="27">
        <f t="shared" si="19"/>
        <v>492.14</v>
      </c>
      <c r="J34" s="27">
        <f t="shared" si="19"/>
        <v>490.63</v>
      </c>
      <c r="K34" s="27">
        <f t="shared" si="19"/>
        <v>515.71</v>
      </c>
      <c r="L34" s="27">
        <f t="shared" si="19"/>
        <v>516.87</v>
      </c>
      <c r="M34" s="27">
        <f t="shared" si="19"/>
        <v>523.36</v>
      </c>
      <c r="N34" s="27">
        <f t="shared" ref="N34" si="20">ROUND((((N8+N18+N23+N26+N28+N29)/0.8685)*$D$34),2)</f>
        <v>557.96</v>
      </c>
    </row>
    <row r="35" spans="1:14" ht="18" customHeight="1" x14ac:dyDescent="0.25">
      <c r="A35" s="131" t="s">
        <v>89</v>
      </c>
      <c r="B35" s="129"/>
      <c r="C35" s="130"/>
      <c r="D35" s="53">
        <v>0.43740000000000001</v>
      </c>
      <c r="E35" s="51">
        <f t="shared" ref="E35:M35" si="21">E28+E29+E30</f>
        <v>3553.14</v>
      </c>
      <c r="F35" s="51">
        <f t="shared" si="21"/>
        <v>3553.14</v>
      </c>
      <c r="G35" s="51">
        <f t="shared" si="21"/>
        <v>3695.18</v>
      </c>
      <c r="H35" s="51">
        <f t="shared" si="21"/>
        <v>3726.11</v>
      </c>
      <c r="I35" s="51">
        <f t="shared" si="21"/>
        <v>3679.5</v>
      </c>
      <c r="J35" s="51">
        <f t="shared" si="21"/>
        <v>3668.1899999999996</v>
      </c>
      <c r="K35" s="51">
        <f t="shared" si="21"/>
        <v>3855.73</v>
      </c>
      <c r="L35" s="51">
        <f t="shared" si="21"/>
        <v>3864.4199999999996</v>
      </c>
      <c r="M35" s="51">
        <f t="shared" si="21"/>
        <v>3912.9400000000005</v>
      </c>
      <c r="N35" s="51">
        <f t="shared" ref="N35" si="22">N28+N29+N30</f>
        <v>4171.62</v>
      </c>
    </row>
    <row r="36" spans="1:14" ht="39" customHeight="1" x14ac:dyDescent="0.25">
      <c r="A36" s="136" t="s">
        <v>95</v>
      </c>
      <c r="B36" s="136"/>
      <c r="C36" s="136"/>
      <c r="D36" s="136"/>
      <c r="E36" s="35" t="s">
        <v>147</v>
      </c>
      <c r="F36" s="80" t="s">
        <v>148</v>
      </c>
      <c r="G36" s="80" t="s">
        <v>149</v>
      </c>
      <c r="H36" s="93" t="s">
        <v>150</v>
      </c>
      <c r="I36" s="35" t="s">
        <v>123</v>
      </c>
      <c r="J36" s="35" t="s">
        <v>117</v>
      </c>
      <c r="K36" s="35" t="s">
        <v>118</v>
      </c>
      <c r="L36" s="35" t="s">
        <v>126</v>
      </c>
      <c r="M36" s="35" t="s">
        <v>125</v>
      </c>
      <c r="N36" s="35" t="s">
        <v>151</v>
      </c>
    </row>
    <row r="37" spans="1:14" ht="18" customHeight="1" x14ac:dyDescent="0.25">
      <c r="A37" s="13" t="s">
        <v>0</v>
      </c>
      <c r="B37" s="138" t="s">
        <v>52</v>
      </c>
      <c r="C37" s="138"/>
      <c r="D37" s="138"/>
      <c r="E37" s="27">
        <f t="shared" ref="E37:M37" si="23">E8</f>
        <v>4371.2</v>
      </c>
      <c r="F37" s="27">
        <f t="shared" si="23"/>
        <v>4371.2</v>
      </c>
      <c r="G37" s="27">
        <f t="shared" si="23"/>
        <v>4549.54</v>
      </c>
      <c r="H37" s="27">
        <f t="shared" si="23"/>
        <v>4549.54</v>
      </c>
      <c r="I37" s="27">
        <f t="shared" si="23"/>
        <v>4549.54</v>
      </c>
      <c r="J37" s="27">
        <f t="shared" si="23"/>
        <v>4549.54</v>
      </c>
      <c r="K37" s="27">
        <f t="shared" si="23"/>
        <v>4774.29</v>
      </c>
      <c r="L37" s="27">
        <f t="shared" si="23"/>
        <v>4774.29</v>
      </c>
      <c r="M37" s="27">
        <f t="shared" si="23"/>
        <v>4831.58</v>
      </c>
      <c r="N37" s="27">
        <f t="shared" ref="N37" si="24">N8</f>
        <v>5158.1899999999996</v>
      </c>
    </row>
    <row r="38" spans="1:14" ht="18" customHeight="1" x14ac:dyDescent="0.25">
      <c r="A38" s="13" t="s">
        <v>1</v>
      </c>
      <c r="B38" s="138" t="s">
        <v>53</v>
      </c>
      <c r="C38" s="138"/>
      <c r="D38" s="138"/>
      <c r="E38" s="27">
        <f t="shared" ref="E38:M38" si="25">E18</f>
        <v>626.17999999999995</v>
      </c>
      <c r="F38" s="27">
        <f t="shared" si="25"/>
        <v>626.17999999999995</v>
      </c>
      <c r="G38" s="27">
        <f t="shared" si="25"/>
        <v>645.98</v>
      </c>
      <c r="H38" s="27">
        <f t="shared" si="25"/>
        <v>645.98</v>
      </c>
      <c r="I38" s="27">
        <f t="shared" si="25"/>
        <v>645.98</v>
      </c>
      <c r="J38" s="27">
        <f t="shared" si="25"/>
        <v>645.98</v>
      </c>
      <c r="K38" s="27">
        <f t="shared" si="25"/>
        <v>690.32999999999993</v>
      </c>
      <c r="L38" s="27">
        <f t="shared" si="25"/>
        <v>690.32999999999993</v>
      </c>
      <c r="M38" s="27">
        <f t="shared" si="25"/>
        <v>702.81</v>
      </c>
      <c r="N38" s="27">
        <f t="shared" ref="N38" si="26">N18</f>
        <v>738.84</v>
      </c>
    </row>
    <row r="39" spans="1:14" ht="18" customHeight="1" x14ac:dyDescent="0.25">
      <c r="A39" s="13" t="s">
        <v>2</v>
      </c>
      <c r="B39" s="138" t="s">
        <v>54</v>
      </c>
      <c r="C39" s="138"/>
      <c r="D39" s="138"/>
      <c r="E39" s="27">
        <f t="shared" ref="E39:M39" si="27">E23</f>
        <v>0</v>
      </c>
      <c r="F39" s="27">
        <f t="shared" si="27"/>
        <v>0</v>
      </c>
      <c r="G39" s="27">
        <f t="shared" si="27"/>
        <v>0</v>
      </c>
      <c r="H39" s="27">
        <f t="shared" si="27"/>
        <v>0</v>
      </c>
      <c r="I39" s="27">
        <f t="shared" si="27"/>
        <v>0</v>
      </c>
      <c r="J39" s="27">
        <f t="shared" si="27"/>
        <v>0</v>
      </c>
      <c r="K39" s="27">
        <f t="shared" si="27"/>
        <v>0</v>
      </c>
      <c r="L39" s="27">
        <f t="shared" si="27"/>
        <v>0</v>
      </c>
      <c r="M39" s="27">
        <f t="shared" si="27"/>
        <v>0</v>
      </c>
      <c r="N39" s="27">
        <f t="shared" ref="N39" si="28">N23</f>
        <v>0</v>
      </c>
    </row>
    <row r="40" spans="1:14" ht="18" customHeight="1" x14ac:dyDescent="0.25">
      <c r="A40" s="13" t="s">
        <v>3</v>
      </c>
      <c r="B40" s="138" t="s">
        <v>55</v>
      </c>
      <c r="C40" s="138"/>
      <c r="D40" s="138"/>
      <c r="E40" s="27">
        <f t="shared" ref="E40:M40" si="29">E26</f>
        <v>2010.31</v>
      </c>
      <c r="F40" s="27">
        <f t="shared" si="29"/>
        <v>2010.31</v>
      </c>
      <c r="G40" s="27">
        <f t="shared" si="29"/>
        <v>2092.33</v>
      </c>
      <c r="H40" s="27">
        <f t="shared" si="29"/>
        <v>2153.3000000000002</v>
      </c>
      <c r="I40" s="27">
        <f t="shared" si="29"/>
        <v>2061.4</v>
      </c>
      <c r="J40" s="27">
        <f t="shared" si="29"/>
        <v>2039.1</v>
      </c>
      <c r="K40" s="27">
        <f t="shared" si="29"/>
        <v>2139.84</v>
      </c>
      <c r="L40" s="27">
        <f t="shared" si="29"/>
        <v>2157.02</v>
      </c>
      <c r="M40" s="27">
        <f t="shared" si="29"/>
        <v>2182.91</v>
      </c>
      <c r="N40" s="27">
        <f t="shared" ref="N40" si="30">N26</f>
        <v>2330.4699999999998</v>
      </c>
    </row>
    <row r="41" spans="1:14" s="19" customFormat="1" ht="18" customHeight="1" x14ac:dyDescent="0.25">
      <c r="A41" s="139" t="s">
        <v>56</v>
      </c>
      <c r="B41" s="139"/>
      <c r="C41" s="139"/>
      <c r="D41" s="139"/>
      <c r="E41" s="35">
        <f t="shared" ref="E41:M41" si="31">SUM(E37:E40)</f>
        <v>7007.6900000000005</v>
      </c>
      <c r="F41" s="35">
        <f t="shared" si="31"/>
        <v>7007.6900000000005</v>
      </c>
      <c r="G41" s="35">
        <f t="shared" si="31"/>
        <v>7287.85</v>
      </c>
      <c r="H41" s="35">
        <f t="shared" si="31"/>
        <v>7348.8200000000006</v>
      </c>
      <c r="I41" s="35">
        <f t="shared" si="31"/>
        <v>7256.92</v>
      </c>
      <c r="J41" s="35">
        <f t="shared" si="31"/>
        <v>7234.6200000000008</v>
      </c>
      <c r="K41" s="35">
        <f t="shared" si="31"/>
        <v>7604.46</v>
      </c>
      <c r="L41" s="35">
        <f t="shared" si="31"/>
        <v>7621.6399999999994</v>
      </c>
      <c r="M41" s="35">
        <f t="shared" si="31"/>
        <v>7717.2999999999993</v>
      </c>
      <c r="N41" s="35">
        <f t="shared" ref="N41" si="32">SUM(N37:N40)</f>
        <v>8227.5</v>
      </c>
    </row>
    <row r="42" spans="1:14" ht="18" customHeight="1" x14ac:dyDescent="0.25">
      <c r="A42" s="13" t="s">
        <v>5</v>
      </c>
      <c r="B42" s="138" t="s">
        <v>57</v>
      </c>
      <c r="C42" s="138"/>
      <c r="D42" s="138"/>
      <c r="E42" s="27">
        <f t="shared" ref="E42:M42" si="33">E35</f>
        <v>3553.14</v>
      </c>
      <c r="F42" s="27">
        <f t="shared" si="33"/>
        <v>3553.14</v>
      </c>
      <c r="G42" s="27">
        <f t="shared" si="33"/>
        <v>3695.18</v>
      </c>
      <c r="H42" s="27">
        <f t="shared" si="33"/>
        <v>3726.11</v>
      </c>
      <c r="I42" s="27">
        <f t="shared" si="33"/>
        <v>3679.5</v>
      </c>
      <c r="J42" s="27">
        <f t="shared" si="33"/>
        <v>3668.1899999999996</v>
      </c>
      <c r="K42" s="27">
        <f t="shared" si="33"/>
        <v>3855.73</v>
      </c>
      <c r="L42" s="27">
        <f t="shared" si="33"/>
        <v>3864.4199999999996</v>
      </c>
      <c r="M42" s="27">
        <f t="shared" si="33"/>
        <v>3912.9400000000005</v>
      </c>
      <c r="N42" s="27">
        <f t="shared" ref="N42" si="34">N35</f>
        <v>4171.62</v>
      </c>
    </row>
    <row r="43" spans="1:14" s="19" customFormat="1" ht="18" customHeight="1" x14ac:dyDescent="0.25">
      <c r="A43" s="139" t="s">
        <v>58</v>
      </c>
      <c r="B43" s="139"/>
      <c r="C43" s="139"/>
      <c r="D43" s="139"/>
      <c r="E43" s="35">
        <f t="shared" ref="E43:M43" si="35">E41+E42</f>
        <v>10560.83</v>
      </c>
      <c r="F43" s="35">
        <f t="shared" si="35"/>
        <v>10560.83</v>
      </c>
      <c r="G43" s="35">
        <f t="shared" si="35"/>
        <v>10983.03</v>
      </c>
      <c r="H43" s="35">
        <f t="shared" si="35"/>
        <v>11074.93</v>
      </c>
      <c r="I43" s="35">
        <f t="shared" si="35"/>
        <v>10936.42</v>
      </c>
      <c r="J43" s="35">
        <f t="shared" si="35"/>
        <v>10902.810000000001</v>
      </c>
      <c r="K43" s="35">
        <f t="shared" si="35"/>
        <v>11460.19</v>
      </c>
      <c r="L43" s="35">
        <f t="shared" si="35"/>
        <v>11486.06</v>
      </c>
      <c r="M43" s="35">
        <f t="shared" si="35"/>
        <v>11630.24</v>
      </c>
      <c r="N43" s="35">
        <f t="shared" ref="N43" si="36">N41+N42</f>
        <v>12399.119999999999</v>
      </c>
    </row>
    <row r="44" spans="1:14" ht="15" customHeight="1" x14ac:dyDescent="0.25">
      <c r="A44" s="140" t="s">
        <v>86</v>
      </c>
      <c r="B44" s="140"/>
      <c r="C44" s="140"/>
      <c r="D44" s="140"/>
      <c r="E44" s="21">
        <v>1</v>
      </c>
      <c r="F44" s="21">
        <v>1</v>
      </c>
      <c r="G44" s="21">
        <v>1</v>
      </c>
      <c r="H44" s="96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</row>
    <row r="45" spans="1:14" ht="18" customHeight="1" x14ac:dyDescent="0.25">
      <c r="A45" s="125" t="s">
        <v>114</v>
      </c>
      <c r="B45" s="126"/>
      <c r="C45" s="126"/>
      <c r="D45" s="127"/>
      <c r="E45" s="34">
        <f t="shared" ref="E45:M45" si="37">ROUND((E44*E43),2)</f>
        <v>10560.83</v>
      </c>
      <c r="F45" s="34">
        <f t="shared" si="37"/>
        <v>10560.83</v>
      </c>
      <c r="G45" s="34">
        <f t="shared" si="37"/>
        <v>10983.03</v>
      </c>
      <c r="H45" s="34">
        <f t="shared" si="37"/>
        <v>11074.93</v>
      </c>
      <c r="I45" s="34">
        <f t="shared" si="37"/>
        <v>10936.42</v>
      </c>
      <c r="J45" s="34">
        <f t="shared" si="37"/>
        <v>10902.81</v>
      </c>
      <c r="K45" s="34">
        <f t="shared" si="37"/>
        <v>11460.19</v>
      </c>
      <c r="L45" s="34">
        <f t="shared" si="37"/>
        <v>11486.06</v>
      </c>
      <c r="M45" s="34">
        <f t="shared" si="37"/>
        <v>11630.24</v>
      </c>
      <c r="N45" s="34">
        <f t="shared" ref="N45" si="38">ROUND((N44*N43),2)</f>
        <v>12399.12</v>
      </c>
    </row>
  </sheetData>
  <mergeCells count="45">
    <mergeCell ref="C5:N5"/>
    <mergeCell ref="A1:N1"/>
    <mergeCell ref="B20:C20"/>
    <mergeCell ref="A43:D43"/>
    <mergeCell ref="A44:D44"/>
    <mergeCell ref="B37:D37"/>
    <mergeCell ref="B38:D38"/>
    <mergeCell ref="B39:D39"/>
    <mergeCell ref="B40:D40"/>
    <mergeCell ref="A41:D41"/>
    <mergeCell ref="B42:D42"/>
    <mergeCell ref="B21:C21"/>
    <mergeCell ref="B22:C22"/>
    <mergeCell ref="A5:B5"/>
    <mergeCell ref="A19:D19"/>
    <mergeCell ref="A36:D36"/>
    <mergeCell ref="A6:D6"/>
    <mergeCell ref="A26:D26"/>
    <mergeCell ref="A24:D25"/>
    <mergeCell ref="A27:D27"/>
    <mergeCell ref="B14:D14"/>
    <mergeCell ref="B15:D15"/>
    <mergeCell ref="B16:D16"/>
    <mergeCell ref="B7:D7"/>
    <mergeCell ref="B17:D17"/>
    <mergeCell ref="B13:D13"/>
    <mergeCell ref="B12:D12"/>
    <mergeCell ref="B11:D11"/>
    <mergeCell ref="B10:D10"/>
    <mergeCell ref="A4:L4"/>
    <mergeCell ref="A3:L3"/>
    <mergeCell ref="A2:L2"/>
    <mergeCell ref="A45:D45"/>
    <mergeCell ref="A23:D23"/>
    <mergeCell ref="A18:D18"/>
    <mergeCell ref="A8:D8"/>
    <mergeCell ref="B33:C33"/>
    <mergeCell ref="B34:C34"/>
    <mergeCell ref="B30:C30"/>
    <mergeCell ref="B31:C31"/>
    <mergeCell ref="B32:C32"/>
    <mergeCell ref="B28:C28"/>
    <mergeCell ref="B29:C29"/>
    <mergeCell ref="A35:C35"/>
    <mergeCell ref="A9:D9"/>
  </mergeCells>
  <pageMargins left="0.31496062992125984" right="0.11811023622047245" top="0.59055118110236227" bottom="0.39370078740157483" header="0.31496062992125984" footer="0.31496062992125984"/>
  <pageSetup paperSize="9" scale="95" orientation="portrait" r:id="rId1"/>
  <headerFooter>
    <oddHeader xml:space="preserve">&amp;L&amp;"Times New Roman,Negrito"&amp;10PODER JUDICIÁRIO
CONSELHO DA JUSTIÇA FEDERAL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showGridLines="0" zoomScale="110" zoomScaleNormal="110" workbookViewId="0">
      <selection activeCell="Q8" sqref="Q8"/>
    </sheetView>
  </sheetViews>
  <sheetFormatPr defaultColWidth="9.140625" defaultRowHeight="12.75" x14ac:dyDescent="0.25"/>
  <cols>
    <col min="1" max="1" width="4" style="3" customWidth="1"/>
    <col min="2" max="2" width="40.7109375" style="4" customWidth="1"/>
    <col min="3" max="3" width="5.42578125" style="4" customWidth="1"/>
    <col min="4" max="4" width="8.5703125" style="4" bestFit="1" customWidth="1"/>
    <col min="5" max="5" width="16" style="4" hidden="1" customWidth="1"/>
    <col min="6" max="6" width="15.7109375" style="4" hidden="1" customWidth="1"/>
    <col min="7" max="7" width="15" style="4" hidden="1" customWidth="1"/>
    <col min="8" max="8" width="16.85546875" style="4" hidden="1" customWidth="1"/>
    <col min="9" max="9" width="17.28515625" style="22" hidden="1" customWidth="1"/>
    <col min="10" max="13" width="15.28515625" style="22" hidden="1" customWidth="1"/>
    <col min="14" max="14" width="15.5703125" style="4" customWidth="1"/>
    <col min="15" max="16384" width="9.140625" style="4"/>
  </cols>
  <sheetData>
    <row r="1" spans="1:16" ht="31.5" customHeight="1" x14ac:dyDescent="0.25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24.95" customHeight="1" x14ac:dyDescent="0.25">
      <c r="A2" s="144" t="s">
        <v>103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6" ht="18" customHeight="1" x14ac:dyDescent="0.25">
      <c r="A3" s="145" t="s">
        <v>102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ht="18" customHeight="1" x14ac:dyDescent="0.25">
      <c r="A4" s="138" t="s">
        <v>159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6" ht="18" customHeight="1" x14ac:dyDescent="0.25">
      <c r="A5" s="138" t="s">
        <v>76</v>
      </c>
      <c r="B5" s="138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6" ht="39" customHeight="1" x14ac:dyDescent="0.2">
      <c r="A6" s="132" t="s">
        <v>90</v>
      </c>
      <c r="B6" s="133"/>
      <c r="C6" s="133"/>
      <c r="D6" s="134"/>
      <c r="E6" s="35" t="s">
        <v>147</v>
      </c>
      <c r="F6" s="80" t="s">
        <v>148</v>
      </c>
      <c r="G6" s="80" t="s">
        <v>149</v>
      </c>
      <c r="H6" s="80" t="s">
        <v>150</v>
      </c>
      <c r="I6" s="89" t="s">
        <v>146</v>
      </c>
      <c r="J6" s="35" t="s">
        <v>117</v>
      </c>
      <c r="K6" s="35" t="s">
        <v>118</v>
      </c>
      <c r="L6" s="35" t="s">
        <v>126</v>
      </c>
      <c r="M6" s="35" t="s">
        <v>125</v>
      </c>
      <c r="N6" s="35" t="s">
        <v>151</v>
      </c>
    </row>
    <row r="7" spans="1:16" s="5" customFormat="1" ht="18" customHeight="1" x14ac:dyDescent="0.25">
      <c r="A7" s="13" t="s">
        <v>0</v>
      </c>
      <c r="B7" s="116" t="s">
        <v>77</v>
      </c>
      <c r="C7" s="117"/>
      <c r="D7" s="118"/>
      <c r="E7" s="90">
        <v>4371.2</v>
      </c>
      <c r="F7" s="90">
        <v>4371.2</v>
      </c>
      <c r="G7" s="90">
        <v>4549.54</v>
      </c>
      <c r="H7" s="90">
        <v>4549.54</v>
      </c>
      <c r="I7" s="23">
        <v>4549.54</v>
      </c>
      <c r="J7" s="23">
        <v>4549.54</v>
      </c>
      <c r="K7" s="23">
        <f>ROUND((4549.54*1.0494),2)</f>
        <v>4774.29</v>
      </c>
      <c r="L7" s="23">
        <f>ROUND((4549.54*1.0494),2)</f>
        <v>4774.29</v>
      </c>
      <c r="M7" s="23">
        <f>ROUND((4549.54*1.0494*1.012),2)</f>
        <v>4831.58</v>
      </c>
      <c r="N7" s="23">
        <f>ROUND((4549.54*1.0494*1.012*1.0676),2)</f>
        <v>5158.1899999999996</v>
      </c>
    </row>
    <row r="8" spans="1:16" ht="18" customHeight="1" x14ac:dyDescent="0.25">
      <c r="A8" s="128" t="s">
        <v>4</v>
      </c>
      <c r="B8" s="129"/>
      <c r="C8" s="129"/>
      <c r="D8" s="130"/>
      <c r="E8" s="92">
        <v>4371.2</v>
      </c>
      <c r="F8" s="92">
        <v>4371.2</v>
      </c>
      <c r="G8" s="92">
        <v>4549.54</v>
      </c>
      <c r="H8" s="92">
        <v>4549.54</v>
      </c>
      <c r="I8" s="51">
        <f t="shared" ref="I8:N8" si="0">SUM(I7:I7)</f>
        <v>4549.54</v>
      </c>
      <c r="J8" s="51">
        <f t="shared" si="0"/>
        <v>4549.54</v>
      </c>
      <c r="K8" s="51">
        <f t="shared" si="0"/>
        <v>4774.29</v>
      </c>
      <c r="L8" s="51">
        <f t="shared" si="0"/>
        <v>4774.29</v>
      </c>
      <c r="M8" s="51">
        <f t="shared" si="0"/>
        <v>4831.58</v>
      </c>
      <c r="N8" s="51">
        <f t="shared" si="0"/>
        <v>5158.1899999999996</v>
      </c>
    </row>
    <row r="9" spans="1:16" ht="18" customHeight="1" x14ac:dyDescent="0.25">
      <c r="A9" s="132" t="s">
        <v>91</v>
      </c>
      <c r="B9" s="133"/>
      <c r="C9" s="133"/>
      <c r="D9" s="134"/>
      <c r="E9" s="33" t="s">
        <v>83</v>
      </c>
      <c r="F9" s="33" t="s">
        <v>83</v>
      </c>
      <c r="G9" s="33" t="s">
        <v>83</v>
      </c>
      <c r="H9" s="33" t="s">
        <v>83</v>
      </c>
      <c r="I9" s="33" t="s">
        <v>83</v>
      </c>
      <c r="J9" s="33" t="s">
        <v>83</v>
      </c>
      <c r="K9" s="33" t="s">
        <v>83</v>
      </c>
      <c r="L9" s="33" t="s">
        <v>83</v>
      </c>
      <c r="M9" s="33" t="s">
        <v>83</v>
      </c>
      <c r="N9" s="33" t="s">
        <v>83</v>
      </c>
    </row>
    <row r="10" spans="1:16" ht="18" customHeight="1" x14ac:dyDescent="0.25">
      <c r="A10" s="13" t="s">
        <v>0</v>
      </c>
      <c r="B10" s="116" t="s">
        <v>59</v>
      </c>
      <c r="C10" s="117"/>
      <c r="D10" s="118"/>
      <c r="E10" s="90">
        <v>176</v>
      </c>
      <c r="F10" s="90">
        <v>220</v>
      </c>
      <c r="G10" s="90">
        <v>220</v>
      </c>
      <c r="H10" s="90">
        <v>220</v>
      </c>
      <c r="I10" s="24">
        <f t="shared" ref="I10:N10" si="1">10*22</f>
        <v>220</v>
      </c>
      <c r="J10" s="24">
        <f t="shared" si="1"/>
        <v>220</v>
      </c>
      <c r="K10" s="24">
        <f t="shared" si="1"/>
        <v>220</v>
      </c>
      <c r="L10" s="24">
        <f t="shared" si="1"/>
        <v>220</v>
      </c>
      <c r="M10" s="24">
        <f t="shared" si="1"/>
        <v>220</v>
      </c>
      <c r="N10" s="24">
        <f t="shared" si="1"/>
        <v>220</v>
      </c>
    </row>
    <row r="11" spans="1:16" ht="18" customHeight="1" x14ac:dyDescent="0.25">
      <c r="A11" s="13" t="s">
        <v>1</v>
      </c>
      <c r="B11" s="116" t="s">
        <v>60</v>
      </c>
      <c r="C11" s="117"/>
      <c r="D11" s="118"/>
      <c r="E11" s="90">
        <v>262.27</v>
      </c>
      <c r="F11" s="90">
        <v>262.27</v>
      </c>
      <c r="G11" s="90">
        <v>272.97000000000003</v>
      </c>
      <c r="H11" s="90">
        <v>272.97000000000003</v>
      </c>
      <c r="I11" s="24">
        <f t="shared" ref="I11:N11" si="2">ROUND((I7*6%),2)</f>
        <v>272.97000000000003</v>
      </c>
      <c r="J11" s="24">
        <f t="shared" si="2"/>
        <v>272.97000000000003</v>
      </c>
      <c r="K11" s="24">
        <f t="shared" si="2"/>
        <v>286.45999999999998</v>
      </c>
      <c r="L11" s="24">
        <f t="shared" si="2"/>
        <v>286.45999999999998</v>
      </c>
      <c r="M11" s="24">
        <f t="shared" si="2"/>
        <v>289.89</v>
      </c>
      <c r="N11" s="24">
        <f t="shared" si="2"/>
        <v>309.49</v>
      </c>
    </row>
    <row r="12" spans="1:16" ht="18" customHeight="1" x14ac:dyDescent="0.25">
      <c r="A12" s="13" t="s">
        <v>2</v>
      </c>
      <c r="B12" s="116" t="s">
        <v>61</v>
      </c>
      <c r="C12" s="117"/>
      <c r="D12" s="118"/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P12" s="37"/>
    </row>
    <row r="13" spans="1:16" ht="18" customHeight="1" x14ac:dyDescent="0.25">
      <c r="A13" s="13" t="s">
        <v>3</v>
      </c>
      <c r="B13" s="116" t="s">
        <v>62</v>
      </c>
      <c r="C13" s="117"/>
      <c r="D13" s="118"/>
      <c r="E13" s="90">
        <v>506</v>
      </c>
      <c r="F13" s="90">
        <v>506</v>
      </c>
      <c r="G13" s="90">
        <v>528</v>
      </c>
      <c r="H13" s="90">
        <v>528</v>
      </c>
      <c r="I13" s="24">
        <f>22*24</f>
        <v>528</v>
      </c>
      <c r="J13" s="24">
        <f>22*24</f>
        <v>528</v>
      </c>
      <c r="K13" s="24">
        <f>22*26.24</f>
        <v>577.28</v>
      </c>
      <c r="L13" s="24">
        <f>22*26.24</f>
        <v>577.28</v>
      </c>
      <c r="M13" s="24">
        <f>22*26.87</f>
        <v>591.14</v>
      </c>
      <c r="N13" s="24">
        <f>22*28.69</f>
        <v>631.18000000000006</v>
      </c>
    </row>
    <row r="14" spans="1:16" ht="18" customHeight="1" x14ac:dyDescent="0.25">
      <c r="A14" s="13" t="s">
        <v>5</v>
      </c>
      <c r="B14" s="116" t="s">
        <v>63</v>
      </c>
      <c r="C14" s="117"/>
      <c r="D14" s="118"/>
      <c r="E14" s="90">
        <v>50.6</v>
      </c>
      <c r="F14" s="90">
        <v>50.6</v>
      </c>
      <c r="G14" s="24">
        <f t="shared" ref="G14:M14" si="3">ROUND((G13*10%),2)</f>
        <v>52.8</v>
      </c>
      <c r="H14" s="24">
        <f t="shared" si="3"/>
        <v>52.8</v>
      </c>
      <c r="I14" s="24">
        <f t="shared" si="3"/>
        <v>52.8</v>
      </c>
      <c r="J14" s="24">
        <f t="shared" si="3"/>
        <v>52.8</v>
      </c>
      <c r="K14" s="24">
        <f t="shared" si="3"/>
        <v>57.73</v>
      </c>
      <c r="L14" s="24">
        <f t="shared" si="3"/>
        <v>57.73</v>
      </c>
      <c r="M14" s="24">
        <f t="shared" si="3"/>
        <v>59.11</v>
      </c>
      <c r="N14" s="24">
        <f t="shared" ref="N14" si="4">ROUND((N13*10%),2)</f>
        <v>63.12</v>
      </c>
    </row>
    <row r="15" spans="1:16" ht="18" customHeight="1" x14ac:dyDescent="0.25">
      <c r="A15" s="8" t="s">
        <v>6</v>
      </c>
      <c r="B15" s="116" t="s">
        <v>64</v>
      </c>
      <c r="C15" s="117"/>
      <c r="D15" s="118"/>
      <c r="E15" s="92">
        <v>455.4</v>
      </c>
      <c r="F15" s="92">
        <v>455.4</v>
      </c>
      <c r="G15" s="25">
        <f t="shared" ref="G15:M15" si="5">G13-G14</f>
        <v>475.2</v>
      </c>
      <c r="H15" s="25">
        <f t="shared" si="5"/>
        <v>475.2</v>
      </c>
      <c r="I15" s="25">
        <f t="shared" si="5"/>
        <v>475.2</v>
      </c>
      <c r="J15" s="25">
        <f t="shared" si="5"/>
        <v>475.2</v>
      </c>
      <c r="K15" s="25">
        <f t="shared" si="5"/>
        <v>519.54999999999995</v>
      </c>
      <c r="L15" s="25">
        <f t="shared" si="5"/>
        <v>519.54999999999995</v>
      </c>
      <c r="M15" s="25">
        <f t="shared" si="5"/>
        <v>532.03</v>
      </c>
      <c r="N15" s="25">
        <f t="shared" ref="N15" si="6">N13-N14</f>
        <v>568.06000000000006</v>
      </c>
    </row>
    <row r="16" spans="1:16" s="19" customFormat="1" ht="18" customHeight="1" x14ac:dyDescent="0.25">
      <c r="A16" s="8" t="s">
        <v>7</v>
      </c>
      <c r="B16" s="116" t="s">
        <v>65</v>
      </c>
      <c r="C16" s="117"/>
      <c r="D16" s="118"/>
      <c r="E16" s="92">
        <v>9.14</v>
      </c>
      <c r="F16" s="92">
        <v>9.14</v>
      </c>
      <c r="G16" s="25">
        <v>9.14</v>
      </c>
      <c r="H16" s="25">
        <v>9.14</v>
      </c>
      <c r="I16" s="25">
        <v>9.14</v>
      </c>
      <c r="J16" s="25">
        <v>9.14</v>
      </c>
      <c r="K16" s="25">
        <v>9.14</v>
      </c>
      <c r="L16" s="25">
        <v>9.14</v>
      </c>
      <c r="M16" s="25">
        <v>9.14</v>
      </c>
      <c r="N16" s="25">
        <v>9.14</v>
      </c>
    </row>
    <row r="17" spans="1:14" s="19" customFormat="1" ht="18" customHeight="1" x14ac:dyDescent="0.25">
      <c r="A17" s="8" t="s">
        <v>8</v>
      </c>
      <c r="B17" s="116" t="s">
        <v>66</v>
      </c>
      <c r="C17" s="117"/>
      <c r="D17" s="118"/>
      <c r="E17" s="92">
        <v>161.63999999999999</v>
      </c>
      <c r="F17" s="92">
        <v>161.63999999999999</v>
      </c>
      <c r="G17" s="25">
        <v>161.63999999999999</v>
      </c>
      <c r="H17" s="25">
        <v>161.63999999999999</v>
      </c>
      <c r="I17" s="25">
        <v>161.63999999999999</v>
      </c>
      <c r="J17" s="25">
        <v>161.63999999999999</v>
      </c>
      <c r="K17" s="25">
        <v>161.63999999999999</v>
      </c>
      <c r="L17" s="25">
        <v>161.63999999999999</v>
      </c>
      <c r="M17" s="25">
        <v>161.63999999999999</v>
      </c>
      <c r="N17" s="25">
        <v>161.63999999999999</v>
      </c>
    </row>
    <row r="18" spans="1:14" ht="18" customHeight="1" x14ac:dyDescent="0.25">
      <c r="A18" s="122" t="s">
        <v>9</v>
      </c>
      <c r="B18" s="123"/>
      <c r="C18" s="123"/>
      <c r="D18" s="124"/>
      <c r="E18" s="93">
        <v>626.17999999999995</v>
      </c>
      <c r="F18" s="93">
        <v>626.17999999999995</v>
      </c>
      <c r="G18" s="36">
        <f t="shared" ref="G18:M18" si="7">G12+G15+G16+G17</f>
        <v>645.98</v>
      </c>
      <c r="H18" s="36">
        <f t="shared" si="7"/>
        <v>645.98</v>
      </c>
      <c r="I18" s="36">
        <f t="shared" si="7"/>
        <v>645.98</v>
      </c>
      <c r="J18" s="36">
        <f t="shared" si="7"/>
        <v>645.98</v>
      </c>
      <c r="K18" s="36">
        <f t="shared" si="7"/>
        <v>690.32999999999993</v>
      </c>
      <c r="L18" s="36">
        <f t="shared" si="7"/>
        <v>690.32999999999993</v>
      </c>
      <c r="M18" s="36">
        <f t="shared" si="7"/>
        <v>702.81</v>
      </c>
      <c r="N18" s="36">
        <f t="shared" ref="N18" si="8">N12+N15+N16+N17</f>
        <v>738.84</v>
      </c>
    </row>
    <row r="19" spans="1:14" ht="18" customHeight="1" x14ac:dyDescent="0.25">
      <c r="A19" s="141" t="s">
        <v>92</v>
      </c>
      <c r="B19" s="142"/>
      <c r="C19" s="142"/>
      <c r="D19" s="143"/>
      <c r="E19" s="52" t="s">
        <v>83</v>
      </c>
      <c r="F19" s="52" t="s">
        <v>83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83</v>
      </c>
    </row>
    <row r="20" spans="1:14" ht="18" hidden="1" customHeight="1" x14ac:dyDescent="0.25">
      <c r="A20" s="13" t="s">
        <v>0</v>
      </c>
      <c r="B20" s="138" t="s">
        <v>67</v>
      </c>
      <c r="C20" s="116"/>
      <c r="D20" s="28"/>
      <c r="E20" s="95"/>
      <c r="F20" s="95"/>
      <c r="G20" s="95"/>
      <c r="H20" s="95"/>
      <c r="I20" s="23">
        <v>0</v>
      </c>
      <c r="J20" s="23">
        <v>0</v>
      </c>
      <c r="K20" s="23">
        <v>0</v>
      </c>
      <c r="L20" s="52" t="s">
        <v>83</v>
      </c>
      <c r="M20" s="23"/>
      <c r="N20" s="23"/>
    </row>
    <row r="21" spans="1:14" ht="18" hidden="1" customHeight="1" x14ac:dyDescent="0.25">
      <c r="A21" s="13" t="s">
        <v>1</v>
      </c>
      <c r="B21" s="138" t="s">
        <v>68</v>
      </c>
      <c r="C21" s="116"/>
      <c r="D21" s="28"/>
      <c r="E21" s="95"/>
      <c r="F21" s="95"/>
      <c r="G21" s="95"/>
      <c r="H21" s="95"/>
      <c r="I21" s="23">
        <v>0</v>
      </c>
      <c r="J21" s="23">
        <v>0</v>
      </c>
      <c r="K21" s="23">
        <v>0</v>
      </c>
      <c r="L21" s="52" t="s">
        <v>83</v>
      </c>
      <c r="M21" s="23"/>
      <c r="N21" s="23"/>
    </row>
    <row r="22" spans="1:14" ht="18" hidden="1" customHeight="1" x14ac:dyDescent="0.25">
      <c r="A22" s="13" t="s">
        <v>2</v>
      </c>
      <c r="B22" s="138" t="s">
        <v>69</v>
      </c>
      <c r="C22" s="116"/>
      <c r="D22" s="28"/>
      <c r="E22" s="95"/>
      <c r="F22" s="95"/>
      <c r="G22" s="95"/>
      <c r="H22" s="95"/>
      <c r="I22" s="23">
        <v>0</v>
      </c>
      <c r="J22" s="23">
        <v>0</v>
      </c>
      <c r="K22" s="23">
        <v>0</v>
      </c>
      <c r="L22" s="52" t="s">
        <v>83</v>
      </c>
      <c r="M22" s="23"/>
      <c r="N22" s="23"/>
    </row>
    <row r="23" spans="1:14" ht="18" customHeight="1" x14ac:dyDescent="0.25">
      <c r="A23" s="122" t="s">
        <v>10</v>
      </c>
      <c r="B23" s="123"/>
      <c r="C23" s="123"/>
      <c r="D23" s="124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4" s="20" customFormat="1" ht="18" customHeight="1" x14ac:dyDescent="0.25">
      <c r="A24" s="146" t="s">
        <v>93</v>
      </c>
      <c r="B24" s="146"/>
      <c r="C24" s="146"/>
      <c r="D24" s="147"/>
      <c r="E24" s="33" t="s">
        <v>85</v>
      </c>
      <c r="F24" s="33" t="s">
        <v>85</v>
      </c>
      <c r="G24" s="33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</row>
    <row r="25" spans="1:14" s="20" customFormat="1" ht="18" customHeight="1" x14ac:dyDescent="0.25">
      <c r="A25" s="148"/>
      <c r="B25" s="148"/>
      <c r="C25" s="148"/>
      <c r="D25" s="149"/>
      <c r="E25" s="98">
        <v>0.45989999999999998</v>
      </c>
      <c r="F25" s="98">
        <v>0.45989999999999998</v>
      </c>
      <c r="G25" s="98">
        <v>0.45989999999999998</v>
      </c>
      <c r="H25" s="98">
        <v>0.4733</v>
      </c>
      <c r="I25" s="15">
        <v>0.4531</v>
      </c>
      <c r="J25" s="15">
        <v>0.44819999999999999</v>
      </c>
      <c r="K25" s="15">
        <v>0.44819999999999999</v>
      </c>
      <c r="L25" s="15">
        <v>0.45179999999999998</v>
      </c>
      <c r="M25" s="15">
        <v>0.45179999999999998</v>
      </c>
      <c r="N25" s="97">
        <v>0.45179999999999998</v>
      </c>
    </row>
    <row r="26" spans="1:14" ht="18" customHeight="1" x14ac:dyDescent="0.25">
      <c r="A26" s="144" t="s">
        <v>84</v>
      </c>
      <c r="B26" s="144"/>
      <c r="C26" s="144"/>
      <c r="D26" s="144"/>
      <c r="E26" s="33">
        <f t="shared" ref="E26:M26" si="9">ROUND((E8*E25),2)</f>
        <v>2010.31</v>
      </c>
      <c r="F26" s="33">
        <f t="shared" si="9"/>
        <v>2010.31</v>
      </c>
      <c r="G26" s="33">
        <f t="shared" si="9"/>
        <v>2092.33</v>
      </c>
      <c r="H26" s="33">
        <f t="shared" si="9"/>
        <v>2153.3000000000002</v>
      </c>
      <c r="I26" s="33">
        <f t="shared" si="9"/>
        <v>2061.4</v>
      </c>
      <c r="J26" s="33">
        <f t="shared" si="9"/>
        <v>2039.1</v>
      </c>
      <c r="K26" s="33">
        <f t="shared" si="9"/>
        <v>2139.84</v>
      </c>
      <c r="L26" s="33">
        <f t="shared" si="9"/>
        <v>2157.02</v>
      </c>
      <c r="M26" s="33">
        <f t="shared" si="9"/>
        <v>2182.91</v>
      </c>
      <c r="N26" s="33">
        <f t="shared" ref="N26" si="10">ROUND((N8*N25),2)</f>
        <v>2330.4699999999998</v>
      </c>
    </row>
    <row r="27" spans="1:14" ht="18" customHeight="1" x14ac:dyDescent="0.25">
      <c r="A27" s="150" t="s">
        <v>94</v>
      </c>
      <c r="B27" s="150"/>
      <c r="C27" s="150"/>
      <c r="D27" s="150"/>
      <c r="E27" s="52" t="s">
        <v>83</v>
      </c>
      <c r="F27" s="52" t="s">
        <v>83</v>
      </c>
      <c r="G27" s="52" t="s">
        <v>83</v>
      </c>
      <c r="H27" s="52" t="s">
        <v>83</v>
      </c>
      <c r="I27" s="52" t="s">
        <v>83</v>
      </c>
      <c r="J27" s="52" t="s">
        <v>83</v>
      </c>
      <c r="K27" s="52" t="s">
        <v>83</v>
      </c>
      <c r="L27" s="52" t="s">
        <v>83</v>
      </c>
      <c r="M27" s="52" t="s">
        <v>83</v>
      </c>
      <c r="N27" s="52" t="s">
        <v>83</v>
      </c>
    </row>
    <row r="28" spans="1:14" ht="18" customHeight="1" x14ac:dyDescent="0.25">
      <c r="A28" s="6" t="s">
        <v>0</v>
      </c>
      <c r="B28" s="119" t="s">
        <v>50</v>
      </c>
      <c r="C28" s="121"/>
      <c r="D28" s="11">
        <v>0.76880000000000004</v>
      </c>
      <c r="E28" s="26">
        <f t="shared" ref="E28:M28" si="11">ROUND(((E8+E18+E23+E26)*$D$28),2)</f>
        <v>5387.51</v>
      </c>
      <c r="F28" s="26">
        <f t="shared" si="11"/>
        <v>5387.51</v>
      </c>
      <c r="G28" s="26">
        <f t="shared" si="11"/>
        <v>5602.9</v>
      </c>
      <c r="H28" s="26">
        <f t="shared" si="11"/>
        <v>5649.77</v>
      </c>
      <c r="I28" s="26">
        <f t="shared" si="11"/>
        <v>5579.12</v>
      </c>
      <c r="J28" s="26">
        <f t="shared" si="11"/>
        <v>5561.98</v>
      </c>
      <c r="K28" s="26">
        <f t="shared" si="11"/>
        <v>5846.31</v>
      </c>
      <c r="L28" s="26">
        <f t="shared" si="11"/>
        <v>5859.52</v>
      </c>
      <c r="M28" s="26">
        <f t="shared" si="11"/>
        <v>5933.06</v>
      </c>
      <c r="N28" s="26">
        <f t="shared" ref="N28" si="12">ROUND(((N8+N18+N23+N26)*$D$28),2)</f>
        <v>6325.3</v>
      </c>
    </row>
    <row r="29" spans="1:14" ht="18" customHeight="1" x14ac:dyDescent="0.25">
      <c r="A29" s="6" t="s">
        <v>1</v>
      </c>
      <c r="B29" s="119" t="s">
        <v>51</v>
      </c>
      <c r="C29" s="121"/>
      <c r="D29" s="11">
        <v>0.1</v>
      </c>
      <c r="E29" s="26">
        <f t="shared" ref="E29:M29" si="13">ROUND(((E8+E18+E23+E26+E28)*$D$29),2)</f>
        <v>1239.52</v>
      </c>
      <c r="F29" s="26">
        <f t="shared" si="13"/>
        <v>1239.52</v>
      </c>
      <c r="G29" s="26">
        <f t="shared" si="13"/>
        <v>1289.08</v>
      </c>
      <c r="H29" s="26">
        <f t="shared" si="13"/>
        <v>1299.8599999999999</v>
      </c>
      <c r="I29" s="26">
        <f t="shared" si="13"/>
        <v>1283.5999999999999</v>
      </c>
      <c r="J29" s="26">
        <f t="shared" si="13"/>
        <v>1279.6600000000001</v>
      </c>
      <c r="K29" s="26">
        <f t="shared" si="13"/>
        <v>1345.08</v>
      </c>
      <c r="L29" s="26">
        <f t="shared" si="13"/>
        <v>1348.12</v>
      </c>
      <c r="M29" s="26">
        <f t="shared" si="13"/>
        <v>1365.04</v>
      </c>
      <c r="N29" s="26">
        <f t="shared" ref="N29" si="14">ROUND(((N8+N18+N23+N26+N28)*$D$29),2)</f>
        <v>1455.28</v>
      </c>
    </row>
    <row r="30" spans="1:14" ht="18" customHeight="1" x14ac:dyDescent="0.25">
      <c r="A30" s="6" t="s">
        <v>2</v>
      </c>
      <c r="B30" s="119" t="s">
        <v>88</v>
      </c>
      <c r="C30" s="121"/>
      <c r="D30" s="11">
        <f>13.15%</f>
        <v>0.13150000000000001</v>
      </c>
      <c r="E30" s="26">
        <f t="shared" ref="E30:M30" si="15">E31+E32+E33+E34</f>
        <v>2064.4300000000003</v>
      </c>
      <c r="F30" s="26">
        <f t="shared" si="15"/>
        <v>2064.4300000000003</v>
      </c>
      <c r="G30" s="26">
        <f t="shared" si="15"/>
        <v>2146.9700000000003</v>
      </c>
      <c r="H30" s="26">
        <f t="shared" si="15"/>
        <v>2164.9299999999998</v>
      </c>
      <c r="I30" s="26">
        <f t="shared" si="15"/>
        <v>2137.87</v>
      </c>
      <c r="J30" s="26">
        <f t="shared" si="15"/>
        <v>2131.3000000000002</v>
      </c>
      <c r="K30" s="26">
        <f t="shared" si="15"/>
        <v>2240.23</v>
      </c>
      <c r="L30" s="26">
        <f t="shared" si="15"/>
        <v>2245.31</v>
      </c>
      <c r="M30" s="26">
        <f t="shared" si="15"/>
        <v>2273.4899999999998</v>
      </c>
      <c r="N30" s="26">
        <f t="shared" ref="N30" si="16">N31+N32+N33+N34</f>
        <v>2423.79</v>
      </c>
    </row>
    <row r="31" spans="1:14" ht="18" customHeight="1" x14ac:dyDescent="0.25">
      <c r="A31" s="12"/>
      <c r="B31" s="116" t="s">
        <v>99</v>
      </c>
      <c r="C31" s="118"/>
      <c r="D31" s="9">
        <v>0.03</v>
      </c>
      <c r="E31" s="27">
        <f t="shared" ref="E31:M31" si="17">ROUND(((E8+E18+E23+E26+E28+E29)/0.8685*$D$31),2)</f>
        <v>470.97</v>
      </c>
      <c r="F31" s="27">
        <f t="shared" si="17"/>
        <v>470.97</v>
      </c>
      <c r="G31" s="27">
        <f t="shared" si="17"/>
        <v>489.8</v>
      </c>
      <c r="H31" s="27">
        <f t="shared" si="17"/>
        <v>493.9</v>
      </c>
      <c r="I31" s="27">
        <f t="shared" si="17"/>
        <v>487.73</v>
      </c>
      <c r="J31" s="27">
        <f t="shared" si="17"/>
        <v>486.23</v>
      </c>
      <c r="K31" s="27">
        <f t="shared" si="17"/>
        <v>511.08</v>
      </c>
      <c r="L31" s="27">
        <f t="shared" si="17"/>
        <v>512.24</v>
      </c>
      <c r="M31" s="27">
        <f t="shared" si="17"/>
        <v>518.66999999999996</v>
      </c>
      <c r="N31" s="27">
        <f t="shared" ref="N31" si="18">ROUND(((N8+N18+N23+N26+N28+N29)/0.8685*$D$31),2)</f>
        <v>552.96</v>
      </c>
    </row>
    <row r="32" spans="1:14" ht="18" customHeight="1" x14ac:dyDescent="0.25">
      <c r="A32" s="12"/>
      <c r="B32" s="116" t="s">
        <v>100</v>
      </c>
      <c r="C32" s="118"/>
      <c r="D32" s="9">
        <v>6.4999999999999997E-3</v>
      </c>
      <c r="E32" s="27">
        <f t="shared" ref="E32:M32" si="19">ROUND(((E8+E18+E23+E26+E28+E29)/0.8685*$D$32),2)</f>
        <v>102.04</v>
      </c>
      <c r="F32" s="27">
        <f t="shared" si="19"/>
        <v>102.04</v>
      </c>
      <c r="G32" s="27">
        <f t="shared" si="19"/>
        <v>106.12</v>
      </c>
      <c r="H32" s="27">
        <f t="shared" si="19"/>
        <v>107.01</v>
      </c>
      <c r="I32" s="27">
        <f t="shared" si="19"/>
        <v>105.67</v>
      </c>
      <c r="J32" s="27">
        <f t="shared" si="19"/>
        <v>105.35</v>
      </c>
      <c r="K32" s="27">
        <f t="shared" si="19"/>
        <v>110.73</v>
      </c>
      <c r="L32" s="27">
        <f t="shared" si="19"/>
        <v>110.98</v>
      </c>
      <c r="M32" s="27">
        <f t="shared" si="19"/>
        <v>112.38</v>
      </c>
      <c r="N32" s="27">
        <f t="shared" ref="N32" si="20">ROUND(((N8+N18+N23+N26+N28+N29)/0.8685*$D$32),2)</f>
        <v>119.81</v>
      </c>
    </row>
    <row r="33" spans="1:14" ht="18" customHeight="1" x14ac:dyDescent="0.25">
      <c r="A33" s="12"/>
      <c r="B33" s="116" t="s">
        <v>101</v>
      </c>
      <c r="C33" s="118"/>
      <c r="D33" s="9">
        <v>0.05</v>
      </c>
      <c r="E33" s="27">
        <f t="shared" ref="E33:M33" si="21">ROUND(((E8+E18+E23+E26+E28+E29)/0.8685*$D$33),2)</f>
        <v>784.96</v>
      </c>
      <c r="F33" s="27">
        <f t="shared" si="21"/>
        <v>784.96</v>
      </c>
      <c r="G33" s="27">
        <f t="shared" si="21"/>
        <v>816.34</v>
      </c>
      <c r="H33" s="27">
        <f t="shared" si="21"/>
        <v>823.17</v>
      </c>
      <c r="I33" s="27">
        <f t="shared" si="21"/>
        <v>812.88</v>
      </c>
      <c r="J33" s="27">
        <f t="shared" si="21"/>
        <v>810.38</v>
      </c>
      <c r="K33" s="27">
        <f t="shared" si="21"/>
        <v>851.8</v>
      </c>
      <c r="L33" s="27">
        <f t="shared" si="21"/>
        <v>853.73</v>
      </c>
      <c r="M33" s="27">
        <f t="shared" si="21"/>
        <v>864.44</v>
      </c>
      <c r="N33" s="27">
        <f t="shared" ref="N33" si="22">ROUND(((N8+N18+N23+N26+N28+N29)/0.8685*$D$33),2)</f>
        <v>921.59</v>
      </c>
    </row>
    <row r="34" spans="1:14" ht="18" customHeight="1" x14ac:dyDescent="0.25">
      <c r="A34" s="12"/>
      <c r="B34" s="116" t="s">
        <v>87</v>
      </c>
      <c r="C34" s="118"/>
      <c r="D34" s="9">
        <v>4.4999999999999998E-2</v>
      </c>
      <c r="E34" s="27">
        <f t="shared" ref="E34:M34" si="23">ROUND((((E8+E18+E23+E26+E28+E29)/0.8685)*$D$34),2)</f>
        <v>706.46</v>
      </c>
      <c r="F34" s="27">
        <f t="shared" si="23"/>
        <v>706.46</v>
      </c>
      <c r="G34" s="27">
        <f t="shared" si="23"/>
        <v>734.71</v>
      </c>
      <c r="H34" s="27">
        <f t="shared" si="23"/>
        <v>740.85</v>
      </c>
      <c r="I34" s="27">
        <f t="shared" si="23"/>
        <v>731.59</v>
      </c>
      <c r="J34" s="27">
        <f t="shared" si="23"/>
        <v>729.34</v>
      </c>
      <c r="K34" s="27">
        <f t="shared" si="23"/>
        <v>766.62</v>
      </c>
      <c r="L34" s="27">
        <f t="shared" si="23"/>
        <v>768.36</v>
      </c>
      <c r="M34" s="27">
        <f t="shared" si="23"/>
        <v>778</v>
      </c>
      <c r="N34" s="27">
        <f t="shared" ref="N34" si="24">ROUND((((N8+N18+N23+N26+N28+N29)/0.8685)*$D$34),2)</f>
        <v>829.43</v>
      </c>
    </row>
    <row r="35" spans="1:14" ht="18" customHeight="1" x14ac:dyDescent="0.25">
      <c r="A35" s="131" t="s">
        <v>89</v>
      </c>
      <c r="B35" s="129"/>
      <c r="C35" s="130"/>
      <c r="D35" s="53">
        <f t="shared" ref="D35:M35" si="25">D28+D29+D30</f>
        <v>1.0003</v>
      </c>
      <c r="E35" s="51">
        <f t="shared" si="25"/>
        <v>8691.4600000000009</v>
      </c>
      <c r="F35" s="51">
        <f t="shared" si="25"/>
        <v>8691.4600000000009</v>
      </c>
      <c r="G35" s="51">
        <f t="shared" si="25"/>
        <v>9038.9500000000007</v>
      </c>
      <c r="H35" s="51">
        <f t="shared" si="25"/>
        <v>9114.56</v>
      </c>
      <c r="I35" s="51">
        <f t="shared" si="25"/>
        <v>9000.59</v>
      </c>
      <c r="J35" s="51">
        <f t="shared" si="25"/>
        <v>8972.9399999999987</v>
      </c>
      <c r="K35" s="51">
        <f t="shared" si="25"/>
        <v>9431.6200000000008</v>
      </c>
      <c r="L35" s="51">
        <f t="shared" si="25"/>
        <v>9452.9500000000007</v>
      </c>
      <c r="M35" s="51">
        <f t="shared" si="25"/>
        <v>9571.59</v>
      </c>
      <c r="N35" s="51">
        <f t="shared" ref="N35" si="26">N28+N29+N30</f>
        <v>10204.369999999999</v>
      </c>
    </row>
    <row r="36" spans="1:14" ht="39.75" customHeight="1" x14ac:dyDescent="0.2">
      <c r="A36" s="136" t="s">
        <v>95</v>
      </c>
      <c r="B36" s="136"/>
      <c r="C36" s="136"/>
      <c r="D36" s="136"/>
      <c r="E36" s="35" t="s">
        <v>147</v>
      </c>
      <c r="F36" s="93" t="s">
        <v>148</v>
      </c>
      <c r="G36" s="35" t="s">
        <v>149</v>
      </c>
      <c r="H36" s="93" t="s">
        <v>150</v>
      </c>
      <c r="I36" s="89" t="s">
        <v>146</v>
      </c>
      <c r="J36" s="35" t="s">
        <v>117</v>
      </c>
      <c r="K36" s="35" t="s">
        <v>118</v>
      </c>
      <c r="L36" s="35" t="s">
        <v>126</v>
      </c>
      <c r="M36" s="35" t="s">
        <v>125</v>
      </c>
      <c r="N36" s="35" t="s">
        <v>151</v>
      </c>
    </row>
    <row r="37" spans="1:14" ht="18" customHeight="1" x14ac:dyDescent="0.25">
      <c r="A37" s="13" t="s">
        <v>0</v>
      </c>
      <c r="B37" s="138" t="s">
        <v>52</v>
      </c>
      <c r="C37" s="138"/>
      <c r="D37" s="138"/>
      <c r="E37" s="27">
        <f t="shared" ref="E37:M37" si="27">E8</f>
        <v>4371.2</v>
      </c>
      <c r="F37" s="27">
        <f t="shared" si="27"/>
        <v>4371.2</v>
      </c>
      <c r="G37" s="27">
        <f t="shared" si="27"/>
        <v>4549.54</v>
      </c>
      <c r="H37" s="27">
        <f t="shared" si="27"/>
        <v>4549.54</v>
      </c>
      <c r="I37" s="27">
        <f t="shared" si="27"/>
        <v>4549.54</v>
      </c>
      <c r="J37" s="27">
        <f t="shared" si="27"/>
        <v>4549.54</v>
      </c>
      <c r="K37" s="27">
        <f t="shared" si="27"/>
        <v>4774.29</v>
      </c>
      <c r="L37" s="27">
        <f t="shared" si="27"/>
        <v>4774.29</v>
      </c>
      <c r="M37" s="27">
        <f t="shared" si="27"/>
        <v>4831.58</v>
      </c>
      <c r="N37" s="27">
        <f t="shared" ref="N37" si="28">N8</f>
        <v>5158.1899999999996</v>
      </c>
    </row>
    <row r="38" spans="1:14" ht="18" customHeight="1" x14ac:dyDescent="0.25">
      <c r="A38" s="13" t="s">
        <v>1</v>
      </c>
      <c r="B38" s="138" t="s">
        <v>53</v>
      </c>
      <c r="C38" s="138"/>
      <c r="D38" s="138"/>
      <c r="E38" s="27">
        <f t="shared" ref="E38:M38" si="29">E18</f>
        <v>626.17999999999995</v>
      </c>
      <c r="F38" s="27">
        <f t="shared" si="29"/>
        <v>626.17999999999995</v>
      </c>
      <c r="G38" s="27">
        <f t="shared" si="29"/>
        <v>645.98</v>
      </c>
      <c r="H38" s="27">
        <f t="shared" si="29"/>
        <v>645.98</v>
      </c>
      <c r="I38" s="27">
        <f t="shared" si="29"/>
        <v>645.98</v>
      </c>
      <c r="J38" s="27">
        <f t="shared" si="29"/>
        <v>645.98</v>
      </c>
      <c r="K38" s="27">
        <f t="shared" si="29"/>
        <v>690.32999999999993</v>
      </c>
      <c r="L38" s="27">
        <f t="shared" si="29"/>
        <v>690.32999999999993</v>
      </c>
      <c r="M38" s="27">
        <f t="shared" si="29"/>
        <v>702.81</v>
      </c>
      <c r="N38" s="27">
        <f t="shared" ref="N38" si="30">N18</f>
        <v>738.84</v>
      </c>
    </row>
    <row r="39" spans="1:14" ht="18" customHeight="1" x14ac:dyDescent="0.25">
      <c r="A39" s="13" t="s">
        <v>2</v>
      </c>
      <c r="B39" s="138" t="s">
        <v>54</v>
      </c>
      <c r="C39" s="138"/>
      <c r="D39" s="138"/>
      <c r="E39" s="27">
        <f t="shared" ref="E39:M39" si="31">E23</f>
        <v>0</v>
      </c>
      <c r="F39" s="27">
        <f t="shared" si="31"/>
        <v>0</v>
      </c>
      <c r="G39" s="27">
        <f t="shared" si="31"/>
        <v>0</v>
      </c>
      <c r="H39" s="27">
        <f t="shared" si="31"/>
        <v>0</v>
      </c>
      <c r="I39" s="27">
        <f t="shared" si="31"/>
        <v>0</v>
      </c>
      <c r="J39" s="27">
        <f t="shared" si="31"/>
        <v>0</v>
      </c>
      <c r="K39" s="27">
        <f t="shared" si="31"/>
        <v>0</v>
      </c>
      <c r="L39" s="27">
        <f t="shared" si="31"/>
        <v>0</v>
      </c>
      <c r="M39" s="27">
        <f t="shared" si="31"/>
        <v>0</v>
      </c>
      <c r="N39" s="27">
        <f t="shared" ref="N39" si="32">N23</f>
        <v>0</v>
      </c>
    </row>
    <row r="40" spans="1:14" ht="18" customHeight="1" x14ac:dyDescent="0.25">
      <c r="A40" s="13" t="s">
        <v>3</v>
      </c>
      <c r="B40" s="138" t="s">
        <v>55</v>
      </c>
      <c r="C40" s="138"/>
      <c r="D40" s="138"/>
      <c r="E40" s="27">
        <f t="shared" ref="E40:M40" si="33">E26</f>
        <v>2010.31</v>
      </c>
      <c r="F40" s="27">
        <f t="shared" si="33"/>
        <v>2010.31</v>
      </c>
      <c r="G40" s="27">
        <f t="shared" si="33"/>
        <v>2092.33</v>
      </c>
      <c r="H40" s="27">
        <f t="shared" si="33"/>
        <v>2153.3000000000002</v>
      </c>
      <c r="I40" s="27">
        <f t="shared" si="33"/>
        <v>2061.4</v>
      </c>
      <c r="J40" s="27">
        <f t="shared" si="33"/>
        <v>2039.1</v>
      </c>
      <c r="K40" s="27">
        <f t="shared" si="33"/>
        <v>2139.84</v>
      </c>
      <c r="L40" s="27">
        <f t="shared" si="33"/>
        <v>2157.02</v>
      </c>
      <c r="M40" s="27">
        <f t="shared" si="33"/>
        <v>2182.91</v>
      </c>
      <c r="N40" s="27">
        <f t="shared" ref="N40" si="34">N26</f>
        <v>2330.4699999999998</v>
      </c>
    </row>
    <row r="41" spans="1:14" s="19" customFormat="1" ht="18" customHeight="1" x14ac:dyDescent="0.25">
      <c r="A41" s="139" t="s">
        <v>56</v>
      </c>
      <c r="B41" s="139"/>
      <c r="C41" s="139"/>
      <c r="D41" s="139"/>
      <c r="E41" s="35">
        <f t="shared" ref="E41:M41" si="35">SUM(E37:E40)</f>
        <v>7007.6900000000005</v>
      </c>
      <c r="F41" s="35">
        <f t="shared" si="35"/>
        <v>7007.6900000000005</v>
      </c>
      <c r="G41" s="35">
        <f t="shared" si="35"/>
        <v>7287.85</v>
      </c>
      <c r="H41" s="35">
        <f t="shared" si="35"/>
        <v>7348.8200000000006</v>
      </c>
      <c r="I41" s="35">
        <f t="shared" si="35"/>
        <v>7256.92</v>
      </c>
      <c r="J41" s="35">
        <f t="shared" si="35"/>
        <v>7234.6200000000008</v>
      </c>
      <c r="K41" s="35">
        <f t="shared" si="35"/>
        <v>7604.46</v>
      </c>
      <c r="L41" s="35">
        <f t="shared" si="35"/>
        <v>7621.6399999999994</v>
      </c>
      <c r="M41" s="35">
        <f t="shared" si="35"/>
        <v>7717.2999999999993</v>
      </c>
      <c r="N41" s="35">
        <f t="shared" ref="N41" si="36">SUM(N37:N40)</f>
        <v>8227.5</v>
      </c>
    </row>
    <row r="42" spans="1:14" ht="18" customHeight="1" x14ac:dyDescent="0.25">
      <c r="A42" s="13" t="s">
        <v>5</v>
      </c>
      <c r="B42" s="138" t="s">
        <v>57</v>
      </c>
      <c r="C42" s="138"/>
      <c r="D42" s="138"/>
      <c r="E42" s="27">
        <f t="shared" ref="E42:M42" si="37">E35</f>
        <v>8691.4600000000009</v>
      </c>
      <c r="F42" s="27">
        <f t="shared" si="37"/>
        <v>8691.4600000000009</v>
      </c>
      <c r="G42" s="27">
        <f t="shared" si="37"/>
        <v>9038.9500000000007</v>
      </c>
      <c r="H42" s="27">
        <f t="shared" si="37"/>
        <v>9114.56</v>
      </c>
      <c r="I42" s="27">
        <f t="shared" si="37"/>
        <v>9000.59</v>
      </c>
      <c r="J42" s="27">
        <f t="shared" si="37"/>
        <v>8972.9399999999987</v>
      </c>
      <c r="K42" s="27">
        <f t="shared" si="37"/>
        <v>9431.6200000000008</v>
      </c>
      <c r="L42" s="27">
        <f t="shared" si="37"/>
        <v>9452.9500000000007</v>
      </c>
      <c r="M42" s="27">
        <f t="shared" si="37"/>
        <v>9571.59</v>
      </c>
      <c r="N42" s="27">
        <f t="shared" ref="N42" si="38">N35</f>
        <v>10204.369999999999</v>
      </c>
    </row>
    <row r="43" spans="1:14" s="19" customFormat="1" ht="18" customHeight="1" x14ac:dyDescent="0.25">
      <c r="A43" s="139" t="s">
        <v>58</v>
      </c>
      <c r="B43" s="139"/>
      <c r="C43" s="139"/>
      <c r="D43" s="139"/>
      <c r="E43" s="35">
        <f t="shared" ref="E43:M43" si="39">E41+E42</f>
        <v>15699.150000000001</v>
      </c>
      <c r="F43" s="35">
        <f t="shared" si="39"/>
        <v>15699.150000000001</v>
      </c>
      <c r="G43" s="35">
        <f t="shared" si="39"/>
        <v>16326.800000000001</v>
      </c>
      <c r="H43" s="35">
        <f t="shared" si="39"/>
        <v>16463.38</v>
      </c>
      <c r="I43" s="35">
        <f t="shared" si="39"/>
        <v>16257.51</v>
      </c>
      <c r="J43" s="35">
        <f t="shared" si="39"/>
        <v>16207.56</v>
      </c>
      <c r="K43" s="35">
        <f t="shared" si="39"/>
        <v>17036.080000000002</v>
      </c>
      <c r="L43" s="35">
        <f t="shared" si="39"/>
        <v>17074.59</v>
      </c>
      <c r="M43" s="35">
        <f t="shared" si="39"/>
        <v>17288.89</v>
      </c>
      <c r="N43" s="35">
        <f t="shared" ref="N43" si="40">N41+N42</f>
        <v>18431.87</v>
      </c>
    </row>
    <row r="44" spans="1:14" ht="18" customHeight="1" x14ac:dyDescent="0.25">
      <c r="A44" s="140" t="s">
        <v>86</v>
      </c>
      <c r="B44" s="140"/>
      <c r="C44" s="140"/>
      <c r="D44" s="140"/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</row>
    <row r="45" spans="1:14" ht="18" customHeight="1" x14ac:dyDescent="0.25">
      <c r="A45" s="125" t="s">
        <v>114</v>
      </c>
      <c r="B45" s="126"/>
      <c r="C45" s="126"/>
      <c r="D45" s="127"/>
      <c r="E45" s="34">
        <f t="shared" ref="E45:M45" si="41">ROUND((E44*E43),2)</f>
        <v>15699.15</v>
      </c>
      <c r="F45" s="34">
        <f t="shared" si="41"/>
        <v>15699.15</v>
      </c>
      <c r="G45" s="34">
        <f t="shared" si="41"/>
        <v>16326.8</v>
      </c>
      <c r="H45" s="34">
        <f t="shared" si="41"/>
        <v>16463.38</v>
      </c>
      <c r="I45" s="34">
        <f t="shared" si="41"/>
        <v>16257.51</v>
      </c>
      <c r="J45" s="34">
        <f t="shared" si="41"/>
        <v>16207.56</v>
      </c>
      <c r="K45" s="34">
        <f t="shared" si="41"/>
        <v>17036.080000000002</v>
      </c>
      <c r="L45" s="34">
        <f t="shared" si="41"/>
        <v>17074.59</v>
      </c>
      <c r="M45" s="34">
        <f t="shared" si="41"/>
        <v>17288.89</v>
      </c>
      <c r="N45" s="34">
        <f t="shared" ref="N45" si="42">ROUND((N44*N43),2)</f>
        <v>18431.87</v>
      </c>
    </row>
  </sheetData>
  <mergeCells count="45">
    <mergeCell ref="B42:D42"/>
    <mergeCell ref="A43:D43"/>
    <mergeCell ref="A44:D44"/>
    <mergeCell ref="A45:D45"/>
    <mergeCell ref="A18:D18"/>
    <mergeCell ref="A19:D19"/>
    <mergeCell ref="A23:D23"/>
    <mergeCell ref="A41:D41"/>
    <mergeCell ref="A24:D25"/>
    <mergeCell ref="A26:D26"/>
    <mergeCell ref="A27:D27"/>
    <mergeCell ref="B31:C31"/>
    <mergeCell ref="B21:C21"/>
    <mergeCell ref="B22:C22"/>
    <mergeCell ref="B33:C33"/>
    <mergeCell ref="B20:C20"/>
    <mergeCell ref="A6:D6"/>
    <mergeCell ref="A5:B5"/>
    <mergeCell ref="A2:N2"/>
    <mergeCell ref="A3:N3"/>
    <mergeCell ref="A4:N4"/>
    <mergeCell ref="C5:N5"/>
    <mergeCell ref="A1:N1"/>
    <mergeCell ref="B7:D7"/>
    <mergeCell ref="B34:C34"/>
    <mergeCell ref="B28:C28"/>
    <mergeCell ref="B29:C29"/>
    <mergeCell ref="B30:C30"/>
    <mergeCell ref="B32:C32"/>
    <mergeCell ref="B13:D13"/>
    <mergeCell ref="B14:D14"/>
    <mergeCell ref="B15:D15"/>
    <mergeCell ref="B16:D16"/>
    <mergeCell ref="B17:D17"/>
    <mergeCell ref="A8:D8"/>
    <mergeCell ref="A9:D9"/>
    <mergeCell ref="B10:D10"/>
    <mergeCell ref="B12:D12"/>
    <mergeCell ref="B11:D11"/>
    <mergeCell ref="B40:D40"/>
    <mergeCell ref="A35:C35"/>
    <mergeCell ref="A36:D36"/>
    <mergeCell ref="B37:D37"/>
    <mergeCell ref="B38:D38"/>
    <mergeCell ref="B39:D39"/>
  </mergeCells>
  <pageMargins left="0.31496062992125984" right="0.11811023622047245" top="0.59055118110236227" bottom="0.39370078740157483" header="0.31496062992125984" footer="0.31496062992125984"/>
  <pageSetup paperSize="9" scale="95" orientation="portrait" r:id="rId1"/>
  <headerFooter>
    <oddHeader xml:space="preserve">&amp;L&amp;"Times New Roman,Negrito"&amp;10PODER JUDICIÁRIO
CONSELHO DA JUSTIÇA FEDERAL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"/>
  <sheetViews>
    <sheetView showGridLines="0" zoomScale="110" zoomScaleNormal="110" workbookViewId="0">
      <selection activeCell="Q6" sqref="Q6"/>
    </sheetView>
  </sheetViews>
  <sheetFormatPr defaultColWidth="9.140625" defaultRowHeight="12.75" x14ac:dyDescent="0.25"/>
  <cols>
    <col min="1" max="1" width="4" style="3" customWidth="1"/>
    <col min="2" max="2" width="40.7109375" style="4" customWidth="1"/>
    <col min="3" max="3" width="5.42578125" style="4" customWidth="1"/>
    <col min="4" max="4" width="7.5703125" style="4" bestFit="1" customWidth="1"/>
    <col min="5" max="5" width="17" style="4" hidden="1" customWidth="1"/>
    <col min="6" max="6" width="15.7109375" style="4" hidden="1" customWidth="1"/>
    <col min="7" max="7" width="15.5703125" style="4" hidden="1" customWidth="1"/>
    <col min="8" max="8" width="15.42578125" style="4" hidden="1" customWidth="1"/>
    <col min="9" max="13" width="15.5703125" style="22" hidden="1" customWidth="1"/>
    <col min="14" max="14" width="16.42578125" style="4" customWidth="1"/>
    <col min="15" max="16384" width="9.140625" style="4"/>
  </cols>
  <sheetData>
    <row r="1" spans="1:16" ht="31.5" customHeight="1" x14ac:dyDescent="0.25">
      <c r="A1" s="171" t="s">
        <v>160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6" ht="27" customHeight="1" x14ac:dyDescent="0.25">
      <c r="A2" s="152" t="s">
        <v>104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6" ht="18" customHeight="1" x14ac:dyDescent="0.25">
      <c r="A3" s="145" t="s">
        <v>105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ht="18" customHeight="1" x14ac:dyDescent="0.25">
      <c r="A4" s="138" t="s">
        <v>159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6" ht="18" customHeight="1" x14ac:dyDescent="0.25">
      <c r="A5" s="151" t="s">
        <v>76</v>
      </c>
      <c r="B5" s="151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6" ht="38.25" customHeight="1" x14ac:dyDescent="0.25">
      <c r="A6" s="132" t="s">
        <v>90</v>
      </c>
      <c r="B6" s="133"/>
      <c r="C6" s="133"/>
      <c r="D6" s="134"/>
      <c r="E6" s="35" t="s">
        <v>147</v>
      </c>
      <c r="F6" s="80" t="s">
        <v>148</v>
      </c>
      <c r="G6" s="80" t="s">
        <v>149</v>
      </c>
      <c r="H6" s="80" t="s">
        <v>150</v>
      </c>
      <c r="I6" s="35" t="s">
        <v>146</v>
      </c>
      <c r="J6" s="35" t="s">
        <v>117</v>
      </c>
      <c r="K6" s="35" t="s">
        <v>118</v>
      </c>
      <c r="L6" s="35" t="s">
        <v>126</v>
      </c>
      <c r="M6" s="35" t="s">
        <v>125</v>
      </c>
      <c r="N6" s="35" t="s">
        <v>151</v>
      </c>
    </row>
    <row r="7" spans="1:16" s="5" customFormat="1" ht="18" customHeight="1" x14ac:dyDescent="0.25">
      <c r="A7" s="13" t="s">
        <v>0</v>
      </c>
      <c r="B7" s="138" t="s">
        <v>77</v>
      </c>
      <c r="C7" s="116"/>
      <c r="D7" s="28"/>
      <c r="E7" s="95">
        <v>1967.04</v>
      </c>
      <c r="F7" s="95">
        <v>1967.04</v>
      </c>
      <c r="G7" s="95">
        <v>2047.3</v>
      </c>
      <c r="H7" s="95">
        <v>2047.3</v>
      </c>
      <c r="I7" s="23">
        <v>2047.3</v>
      </c>
      <c r="J7" s="23">
        <v>2047.3</v>
      </c>
      <c r="K7" s="23">
        <f>ROUND((2047.3*1.0494),2)</f>
        <v>2148.44</v>
      </c>
      <c r="L7" s="23">
        <f>ROUND((2047.3*1.0494),2)</f>
        <v>2148.44</v>
      </c>
      <c r="M7" s="23">
        <f>ROUND((2047.3*1.0494*1.012),2)</f>
        <v>2174.2199999999998</v>
      </c>
      <c r="N7" s="23">
        <f>ROUND((2047.3*1.0494*1.012*1.0676),2)</f>
        <v>2321.19</v>
      </c>
    </row>
    <row r="8" spans="1:16" ht="18" customHeight="1" x14ac:dyDescent="0.25">
      <c r="A8" s="122" t="s">
        <v>4</v>
      </c>
      <c r="B8" s="123"/>
      <c r="C8" s="123"/>
      <c r="D8" s="124"/>
      <c r="E8" s="102">
        <v>1967.04</v>
      </c>
      <c r="F8" s="102">
        <v>1967.04</v>
      </c>
      <c r="G8" s="102">
        <v>2047.3</v>
      </c>
      <c r="H8" s="102">
        <v>2047.3</v>
      </c>
      <c r="I8" s="34">
        <f t="shared" ref="I8:N8" si="0">SUM(I7:I7)</f>
        <v>2047.3</v>
      </c>
      <c r="J8" s="34">
        <f t="shared" si="0"/>
        <v>2047.3</v>
      </c>
      <c r="K8" s="34">
        <f t="shared" si="0"/>
        <v>2148.44</v>
      </c>
      <c r="L8" s="34">
        <f t="shared" si="0"/>
        <v>2148.44</v>
      </c>
      <c r="M8" s="34">
        <f t="shared" si="0"/>
        <v>2174.2199999999998</v>
      </c>
      <c r="N8" s="34">
        <f t="shared" si="0"/>
        <v>2321.19</v>
      </c>
    </row>
    <row r="9" spans="1:16" ht="18" customHeight="1" x14ac:dyDescent="0.25">
      <c r="A9" s="141" t="s">
        <v>91</v>
      </c>
      <c r="B9" s="142"/>
      <c r="C9" s="142"/>
      <c r="D9" s="143"/>
      <c r="E9" s="52" t="s">
        <v>83</v>
      </c>
      <c r="F9" s="52" t="s">
        <v>83</v>
      </c>
      <c r="G9" s="52" t="s">
        <v>83</v>
      </c>
      <c r="H9" s="52" t="s">
        <v>83</v>
      </c>
      <c r="I9" s="52" t="s">
        <v>83</v>
      </c>
      <c r="J9" s="52" t="s">
        <v>83</v>
      </c>
      <c r="K9" s="52" t="s">
        <v>83</v>
      </c>
      <c r="L9" s="52" t="s">
        <v>83</v>
      </c>
      <c r="M9" s="52" t="s">
        <v>83</v>
      </c>
      <c r="N9" s="52" t="s">
        <v>83</v>
      </c>
    </row>
    <row r="10" spans="1:16" ht="18" customHeight="1" x14ac:dyDescent="0.25">
      <c r="A10" s="13" t="s">
        <v>0</v>
      </c>
      <c r="B10" s="138" t="s">
        <v>59</v>
      </c>
      <c r="C10" s="116"/>
      <c r="D10" s="28"/>
      <c r="E10" s="24">
        <v>176</v>
      </c>
      <c r="F10" s="24">
        <f t="shared" ref="F10:N10" si="1">10*22</f>
        <v>220</v>
      </c>
      <c r="G10" s="24">
        <f t="shared" si="1"/>
        <v>220</v>
      </c>
      <c r="H10" s="24">
        <f t="shared" si="1"/>
        <v>220</v>
      </c>
      <c r="I10" s="24">
        <f t="shared" si="1"/>
        <v>220</v>
      </c>
      <c r="J10" s="24">
        <f t="shared" si="1"/>
        <v>220</v>
      </c>
      <c r="K10" s="24">
        <f t="shared" si="1"/>
        <v>220</v>
      </c>
      <c r="L10" s="24">
        <f t="shared" si="1"/>
        <v>220</v>
      </c>
      <c r="M10" s="24">
        <f t="shared" si="1"/>
        <v>220</v>
      </c>
      <c r="N10" s="24">
        <f t="shared" si="1"/>
        <v>220</v>
      </c>
    </row>
    <row r="11" spans="1:16" ht="18" customHeight="1" x14ac:dyDescent="0.25">
      <c r="A11" s="13" t="s">
        <v>1</v>
      </c>
      <c r="B11" s="138" t="s">
        <v>60</v>
      </c>
      <c r="C11" s="116"/>
      <c r="D11" s="29"/>
      <c r="E11" s="99">
        <v>118.02</v>
      </c>
      <c r="F11" s="99">
        <v>118.02</v>
      </c>
      <c r="G11" s="99">
        <v>122.84</v>
      </c>
      <c r="H11" s="99">
        <v>122.84</v>
      </c>
      <c r="I11" s="24">
        <f t="shared" ref="I11:N11" si="2">ROUND((I7*6%),2)</f>
        <v>122.84</v>
      </c>
      <c r="J11" s="24">
        <f t="shared" si="2"/>
        <v>122.84</v>
      </c>
      <c r="K11" s="24">
        <f t="shared" si="2"/>
        <v>128.91</v>
      </c>
      <c r="L11" s="24">
        <f t="shared" si="2"/>
        <v>128.91</v>
      </c>
      <c r="M11" s="24">
        <f t="shared" si="2"/>
        <v>130.44999999999999</v>
      </c>
      <c r="N11" s="24">
        <f t="shared" si="2"/>
        <v>139.27000000000001</v>
      </c>
    </row>
    <row r="12" spans="1:16" ht="18" customHeight="1" x14ac:dyDescent="0.25">
      <c r="A12" s="8" t="s">
        <v>2</v>
      </c>
      <c r="B12" s="145" t="s">
        <v>61</v>
      </c>
      <c r="C12" s="119"/>
      <c r="D12" s="30"/>
      <c r="E12" s="100">
        <v>57.98</v>
      </c>
      <c r="F12" s="100">
        <v>101.98</v>
      </c>
      <c r="G12" s="100">
        <v>97.16</v>
      </c>
      <c r="H12" s="100">
        <v>97.16</v>
      </c>
      <c r="I12" s="25">
        <f t="shared" ref="I12:N12" si="3">I10-I11</f>
        <v>97.16</v>
      </c>
      <c r="J12" s="25">
        <f t="shared" si="3"/>
        <v>97.16</v>
      </c>
      <c r="K12" s="25">
        <f t="shared" si="3"/>
        <v>91.09</v>
      </c>
      <c r="L12" s="25">
        <f t="shared" si="3"/>
        <v>91.09</v>
      </c>
      <c r="M12" s="25">
        <f t="shared" si="3"/>
        <v>89.550000000000011</v>
      </c>
      <c r="N12" s="25">
        <f t="shared" si="3"/>
        <v>80.72999999999999</v>
      </c>
      <c r="P12" s="37"/>
    </row>
    <row r="13" spans="1:16" ht="18" customHeight="1" x14ac:dyDescent="0.25">
      <c r="A13" s="13" t="s">
        <v>3</v>
      </c>
      <c r="B13" s="138" t="s">
        <v>62</v>
      </c>
      <c r="C13" s="116"/>
      <c r="D13" s="28"/>
      <c r="E13" s="95">
        <v>506</v>
      </c>
      <c r="F13" s="95">
        <v>506</v>
      </c>
      <c r="G13" s="95">
        <v>528</v>
      </c>
      <c r="H13" s="95">
        <v>528</v>
      </c>
      <c r="I13" s="24">
        <f>22*24</f>
        <v>528</v>
      </c>
      <c r="J13" s="24">
        <f>22*24</f>
        <v>528</v>
      </c>
      <c r="K13" s="24">
        <f>22*26.24</f>
        <v>577.28</v>
      </c>
      <c r="L13" s="24">
        <f>22*26.24</f>
        <v>577.28</v>
      </c>
      <c r="M13" s="24">
        <f>22*26.87</f>
        <v>591.14</v>
      </c>
      <c r="N13" s="24">
        <f>22*28.69</f>
        <v>631.18000000000006</v>
      </c>
    </row>
    <row r="14" spans="1:16" ht="18" customHeight="1" x14ac:dyDescent="0.25">
      <c r="A14" s="13" t="s">
        <v>5</v>
      </c>
      <c r="B14" s="138" t="s">
        <v>63</v>
      </c>
      <c r="C14" s="116"/>
      <c r="D14" s="29"/>
      <c r="E14" s="99">
        <v>25.3</v>
      </c>
      <c r="F14" s="99">
        <v>25.3</v>
      </c>
      <c r="G14" s="99">
        <v>26.4</v>
      </c>
      <c r="H14" s="99">
        <v>26.4</v>
      </c>
      <c r="I14" s="24">
        <f t="shared" ref="I14:N14" si="4">ROUND((I13*5%),2)</f>
        <v>26.4</v>
      </c>
      <c r="J14" s="24">
        <f t="shared" si="4"/>
        <v>26.4</v>
      </c>
      <c r="K14" s="24">
        <f t="shared" si="4"/>
        <v>28.86</v>
      </c>
      <c r="L14" s="24">
        <f t="shared" si="4"/>
        <v>28.86</v>
      </c>
      <c r="M14" s="24">
        <f t="shared" si="4"/>
        <v>29.56</v>
      </c>
      <c r="N14" s="24">
        <f t="shared" si="4"/>
        <v>31.56</v>
      </c>
    </row>
    <row r="15" spans="1:16" ht="18" customHeight="1" x14ac:dyDescent="0.25">
      <c r="A15" s="8" t="s">
        <v>6</v>
      </c>
      <c r="B15" s="138" t="s">
        <v>64</v>
      </c>
      <c r="C15" s="116"/>
      <c r="D15" s="31"/>
      <c r="E15" s="101">
        <v>480.7</v>
      </c>
      <c r="F15" s="101">
        <v>480.7</v>
      </c>
      <c r="G15" s="101">
        <v>501.6</v>
      </c>
      <c r="H15" s="101">
        <v>501.6</v>
      </c>
      <c r="I15" s="25">
        <f t="shared" ref="I15:N15" si="5">I13-I14</f>
        <v>501.6</v>
      </c>
      <c r="J15" s="25">
        <f t="shared" si="5"/>
        <v>501.6</v>
      </c>
      <c r="K15" s="25">
        <f t="shared" si="5"/>
        <v>548.41999999999996</v>
      </c>
      <c r="L15" s="25">
        <f t="shared" si="5"/>
        <v>548.41999999999996</v>
      </c>
      <c r="M15" s="25">
        <f t="shared" si="5"/>
        <v>561.58000000000004</v>
      </c>
      <c r="N15" s="25">
        <f t="shared" si="5"/>
        <v>599.62000000000012</v>
      </c>
    </row>
    <row r="16" spans="1:16" s="19" customFormat="1" ht="18" customHeight="1" x14ac:dyDescent="0.25">
      <c r="A16" s="8" t="s">
        <v>7</v>
      </c>
      <c r="B16" s="138" t="s">
        <v>65</v>
      </c>
      <c r="C16" s="116"/>
      <c r="D16" s="31"/>
      <c r="E16" s="25">
        <v>9.14</v>
      </c>
      <c r="F16" s="25">
        <v>9.14</v>
      </c>
      <c r="G16" s="25">
        <v>9.14</v>
      </c>
      <c r="H16" s="25">
        <v>9.14</v>
      </c>
      <c r="I16" s="25">
        <v>9.14</v>
      </c>
      <c r="J16" s="25">
        <v>9.14</v>
      </c>
      <c r="K16" s="25">
        <v>9.14</v>
      </c>
      <c r="L16" s="25">
        <v>9.14</v>
      </c>
      <c r="M16" s="25">
        <v>9.14</v>
      </c>
      <c r="N16" s="25">
        <v>9.14</v>
      </c>
    </row>
    <row r="17" spans="1:14" s="19" customFormat="1" ht="18" customHeight="1" x14ac:dyDescent="0.25">
      <c r="A17" s="8" t="s">
        <v>8</v>
      </c>
      <c r="B17" s="138" t="s">
        <v>66</v>
      </c>
      <c r="C17" s="116"/>
      <c r="D17" s="32"/>
      <c r="E17" s="25">
        <v>161.63999999999999</v>
      </c>
      <c r="F17" s="25">
        <v>161.63999999999999</v>
      </c>
      <c r="G17" s="25">
        <v>161.63999999999999</v>
      </c>
      <c r="H17" s="25">
        <v>161.63999999999999</v>
      </c>
      <c r="I17" s="25">
        <v>161.63999999999999</v>
      </c>
      <c r="J17" s="25">
        <v>161.63999999999999</v>
      </c>
      <c r="K17" s="25">
        <v>161.63999999999999</v>
      </c>
      <c r="L17" s="25">
        <v>161.63999999999999</v>
      </c>
      <c r="M17" s="25">
        <v>161.63999999999999</v>
      </c>
      <c r="N17" s="25">
        <v>161.63999999999999</v>
      </c>
    </row>
    <row r="18" spans="1:14" ht="18" customHeight="1" x14ac:dyDescent="0.25">
      <c r="A18" s="122" t="s">
        <v>9</v>
      </c>
      <c r="B18" s="123"/>
      <c r="C18" s="123"/>
      <c r="D18" s="124"/>
      <c r="E18" s="36">
        <f t="shared" ref="E18:M18" si="6">E12+E15+E16+E17</f>
        <v>709.45999999999992</v>
      </c>
      <c r="F18" s="36">
        <f t="shared" si="6"/>
        <v>753.45999999999992</v>
      </c>
      <c r="G18" s="36">
        <f t="shared" si="6"/>
        <v>769.54</v>
      </c>
      <c r="H18" s="36">
        <f t="shared" si="6"/>
        <v>769.54</v>
      </c>
      <c r="I18" s="36">
        <f t="shared" si="6"/>
        <v>769.54</v>
      </c>
      <c r="J18" s="36">
        <f t="shared" si="6"/>
        <v>769.54</v>
      </c>
      <c r="K18" s="36">
        <f t="shared" si="6"/>
        <v>810.29</v>
      </c>
      <c r="L18" s="36">
        <f t="shared" si="6"/>
        <v>810.29</v>
      </c>
      <c r="M18" s="36">
        <f t="shared" si="6"/>
        <v>821.91000000000008</v>
      </c>
      <c r="N18" s="36">
        <f t="shared" ref="N18" si="7">N12+N15+N16+N17</f>
        <v>851.13000000000011</v>
      </c>
    </row>
    <row r="19" spans="1:14" ht="18" customHeight="1" x14ac:dyDescent="0.25">
      <c r="A19" s="141" t="s">
        <v>92</v>
      </c>
      <c r="B19" s="142"/>
      <c r="C19" s="142"/>
      <c r="D19" s="143"/>
      <c r="E19" s="52" t="s">
        <v>83</v>
      </c>
      <c r="F19" s="52" t="s">
        <v>83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83</v>
      </c>
    </row>
    <row r="20" spans="1:14" ht="18" hidden="1" customHeight="1" x14ac:dyDescent="0.25">
      <c r="A20" s="13" t="s">
        <v>0</v>
      </c>
      <c r="B20" s="138" t="s">
        <v>67</v>
      </c>
      <c r="C20" s="116"/>
      <c r="D20" s="28"/>
      <c r="E20" s="95"/>
      <c r="F20" s="95"/>
      <c r="G20" s="95"/>
      <c r="H20" s="95"/>
      <c r="I20" s="23">
        <v>0</v>
      </c>
      <c r="J20" s="23">
        <v>0</v>
      </c>
      <c r="K20" s="23">
        <v>0</v>
      </c>
      <c r="L20" s="23"/>
      <c r="M20" s="23"/>
      <c r="N20" s="23"/>
    </row>
    <row r="21" spans="1:14" ht="18" hidden="1" customHeight="1" x14ac:dyDescent="0.25">
      <c r="A21" s="13" t="s">
        <v>1</v>
      </c>
      <c r="B21" s="138" t="s">
        <v>68</v>
      </c>
      <c r="C21" s="116"/>
      <c r="D21" s="28"/>
      <c r="E21" s="95"/>
      <c r="F21" s="95"/>
      <c r="G21" s="95"/>
      <c r="H21" s="95"/>
      <c r="I21" s="23">
        <v>0</v>
      </c>
      <c r="J21" s="23">
        <v>0</v>
      </c>
      <c r="K21" s="23">
        <v>0</v>
      </c>
      <c r="L21" s="23"/>
      <c r="M21" s="23"/>
      <c r="N21" s="23"/>
    </row>
    <row r="22" spans="1:14" ht="18" hidden="1" customHeight="1" x14ac:dyDescent="0.25">
      <c r="A22" s="13" t="s">
        <v>2</v>
      </c>
      <c r="B22" s="138" t="s">
        <v>69</v>
      </c>
      <c r="C22" s="116"/>
      <c r="D22" s="28"/>
      <c r="E22" s="95"/>
      <c r="F22" s="95"/>
      <c r="G22" s="95"/>
      <c r="H22" s="95"/>
      <c r="I22" s="23">
        <v>0</v>
      </c>
      <c r="J22" s="23">
        <v>0</v>
      </c>
      <c r="K22" s="23">
        <v>0</v>
      </c>
      <c r="L22" s="23"/>
      <c r="M22" s="23"/>
      <c r="N22" s="23"/>
    </row>
    <row r="23" spans="1:14" ht="18" customHeight="1" x14ac:dyDescent="0.25">
      <c r="A23" s="122" t="s">
        <v>10</v>
      </c>
      <c r="B23" s="123"/>
      <c r="C23" s="123"/>
      <c r="D23" s="124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4" s="20" customFormat="1" ht="18" customHeight="1" x14ac:dyDescent="0.25">
      <c r="A24" s="146" t="s">
        <v>93</v>
      </c>
      <c r="B24" s="146"/>
      <c r="C24" s="146"/>
      <c r="D24" s="147"/>
      <c r="E24" s="33" t="s">
        <v>85</v>
      </c>
      <c r="F24" s="33" t="s">
        <v>85</v>
      </c>
      <c r="G24" s="33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</row>
    <row r="25" spans="1:14" s="20" customFormat="1" ht="18" customHeight="1" x14ac:dyDescent="0.25">
      <c r="A25" s="148"/>
      <c r="B25" s="148"/>
      <c r="C25" s="148"/>
      <c r="D25" s="149"/>
      <c r="E25" s="98">
        <v>0.45989999999999998</v>
      </c>
      <c r="F25" s="98">
        <v>0.45989999999999998</v>
      </c>
      <c r="G25" s="98">
        <v>0.45989999999999998</v>
      </c>
      <c r="H25" s="98">
        <v>0.4733</v>
      </c>
      <c r="I25" s="15">
        <v>0.4531</v>
      </c>
      <c r="J25" s="15">
        <v>0.44819999999999999</v>
      </c>
      <c r="K25" s="15">
        <v>0.44819999999999999</v>
      </c>
      <c r="L25" s="15">
        <v>0.45179999999999998</v>
      </c>
      <c r="M25" s="15">
        <v>0.45179999999999998</v>
      </c>
      <c r="N25" s="97">
        <v>0.45179999999999998</v>
      </c>
    </row>
    <row r="26" spans="1:14" ht="18" customHeight="1" x14ac:dyDescent="0.25">
      <c r="A26" s="135" t="s">
        <v>84</v>
      </c>
      <c r="B26" s="135"/>
      <c r="C26" s="135"/>
      <c r="D26" s="135"/>
      <c r="E26" s="52">
        <f t="shared" ref="E26:M26" si="8">ROUND((E8*E25),2)</f>
        <v>904.64</v>
      </c>
      <c r="F26" s="52">
        <f t="shared" si="8"/>
        <v>904.64</v>
      </c>
      <c r="G26" s="52">
        <f t="shared" si="8"/>
        <v>941.55</v>
      </c>
      <c r="H26" s="52">
        <f t="shared" si="8"/>
        <v>968.99</v>
      </c>
      <c r="I26" s="52">
        <f t="shared" si="8"/>
        <v>927.63</v>
      </c>
      <c r="J26" s="52">
        <f t="shared" si="8"/>
        <v>917.6</v>
      </c>
      <c r="K26" s="52">
        <f t="shared" si="8"/>
        <v>962.93</v>
      </c>
      <c r="L26" s="52">
        <f t="shared" si="8"/>
        <v>970.67</v>
      </c>
      <c r="M26" s="52">
        <f t="shared" si="8"/>
        <v>982.31</v>
      </c>
      <c r="N26" s="165">
        <f t="shared" ref="N26" si="9">ROUND((N8*N25),2)</f>
        <v>1048.71</v>
      </c>
    </row>
    <row r="27" spans="1:14" ht="18" customHeight="1" x14ac:dyDescent="0.25">
      <c r="A27" s="136" t="s">
        <v>94</v>
      </c>
      <c r="B27" s="136"/>
      <c r="C27" s="136"/>
      <c r="D27" s="136"/>
      <c r="E27" s="33" t="s">
        <v>83</v>
      </c>
      <c r="F27" s="33" t="s">
        <v>83</v>
      </c>
      <c r="G27" s="33" t="s">
        <v>83</v>
      </c>
      <c r="H27" s="33" t="s">
        <v>83</v>
      </c>
      <c r="I27" s="33" t="s">
        <v>83</v>
      </c>
      <c r="J27" s="33" t="s">
        <v>83</v>
      </c>
      <c r="K27" s="33" t="s">
        <v>83</v>
      </c>
      <c r="L27" s="33" t="s">
        <v>83</v>
      </c>
      <c r="M27" s="33" t="s">
        <v>83</v>
      </c>
      <c r="N27" s="33" t="s">
        <v>83</v>
      </c>
    </row>
    <row r="28" spans="1:14" ht="18" customHeight="1" x14ac:dyDescent="0.25">
      <c r="A28" s="6" t="s">
        <v>0</v>
      </c>
      <c r="B28" s="119" t="s">
        <v>50</v>
      </c>
      <c r="C28" s="121"/>
      <c r="D28" s="11">
        <v>0.51160000000000005</v>
      </c>
      <c r="E28" s="26">
        <f t="shared" ref="E28:M28" si="10">ROUND(((E8+E18+E23+E26)*$D$28),2)</f>
        <v>1832.11</v>
      </c>
      <c r="F28" s="26">
        <f t="shared" si="10"/>
        <v>1854.62</v>
      </c>
      <c r="G28" s="26">
        <f t="shared" si="10"/>
        <v>1922.79</v>
      </c>
      <c r="H28" s="26">
        <f t="shared" si="10"/>
        <v>1936.83</v>
      </c>
      <c r="I28" s="26">
        <f t="shared" si="10"/>
        <v>1915.67</v>
      </c>
      <c r="J28" s="26">
        <f t="shared" si="10"/>
        <v>1910.54</v>
      </c>
      <c r="K28" s="26">
        <f t="shared" si="10"/>
        <v>2006.32</v>
      </c>
      <c r="L28" s="26">
        <f t="shared" si="10"/>
        <v>2010.28</v>
      </c>
      <c r="M28" s="26">
        <f t="shared" si="10"/>
        <v>2035.37</v>
      </c>
      <c r="N28" s="26">
        <f t="shared" ref="N28" si="11">ROUND(((N8+N18+N23+N26)*$D$28),2)</f>
        <v>2159.48</v>
      </c>
    </row>
    <row r="29" spans="1:14" ht="18" customHeight="1" x14ac:dyDescent="0.25">
      <c r="A29" s="6" t="s">
        <v>1</v>
      </c>
      <c r="B29" s="119" t="s">
        <v>51</v>
      </c>
      <c r="C29" s="121"/>
      <c r="D29" s="11">
        <v>0.08</v>
      </c>
      <c r="E29" s="26">
        <f t="shared" ref="E29:M29" si="12">ROUND(((E8+E18+E23+E26+E28)*$D$29),2)</f>
        <v>433.06</v>
      </c>
      <c r="F29" s="26">
        <f t="shared" si="12"/>
        <v>438.38</v>
      </c>
      <c r="G29" s="26">
        <f t="shared" si="12"/>
        <v>454.49</v>
      </c>
      <c r="H29" s="26">
        <f t="shared" si="12"/>
        <v>457.81</v>
      </c>
      <c r="I29" s="26">
        <f t="shared" si="12"/>
        <v>452.81</v>
      </c>
      <c r="J29" s="26">
        <f t="shared" si="12"/>
        <v>451.6</v>
      </c>
      <c r="K29" s="26">
        <f t="shared" si="12"/>
        <v>474.24</v>
      </c>
      <c r="L29" s="26">
        <f t="shared" si="12"/>
        <v>475.17</v>
      </c>
      <c r="M29" s="26">
        <f t="shared" si="12"/>
        <v>481.1</v>
      </c>
      <c r="N29" s="26">
        <f t="shared" ref="N29" si="13">ROUND(((N8+N18+N23+N26+N28)*$D$29),2)</f>
        <v>510.44</v>
      </c>
    </row>
    <row r="30" spans="1:14" ht="18" customHeight="1" x14ac:dyDescent="0.25">
      <c r="A30" s="6" t="s">
        <v>2</v>
      </c>
      <c r="B30" s="119" t="s">
        <v>88</v>
      </c>
      <c r="C30" s="121"/>
      <c r="D30" s="11">
        <f>13.15%</f>
        <v>0.13150000000000001</v>
      </c>
      <c r="E30" s="26">
        <f t="shared" ref="E30:M30" si="14">E31+E32+E33+E34</f>
        <v>885.2</v>
      </c>
      <c r="F30" s="26">
        <f t="shared" si="14"/>
        <v>896.06999999999994</v>
      </c>
      <c r="G30" s="26">
        <f t="shared" si="14"/>
        <v>929</v>
      </c>
      <c r="H30" s="26">
        <f t="shared" si="14"/>
        <v>935.79</v>
      </c>
      <c r="I30" s="26">
        <f t="shared" si="14"/>
        <v>925.56999999999994</v>
      </c>
      <c r="J30" s="26">
        <f t="shared" si="14"/>
        <v>923.08</v>
      </c>
      <c r="K30" s="26">
        <f t="shared" si="14"/>
        <v>969.37</v>
      </c>
      <c r="L30" s="26">
        <f t="shared" si="14"/>
        <v>971.28000000000009</v>
      </c>
      <c r="M30" s="26">
        <f t="shared" si="14"/>
        <v>983.4</v>
      </c>
      <c r="N30" s="26">
        <f t="shared" ref="N30" si="15">N31+N32+N33+N34</f>
        <v>1043.3600000000001</v>
      </c>
    </row>
    <row r="31" spans="1:14" ht="18" customHeight="1" x14ac:dyDescent="0.25">
      <c r="A31" s="12"/>
      <c r="B31" s="116" t="s">
        <v>99</v>
      </c>
      <c r="C31" s="118"/>
      <c r="D31" s="9">
        <v>0.03</v>
      </c>
      <c r="E31" s="27">
        <f t="shared" ref="E31:M31" si="16">ROUND(((E8+E18+E23+E26+E28+E29)/0.8685*$D$31),2)</f>
        <v>201.95</v>
      </c>
      <c r="F31" s="27">
        <f t="shared" si="16"/>
        <v>204.43</v>
      </c>
      <c r="G31" s="27">
        <f t="shared" si="16"/>
        <v>211.94</v>
      </c>
      <c r="H31" s="27">
        <f t="shared" si="16"/>
        <v>213.49</v>
      </c>
      <c r="I31" s="27">
        <f t="shared" si="16"/>
        <v>211.16</v>
      </c>
      <c r="J31" s="27">
        <f t="shared" si="16"/>
        <v>210.59</v>
      </c>
      <c r="K31" s="27">
        <f t="shared" si="16"/>
        <v>221.15</v>
      </c>
      <c r="L31" s="27">
        <f t="shared" si="16"/>
        <v>221.58</v>
      </c>
      <c r="M31" s="27">
        <f t="shared" si="16"/>
        <v>224.35</v>
      </c>
      <c r="N31" s="27">
        <f t="shared" ref="N31" si="17">ROUND(((N8+N18+N23+N26+N28+N29)/0.8685*$D$31),2)</f>
        <v>238.03</v>
      </c>
    </row>
    <row r="32" spans="1:14" ht="18" customHeight="1" x14ac:dyDescent="0.25">
      <c r="A32" s="12"/>
      <c r="B32" s="116" t="s">
        <v>100</v>
      </c>
      <c r="C32" s="118"/>
      <c r="D32" s="9">
        <v>6.4999999999999997E-3</v>
      </c>
      <c r="E32" s="27">
        <f t="shared" ref="E32:M32" si="18">ROUND(((E8+E18+E23+E26+E28+E29)/0.8685*$D$32),2)</f>
        <v>43.75</v>
      </c>
      <c r="F32" s="27">
        <f t="shared" si="18"/>
        <v>44.29</v>
      </c>
      <c r="G32" s="27">
        <f t="shared" si="18"/>
        <v>45.92</v>
      </c>
      <c r="H32" s="27">
        <f t="shared" si="18"/>
        <v>46.26</v>
      </c>
      <c r="I32" s="27">
        <f t="shared" si="18"/>
        <v>45.75</v>
      </c>
      <c r="J32" s="27">
        <f t="shared" si="18"/>
        <v>45.63</v>
      </c>
      <c r="K32" s="27">
        <f t="shared" si="18"/>
        <v>47.92</v>
      </c>
      <c r="L32" s="27">
        <f t="shared" si="18"/>
        <v>48.01</v>
      </c>
      <c r="M32" s="27">
        <f t="shared" si="18"/>
        <v>48.61</v>
      </c>
      <c r="N32" s="27">
        <f t="shared" ref="N32" si="19">ROUND(((N8+N18+N23+N26+N28+N29)/0.8685*$D$32),2)</f>
        <v>51.57</v>
      </c>
    </row>
    <row r="33" spans="1:14" ht="18" customHeight="1" x14ac:dyDescent="0.25">
      <c r="A33" s="12"/>
      <c r="B33" s="116" t="s">
        <v>101</v>
      </c>
      <c r="C33" s="118"/>
      <c r="D33" s="9">
        <v>0.05</v>
      </c>
      <c r="E33" s="27">
        <f t="shared" ref="E33:M33" si="20">ROUND(((E8+E18+E23+E26+E28+E29)/0.8685*$D$33),2)</f>
        <v>336.58</v>
      </c>
      <c r="F33" s="27">
        <f t="shared" si="20"/>
        <v>340.71</v>
      </c>
      <c r="G33" s="27">
        <f t="shared" si="20"/>
        <v>353.23</v>
      </c>
      <c r="H33" s="27">
        <f t="shared" si="20"/>
        <v>355.81</v>
      </c>
      <c r="I33" s="27">
        <f t="shared" si="20"/>
        <v>351.93</v>
      </c>
      <c r="J33" s="27">
        <f t="shared" si="20"/>
        <v>350.98</v>
      </c>
      <c r="K33" s="27">
        <f t="shared" si="20"/>
        <v>368.58</v>
      </c>
      <c r="L33" s="27">
        <f t="shared" si="20"/>
        <v>369.31</v>
      </c>
      <c r="M33" s="27">
        <f t="shared" si="20"/>
        <v>373.92</v>
      </c>
      <c r="N33" s="27">
        <f t="shared" ref="N33" si="21">ROUND(((N8+N18+N23+N26+N28+N29)/0.8685*$D$33),2)</f>
        <v>396.72</v>
      </c>
    </row>
    <row r="34" spans="1:14" ht="18" customHeight="1" x14ac:dyDescent="0.25">
      <c r="A34" s="12"/>
      <c r="B34" s="116" t="s">
        <v>87</v>
      </c>
      <c r="C34" s="118"/>
      <c r="D34" s="9">
        <v>4.4999999999999998E-2</v>
      </c>
      <c r="E34" s="27">
        <f t="shared" ref="E34:M34" si="22">ROUND((((E8+E18+E23+E26+E28+E29)/0.8685)*$D$34),2)</f>
        <v>302.92</v>
      </c>
      <c r="F34" s="27">
        <f t="shared" si="22"/>
        <v>306.64</v>
      </c>
      <c r="G34" s="27">
        <f t="shared" si="22"/>
        <v>317.91000000000003</v>
      </c>
      <c r="H34" s="27">
        <f t="shared" si="22"/>
        <v>320.23</v>
      </c>
      <c r="I34" s="27">
        <f t="shared" si="22"/>
        <v>316.73</v>
      </c>
      <c r="J34" s="27">
        <f t="shared" si="22"/>
        <v>315.88</v>
      </c>
      <c r="K34" s="27">
        <f t="shared" si="22"/>
        <v>331.72</v>
      </c>
      <c r="L34" s="27">
        <f t="shared" si="22"/>
        <v>332.38</v>
      </c>
      <c r="M34" s="27">
        <f t="shared" si="22"/>
        <v>336.52</v>
      </c>
      <c r="N34" s="27">
        <f t="shared" ref="N34" si="23">ROUND((((N8+N18+N23+N26+N28+N29)/0.8685)*$D$34),2)</f>
        <v>357.04</v>
      </c>
    </row>
    <row r="35" spans="1:14" ht="18" customHeight="1" x14ac:dyDescent="0.25">
      <c r="A35" s="131" t="s">
        <v>89</v>
      </c>
      <c r="B35" s="129"/>
      <c r="C35" s="130"/>
      <c r="D35" s="53">
        <f t="shared" ref="D35:M35" si="24">D28+D29+D30</f>
        <v>0.72310000000000008</v>
      </c>
      <c r="E35" s="51">
        <f t="shared" si="24"/>
        <v>3150.37</v>
      </c>
      <c r="F35" s="51">
        <f t="shared" si="24"/>
        <v>3189.0699999999997</v>
      </c>
      <c r="G35" s="51">
        <f t="shared" si="24"/>
        <v>3306.2799999999997</v>
      </c>
      <c r="H35" s="51">
        <f t="shared" si="24"/>
        <v>3330.43</v>
      </c>
      <c r="I35" s="51">
        <f t="shared" si="24"/>
        <v>3294.05</v>
      </c>
      <c r="J35" s="51">
        <f t="shared" si="24"/>
        <v>3285.22</v>
      </c>
      <c r="K35" s="51">
        <f t="shared" si="24"/>
        <v>3449.93</v>
      </c>
      <c r="L35" s="51">
        <f t="shared" si="24"/>
        <v>3456.73</v>
      </c>
      <c r="M35" s="51">
        <f t="shared" si="24"/>
        <v>3499.87</v>
      </c>
      <c r="N35" s="51">
        <f t="shared" ref="N35" si="25">N28+N29+N30</f>
        <v>3713.28</v>
      </c>
    </row>
    <row r="36" spans="1:14" ht="42" customHeight="1" x14ac:dyDescent="0.2">
      <c r="A36" s="136" t="s">
        <v>95</v>
      </c>
      <c r="B36" s="136"/>
      <c r="C36" s="136"/>
      <c r="D36" s="136"/>
      <c r="E36" s="35" t="s">
        <v>147</v>
      </c>
      <c r="F36" s="93" t="s">
        <v>148</v>
      </c>
      <c r="G36" s="35" t="s">
        <v>149</v>
      </c>
      <c r="H36" s="93" t="s">
        <v>150</v>
      </c>
      <c r="I36" s="89" t="s">
        <v>146</v>
      </c>
      <c r="J36" s="35" t="s">
        <v>117</v>
      </c>
      <c r="K36" s="35" t="s">
        <v>118</v>
      </c>
      <c r="L36" s="35" t="s">
        <v>126</v>
      </c>
      <c r="M36" s="35" t="s">
        <v>125</v>
      </c>
      <c r="N36" s="35" t="s">
        <v>151</v>
      </c>
    </row>
    <row r="37" spans="1:14" ht="18" customHeight="1" x14ac:dyDescent="0.25">
      <c r="A37" s="13" t="s">
        <v>0</v>
      </c>
      <c r="B37" s="138" t="s">
        <v>52</v>
      </c>
      <c r="C37" s="138"/>
      <c r="D37" s="138"/>
      <c r="E37" s="27">
        <f t="shared" ref="E37:M37" si="26">E8</f>
        <v>1967.04</v>
      </c>
      <c r="F37" s="27">
        <f t="shared" si="26"/>
        <v>1967.04</v>
      </c>
      <c r="G37" s="27">
        <f t="shared" si="26"/>
        <v>2047.3</v>
      </c>
      <c r="H37" s="27">
        <f t="shared" si="26"/>
        <v>2047.3</v>
      </c>
      <c r="I37" s="27">
        <f t="shared" si="26"/>
        <v>2047.3</v>
      </c>
      <c r="J37" s="27">
        <f t="shared" si="26"/>
        <v>2047.3</v>
      </c>
      <c r="K37" s="27">
        <f t="shared" si="26"/>
        <v>2148.44</v>
      </c>
      <c r="L37" s="27">
        <f t="shared" si="26"/>
        <v>2148.44</v>
      </c>
      <c r="M37" s="27">
        <f t="shared" si="26"/>
        <v>2174.2199999999998</v>
      </c>
      <c r="N37" s="27">
        <f t="shared" ref="N37" si="27">N8</f>
        <v>2321.19</v>
      </c>
    </row>
    <row r="38" spans="1:14" ht="18" customHeight="1" x14ac:dyDescent="0.25">
      <c r="A38" s="13" t="s">
        <v>1</v>
      </c>
      <c r="B38" s="138" t="s">
        <v>53</v>
      </c>
      <c r="C38" s="138"/>
      <c r="D38" s="138"/>
      <c r="E38" s="27">
        <f t="shared" ref="E38:M38" si="28">E18</f>
        <v>709.45999999999992</v>
      </c>
      <c r="F38" s="27">
        <f t="shared" si="28"/>
        <v>753.45999999999992</v>
      </c>
      <c r="G38" s="27">
        <f t="shared" si="28"/>
        <v>769.54</v>
      </c>
      <c r="H38" s="27">
        <f t="shared" si="28"/>
        <v>769.54</v>
      </c>
      <c r="I38" s="27">
        <f t="shared" si="28"/>
        <v>769.54</v>
      </c>
      <c r="J38" s="27">
        <f t="shared" si="28"/>
        <v>769.54</v>
      </c>
      <c r="K38" s="27">
        <f t="shared" si="28"/>
        <v>810.29</v>
      </c>
      <c r="L38" s="27">
        <f t="shared" si="28"/>
        <v>810.29</v>
      </c>
      <c r="M38" s="27">
        <f t="shared" si="28"/>
        <v>821.91000000000008</v>
      </c>
      <c r="N38" s="27">
        <f t="shared" ref="N38" si="29">N18</f>
        <v>851.13000000000011</v>
      </c>
    </row>
    <row r="39" spans="1:14" ht="18" customHeight="1" x14ac:dyDescent="0.25">
      <c r="A39" s="13" t="s">
        <v>2</v>
      </c>
      <c r="B39" s="138" t="s">
        <v>54</v>
      </c>
      <c r="C39" s="138"/>
      <c r="D39" s="138"/>
      <c r="E39" s="27">
        <f t="shared" ref="E39:M39" si="30">E23</f>
        <v>0</v>
      </c>
      <c r="F39" s="27">
        <f t="shared" si="30"/>
        <v>0</v>
      </c>
      <c r="G39" s="27">
        <f t="shared" si="30"/>
        <v>0</v>
      </c>
      <c r="H39" s="27">
        <f t="shared" si="30"/>
        <v>0</v>
      </c>
      <c r="I39" s="27">
        <f t="shared" si="30"/>
        <v>0</v>
      </c>
      <c r="J39" s="27">
        <f t="shared" si="30"/>
        <v>0</v>
      </c>
      <c r="K39" s="27">
        <f t="shared" si="30"/>
        <v>0</v>
      </c>
      <c r="L39" s="27">
        <f t="shared" si="30"/>
        <v>0</v>
      </c>
      <c r="M39" s="27">
        <f t="shared" si="30"/>
        <v>0</v>
      </c>
      <c r="N39" s="27">
        <f t="shared" ref="N39" si="31">N23</f>
        <v>0</v>
      </c>
    </row>
    <row r="40" spans="1:14" ht="18" customHeight="1" x14ac:dyDescent="0.25">
      <c r="A40" s="13" t="s">
        <v>3</v>
      </c>
      <c r="B40" s="138" t="s">
        <v>55</v>
      </c>
      <c r="C40" s="138"/>
      <c r="D40" s="138"/>
      <c r="E40" s="27">
        <f t="shared" ref="E40:M40" si="32">E26</f>
        <v>904.64</v>
      </c>
      <c r="F40" s="27">
        <f t="shared" si="32"/>
        <v>904.64</v>
      </c>
      <c r="G40" s="27">
        <f t="shared" si="32"/>
        <v>941.55</v>
      </c>
      <c r="H40" s="27">
        <f t="shared" si="32"/>
        <v>968.99</v>
      </c>
      <c r="I40" s="27">
        <f t="shared" si="32"/>
        <v>927.63</v>
      </c>
      <c r="J40" s="27">
        <f t="shared" si="32"/>
        <v>917.6</v>
      </c>
      <c r="K40" s="27">
        <f t="shared" si="32"/>
        <v>962.93</v>
      </c>
      <c r="L40" s="27">
        <f t="shared" si="32"/>
        <v>970.67</v>
      </c>
      <c r="M40" s="27">
        <f t="shared" si="32"/>
        <v>982.31</v>
      </c>
      <c r="N40" s="27">
        <f t="shared" ref="N40" si="33">N26</f>
        <v>1048.71</v>
      </c>
    </row>
    <row r="41" spans="1:14" s="19" customFormat="1" ht="18" customHeight="1" x14ac:dyDescent="0.25">
      <c r="A41" s="139" t="s">
        <v>56</v>
      </c>
      <c r="B41" s="139"/>
      <c r="C41" s="139"/>
      <c r="D41" s="139"/>
      <c r="E41" s="35">
        <f t="shared" ref="E41:M41" si="34">SUM(E37:E40)</f>
        <v>3581.14</v>
      </c>
      <c r="F41" s="35">
        <f t="shared" si="34"/>
        <v>3625.14</v>
      </c>
      <c r="G41" s="35">
        <f t="shared" si="34"/>
        <v>3758.3900000000003</v>
      </c>
      <c r="H41" s="35">
        <f t="shared" si="34"/>
        <v>3785.83</v>
      </c>
      <c r="I41" s="35">
        <f t="shared" si="34"/>
        <v>3744.4700000000003</v>
      </c>
      <c r="J41" s="35">
        <f t="shared" si="34"/>
        <v>3734.44</v>
      </c>
      <c r="K41" s="35">
        <f t="shared" si="34"/>
        <v>3921.66</v>
      </c>
      <c r="L41" s="35">
        <f t="shared" si="34"/>
        <v>3929.4</v>
      </c>
      <c r="M41" s="35">
        <f t="shared" si="34"/>
        <v>3978.44</v>
      </c>
      <c r="N41" s="35">
        <f t="shared" ref="N41" si="35">SUM(N37:N40)</f>
        <v>4221.0300000000007</v>
      </c>
    </row>
    <row r="42" spans="1:14" ht="18" customHeight="1" x14ac:dyDescent="0.25">
      <c r="A42" s="13" t="s">
        <v>5</v>
      </c>
      <c r="B42" s="138" t="s">
        <v>57</v>
      </c>
      <c r="C42" s="138"/>
      <c r="D42" s="138"/>
      <c r="E42" s="27">
        <f t="shared" ref="E42:M42" si="36">E35</f>
        <v>3150.37</v>
      </c>
      <c r="F42" s="27">
        <f t="shared" si="36"/>
        <v>3189.0699999999997</v>
      </c>
      <c r="G42" s="27">
        <f t="shared" si="36"/>
        <v>3306.2799999999997</v>
      </c>
      <c r="H42" s="27">
        <f t="shared" si="36"/>
        <v>3330.43</v>
      </c>
      <c r="I42" s="27">
        <f t="shared" si="36"/>
        <v>3294.05</v>
      </c>
      <c r="J42" s="27">
        <f t="shared" si="36"/>
        <v>3285.22</v>
      </c>
      <c r="K42" s="27">
        <f t="shared" si="36"/>
        <v>3449.93</v>
      </c>
      <c r="L42" s="27">
        <f t="shared" si="36"/>
        <v>3456.73</v>
      </c>
      <c r="M42" s="27">
        <f t="shared" si="36"/>
        <v>3499.87</v>
      </c>
      <c r="N42" s="27">
        <f t="shared" ref="N42" si="37">N35</f>
        <v>3713.28</v>
      </c>
    </row>
    <row r="43" spans="1:14" s="19" customFormat="1" ht="18" customHeight="1" x14ac:dyDescent="0.25">
      <c r="A43" s="139" t="s">
        <v>58</v>
      </c>
      <c r="B43" s="139"/>
      <c r="C43" s="139"/>
      <c r="D43" s="139"/>
      <c r="E43" s="35">
        <f t="shared" ref="E43:M43" si="38">E41+E42</f>
        <v>6731.51</v>
      </c>
      <c r="F43" s="35">
        <f t="shared" si="38"/>
        <v>6814.2099999999991</v>
      </c>
      <c r="G43" s="35">
        <f t="shared" si="38"/>
        <v>7064.67</v>
      </c>
      <c r="H43" s="35">
        <f t="shared" si="38"/>
        <v>7116.26</v>
      </c>
      <c r="I43" s="35">
        <f t="shared" si="38"/>
        <v>7038.52</v>
      </c>
      <c r="J43" s="35">
        <f t="shared" si="38"/>
        <v>7019.66</v>
      </c>
      <c r="K43" s="35">
        <f t="shared" si="38"/>
        <v>7371.59</v>
      </c>
      <c r="L43" s="35">
        <f t="shared" si="38"/>
        <v>7386.13</v>
      </c>
      <c r="M43" s="35">
        <f t="shared" si="38"/>
        <v>7478.3099999999995</v>
      </c>
      <c r="N43" s="35">
        <f t="shared" ref="N43" si="39">N41+N42</f>
        <v>7934.3100000000013</v>
      </c>
    </row>
    <row r="44" spans="1:14" ht="13.5" customHeight="1" x14ac:dyDescent="0.25">
      <c r="A44" s="140" t="s">
        <v>86</v>
      </c>
      <c r="B44" s="140"/>
      <c r="C44" s="140"/>
      <c r="D44" s="140"/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</row>
    <row r="45" spans="1:14" ht="18" customHeight="1" x14ac:dyDescent="0.25">
      <c r="A45" s="125" t="s">
        <v>114</v>
      </c>
      <c r="B45" s="126"/>
      <c r="C45" s="126"/>
      <c r="D45" s="127"/>
      <c r="E45" s="34">
        <f t="shared" ref="E45:M45" si="40">ROUND((E44*E43),2)</f>
        <v>6731.51</v>
      </c>
      <c r="F45" s="34">
        <f t="shared" si="40"/>
        <v>6814.21</v>
      </c>
      <c r="G45" s="34">
        <f t="shared" si="40"/>
        <v>7064.67</v>
      </c>
      <c r="H45" s="34">
        <f t="shared" si="40"/>
        <v>7116.26</v>
      </c>
      <c r="I45" s="34">
        <f t="shared" si="40"/>
        <v>7038.52</v>
      </c>
      <c r="J45" s="34">
        <f t="shared" si="40"/>
        <v>7019.66</v>
      </c>
      <c r="K45" s="34">
        <f t="shared" si="40"/>
        <v>7371.59</v>
      </c>
      <c r="L45" s="34">
        <f t="shared" si="40"/>
        <v>7386.13</v>
      </c>
      <c r="M45" s="34">
        <f t="shared" si="40"/>
        <v>7478.31</v>
      </c>
      <c r="N45" s="34">
        <f t="shared" ref="N45" si="41">ROUND((N44*N43),2)</f>
        <v>7934.31</v>
      </c>
    </row>
    <row r="46" spans="1:14" x14ac:dyDescent="0.25">
      <c r="E46" s="37"/>
      <c r="F46" s="37"/>
      <c r="G46" s="37"/>
      <c r="H46" s="37"/>
    </row>
  </sheetData>
  <mergeCells count="45"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B40:D40"/>
    <mergeCell ref="B29:C29"/>
    <mergeCell ref="B30:C30"/>
    <mergeCell ref="B31:C31"/>
    <mergeCell ref="B32:C32"/>
    <mergeCell ref="A35:C35"/>
    <mergeCell ref="A36:D36"/>
    <mergeCell ref="B37:D37"/>
    <mergeCell ref="B38:D38"/>
    <mergeCell ref="B39:D39"/>
    <mergeCell ref="B33:C33"/>
    <mergeCell ref="B34:C34"/>
    <mergeCell ref="A41:D41"/>
    <mergeCell ref="B42:D42"/>
    <mergeCell ref="A43:D43"/>
    <mergeCell ref="A44:D44"/>
    <mergeCell ref="A45:D45"/>
    <mergeCell ref="B28:C28"/>
    <mergeCell ref="A23:D23"/>
    <mergeCell ref="A24:D25"/>
    <mergeCell ref="A26:D26"/>
    <mergeCell ref="A27:D27"/>
    <mergeCell ref="B20:C20"/>
    <mergeCell ref="B21:C21"/>
    <mergeCell ref="B22:C22"/>
    <mergeCell ref="B17:C17"/>
    <mergeCell ref="A18:D18"/>
    <mergeCell ref="A19:D19"/>
    <mergeCell ref="A6:D6"/>
    <mergeCell ref="B7:C7"/>
    <mergeCell ref="A5:B5"/>
    <mergeCell ref="A2:N2"/>
    <mergeCell ref="A3:N3"/>
    <mergeCell ref="A4:N4"/>
    <mergeCell ref="C5:N5"/>
    <mergeCell ref="A1:N1"/>
  </mergeCells>
  <pageMargins left="0.31496062992125984" right="0.11811023622047245" top="0.59055118110236227" bottom="0.39370078740157483" header="0.31496062992125984" footer="0.31496062992125984"/>
  <pageSetup paperSize="9" scale="95" orientation="portrait" r:id="rId1"/>
  <headerFooter>
    <oddHeader xml:space="preserve">&amp;L&amp;"Times New Roman,Negrito"&amp;10PODER JUDICIÁRIO
CONSELHO DA JUSTIÇA FEDERAL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5"/>
  <sheetViews>
    <sheetView showGridLines="0" zoomScale="110" zoomScaleNormal="110" workbookViewId="0">
      <selection sqref="A1:N1"/>
    </sheetView>
  </sheetViews>
  <sheetFormatPr defaultColWidth="9.140625" defaultRowHeight="12.75" x14ac:dyDescent="0.25"/>
  <cols>
    <col min="1" max="1" width="4" style="3" customWidth="1"/>
    <col min="2" max="2" width="40.7109375" style="4" customWidth="1"/>
    <col min="3" max="3" width="5.42578125" style="4" customWidth="1"/>
    <col min="4" max="4" width="7.5703125" style="4" bestFit="1" customWidth="1"/>
    <col min="5" max="5" width="17.140625" style="4" hidden="1" customWidth="1"/>
    <col min="6" max="6" width="15.42578125" style="4" hidden="1" customWidth="1"/>
    <col min="7" max="7" width="17.140625" style="4" hidden="1" customWidth="1"/>
    <col min="8" max="8" width="16" style="4" hidden="1" customWidth="1"/>
    <col min="9" max="13" width="15.5703125" style="22" hidden="1" customWidth="1"/>
    <col min="14" max="14" width="15.5703125" style="4" customWidth="1"/>
    <col min="15" max="16384" width="9.140625" style="4"/>
  </cols>
  <sheetData>
    <row r="1" spans="1:16" ht="33.75" customHeight="1" x14ac:dyDescent="0.25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24.95" customHeight="1" x14ac:dyDescent="0.25">
      <c r="A2" s="144" t="s">
        <v>106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6" ht="18" customHeight="1" x14ac:dyDescent="0.25">
      <c r="A3" s="145" t="s">
        <v>107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ht="18" customHeight="1" x14ac:dyDescent="0.25">
      <c r="A4" s="138" t="s">
        <v>159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6" ht="18" customHeight="1" x14ac:dyDescent="0.25">
      <c r="A5" s="151" t="s">
        <v>76</v>
      </c>
      <c r="B5" s="151"/>
      <c r="C5" s="138" t="s">
        <v>75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6" ht="40.5" customHeight="1" x14ac:dyDescent="0.2">
      <c r="A6" s="132" t="s">
        <v>90</v>
      </c>
      <c r="B6" s="133"/>
      <c r="C6" s="133"/>
      <c r="D6" s="134"/>
      <c r="E6" s="35" t="s">
        <v>147</v>
      </c>
      <c r="F6" s="80" t="s">
        <v>148</v>
      </c>
      <c r="G6" s="80" t="s">
        <v>149</v>
      </c>
      <c r="H6" s="80" t="s">
        <v>150</v>
      </c>
      <c r="I6" s="89" t="s">
        <v>146</v>
      </c>
      <c r="J6" s="35" t="s">
        <v>117</v>
      </c>
      <c r="K6" s="35" t="s">
        <v>118</v>
      </c>
      <c r="L6" s="35" t="s">
        <v>126</v>
      </c>
      <c r="M6" s="35" t="s">
        <v>125</v>
      </c>
      <c r="N6" s="35" t="s">
        <v>151</v>
      </c>
    </row>
    <row r="7" spans="1:16" s="5" customFormat="1" ht="18" customHeight="1" x14ac:dyDescent="0.25">
      <c r="A7" s="13" t="s">
        <v>0</v>
      </c>
      <c r="B7" s="138" t="s">
        <v>77</v>
      </c>
      <c r="C7" s="116"/>
      <c r="D7" s="28"/>
      <c r="E7" s="95">
        <v>1366</v>
      </c>
      <c r="F7" s="95">
        <v>1366</v>
      </c>
      <c r="G7" s="95">
        <v>1421.73</v>
      </c>
      <c r="H7" s="95">
        <v>1421.73</v>
      </c>
      <c r="I7" s="23">
        <f>ROUND((1366*1.0408),2)</f>
        <v>1421.73</v>
      </c>
      <c r="J7" s="23">
        <f>ROUND((1366*1.0408),2)</f>
        <v>1421.73</v>
      </c>
      <c r="K7" s="23">
        <f>ROUND((1366*1.0494),2)</f>
        <v>1433.48</v>
      </c>
      <c r="L7" s="23">
        <f>ROUND((1366*1.0494),2)</f>
        <v>1433.48</v>
      </c>
      <c r="M7" s="23">
        <f>ROUND((1366*1.0494*1.012),2)</f>
        <v>1450.68</v>
      </c>
      <c r="N7" s="23">
        <f>ROUND((1366*1.0494*1.012*1.0676),2)</f>
        <v>1548.75</v>
      </c>
    </row>
    <row r="8" spans="1:16" ht="18" customHeight="1" x14ac:dyDescent="0.25">
      <c r="A8" s="128" t="s">
        <v>4</v>
      </c>
      <c r="B8" s="129"/>
      <c r="C8" s="129"/>
      <c r="D8" s="130"/>
      <c r="E8" s="94">
        <v>1366</v>
      </c>
      <c r="F8" s="94">
        <v>1366</v>
      </c>
      <c r="G8" s="101">
        <v>1421.73</v>
      </c>
      <c r="H8" s="101">
        <v>1421.73</v>
      </c>
      <c r="I8" s="51">
        <f t="shared" ref="I8:N8" si="0">SUM(I7:I7)</f>
        <v>1421.73</v>
      </c>
      <c r="J8" s="51">
        <f t="shared" si="0"/>
        <v>1421.73</v>
      </c>
      <c r="K8" s="51">
        <f t="shared" si="0"/>
        <v>1433.48</v>
      </c>
      <c r="L8" s="51">
        <f t="shared" si="0"/>
        <v>1433.48</v>
      </c>
      <c r="M8" s="51">
        <f t="shared" si="0"/>
        <v>1450.68</v>
      </c>
      <c r="N8" s="51">
        <f t="shared" si="0"/>
        <v>1548.75</v>
      </c>
    </row>
    <row r="9" spans="1:16" ht="18" customHeight="1" x14ac:dyDescent="0.25">
      <c r="A9" s="132" t="s">
        <v>91</v>
      </c>
      <c r="B9" s="133"/>
      <c r="C9" s="133"/>
      <c r="D9" s="134"/>
      <c r="E9" s="33" t="s">
        <v>83</v>
      </c>
      <c r="F9" s="33" t="s">
        <v>83</v>
      </c>
      <c r="G9" s="33" t="s">
        <v>83</v>
      </c>
      <c r="H9" s="33" t="s">
        <v>83</v>
      </c>
      <c r="I9" s="33" t="s">
        <v>83</v>
      </c>
      <c r="J9" s="33" t="s">
        <v>83</v>
      </c>
      <c r="K9" s="33" t="s">
        <v>83</v>
      </c>
      <c r="L9" s="33" t="s">
        <v>83</v>
      </c>
      <c r="M9" s="33" t="s">
        <v>83</v>
      </c>
      <c r="N9" s="33" t="s">
        <v>83</v>
      </c>
    </row>
    <row r="10" spans="1:16" ht="18" customHeight="1" x14ac:dyDescent="0.25">
      <c r="A10" s="13" t="s">
        <v>0</v>
      </c>
      <c r="B10" s="138" t="s">
        <v>59</v>
      </c>
      <c r="C10" s="116"/>
      <c r="D10" s="28"/>
      <c r="E10" s="95">
        <v>176</v>
      </c>
      <c r="F10" s="24">
        <f t="shared" ref="F10:N10" si="1">10*22</f>
        <v>220</v>
      </c>
      <c r="G10" s="24">
        <f t="shared" si="1"/>
        <v>220</v>
      </c>
      <c r="H10" s="24">
        <f t="shared" si="1"/>
        <v>220</v>
      </c>
      <c r="I10" s="24">
        <f t="shared" si="1"/>
        <v>220</v>
      </c>
      <c r="J10" s="24">
        <f t="shared" si="1"/>
        <v>220</v>
      </c>
      <c r="K10" s="24">
        <f t="shared" si="1"/>
        <v>220</v>
      </c>
      <c r="L10" s="24">
        <f t="shared" si="1"/>
        <v>220</v>
      </c>
      <c r="M10" s="24">
        <f t="shared" si="1"/>
        <v>220</v>
      </c>
      <c r="N10" s="24">
        <f t="shared" si="1"/>
        <v>220</v>
      </c>
    </row>
    <row r="11" spans="1:16" ht="18" customHeight="1" x14ac:dyDescent="0.25">
      <c r="A11" s="13" t="s">
        <v>1</v>
      </c>
      <c r="B11" s="138" t="s">
        <v>60</v>
      </c>
      <c r="C11" s="116"/>
      <c r="D11" s="29"/>
      <c r="E11" s="99">
        <v>81.96</v>
      </c>
      <c r="F11" s="99">
        <v>81.96</v>
      </c>
      <c r="G11" s="99">
        <v>85.3</v>
      </c>
      <c r="H11" s="99">
        <v>85.3</v>
      </c>
      <c r="I11" s="24">
        <f t="shared" ref="I11:N11" si="2">ROUND((I7*6%),2)</f>
        <v>85.3</v>
      </c>
      <c r="J11" s="24">
        <f t="shared" si="2"/>
        <v>85.3</v>
      </c>
      <c r="K11" s="24">
        <f t="shared" si="2"/>
        <v>86.01</v>
      </c>
      <c r="L11" s="24">
        <f t="shared" si="2"/>
        <v>86.01</v>
      </c>
      <c r="M11" s="24">
        <f t="shared" si="2"/>
        <v>87.04</v>
      </c>
      <c r="N11" s="24">
        <f t="shared" si="2"/>
        <v>92.93</v>
      </c>
    </row>
    <row r="12" spans="1:16" ht="18" customHeight="1" x14ac:dyDescent="0.25">
      <c r="A12" s="8" t="s">
        <v>2</v>
      </c>
      <c r="B12" s="145" t="s">
        <v>61</v>
      </c>
      <c r="C12" s="119"/>
      <c r="D12" s="30"/>
      <c r="E12" s="100">
        <v>94.04</v>
      </c>
      <c r="F12" s="100">
        <v>138.04</v>
      </c>
      <c r="G12" s="100">
        <v>134.69999999999999</v>
      </c>
      <c r="H12" s="100">
        <v>134.69999999999999</v>
      </c>
      <c r="I12" s="25">
        <f t="shared" ref="I12:N12" si="3">I10-I11</f>
        <v>134.69999999999999</v>
      </c>
      <c r="J12" s="25">
        <f t="shared" si="3"/>
        <v>134.69999999999999</v>
      </c>
      <c r="K12" s="25">
        <f t="shared" si="3"/>
        <v>133.99</v>
      </c>
      <c r="L12" s="25">
        <f t="shared" si="3"/>
        <v>133.99</v>
      </c>
      <c r="M12" s="25">
        <f t="shared" si="3"/>
        <v>132.95999999999998</v>
      </c>
      <c r="N12" s="25">
        <f t="shared" si="3"/>
        <v>127.07</v>
      </c>
      <c r="P12" s="37"/>
    </row>
    <row r="13" spans="1:16" ht="18" customHeight="1" x14ac:dyDescent="0.25">
      <c r="A13" s="13" t="s">
        <v>3</v>
      </c>
      <c r="B13" s="138" t="s">
        <v>62</v>
      </c>
      <c r="C13" s="116"/>
      <c r="D13" s="28"/>
      <c r="E13" s="95">
        <v>506</v>
      </c>
      <c r="F13" s="95">
        <v>506</v>
      </c>
      <c r="G13" s="95">
        <v>528</v>
      </c>
      <c r="H13" s="95">
        <v>528</v>
      </c>
      <c r="I13" s="24">
        <f>22*24</f>
        <v>528</v>
      </c>
      <c r="J13" s="24">
        <f>22*24</f>
        <v>528</v>
      </c>
      <c r="K13" s="24">
        <f>22*26.24</f>
        <v>577.28</v>
      </c>
      <c r="L13" s="24">
        <f>22*26.24</f>
        <v>577.28</v>
      </c>
      <c r="M13" s="24">
        <f>22*26.87</f>
        <v>591.14</v>
      </c>
      <c r="N13" s="24">
        <f>22*28.69</f>
        <v>631.18000000000006</v>
      </c>
    </row>
    <row r="14" spans="1:16" ht="18" customHeight="1" x14ac:dyDescent="0.25">
      <c r="A14" s="13" t="s">
        <v>5</v>
      </c>
      <c r="B14" s="138" t="s">
        <v>63</v>
      </c>
      <c r="C14" s="116"/>
      <c r="D14" s="29"/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6" ht="18" customHeight="1" x14ac:dyDescent="0.25">
      <c r="A15" s="8" t="s">
        <v>6</v>
      </c>
      <c r="B15" s="138" t="s">
        <v>64</v>
      </c>
      <c r="C15" s="116"/>
      <c r="D15" s="31"/>
      <c r="E15" s="101">
        <v>506</v>
      </c>
      <c r="F15" s="101">
        <v>506</v>
      </c>
      <c r="G15" s="101">
        <v>528</v>
      </c>
      <c r="H15" s="101">
        <v>528</v>
      </c>
      <c r="I15" s="25">
        <f t="shared" ref="I15:N15" si="4">I13-I14</f>
        <v>528</v>
      </c>
      <c r="J15" s="25">
        <f t="shared" si="4"/>
        <v>528</v>
      </c>
      <c r="K15" s="25">
        <f t="shared" si="4"/>
        <v>577.28</v>
      </c>
      <c r="L15" s="25">
        <f t="shared" si="4"/>
        <v>577.28</v>
      </c>
      <c r="M15" s="25">
        <f t="shared" si="4"/>
        <v>591.14</v>
      </c>
      <c r="N15" s="25">
        <f t="shared" si="4"/>
        <v>631.18000000000006</v>
      </c>
    </row>
    <row r="16" spans="1:16" s="19" customFormat="1" ht="18" customHeight="1" x14ac:dyDescent="0.25">
      <c r="A16" s="8" t="s">
        <v>7</v>
      </c>
      <c r="B16" s="138" t="s">
        <v>65</v>
      </c>
      <c r="C16" s="116"/>
      <c r="D16" s="31"/>
      <c r="E16" s="25">
        <v>9.14</v>
      </c>
      <c r="F16" s="25">
        <v>9.14</v>
      </c>
      <c r="G16" s="25">
        <v>9.14</v>
      </c>
      <c r="H16" s="25">
        <v>9.14</v>
      </c>
      <c r="I16" s="25">
        <v>9.14</v>
      </c>
      <c r="J16" s="25">
        <v>9.14</v>
      </c>
      <c r="K16" s="25">
        <v>9.14</v>
      </c>
      <c r="L16" s="25">
        <v>9.14</v>
      </c>
      <c r="M16" s="25">
        <v>9.14</v>
      </c>
      <c r="N16" s="25">
        <v>9.14</v>
      </c>
    </row>
    <row r="17" spans="1:14" s="19" customFormat="1" ht="18" customHeight="1" x14ac:dyDescent="0.25">
      <c r="A17" s="8" t="s">
        <v>8</v>
      </c>
      <c r="B17" s="138" t="s">
        <v>66</v>
      </c>
      <c r="C17" s="116"/>
      <c r="D17" s="32"/>
      <c r="E17" s="25">
        <v>161.63999999999999</v>
      </c>
      <c r="F17" s="25">
        <v>161.63999999999999</v>
      </c>
      <c r="G17" s="25">
        <v>161.63999999999999</v>
      </c>
      <c r="H17" s="25">
        <v>161.63999999999999</v>
      </c>
      <c r="I17" s="25">
        <v>161.63999999999999</v>
      </c>
      <c r="J17" s="25">
        <v>161.63999999999999</v>
      </c>
      <c r="K17" s="25">
        <v>161.63999999999999</v>
      </c>
      <c r="L17" s="25">
        <v>161.63999999999999</v>
      </c>
      <c r="M17" s="25">
        <v>161.63999999999999</v>
      </c>
      <c r="N17" s="25">
        <v>161.63999999999999</v>
      </c>
    </row>
    <row r="18" spans="1:14" ht="18" customHeight="1" x14ac:dyDescent="0.25">
      <c r="A18" s="122" t="s">
        <v>9</v>
      </c>
      <c r="B18" s="123"/>
      <c r="C18" s="123"/>
      <c r="D18" s="124"/>
      <c r="E18" s="36">
        <f t="shared" ref="E18:M18" si="5">E12+E15+E16+E17</f>
        <v>770.81999999999994</v>
      </c>
      <c r="F18" s="36">
        <f t="shared" si="5"/>
        <v>814.81999999999994</v>
      </c>
      <c r="G18" s="36">
        <f t="shared" si="5"/>
        <v>833.48</v>
      </c>
      <c r="H18" s="36">
        <f t="shared" si="5"/>
        <v>833.48</v>
      </c>
      <c r="I18" s="36">
        <f t="shared" si="5"/>
        <v>833.48</v>
      </c>
      <c r="J18" s="36">
        <f t="shared" si="5"/>
        <v>833.48</v>
      </c>
      <c r="K18" s="36">
        <f t="shared" si="5"/>
        <v>882.05</v>
      </c>
      <c r="L18" s="36">
        <f t="shared" si="5"/>
        <v>882.05</v>
      </c>
      <c r="M18" s="36">
        <f t="shared" si="5"/>
        <v>894.87999999999988</v>
      </c>
      <c r="N18" s="36">
        <f t="shared" ref="N18" si="6">N12+N15+N16+N17</f>
        <v>929.03</v>
      </c>
    </row>
    <row r="19" spans="1:14" ht="18" customHeight="1" x14ac:dyDescent="0.25">
      <c r="A19" s="141" t="s">
        <v>92</v>
      </c>
      <c r="B19" s="142"/>
      <c r="C19" s="142"/>
      <c r="D19" s="143"/>
      <c r="E19" s="52" t="s">
        <v>83</v>
      </c>
      <c r="F19" s="52" t="s">
        <v>83</v>
      </c>
      <c r="G19" s="52" t="s">
        <v>83</v>
      </c>
      <c r="H19" s="52" t="s">
        <v>83</v>
      </c>
      <c r="I19" s="52" t="s">
        <v>83</v>
      </c>
      <c r="J19" s="52" t="s">
        <v>83</v>
      </c>
      <c r="K19" s="52" t="s">
        <v>83</v>
      </c>
      <c r="L19" s="52" t="s">
        <v>83</v>
      </c>
      <c r="M19" s="52" t="s">
        <v>83</v>
      </c>
      <c r="N19" s="52" t="s">
        <v>83</v>
      </c>
    </row>
    <row r="20" spans="1:14" ht="18" hidden="1" customHeight="1" x14ac:dyDescent="0.25">
      <c r="A20" s="13" t="s">
        <v>0</v>
      </c>
      <c r="B20" s="138" t="s">
        <v>67</v>
      </c>
      <c r="C20" s="116"/>
      <c r="D20" s="28"/>
      <c r="E20" s="95"/>
      <c r="F20" s="95"/>
      <c r="G20" s="95"/>
      <c r="H20" s="95"/>
      <c r="I20" s="23">
        <v>0</v>
      </c>
      <c r="J20" s="23">
        <v>0</v>
      </c>
      <c r="K20" s="23">
        <v>0</v>
      </c>
      <c r="L20" s="23"/>
      <c r="M20" s="23"/>
      <c r="N20" s="23"/>
    </row>
    <row r="21" spans="1:14" ht="18" hidden="1" customHeight="1" x14ac:dyDescent="0.25">
      <c r="A21" s="13" t="s">
        <v>1</v>
      </c>
      <c r="B21" s="138" t="s">
        <v>68</v>
      </c>
      <c r="C21" s="116"/>
      <c r="D21" s="28"/>
      <c r="E21" s="95"/>
      <c r="F21" s="95"/>
      <c r="G21" s="95"/>
      <c r="H21" s="95"/>
      <c r="I21" s="23">
        <v>0</v>
      </c>
      <c r="J21" s="23">
        <v>0</v>
      </c>
      <c r="K21" s="23">
        <v>0</v>
      </c>
      <c r="L21" s="23"/>
      <c r="M21" s="23"/>
      <c r="N21" s="23"/>
    </row>
    <row r="22" spans="1:14" ht="18" hidden="1" customHeight="1" x14ac:dyDescent="0.25">
      <c r="A22" s="13" t="s">
        <v>2</v>
      </c>
      <c r="B22" s="138" t="s">
        <v>69</v>
      </c>
      <c r="C22" s="116"/>
      <c r="D22" s="28"/>
      <c r="E22" s="95"/>
      <c r="F22" s="95"/>
      <c r="G22" s="95"/>
      <c r="H22" s="95"/>
      <c r="I22" s="23">
        <v>0</v>
      </c>
      <c r="J22" s="23">
        <v>0</v>
      </c>
      <c r="K22" s="23">
        <v>0</v>
      </c>
      <c r="L22" s="23"/>
      <c r="M22" s="23"/>
      <c r="N22" s="23"/>
    </row>
    <row r="23" spans="1:14" ht="18" customHeight="1" x14ac:dyDescent="0.25">
      <c r="A23" s="122" t="s">
        <v>10</v>
      </c>
      <c r="B23" s="123"/>
      <c r="C23" s="123"/>
      <c r="D23" s="124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</row>
    <row r="24" spans="1:14" s="20" customFormat="1" ht="18" customHeight="1" x14ac:dyDescent="0.25">
      <c r="A24" s="146" t="s">
        <v>93</v>
      </c>
      <c r="B24" s="146"/>
      <c r="C24" s="146"/>
      <c r="D24" s="147"/>
      <c r="E24" s="33" t="s">
        <v>85</v>
      </c>
      <c r="F24" s="33" t="s">
        <v>85</v>
      </c>
      <c r="G24" s="33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</row>
    <row r="25" spans="1:14" s="20" customFormat="1" ht="18" customHeight="1" x14ac:dyDescent="0.25">
      <c r="A25" s="148"/>
      <c r="B25" s="148"/>
      <c r="C25" s="148"/>
      <c r="D25" s="149"/>
      <c r="E25" s="98">
        <v>0.45989999999999998</v>
      </c>
      <c r="F25" s="98">
        <v>0.45989999999999998</v>
      </c>
      <c r="G25" s="98">
        <v>0.45989999999999998</v>
      </c>
      <c r="H25" s="98">
        <v>0.4733</v>
      </c>
      <c r="I25" s="15">
        <v>0.4531</v>
      </c>
      <c r="J25" s="15">
        <v>0.44819999999999999</v>
      </c>
      <c r="K25" s="15">
        <v>0.44819999999999999</v>
      </c>
      <c r="L25" s="15">
        <v>0.45179999999999998</v>
      </c>
      <c r="M25" s="15">
        <v>0.45179999999999998</v>
      </c>
      <c r="N25" s="97">
        <v>0.45179999999999998</v>
      </c>
    </row>
    <row r="26" spans="1:14" ht="18" customHeight="1" x14ac:dyDescent="0.25">
      <c r="A26" s="144" t="s">
        <v>84</v>
      </c>
      <c r="B26" s="144"/>
      <c r="C26" s="144"/>
      <c r="D26" s="144"/>
      <c r="E26" s="33">
        <f t="shared" ref="E26:M26" si="7">ROUND((E8*E25),2)</f>
        <v>628.22</v>
      </c>
      <c r="F26" s="33">
        <f t="shared" si="7"/>
        <v>628.22</v>
      </c>
      <c r="G26" s="33">
        <f t="shared" si="7"/>
        <v>653.85</v>
      </c>
      <c r="H26" s="33">
        <f t="shared" si="7"/>
        <v>672.9</v>
      </c>
      <c r="I26" s="33">
        <f t="shared" si="7"/>
        <v>644.19000000000005</v>
      </c>
      <c r="J26" s="33">
        <f t="shared" si="7"/>
        <v>637.22</v>
      </c>
      <c r="K26" s="33">
        <f t="shared" si="7"/>
        <v>642.49</v>
      </c>
      <c r="L26" s="33">
        <f t="shared" si="7"/>
        <v>647.65</v>
      </c>
      <c r="M26" s="33">
        <f t="shared" si="7"/>
        <v>655.42</v>
      </c>
      <c r="N26" s="33">
        <f t="shared" ref="N26" si="8">ROUND((N8*N25),2)</f>
        <v>699.73</v>
      </c>
    </row>
    <row r="27" spans="1:14" ht="18" customHeight="1" x14ac:dyDescent="0.25">
      <c r="A27" s="150" t="s">
        <v>94</v>
      </c>
      <c r="B27" s="150"/>
      <c r="C27" s="150"/>
      <c r="D27" s="150"/>
      <c r="E27" s="52" t="s">
        <v>83</v>
      </c>
      <c r="F27" s="52" t="s">
        <v>83</v>
      </c>
      <c r="G27" s="52" t="s">
        <v>83</v>
      </c>
      <c r="H27" s="52" t="s">
        <v>83</v>
      </c>
      <c r="I27" s="52" t="s">
        <v>83</v>
      </c>
      <c r="J27" s="52" t="s">
        <v>83</v>
      </c>
      <c r="K27" s="52" t="s">
        <v>83</v>
      </c>
      <c r="L27" s="52" t="s">
        <v>83</v>
      </c>
      <c r="M27" s="52" t="s">
        <v>83</v>
      </c>
      <c r="N27" s="52" t="s">
        <v>83</v>
      </c>
    </row>
    <row r="28" spans="1:14" ht="18" customHeight="1" x14ac:dyDescent="0.25">
      <c r="A28" s="6" t="s">
        <v>0</v>
      </c>
      <c r="B28" s="119" t="s">
        <v>50</v>
      </c>
      <c r="C28" s="121"/>
      <c r="D28" s="11">
        <v>0.45669999999999999</v>
      </c>
      <c r="E28" s="26">
        <f t="shared" ref="E28:M28" si="9">ROUND(((E8+E18+E23+E26)*$D$28),2)</f>
        <v>1262.79</v>
      </c>
      <c r="F28" s="26">
        <f t="shared" si="9"/>
        <v>1282.8900000000001</v>
      </c>
      <c r="G28" s="26">
        <f t="shared" si="9"/>
        <v>1328.57</v>
      </c>
      <c r="H28" s="26">
        <f t="shared" si="9"/>
        <v>1337.27</v>
      </c>
      <c r="I28" s="26">
        <f t="shared" si="9"/>
        <v>1324.16</v>
      </c>
      <c r="J28" s="26">
        <f t="shared" si="9"/>
        <v>1320.97</v>
      </c>
      <c r="K28" s="26">
        <f t="shared" si="9"/>
        <v>1350.93</v>
      </c>
      <c r="L28" s="26">
        <f t="shared" si="9"/>
        <v>1353.28</v>
      </c>
      <c r="M28" s="26">
        <f t="shared" si="9"/>
        <v>1370.55</v>
      </c>
      <c r="N28" s="26">
        <f t="shared" ref="N28" si="10">ROUND(((N8+N18+N23+N26)*$D$28),2)</f>
        <v>1451.17</v>
      </c>
    </row>
    <row r="29" spans="1:14" ht="18" customHeight="1" x14ac:dyDescent="0.25">
      <c r="A29" s="6" t="s">
        <v>1</v>
      </c>
      <c r="B29" s="119" t="s">
        <v>51</v>
      </c>
      <c r="C29" s="121"/>
      <c r="D29" s="11">
        <v>0.08</v>
      </c>
      <c r="E29" s="26">
        <f t="shared" ref="E29:M29" si="11">ROUND(((E8+E18+E23+E26+E28)*$D$29),2)</f>
        <v>322.23</v>
      </c>
      <c r="F29" s="26">
        <f t="shared" si="11"/>
        <v>327.35000000000002</v>
      </c>
      <c r="G29" s="26">
        <f t="shared" si="11"/>
        <v>339.01</v>
      </c>
      <c r="H29" s="26">
        <f t="shared" si="11"/>
        <v>341.23</v>
      </c>
      <c r="I29" s="26">
        <f t="shared" si="11"/>
        <v>337.88</v>
      </c>
      <c r="J29" s="26">
        <f t="shared" si="11"/>
        <v>337.07</v>
      </c>
      <c r="K29" s="26">
        <f t="shared" si="11"/>
        <v>344.72</v>
      </c>
      <c r="L29" s="26">
        <f t="shared" si="11"/>
        <v>345.32</v>
      </c>
      <c r="M29" s="26">
        <f t="shared" si="11"/>
        <v>349.72</v>
      </c>
      <c r="N29" s="26">
        <f t="shared" ref="N29" si="12">ROUND(((N8+N18+N23+N26+N28)*$D$29),2)</f>
        <v>370.29</v>
      </c>
    </row>
    <row r="30" spans="1:14" ht="18" customHeight="1" x14ac:dyDescent="0.25">
      <c r="A30" s="6" t="s">
        <v>2</v>
      </c>
      <c r="B30" s="119" t="s">
        <v>88</v>
      </c>
      <c r="C30" s="121"/>
      <c r="D30" s="11">
        <f>13.15%</f>
        <v>0.13150000000000001</v>
      </c>
      <c r="E30" s="26">
        <f t="shared" ref="E30:M30" si="13">E31+E32+E33+E34</f>
        <v>658.65</v>
      </c>
      <c r="F30" s="26">
        <f t="shared" si="13"/>
        <v>669.12</v>
      </c>
      <c r="G30" s="26">
        <f t="shared" si="13"/>
        <v>692.95</v>
      </c>
      <c r="H30" s="26">
        <f t="shared" si="13"/>
        <v>697.48</v>
      </c>
      <c r="I30" s="26">
        <f t="shared" si="13"/>
        <v>690.64</v>
      </c>
      <c r="J30" s="26">
        <f t="shared" si="13"/>
        <v>688.99</v>
      </c>
      <c r="K30" s="26">
        <f t="shared" si="13"/>
        <v>704.61</v>
      </c>
      <c r="L30" s="26">
        <f t="shared" si="13"/>
        <v>705.84</v>
      </c>
      <c r="M30" s="26">
        <f t="shared" si="13"/>
        <v>714.83</v>
      </c>
      <c r="N30" s="26">
        <f t="shared" ref="N30" si="14">N31+N32+N33+N34</f>
        <v>756.89</v>
      </c>
    </row>
    <row r="31" spans="1:14" ht="18" customHeight="1" x14ac:dyDescent="0.25">
      <c r="A31" s="12"/>
      <c r="B31" s="116" t="s">
        <v>99</v>
      </c>
      <c r="C31" s="118"/>
      <c r="D31" s="9">
        <v>0.03</v>
      </c>
      <c r="E31" s="27">
        <f t="shared" ref="E31:M31" si="15">ROUND(((E8+E18+E23+E26+E28+E29)/0.8685*$D$31),2)</f>
        <v>150.26</v>
      </c>
      <c r="F31" s="27">
        <f t="shared" si="15"/>
        <v>152.65</v>
      </c>
      <c r="G31" s="27">
        <f t="shared" si="15"/>
        <v>158.09</v>
      </c>
      <c r="H31" s="27">
        <f t="shared" si="15"/>
        <v>159.12</v>
      </c>
      <c r="I31" s="27">
        <f t="shared" si="15"/>
        <v>157.56</v>
      </c>
      <c r="J31" s="27">
        <f t="shared" si="15"/>
        <v>157.18</v>
      </c>
      <c r="K31" s="27">
        <f t="shared" si="15"/>
        <v>160.75</v>
      </c>
      <c r="L31" s="27">
        <f t="shared" si="15"/>
        <v>161.03</v>
      </c>
      <c r="M31" s="27">
        <f t="shared" si="15"/>
        <v>163.08000000000001</v>
      </c>
      <c r="N31" s="27">
        <f t="shared" ref="N31" si="16">ROUND(((N8+N18+N23+N26+N28+N29)/0.8685*$D$31),2)</f>
        <v>172.68</v>
      </c>
    </row>
    <row r="32" spans="1:14" ht="18" customHeight="1" x14ac:dyDescent="0.25">
      <c r="A32" s="12"/>
      <c r="B32" s="116" t="s">
        <v>100</v>
      </c>
      <c r="C32" s="118"/>
      <c r="D32" s="9">
        <v>6.4999999999999997E-3</v>
      </c>
      <c r="E32" s="27">
        <f t="shared" ref="E32:M32" si="17">ROUND(((E8+E18+E23+E26+E28+E29)/0.8685*$D$32),2)</f>
        <v>32.56</v>
      </c>
      <c r="F32" s="27">
        <f t="shared" si="17"/>
        <v>33.07</v>
      </c>
      <c r="G32" s="27">
        <f t="shared" si="17"/>
        <v>34.25</v>
      </c>
      <c r="H32" s="27">
        <f t="shared" si="17"/>
        <v>34.479999999999997</v>
      </c>
      <c r="I32" s="27">
        <f t="shared" si="17"/>
        <v>34.14</v>
      </c>
      <c r="J32" s="27">
        <f t="shared" si="17"/>
        <v>34.06</v>
      </c>
      <c r="K32" s="27">
        <f t="shared" si="17"/>
        <v>34.83</v>
      </c>
      <c r="L32" s="27">
        <f t="shared" si="17"/>
        <v>34.89</v>
      </c>
      <c r="M32" s="27">
        <f t="shared" si="17"/>
        <v>35.33</v>
      </c>
      <c r="N32" s="27">
        <f t="shared" ref="N32" si="18">ROUND(((N8+N18+N23+N26+N28+N29)/0.8685*$D$32),2)</f>
        <v>37.409999999999997</v>
      </c>
    </row>
    <row r="33" spans="1:14" ht="18" customHeight="1" x14ac:dyDescent="0.25">
      <c r="A33" s="12"/>
      <c r="B33" s="116" t="s">
        <v>101</v>
      </c>
      <c r="C33" s="118"/>
      <c r="D33" s="9">
        <v>0.05</v>
      </c>
      <c r="E33" s="27">
        <f t="shared" ref="E33:M33" si="19">ROUND(((E8+E18+E23+E26+E28+E29)/0.8685*$D$33),2)</f>
        <v>250.44</v>
      </c>
      <c r="F33" s="27">
        <f t="shared" si="19"/>
        <v>254.42</v>
      </c>
      <c r="G33" s="27">
        <f t="shared" si="19"/>
        <v>263.48</v>
      </c>
      <c r="H33" s="27">
        <f t="shared" si="19"/>
        <v>265.2</v>
      </c>
      <c r="I33" s="27">
        <f t="shared" si="19"/>
        <v>262.60000000000002</v>
      </c>
      <c r="J33" s="27">
        <f t="shared" si="19"/>
        <v>261.97000000000003</v>
      </c>
      <c r="K33" s="27">
        <f t="shared" si="19"/>
        <v>267.91000000000003</v>
      </c>
      <c r="L33" s="27">
        <f t="shared" si="19"/>
        <v>268.38</v>
      </c>
      <c r="M33" s="27">
        <f t="shared" si="19"/>
        <v>271.8</v>
      </c>
      <c r="N33" s="27">
        <f t="shared" ref="N33" si="20">ROUND(((N8+N18+N23+N26+N28+N29)/0.8685*$D$33),2)</f>
        <v>287.79000000000002</v>
      </c>
    </row>
    <row r="34" spans="1:14" ht="18" customHeight="1" x14ac:dyDescent="0.25">
      <c r="A34" s="12"/>
      <c r="B34" s="116" t="s">
        <v>87</v>
      </c>
      <c r="C34" s="118"/>
      <c r="D34" s="9">
        <v>4.4999999999999998E-2</v>
      </c>
      <c r="E34" s="27">
        <f t="shared" ref="E34:M34" si="21">ROUND((((E8+E18+E23+E26+E28+E29)/0.8685)*$D$34),2)</f>
        <v>225.39</v>
      </c>
      <c r="F34" s="27">
        <f t="shared" si="21"/>
        <v>228.98</v>
      </c>
      <c r="G34" s="27">
        <f t="shared" si="21"/>
        <v>237.13</v>
      </c>
      <c r="H34" s="27">
        <f t="shared" si="21"/>
        <v>238.68</v>
      </c>
      <c r="I34" s="27">
        <f t="shared" si="21"/>
        <v>236.34</v>
      </c>
      <c r="J34" s="27">
        <f t="shared" si="21"/>
        <v>235.78</v>
      </c>
      <c r="K34" s="27">
        <f t="shared" si="21"/>
        <v>241.12</v>
      </c>
      <c r="L34" s="27">
        <f t="shared" si="21"/>
        <v>241.54</v>
      </c>
      <c r="M34" s="27">
        <f t="shared" si="21"/>
        <v>244.62</v>
      </c>
      <c r="N34" s="27">
        <f t="shared" ref="N34" si="22">ROUND((((N8+N18+N23+N26+N28+N29)/0.8685)*$D$34),2)</f>
        <v>259.01</v>
      </c>
    </row>
    <row r="35" spans="1:14" ht="18" customHeight="1" x14ac:dyDescent="0.25">
      <c r="A35" s="131" t="s">
        <v>89</v>
      </c>
      <c r="B35" s="129"/>
      <c r="C35" s="130"/>
      <c r="D35" s="53">
        <f t="shared" ref="D35:M35" si="23">D28+D29+D30</f>
        <v>0.66819999999999991</v>
      </c>
      <c r="E35" s="51">
        <f t="shared" si="23"/>
        <v>2243.67</v>
      </c>
      <c r="F35" s="51">
        <f t="shared" si="23"/>
        <v>2279.36</v>
      </c>
      <c r="G35" s="51">
        <f t="shared" si="23"/>
        <v>2360.5299999999997</v>
      </c>
      <c r="H35" s="51">
        <f t="shared" si="23"/>
        <v>2375.98</v>
      </c>
      <c r="I35" s="51">
        <f t="shared" si="23"/>
        <v>2352.6799999999998</v>
      </c>
      <c r="J35" s="51">
        <f t="shared" si="23"/>
        <v>2347.0299999999997</v>
      </c>
      <c r="K35" s="51">
        <f t="shared" si="23"/>
        <v>2400.2600000000002</v>
      </c>
      <c r="L35" s="51">
        <f t="shared" si="23"/>
        <v>2404.44</v>
      </c>
      <c r="M35" s="51">
        <f t="shared" si="23"/>
        <v>2435.1</v>
      </c>
      <c r="N35" s="51">
        <f t="shared" ref="N35" si="24">N28+N29+N30</f>
        <v>2578.35</v>
      </c>
    </row>
    <row r="36" spans="1:14" ht="39" customHeight="1" x14ac:dyDescent="0.2">
      <c r="A36" s="136" t="s">
        <v>95</v>
      </c>
      <c r="B36" s="136"/>
      <c r="C36" s="136"/>
      <c r="D36" s="136"/>
      <c r="E36" s="35" t="s">
        <v>147</v>
      </c>
      <c r="F36" s="93" t="s">
        <v>148</v>
      </c>
      <c r="G36" s="35" t="s">
        <v>149</v>
      </c>
      <c r="H36" s="93" t="s">
        <v>150</v>
      </c>
      <c r="I36" s="89" t="s">
        <v>146</v>
      </c>
      <c r="J36" s="35" t="s">
        <v>117</v>
      </c>
      <c r="K36" s="35" t="s">
        <v>118</v>
      </c>
      <c r="L36" s="35" t="s">
        <v>126</v>
      </c>
      <c r="M36" s="35" t="s">
        <v>125</v>
      </c>
      <c r="N36" s="35" t="s">
        <v>151</v>
      </c>
    </row>
    <row r="37" spans="1:14" ht="18" customHeight="1" x14ac:dyDescent="0.25">
      <c r="A37" s="13" t="s">
        <v>0</v>
      </c>
      <c r="B37" s="138" t="s">
        <v>52</v>
      </c>
      <c r="C37" s="138"/>
      <c r="D37" s="138"/>
      <c r="E37" s="27">
        <f t="shared" ref="E37:M37" si="25">E8</f>
        <v>1366</v>
      </c>
      <c r="F37" s="27">
        <f t="shared" si="25"/>
        <v>1366</v>
      </c>
      <c r="G37" s="27">
        <f t="shared" si="25"/>
        <v>1421.73</v>
      </c>
      <c r="H37" s="27">
        <f t="shared" si="25"/>
        <v>1421.73</v>
      </c>
      <c r="I37" s="27">
        <f t="shared" si="25"/>
        <v>1421.73</v>
      </c>
      <c r="J37" s="27">
        <f t="shared" si="25"/>
        <v>1421.73</v>
      </c>
      <c r="K37" s="27">
        <f t="shared" si="25"/>
        <v>1433.48</v>
      </c>
      <c r="L37" s="27">
        <f t="shared" si="25"/>
        <v>1433.48</v>
      </c>
      <c r="M37" s="27">
        <f t="shared" si="25"/>
        <v>1450.68</v>
      </c>
      <c r="N37" s="27">
        <f t="shared" ref="N37" si="26">N8</f>
        <v>1548.75</v>
      </c>
    </row>
    <row r="38" spans="1:14" ht="18" customHeight="1" x14ac:dyDescent="0.25">
      <c r="A38" s="13" t="s">
        <v>1</v>
      </c>
      <c r="B38" s="138" t="s">
        <v>53</v>
      </c>
      <c r="C38" s="138"/>
      <c r="D38" s="138"/>
      <c r="E38" s="27">
        <f t="shared" ref="E38:M38" si="27">E18</f>
        <v>770.81999999999994</v>
      </c>
      <c r="F38" s="27">
        <f t="shared" si="27"/>
        <v>814.81999999999994</v>
      </c>
      <c r="G38" s="27">
        <f t="shared" si="27"/>
        <v>833.48</v>
      </c>
      <c r="H38" s="27">
        <f t="shared" si="27"/>
        <v>833.48</v>
      </c>
      <c r="I38" s="27">
        <f t="shared" si="27"/>
        <v>833.48</v>
      </c>
      <c r="J38" s="27">
        <f t="shared" si="27"/>
        <v>833.48</v>
      </c>
      <c r="K38" s="27">
        <f t="shared" si="27"/>
        <v>882.05</v>
      </c>
      <c r="L38" s="27">
        <f t="shared" si="27"/>
        <v>882.05</v>
      </c>
      <c r="M38" s="27">
        <f t="shared" si="27"/>
        <v>894.87999999999988</v>
      </c>
      <c r="N38" s="27">
        <f t="shared" ref="N38" si="28">N18</f>
        <v>929.03</v>
      </c>
    </row>
    <row r="39" spans="1:14" ht="18" customHeight="1" x14ac:dyDescent="0.25">
      <c r="A39" s="13" t="s">
        <v>2</v>
      </c>
      <c r="B39" s="138" t="s">
        <v>54</v>
      </c>
      <c r="C39" s="138"/>
      <c r="D39" s="138"/>
      <c r="E39" s="27">
        <f t="shared" ref="E39:M39" si="29">E23</f>
        <v>0</v>
      </c>
      <c r="F39" s="27">
        <f t="shared" si="29"/>
        <v>0</v>
      </c>
      <c r="G39" s="27">
        <f t="shared" si="29"/>
        <v>0</v>
      </c>
      <c r="H39" s="27">
        <f t="shared" si="29"/>
        <v>0</v>
      </c>
      <c r="I39" s="27">
        <f t="shared" si="29"/>
        <v>0</v>
      </c>
      <c r="J39" s="27">
        <f t="shared" si="29"/>
        <v>0</v>
      </c>
      <c r="K39" s="27">
        <f t="shared" si="29"/>
        <v>0</v>
      </c>
      <c r="L39" s="27">
        <f t="shared" si="29"/>
        <v>0</v>
      </c>
      <c r="M39" s="27">
        <f t="shared" si="29"/>
        <v>0</v>
      </c>
      <c r="N39" s="27">
        <f t="shared" ref="N39" si="30">N23</f>
        <v>0</v>
      </c>
    </row>
    <row r="40" spans="1:14" ht="18" customHeight="1" x14ac:dyDescent="0.25">
      <c r="A40" s="13" t="s">
        <v>3</v>
      </c>
      <c r="B40" s="138" t="s">
        <v>55</v>
      </c>
      <c r="C40" s="138"/>
      <c r="D40" s="138"/>
      <c r="E40" s="27">
        <f t="shared" ref="E40:M40" si="31">E26</f>
        <v>628.22</v>
      </c>
      <c r="F40" s="27">
        <f t="shared" si="31"/>
        <v>628.22</v>
      </c>
      <c r="G40" s="27">
        <f t="shared" si="31"/>
        <v>653.85</v>
      </c>
      <c r="H40" s="27">
        <f t="shared" si="31"/>
        <v>672.9</v>
      </c>
      <c r="I40" s="27">
        <f t="shared" si="31"/>
        <v>644.19000000000005</v>
      </c>
      <c r="J40" s="27">
        <f t="shared" si="31"/>
        <v>637.22</v>
      </c>
      <c r="K40" s="27">
        <f t="shared" si="31"/>
        <v>642.49</v>
      </c>
      <c r="L40" s="27">
        <f t="shared" si="31"/>
        <v>647.65</v>
      </c>
      <c r="M40" s="27">
        <f t="shared" si="31"/>
        <v>655.42</v>
      </c>
      <c r="N40" s="27">
        <f t="shared" ref="N40" si="32">N26</f>
        <v>699.73</v>
      </c>
    </row>
    <row r="41" spans="1:14" s="19" customFormat="1" ht="18" customHeight="1" x14ac:dyDescent="0.25">
      <c r="A41" s="139" t="s">
        <v>56</v>
      </c>
      <c r="B41" s="139"/>
      <c r="C41" s="139"/>
      <c r="D41" s="139"/>
      <c r="E41" s="35">
        <f t="shared" ref="E41:M41" si="33">SUM(E37:E40)</f>
        <v>2765.04</v>
      </c>
      <c r="F41" s="35">
        <f t="shared" si="33"/>
        <v>2809.04</v>
      </c>
      <c r="G41" s="35">
        <f t="shared" si="33"/>
        <v>2909.06</v>
      </c>
      <c r="H41" s="35">
        <f t="shared" si="33"/>
        <v>2928.11</v>
      </c>
      <c r="I41" s="35">
        <f t="shared" si="33"/>
        <v>2899.4</v>
      </c>
      <c r="J41" s="35">
        <f t="shared" si="33"/>
        <v>2892.4300000000003</v>
      </c>
      <c r="K41" s="35">
        <f t="shared" si="33"/>
        <v>2958.0199999999995</v>
      </c>
      <c r="L41" s="35">
        <f t="shared" si="33"/>
        <v>2963.18</v>
      </c>
      <c r="M41" s="35">
        <f t="shared" si="33"/>
        <v>3000.98</v>
      </c>
      <c r="N41" s="35">
        <f t="shared" ref="N41" si="34">SUM(N37:N40)</f>
        <v>3177.5099999999998</v>
      </c>
    </row>
    <row r="42" spans="1:14" ht="18" customHeight="1" x14ac:dyDescent="0.25">
      <c r="A42" s="13" t="s">
        <v>5</v>
      </c>
      <c r="B42" s="138" t="s">
        <v>57</v>
      </c>
      <c r="C42" s="138"/>
      <c r="D42" s="138"/>
      <c r="E42" s="27">
        <f t="shared" ref="E42:M42" si="35">E35</f>
        <v>2243.67</v>
      </c>
      <c r="F42" s="27">
        <f t="shared" si="35"/>
        <v>2279.36</v>
      </c>
      <c r="G42" s="27">
        <f t="shared" si="35"/>
        <v>2360.5299999999997</v>
      </c>
      <c r="H42" s="27">
        <f t="shared" si="35"/>
        <v>2375.98</v>
      </c>
      <c r="I42" s="27">
        <f t="shared" si="35"/>
        <v>2352.6799999999998</v>
      </c>
      <c r="J42" s="27">
        <f t="shared" si="35"/>
        <v>2347.0299999999997</v>
      </c>
      <c r="K42" s="27">
        <f t="shared" si="35"/>
        <v>2400.2600000000002</v>
      </c>
      <c r="L42" s="27">
        <f t="shared" si="35"/>
        <v>2404.44</v>
      </c>
      <c r="M42" s="27">
        <f t="shared" si="35"/>
        <v>2435.1</v>
      </c>
      <c r="N42" s="27">
        <f t="shared" ref="N42" si="36">N35</f>
        <v>2578.35</v>
      </c>
    </row>
    <row r="43" spans="1:14" s="19" customFormat="1" ht="18" customHeight="1" x14ac:dyDescent="0.25">
      <c r="A43" s="139" t="s">
        <v>58</v>
      </c>
      <c r="B43" s="139"/>
      <c r="C43" s="139"/>
      <c r="D43" s="139"/>
      <c r="E43" s="35">
        <f t="shared" ref="E43:M43" si="37">E41+E42</f>
        <v>5008.71</v>
      </c>
      <c r="F43" s="35">
        <f t="shared" si="37"/>
        <v>5088.3999999999996</v>
      </c>
      <c r="G43" s="35">
        <f t="shared" si="37"/>
        <v>5269.59</v>
      </c>
      <c r="H43" s="35">
        <f t="shared" si="37"/>
        <v>5304.09</v>
      </c>
      <c r="I43" s="35">
        <f t="shared" si="37"/>
        <v>5252.08</v>
      </c>
      <c r="J43" s="35">
        <f t="shared" si="37"/>
        <v>5239.46</v>
      </c>
      <c r="K43" s="35">
        <f t="shared" si="37"/>
        <v>5358.28</v>
      </c>
      <c r="L43" s="35">
        <f t="shared" si="37"/>
        <v>5367.62</v>
      </c>
      <c r="M43" s="35">
        <f t="shared" si="37"/>
        <v>5436.08</v>
      </c>
      <c r="N43" s="35">
        <f t="shared" ref="N43" si="38">N41+N42</f>
        <v>5755.86</v>
      </c>
    </row>
    <row r="44" spans="1:14" ht="14.25" customHeight="1" x14ac:dyDescent="0.25">
      <c r="A44" s="140" t="s">
        <v>86</v>
      </c>
      <c r="B44" s="140"/>
      <c r="C44" s="140"/>
      <c r="D44" s="140"/>
      <c r="E44" s="21">
        <v>3</v>
      </c>
      <c r="F44" s="21">
        <v>3</v>
      </c>
      <c r="G44" s="21">
        <v>3</v>
      </c>
      <c r="H44" s="21">
        <v>3</v>
      </c>
      <c r="I44" s="21">
        <v>3</v>
      </c>
      <c r="J44" s="21">
        <v>3</v>
      </c>
      <c r="K44" s="21">
        <v>3</v>
      </c>
      <c r="L44" s="21">
        <v>3</v>
      </c>
      <c r="M44" s="21">
        <v>3</v>
      </c>
      <c r="N44" s="21">
        <v>3</v>
      </c>
    </row>
    <row r="45" spans="1:14" ht="18" customHeight="1" x14ac:dyDescent="0.25">
      <c r="A45" s="125" t="s">
        <v>114</v>
      </c>
      <c r="B45" s="126"/>
      <c r="C45" s="126"/>
      <c r="D45" s="127"/>
      <c r="E45" s="34">
        <f t="shared" ref="E45:M45" si="39">ROUND((E44*E43),2)</f>
        <v>15026.13</v>
      </c>
      <c r="F45" s="34">
        <f t="shared" si="39"/>
        <v>15265.2</v>
      </c>
      <c r="G45" s="34">
        <f t="shared" si="39"/>
        <v>15808.77</v>
      </c>
      <c r="H45" s="34">
        <f t="shared" si="39"/>
        <v>15912.27</v>
      </c>
      <c r="I45" s="34">
        <f t="shared" si="39"/>
        <v>15756.24</v>
      </c>
      <c r="J45" s="34">
        <f t="shared" si="39"/>
        <v>15718.38</v>
      </c>
      <c r="K45" s="34">
        <f t="shared" si="39"/>
        <v>16074.84</v>
      </c>
      <c r="L45" s="34">
        <f t="shared" si="39"/>
        <v>16102.86</v>
      </c>
      <c r="M45" s="34">
        <f t="shared" si="39"/>
        <v>16308.24</v>
      </c>
      <c r="N45" s="34">
        <f t="shared" ref="N45" si="40">ROUND((N44*N43),2)</f>
        <v>17267.580000000002</v>
      </c>
    </row>
  </sheetData>
  <mergeCells count="45"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B40:D40"/>
    <mergeCell ref="B29:C29"/>
    <mergeCell ref="B30:C30"/>
    <mergeCell ref="B31:C31"/>
    <mergeCell ref="B32:C32"/>
    <mergeCell ref="A35:C35"/>
    <mergeCell ref="A36:D36"/>
    <mergeCell ref="B37:D37"/>
    <mergeCell ref="B38:D38"/>
    <mergeCell ref="B39:D39"/>
    <mergeCell ref="B33:C33"/>
    <mergeCell ref="B34:C34"/>
    <mergeCell ref="A41:D41"/>
    <mergeCell ref="B42:D42"/>
    <mergeCell ref="A43:D43"/>
    <mergeCell ref="A44:D44"/>
    <mergeCell ref="A45:D45"/>
    <mergeCell ref="B28:C28"/>
    <mergeCell ref="A23:D23"/>
    <mergeCell ref="A24:D25"/>
    <mergeCell ref="A26:D26"/>
    <mergeCell ref="A27:D27"/>
    <mergeCell ref="B20:C20"/>
    <mergeCell ref="B21:C21"/>
    <mergeCell ref="B22:C22"/>
    <mergeCell ref="B17:C17"/>
    <mergeCell ref="A18:D18"/>
    <mergeCell ref="A19:D19"/>
    <mergeCell ref="A6:D6"/>
    <mergeCell ref="B7:C7"/>
    <mergeCell ref="A5:B5"/>
    <mergeCell ref="A2:N2"/>
    <mergeCell ref="A3:N3"/>
    <mergeCell ref="A4:N4"/>
    <mergeCell ref="C5:N5"/>
    <mergeCell ref="A1:N1"/>
  </mergeCells>
  <pageMargins left="0.31496062992125984" right="0.11811023622047245" top="0.59055118110236227" bottom="0.39370078740157483" header="0.31496062992125984" footer="0.31496062992125984"/>
  <pageSetup paperSize="9" scale="95" orientation="portrait" r:id="rId1"/>
  <headerFooter>
    <oddHeader xml:space="preserve">&amp;L&amp;"Times New Roman,Negrito"&amp;10PODER JUDICIÁRIO
CONSELHO DA JUSTIÇA FEDERAL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5"/>
  <sheetViews>
    <sheetView showGridLines="0" zoomScale="110" zoomScaleNormal="110" workbookViewId="0">
      <selection activeCell="R8" sqref="R8"/>
    </sheetView>
  </sheetViews>
  <sheetFormatPr defaultColWidth="9.140625" defaultRowHeight="12.75" x14ac:dyDescent="0.25"/>
  <cols>
    <col min="1" max="1" width="4" style="3" customWidth="1"/>
    <col min="2" max="2" width="40.7109375" style="4" customWidth="1"/>
    <col min="3" max="3" width="5.42578125" style="4" customWidth="1"/>
    <col min="4" max="4" width="7.5703125" style="4" bestFit="1" customWidth="1"/>
    <col min="5" max="5" width="17.42578125" style="4" hidden="1" customWidth="1"/>
    <col min="6" max="6" width="16.28515625" style="4" hidden="1" customWidth="1"/>
    <col min="7" max="7" width="15.140625" style="4" hidden="1" customWidth="1"/>
    <col min="8" max="8" width="17.7109375" style="4" hidden="1" customWidth="1"/>
    <col min="9" max="13" width="15.5703125" style="22" hidden="1" customWidth="1"/>
    <col min="14" max="14" width="15.28515625" style="4" customWidth="1"/>
    <col min="15" max="16384" width="9.140625" style="4"/>
  </cols>
  <sheetData>
    <row r="1" spans="1:16" ht="36.75" customHeight="1" x14ac:dyDescent="0.25">
      <c r="A1" s="137" t="s">
        <v>160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24.95" customHeight="1" x14ac:dyDescent="0.25">
      <c r="A2" s="144" t="s">
        <v>108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6" ht="18" customHeight="1" x14ac:dyDescent="0.25">
      <c r="A3" s="145" t="s">
        <v>109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ht="18" customHeight="1" x14ac:dyDescent="0.25">
      <c r="A4" s="138" t="s">
        <v>159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6" ht="18" customHeight="1" x14ac:dyDescent="0.25">
      <c r="A5" s="151" t="s">
        <v>76</v>
      </c>
      <c r="B5" s="151"/>
      <c r="C5" s="154" t="s">
        <v>75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6" ht="41.25" customHeight="1" x14ac:dyDescent="0.2">
      <c r="A6" s="132" t="s">
        <v>90</v>
      </c>
      <c r="B6" s="133"/>
      <c r="C6" s="133"/>
      <c r="D6" s="134"/>
      <c r="E6" s="35" t="s">
        <v>147</v>
      </c>
      <c r="F6" s="80" t="s">
        <v>148</v>
      </c>
      <c r="G6" s="80" t="s">
        <v>149</v>
      </c>
      <c r="H6" s="80" t="s">
        <v>150</v>
      </c>
      <c r="I6" s="89" t="s">
        <v>146</v>
      </c>
      <c r="J6" s="35" t="s">
        <v>117</v>
      </c>
      <c r="K6" s="35" t="s">
        <v>118</v>
      </c>
      <c r="L6" s="35" t="s">
        <v>126</v>
      </c>
      <c r="M6" s="35" t="s">
        <v>125</v>
      </c>
      <c r="N6" s="35" t="s">
        <v>151</v>
      </c>
    </row>
    <row r="7" spans="1:16" s="5" customFormat="1" ht="18" customHeight="1" x14ac:dyDescent="0.25">
      <c r="A7" s="13" t="s">
        <v>0</v>
      </c>
      <c r="B7" s="138" t="s">
        <v>77</v>
      </c>
      <c r="C7" s="116"/>
      <c r="D7" s="28"/>
      <c r="E7" s="95">
        <v>1639.2</v>
      </c>
      <c r="F7" s="95">
        <v>1639.2</v>
      </c>
      <c r="G7" s="95">
        <v>1706.08</v>
      </c>
      <c r="H7" s="95">
        <v>1706.08</v>
      </c>
      <c r="I7" s="23">
        <v>1706.08</v>
      </c>
      <c r="J7" s="23">
        <v>1706.08</v>
      </c>
      <c r="K7" s="23">
        <f>ROUND((1706.08*1.0494),2)</f>
        <v>1790.36</v>
      </c>
      <c r="L7" s="23">
        <f>ROUND((1706.08*1.0494),2)</f>
        <v>1790.36</v>
      </c>
      <c r="M7" s="23">
        <f>ROUND((1706.08*1.0494*1.012),2)</f>
        <v>1811.84</v>
      </c>
      <c r="N7" s="23">
        <f>ROUND((1706.08*1.0494*1.012*1.0676),2)</f>
        <v>1934.33</v>
      </c>
    </row>
    <row r="8" spans="1:16" ht="18" customHeight="1" x14ac:dyDescent="0.25">
      <c r="A8" s="128" t="s">
        <v>4</v>
      </c>
      <c r="B8" s="129"/>
      <c r="C8" s="129"/>
      <c r="D8" s="130"/>
      <c r="E8" s="101">
        <v>1639.2</v>
      </c>
      <c r="F8" s="101">
        <v>1639.2</v>
      </c>
      <c r="G8" s="101">
        <v>1706.08</v>
      </c>
      <c r="H8" s="101">
        <v>1706.08</v>
      </c>
      <c r="I8" s="51">
        <f t="shared" ref="I8:N8" si="0">SUM(I7:I7)</f>
        <v>1706.08</v>
      </c>
      <c r="J8" s="51">
        <f t="shared" si="0"/>
        <v>1706.08</v>
      </c>
      <c r="K8" s="51">
        <f t="shared" si="0"/>
        <v>1790.36</v>
      </c>
      <c r="L8" s="51">
        <f t="shared" si="0"/>
        <v>1790.36</v>
      </c>
      <c r="M8" s="51">
        <f t="shared" si="0"/>
        <v>1811.84</v>
      </c>
      <c r="N8" s="51">
        <f t="shared" si="0"/>
        <v>1934.33</v>
      </c>
    </row>
    <row r="9" spans="1:16" ht="18" customHeight="1" x14ac:dyDescent="0.25">
      <c r="A9" s="132" t="s">
        <v>91</v>
      </c>
      <c r="B9" s="133"/>
      <c r="C9" s="133"/>
      <c r="D9" s="134"/>
      <c r="E9" s="33" t="s">
        <v>83</v>
      </c>
      <c r="F9" s="33" t="s">
        <v>83</v>
      </c>
      <c r="G9" s="33" t="s">
        <v>83</v>
      </c>
      <c r="H9" s="33" t="s">
        <v>83</v>
      </c>
      <c r="I9" s="33" t="s">
        <v>83</v>
      </c>
      <c r="J9" s="33" t="s">
        <v>83</v>
      </c>
      <c r="K9" s="33" t="s">
        <v>83</v>
      </c>
      <c r="L9" s="33" t="s">
        <v>83</v>
      </c>
      <c r="M9" s="33" t="s">
        <v>83</v>
      </c>
      <c r="N9" s="33" t="s">
        <v>83</v>
      </c>
    </row>
    <row r="10" spans="1:16" ht="18" customHeight="1" x14ac:dyDescent="0.25">
      <c r="A10" s="13" t="s">
        <v>0</v>
      </c>
      <c r="B10" s="138" t="s">
        <v>59</v>
      </c>
      <c r="C10" s="116"/>
      <c r="D10" s="28"/>
      <c r="E10" s="95">
        <v>176</v>
      </c>
      <c r="F10" s="95">
        <v>220</v>
      </c>
      <c r="G10" s="95">
        <v>220</v>
      </c>
      <c r="H10" s="95">
        <v>220</v>
      </c>
      <c r="I10" s="24">
        <f t="shared" ref="I10:N10" si="1">10*22</f>
        <v>220</v>
      </c>
      <c r="J10" s="24">
        <f t="shared" si="1"/>
        <v>220</v>
      </c>
      <c r="K10" s="24">
        <f t="shared" si="1"/>
        <v>220</v>
      </c>
      <c r="L10" s="24">
        <f t="shared" si="1"/>
        <v>220</v>
      </c>
      <c r="M10" s="24">
        <f t="shared" si="1"/>
        <v>220</v>
      </c>
      <c r="N10" s="24">
        <f t="shared" si="1"/>
        <v>220</v>
      </c>
    </row>
    <row r="11" spans="1:16" ht="18" customHeight="1" x14ac:dyDescent="0.25">
      <c r="A11" s="13" t="s">
        <v>1</v>
      </c>
      <c r="B11" s="138" t="s">
        <v>60</v>
      </c>
      <c r="C11" s="116"/>
      <c r="D11" s="29"/>
      <c r="E11" s="99">
        <v>98.35</v>
      </c>
      <c r="F11" s="99">
        <v>98.35</v>
      </c>
      <c r="G11" s="99">
        <v>102.36</v>
      </c>
      <c r="H11" s="99">
        <v>102.36</v>
      </c>
      <c r="I11" s="24">
        <f t="shared" ref="I11:N11" si="2">ROUND((I7*6%),2)</f>
        <v>102.36</v>
      </c>
      <c r="J11" s="24">
        <f t="shared" si="2"/>
        <v>102.36</v>
      </c>
      <c r="K11" s="24">
        <f t="shared" si="2"/>
        <v>107.42</v>
      </c>
      <c r="L11" s="24">
        <f t="shared" si="2"/>
        <v>107.42</v>
      </c>
      <c r="M11" s="24">
        <f t="shared" si="2"/>
        <v>108.71</v>
      </c>
      <c r="N11" s="24">
        <f t="shared" si="2"/>
        <v>116.06</v>
      </c>
    </row>
    <row r="12" spans="1:16" ht="18" customHeight="1" x14ac:dyDescent="0.25">
      <c r="A12" s="8" t="s">
        <v>2</v>
      </c>
      <c r="B12" s="145" t="s">
        <v>61</v>
      </c>
      <c r="C12" s="119"/>
      <c r="D12" s="30"/>
      <c r="E12" s="100">
        <v>77.650000000000006</v>
      </c>
      <c r="F12" s="100">
        <v>121.65</v>
      </c>
      <c r="G12" s="100">
        <v>117.64</v>
      </c>
      <c r="H12" s="100">
        <v>117.64</v>
      </c>
      <c r="I12" s="25">
        <f t="shared" ref="I12:N12" si="3">I10-I11</f>
        <v>117.64</v>
      </c>
      <c r="J12" s="25">
        <f t="shared" si="3"/>
        <v>117.64</v>
      </c>
      <c r="K12" s="25">
        <f t="shared" si="3"/>
        <v>112.58</v>
      </c>
      <c r="L12" s="25">
        <f t="shared" si="3"/>
        <v>112.58</v>
      </c>
      <c r="M12" s="25">
        <f t="shared" si="3"/>
        <v>111.29</v>
      </c>
      <c r="N12" s="25">
        <f t="shared" si="3"/>
        <v>103.94</v>
      </c>
      <c r="P12" s="37"/>
    </row>
    <row r="13" spans="1:16" ht="18" customHeight="1" x14ac:dyDescent="0.25">
      <c r="A13" s="13" t="s">
        <v>3</v>
      </c>
      <c r="B13" s="138" t="s">
        <v>62</v>
      </c>
      <c r="C13" s="116"/>
      <c r="D13" s="28"/>
      <c r="E13" s="95">
        <v>506</v>
      </c>
      <c r="F13" s="95">
        <v>506</v>
      </c>
      <c r="G13" s="95">
        <v>528</v>
      </c>
      <c r="H13" s="95">
        <v>528</v>
      </c>
      <c r="I13" s="24">
        <f>22*24</f>
        <v>528</v>
      </c>
      <c r="J13" s="24">
        <f>22*24</f>
        <v>528</v>
      </c>
      <c r="K13" s="24">
        <f>22*26.24</f>
        <v>577.28</v>
      </c>
      <c r="L13" s="24">
        <f>22*26.24</f>
        <v>577.28</v>
      </c>
      <c r="M13" s="24">
        <f>22*26.87</f>
        <v>591.14</v>
      </c>
      <c r="N13" s="24">
        <f>22*28.69</f>
        <v>631.18000000000006</v>
      </c>
    </row>
    <row r="14" spans="1:16" ht="18" customHeight="1" x14ac:dyDescent="0.25">
      <c r="A14" s="13" t="s">
        <v>5</v>
      </c>
      <c r="B14" s="138" t="s">
        <v>63</v>
      </c>
      <c r="C14" s="116"/>
      <c r="D14" s="29"/>
      <c r="E14" s="99">
        <v>0</v>
      </c>
      <c r="F14" s="99">
        <v>0</v>
      </c>
      <c r="G14" s="99">
        <v>26.4</v>
      </c>
      <c r="H14" s="99">
        <v>26.4</v>
      </c>
      <c r="I14" s="24">
        <f>ROUND((I13*5%),2)</f>
        <v>26.4</v>
      </c>
      <c r="J14" s="24">
        <f>ROUND((J13*5%),2)</f>
        <v>26.4</v>
      </c>
      <c r="K14" s="24">
        <v>0</v>
      </c>
      <c r="L14" s="24">
        <v>0</v>
      </c>
      <c r="M14" s="24">
        <v>0</v>
      </c>
      <c r="N14" s="24">
        <v>0</v>
      </c>
    </row>
    <row r="15" spans="1:16" ht="18" customHeight="1" x14ac:dyDescent="0.25">
      <c r="A15" s="8" t="s">
        <v>6</v>
      </c>
      <c r="B15" s="138" t="s">
        <v>64</v>
      </c>
      <c r="C15" s="116"/>
      <c r="D15" s="31"/>
      <c r="E15" s="101">
        <v>506</v>
      </c>
      <c r="F15" s="101">
        <v>506</v>
      </c>
      <c r="G15" s="101">
        <v>501.6</v>
      </c>
      <c r="H15" s="101">
        <v>501.6</v>
      </c>
      <c r="I15" s="25">
        <f t="shared" ref="I15:N15" si="4">I13-I14</f>
        <v>501.6</v>
      </c>
      <c r="J15" s="25">
        <f t="shared" si="4"/>
        <v>501.6</v>
      </c>
      <c r="K15" s="25">
        <f t="shared" si="4"/>
        <v>577.28</v>
      </c>
      <c r="L15" s="25">
        <f t="shared" si="4"/>
        <v>577.28</v>
      </c>
      <c r="M15" s="25">
        <f t="shared" si="4"/>
        <v>591.14</v>
      </c>
      <c r="N15" s="25">
        <f t="shared" si="4"/>
        <v>631.18000000000006</v>
      </c>
    </row>
    <row r="16" spans="1:16" s="19" customFormat="1" ht="18" customHeight="1" x14ac:dyDescent="0.25">
      <c r="A16" s="8" t="s">
        <v>7</v>
      </c>
      <c r="B16" s="138" t="s">
        <v>65</v>
      </c>
      <c r="C16" s="116"/>
      <c r="D16" s="31"/>
      <c r="E16" s="25">
        <v>9.14</v>
      </c>
      <c r="F16" s="25">
        <v>9.14</v>
      </c>
      <c r="G16" s="25">
        <v>9.14</v>
      </c>
      <c r="H16" s="25">
        <v>9.14</v>
      </c>
      <c r="I16" s="25">
        <v>9.14</v>
      </c>
      <c r="J16" s="25">
        <v>9.14</v>
      </c>
      <c r="K16" s="25">
        <v>9.14</v>
      </c>
      <c r="L16" s="25">
        <v>9.14</v>
      </c>
      <c r="M16" s="25">
        <v>9.14</v>
      </c>
      <c r="N16" s="25">
        <v>9.14</v>
      </c>
    </row>
    <row r="17" spans="1:14" s="19" customFormat="1" ht="18" customHeight="1" x14ac:dyDescent="0.25">
      <c r="A17" s="8" t="s">
        <v>8</v>
      </c>
      <c r="B17" s="138" t="s">
        <v>66</v>
      </c>
      <c r="C17" s="116"/>
      <c r="D17" s="32"/>
      <c r="E17" s="25">
        <v>161.63999999999999</v>
      </c>
      <c r="F17" s="25">
        <v>161.63999999999999</v>
      </c>
      <c r="G17" s="25">
        <v>161.63999999999999</v>
      </c>
      <c r="H17" s="25">
        <v>161.63999999999999</v>
      </c>
      <c r="I17" s="25">
        <v>161.63999999999999</v>
      </c>
      <c r="J17" s="25">
        <v>161.63999999999999</v>
      </c>
      <c r="K17" s="25">
        <v>161.63999999999999</v>
      </c>
      <c r="L17" s="25">
        <v>161.63999999999999</v>
      </c>
      <c r="M17" s="25">
        <v>161.63999999999999</v>
      </c>
      <c r="N17" s="25">
        <v>161.63999999999999</v>
      </c>
    </row>
    <row r="18" spans="1:14" ht="18" customHeight="1" x14ac:dyDescent="0.25">
      <c r="A18" s="128" t="s">
        <v>9</v>
      </c>
      <c r="B18" s="129"/>
      <c r="C18" s="129"/>
      <c r="D18" s="130"/>
      <c r="E18" s="54">
        <f t="shared" ref="E18:M18" si="5">E12+E15+E16+E17</f>
        <v>754.43</v>
      </c>
      <c r="F18" s="54">
        <f t="shared" si="5"/>
        <v>798.43</v>
      </c>
      <c r="G18" s="54">
        <f t="shared" si="5"/>
        <v>790.02</v>
      </c>
      <c r="H18" s="54">
        <f t="shared" si="5"/>
        <v>790.02</v>
      </c>
      <c r="I18" s="54">
        <f t="shared" si="5"/>
        <v>790.02</v>
      </c>
      <c r="J18" s="54">
        <f t="shared" si="5"/>
        <v>790.02</v>
      </c>
      <c r="K18" s="54">
        <f t="shared" si="5"/>
        <v>860.64</v>
      </c>
      <c r="L18" s="54">
        <f t="shared" si="5"/>
        <v>860.64</v>
      </c>
      <c r="M18" s="54">
        <f t="shared" si="5"/>
        <v>873.20999999999992</v>
      </c>
      <c r="N18" s="54">
        <f t="shared" ref="N18" si="6">N12+N15+N16+N17</f>
        <v>905.90000000000009</v>
      </c>
    </row>
    <row r="19" spans="1:14" ht="18" customHeight="1" x14ac:dyDescent="0.25">
      <c r="A19" s="132" t="s">
        <v>92</v>
      </c>
      <c r="B19" s="133"/>
      <c r="C19" s="133"/>
      <c r="D19" s="134"/>
      <c r="E19" s="33" t="s">
        <v>83</v>
      </c>
      <c r="F19" s="33" t="s">
        <v>83</v>
      </c>
      <c r="G19" s="33" t="s">
        <v>83</v>
      </c>
      <c r="H19" s="33" t="s">
        <v>83</v>
      </c>
      <c r="I19" s="33" t="s">
        <v>83</v>
      </c>
      <c r="J19" s="33" t="s">
        <v>83</v>
      </c>
      <c r="K19" s="33" t="s">
        <v>83</v>
      </c>
      <c r="L19" s="33" t="s">
        <v>83</v>
      </c>
      <c r="M19" s="33" t="s">
        <v>83</v>
      </c>
      <c r="N19" s="33" t="s">
        <v>83</v>
      </c>
    </row>
    <row r="20" spans="1:14" ht="18" hidden="1" customHeight="1" x14ac:dyDescent="0.25">
      <c r="A20" s="13" t="s">
        <v>0</v>
      </c>
      <c r="B20" s="138" t="s">
        <v>67</v>
      </c>
      <c r="C20" s="116"/>
      <c r="D20" s="28"/>
      <c r="E20" s="95"/>
      <c r="F20" s="95"/>
      <c r="G20" s="95"/>
      <c r="H20" s="95"/>
      <c r="I20" s="23">
        <v>0</v>
      </c>
      <c r="J20" s="23">
        <v>0</v>
      </c>
      <c r="K20" s="23">
        <v>0</v>
      </c>
      <c r="L20" s="23"/>
      <c r="M20" s="23"/>
      <c r="N20" s="23"/>
    </row>
    <row r="21" spans="1:14" ht="18" hidden="1" customHeight="1" x14ac:dyDescent="0.25">
      <c r="A21" s="13" t="s">
        <v>1</v>
      </c>
      <c r="B21" s="138" t="s">
        <v>68</v>
      </c>
      <c r="C21" s="116"/>
      <c r="D21" s="28"/>
      <c r="E21" s="95"/>
      <c r="F21" s="95"/>
      <c r="G21" s="95"/>
      <c r="H21" s="95"/>
      <c r="I21" s="23">
        <v>0</v>
      </c>
      <c r="J21" s="23">
        <v>0</v>
      </c>
      <c r="K21" s="23">
        <v>0</v>
      </c>
      <c r="L21" s="23"/>
      <c r="M21" s="23"/>
      <c r="N21" s="23"/>
    </row>
    <row r="22" spans="1:14" ht="18" customHeight="1" x14ac:dyDescent="0.25">
      <c r="A22" s="13" t="s">
        <v>2</v>
      </c>
      <c r="B22" s="138" t="s">
        <v>69</v>
      </c>
      <c r="C22" s="116"/>
      <c r="D22" s="28"/>
      <c r="E22" s="23">
        <v>171.96</v>
      </c>
      <c r="F22" s="23">
        <v>171.96</v>
      </c>
      <c r="G22" s="23">
        <v>171.96</v>
      </c>
      <c r="H22" s="23">
        <v>171.96</v>
      </c>
      <c r="I22" s="23">
        <v>171.96</v>
      </c>
      <c r="J22" s="23">
        <v>171.96</v>
      </c>
      <c r="K22" s="23">
        <v>171.96</v>
      </c>
      <c r="L22" s="23">
        <v>171.96</v>
      </c>
      <c r="M22" s="23">
        <v>171.96</v>
      </c>
      <c r="N22" s="23">
        <v>171.96</v>
      </c>
    </row>
    <row r="23" spans="1:14" ht="18" customHeight="1" x14ac:dyDescent="0.25">
      <c r="A23" s="122" t="s">
        <v>10</v>
      </c>
      <c r="B23" s="123"/>
      <c r="C23" s="123"/>
      <c r="D23" s="124"/>
      <c r="E23" s="43">
        <f t="shared" ref="E23:M23" si="7">SUM(E20:E22)</f>
        <v>171.96</v>
      </c>
      <c r="F23" s="43">
        <f t="shared" si="7"/>
        <v>171.96</v>
      </c>
      <c r="G23" s="43">
        <f t="shared" si="7"/>
        <v>171.96</v>
      </c>
      <c r="H23" s="43">
        <f t="shared" si="7"/>
        <v>171.96</v>
      </c>
      <c r="I23" s="43">
        <f t="shared" si="7"/>
        <v>171.96</v>
      </c>
      <c r="J23" s="43">
        <f t="shared" si="7"/>
        <v>171.96</v>
      </c>
      <c r="K23" s="43">
        <f t="shared" si="7"/>
        <v>171.96</v>
      </c>
      <c r="L23" s="43">
        <f t="shared" si="7"/>
        <v>171.96</v>
      </c>
      <c r="M23" s="43">
        <f t="shared" si="7"/>
        <v>171.96</v>
      </c>
      <c r="N23" s="43">
        <f t="shared" ref="N23" si="8">SUM(N20:N22)</f>
        <v>171.96</v>
      </c>
    </row>
    <row r="24" spans="1:14" s="20" customFormat="1" ht="18" customHeight="1" x14ac:dyDescent="0.25">
      <c r="A24" s="146" t="s">
        <v>93</v>
      </c>
      <c r="B24" s="146"/>
      <c r="C24" s="146"/>
      <c r="D24" s="147"/>
      <c r="E24" s="33" t="s">
        <v>85</v>
      </c>
      <c r="F24" s="33" t="s">
        <v>85</v>
      </c>
      <c r="G24" s="33" t="s">
        <v>85</v>
      </c>
      <c r="H24" s="33" t="s">
        <v>85</v>
      </c>
      <c r="I24" s="33" t="s">
        <v>85</v>
      </c>
      <c r="J24" s="33" t="s">
        <v>85</v>
      </c>
      <c r="K24" s="33" t="s">
        <v>85</v>
      </c>
      <c r="L24" s="33" t="s">
        <v>85</v>
      </c>
      <c r="M24" s="33" t="s">
        <v>85</v>
      </c>
      <c r="N24" s="33" t="s">
        <v>85</v>
      </c>
    </row>
    <row r="25" spans="1:14" s="20" customFormat="1" ht="18" customHeight="1" x14ac:dyDescent="0.25">
      <c r="A25" s="148"/>
      <c r="B25" s="148"/>
      <c r="C25" s="148"/>
      <c r="D25" s="149"/>
      <c r="E25" s="98">
        <v>0.45989999999999998</v>
      </c>
      <c r="F25" s="98">
        <v>0.45989999999999998</v>
      </c>
      <c r="G25" s="98">
        <v>0.45989999999999998</v>
      </c>
      <c r="H25" s="98">
        <v>0.4733</v>
      </c>
      <c r="I25" s="15">
        <v>0.4531</v>
      </c>
      <c r="J25" s="15">
        <v>0.44819999999999999</v>
      </c>
      <c r="K25" s="15">
        <v>0.44819999999999999</v>
      </c>
      <c r="L25" s="15">
        <v>0.45179999999999998</v>
      </c>
      <c r="M25" s="15">
        <v>0.45179999999999998</v>
      </c>
      <c r="N25" s="97">
        <v>0.45179999999999998</v>
      </c>
    </row>
    <row r="26" spans="1:14" ht="18" customHeight="1" x14ac:dyDescent="0.25">
      <c r="A26" s="135" t="s">
        <v>84</v>
      </c>
      <c r="B26" s="135"/>
      <c r="C26" s="135"/>
      <c r="D26" s="135"/>
      <c r="E26" s="52">
        <f t="shared" ref="E26:M26" si="9">ROUND((E8*E25),2)</f>
        <v>753.87</v>
      </c>
      <c r="F26" s="52">
        <f t="shared" si="9"/>
        <v>753.87</v>
      </c>
      <c r="G26" s="52">
        <f t="shared" si="9"/>
        <v>784.63</v>
      </c>
      <c r="H26" s="52">
        <f t="shared" si="9"/>
        <v>807.49</v>
      </c>
      <c r="I26" s="52">
        <f t="shared" si="9"/>
        <v>773.02</v>
      </c>
      <c r="J26" s="52">
        <f t="shared" si="9"/>
        <v>764.67</v>
      </c>
      <c r="K26" s="52">
        <f t="shared" si="9"/>
        <v>802.44</v>
      </c>
      <c r="L26" s="52">
        <f t="shared" si="9"/>
        <v>808.88</v>
      </c>
      <c r="M26" s="52">
        <f t="shared" si="9"/>
        <v>818.59</v>
      </c>
      <c r="N26" s="165">
        <f t="shared" ref="N26" si="10">ROUND((N8*N25),2)</f>
        <v>873.93</v>
      </c>
    </row>
    <row r="27" spans="1:14" ht="18" customHeight="1" x14ac:dyDescent="0.25">
      <c r="A27" s="136" t="s">
        <v>94</v>
      </c>
      <c r="B27" s="136"/>
      <c r="C27" s="136"/>
      <c r="D27" s="136"/>
      <c r="E27" s="33" t="s">
        <v>83</v>
      </c>
      <c r="F27" s="33" t="s">
        <v>83</v>
      </c>
      <c r="G27" s="33" t="s">
        <v>83</v>
      </c>
      <c r="H27" s="33" t="s">
        <v>83</v>
      </c>
      <c r="I27" s="33" t="s">
        <v>83</v>
      </c>
      <c r="J27" s="33" t="s">
        <v>83</v>
      </c>
      <c r="K27" s="33" t="s">
        <v>83</v>
      </c>
      <c r="L27" s="33" t="s">
        <v>83</v>
      </c>
      <c r="M27" s="33" t="s">
        <v>83</v>
      </c>
      <c r="N27" s="33" t="s">
        <v>83</v>
      </c>
    </row>
    <row r="28" spans="1:14" ht="18" customHeight="1" x14ac:dyDescent="0.25">
      <c r="A28" s="6" t="s">
        <v>0</v>
      </c>
      <c r="B28" s="119" t="s">
        <v>50</v>
      </c>
      <c r="C28" s="121"/>
      <c r="D28" s="11">
        <v>0.40970000000000001</v>
      </c>
      <c r="E28" s="26">
        <f t="shared" ref="E28:M28" si="11">ROUND(((E8+E18+E23+E26)*$D$28),2)</f>
        <v>1359.98</v>
      </c>
      <c r="F28" s="26">
        <f t="shared" si="11"/>
        <v>1378.01</v>
      </c>
      <c r="G28" s="26">
        <f t="shared" si="11"/>
        <v>1414.57</v>
      </c>
      <c r="H28" s="26">
        <f t="shared" si="11"/>
        <v>1423.93</v>
      </c>
      <c r="I28" s="26">
        <f t="shared" si="11"/>
        <v>1409.81</v>
      </c>
      <c r="J28" s="26">
        <f t="shared" si="11"/>
        <v>1406.39</v>
      </c>
      <c r="K28" s="26">
        <f t="shared" si="11"/>
        <v>1485.33</v>
      </c>
      <c r="L28" s="26">
        <f t="shared" si="11"/>
        <v>1487.96</v>
      </c>
      <c r="M28" s="26">
        <f t="shared" si="11"/>
        <v>1505.89</v>
      </c>
      <c r="N28" s="26">
        <f t="shared" ref="N28" si="12">ROUND(((N8+N18+N23+N26)*$D$28),2)</f>
        <v>1592.14</v>
      </c>
    </row>
    <row r="29" spans="1:14" ht="18" customHeight="1" x14ac:dyDescent="0.25">
      <c r="A29" s="6" t="s">
        <v>1</v>
      </c>
      <c r="B29" s="119" t="s">
        <v>51</v>
      </c>
      <c r="C29" s="121"/>
      <c r="D29" s="11">
        <v>7.0000000000000007E-2</v>
      </c>
      <c r="E29" s="26">
        <f t="shared" ref="E29:M29" si="13">ROUND(((E8+E18+E23+E26+E28)*$D$29),2)</f>
        <v>327.56</v>
      </c>
      <c r="F29" s="26">
        <f t="shared" si="13"/>
        <v>331.9</v>
      </c>
      <c r="G29" s="26">
        <f t="shared" si="13"/>
        <v>340.71</v>
      </c>
      <c r="H29" s="26">
        <f t="shared" si="13"/>
        <v>342.96</v>
      </c>
      <c r="I29" s="26">
        <f t="shared" si="13"/>
        <v>339.56</v>
      </c>
      <c r="J29" s="26">
        <f t="shared" si="13"/>
        <v>338.74</v>
      </c>
      <c r="K29" s="26">
        <f t="shared" si="13"/>
        <v>357.75</v>
      </c>
      <c r="L29" s="26">
        <f t="shared" si="13"/>
        <v>358.39</v>
      </c>
      <c r="M29" s="26">
        <f t="shared" si="13"/>
        <v>362.7</v>
      </c>
      <c r="N29" s="26">
        <f t="shared" ref="N29" si="14">ROUND(((N8+N18+N23+N26+N28)*$D$29),2)</f>
        <v>383.48</v>
      </c>
    </row>
    <row r="30" spans="1:14" ht="18" customHeight="1" x14ac:dyDescent="0.25">
      <c r="A30" s="6" t="s">
        <v>2</v>
      </c>
      <c r="B30" s="119" t="s">
        <v>88</v>
      </c>
      <c r="C30" s="121"/>
      <c r="D30" s="11">
        <f>13.15%</f>
        <v>0.13150000000000001</v>
      </c>
      <c r="E30" s="26">
        <f t="shared" ref="E30:M30" si="15">E31+E32+E33+E34</f>
        <v>758.1099999999999</v>
      </c>
      <c r="F30" s="26">
        <f t="shared" si="15"/>
        <v>768.17</v>
      </c>
      <c r="G30" s="26">
        <f t="shared" si="15"/>
        <v>788.55</v>
      </c>
      <c r="H30" s="26">
        <f t="shared" si="15"/>
        <v>793.77</v>
      </c>
      <c r="I30" s="26">
        <f t="shared" si="15"/>
        <v>785.90000000000009</v>
      </c>
      <c r="J30" s="26">
        <f t="shared" si="15"/>
        <v>783.98</v>
      </c>
      <c r="K30" s="26">
        <f t="shared" si="15"/>
        <v>827.98</v>
      </c>
      <c r="L30" s="26">
        <f t="shared" si="15"/>
        <v>829.45</v>
      </c>
      <c r="M30" s="26">
        <f t="shared" si="15"/>
        <v>839.44</v>
      </c>
      <c r="N30" s="26">
        <f t="shared" ref="N30" si="16">N31+N32+N33+N34</f>
        <v>887.53</v>
      </c>
    </row>
    <row r="31" spans="1:14" ht="18" customHeight="1" x14ac:dyDescent="0.25">
      <c r="A31" s="12"/>
      <c r="B31" s="116" t="s">
        <v>99</v>
      </c>
      <c r="C31" s="118"/>
      <c r="D31" s="9">
        <v>0.03</v>
      </c>
      <c r="E31" s="27">
        <f t="shared" ref="E31:M31" si="17">ROUND(((E8+E18+E23+E26+E28+E29)/0.8685*$D$31),2)</f>
        <v>172.95</v>
      </c>
      <c r="F31" s="27">
        <f t="shared" si="17"/>
        <v>175.25</v>
      </c>
      <c r="G31" s="27">
        <f t="shared" si="17"/>
        <v>179.9</v>
      </c>
      <c r="H31" s="27">
        <f t="shared" si="17"/>
        <v>181.09</v>
      </c>
      <c r="I31" s="27">
        <f t="shared" si="17"/>
        <v>179.29</v>
      </c>
      <c r="J31" s="27">
        <f t="shared" si="17"/>
        <v>178.86</v>
      </c>
      <c r="K31" s="27">
        <f t="shared" si="17"/>
        <v>188.89</v>
      </c>
      <c r="L31" s="27">
        <f t="shared" si="17"/>
        <v>189.23</v>
      </c>
      <c r="M31" s="27">
        <f t="shared" si="17"/>
        <v>191.51</v>
      </c>
      <c r="N31" s="27">
        <f t="shared" ref="N31" si="18">ROUND(((N8+N18+N23+N26+N28+N29)/0.8685*$D$31),2)</f>
        <v>202.48</v>
      </c>
    </row>
    <row r="32" spans="1:14" ht="18" customHeight="1" x14ac:dyDescent="0.25">
      <c r="A32" s="12"/>
      <c r="B32" s="116" t="s">
        <v>100</v>
      </c>
      <c r="C32" s="118"/>
      <c r="D32" s="9">
        <v>6.4999999999999997E-3</v>
      </c>
      <c r="E32" s="27">
        <f t="shared" ref="E32:M32" si="19">ROUND(((E8+E18+E23+E26+E28+E29)/0.8685*$D$32),2)</f>
        <v>37.47</v>
      </c>
      <c r="F32" s="27">
        <f t="shared" si="19"/>
        <v>37.97</v>
      </c>
      <c r="G32" s="27">
        <f t="shared" si="19"/>
        <v>38.979999999999997</v>
      </c>
      <c r="H32" s="27">
        <f t="shared" si="19"/>
        <v>39.24</v>
      </c>
      <c r="I32" s="27">
        <f t="shared" si="19"/>
        <v>38.85</v>
      </c>
      <c r="J32" s="27">
        <f t="shared" si="19"/>
        <v>38.75</v>
      </c>
      <c r="K32" s="27">
        <f t="shared" si="19"/>
        <v>40.93</v>
      </c>
      <c r="L32" s="27">
        <f t="shared" si="19"/>
        <v>41</v>
      </c>
      <c r="M32" s="27">
        <f t="shared" si="19"/>
        <v>41.49</v>
      </c>
      <c r="N32" s="27">
        <f t="shared" ref="N32" si="20">ROUND(((N8+N18+N23+N26+N28+N29)/0.8685*$D$32),2)</f>
        <v>43.87</v>
      </c>
    </row>
    <row r="33" spans="1:14" ht="18" customHeight="1" x14ac:dyDescent="0.25">
      <c r="A33" s="12"/>
      <c r="B33" s="116" t="s">
        <v>101</v>
      </c>
      <c r="C33" s="118"/>
      <c r="D33" s="9">
        <v>0.05</v>
      </c>
      <c r="E33" s="27">
        <f t="shared" ref="E33:M33" si="21">ROUND(((E8+E18+E23+E26+E28+E29)/0.8685*$D$33),2)</f>
        <v>288.26</v>
      </c>
      <c r="F33" s="27">
        <f t="shared" si="21"/>
        <v>292.08</v>
      </c>
      <c r="G33" s="27">
        <f t="shared" si="21"/>
        <v>299.83</v>
      </c>
      <c r="H33" s="27">
        <f t="shared" si="21"/>
        <v>301.81</v>
      </c>
      <c r="I33" s="27">
        <f t="shared" si="21"/>
        <v>298.82</v>
      </c>
      <c r="J33" s="27">
        <f t="shared" si="21"/>
        <v>298.08999999999997</v>
      </c>
      <c r="K33" s="27">
        <f t="shared" si="21"/>
        <v>314.82</v>
      </c>
      <c r="L33" s="27">
        <f t="shared" si="21"/>
        <v>315.38</v>
      </c>
      <c r="M33" s="27">
        <f t="shared" si="21"/>
        <v>319.18</v>
      </c>
      <c r="N33" s="27">
        <f t="shared" ref="N33" si="22">ROUND(((N8+N18+N23+N26+N28+N29)/0.8685*$D$33),2)</f>
        <v>337.46</v>
      </c>
    </row>
    <row r="34" spans="1:14" ht="18" customHeight="1" x14ac:dyDescent="0.25">
      <c r="A34" s="12"/>
      <c r="B34" s="116" t="s">
        <v>87</v>
      </c>
      <c r="C34" s="118"/>
      <c r="D34" s="9">
        <v>4.4999999999999998E-2</v>
      </c>
      <c r="E34" s="27">
        <f t="shared" ref="E34:M34" si="23">ROUND((((E8+E18+E23+E26+E28+E29)/0.8685)*$D$34),2)</f>
        <v>259.43</v>
      </c>
      <c r="F34" s="27">
        <f t="shared" si="23"/>
        <v>262.87</v>
      </c>
      <c r="G34" s="27">
        <f t="shared" si="23"/>
        <v>269.83999999999997</v>
      </c>
      <c r="H34" s="27">
        <f t="shared" si="23"/>
        <v>271.63</v>
      </c>
      <c r="I34" s="27">
        <f t="shared" si="23"/>
        <v>268.94</v>
      </c>
      <c r="J34" s="27">
        <f t="shared" si="23"/>
        <v>268.27999999999997</v>
      </c>
      <c r="K34" s="27">
        <f t="shared" si="23"/>
        <v>283.33999999999997</v>
      </c>
      <c r="L34" s="27">
        <f t="shared" si="23"/>
        <v>283.83999999999997</v>
      </c>
      <c r="M34" s="27">
        <f t="shared" si="23"/>
        <v>287.26</v>
      </c>
      <c r="N34" s="27">
        <f t="shared" ref="N34" si="24">ROUND((((N8+N18+N23+N26+N28+N29)/0.8685)*$D$34),2)</f>
        <v>303.72000000000003</v>
      </c>
    </row>
    <row r="35" spans="1:14" ht="18" customHeight="1" x14ac:dyDescent="0.25">
      <c r="A35" s="131" t="s">
        <v>89</v>
      </c>
      <c r="B35" s="129"/>
      <c r="C35" s="130"/>
      <c r="D35" s="53">
        <f t="shared" ref="D35:M35" si="25">D28+D29+D30</f>
        <v>0.61119999999999997</v>
      </c>
      <c r="E35" s="51">
        <f t="shared" si="25"/>
        <v>2445.6499999999996</v>
      </c>
      <c r="F35" s="51">
        <f t="shared" si="25"/>
        <v>2478.08</v>
      </c>
      <c r="G35" s="51">
        <f t="shared" si="25"/>
        <v>2543.83</v>
      </c>
      <c r="H35" s="51">
        <f t="shared" si="25"/>
        <v>2560.66</v>
      </c>
      <c r="I35" s="51">
        <f t="shared" si="25"/>
        <v>2535.27</v>
      </c>
      <c r="J35" s="51">
        <f t="shared" si="25"/>
        <v>2529.11</v>
      </c>
      <c r="K35" s="51">
        <f t="shared" si="25"/>
        <v>2671.06</v>
      </c>
      <c r="L35" s="51">
        <f t="shared" si="25"/>
        <v>2675.8</v>
      </c>
      <c r="M35" s="51">
        <f t="shared" si="25"/>
        <v>2708.03</v>
      </c>
      <c r="N35" s="51">
        <f t="shared" ref="N35" si="26">N28+N29+N30</f>
        <v>2863.15</v>
      </c>
    </row>
    <row r="36" spans="1:14" ht="39.75" customHeight="1" x14ac:dyDescent="0.2">
      <c r="A36" s="136" t="s">
        <v>95</v>
      </c>
      <c r="B36" s="136"/>
      <c r="C36" s="136"/>
      <c r="D36" s="136"/>
      <c r="E36" s="35" t="s">
        <v>147</v>
      </c>
      <c r="F36" s="93" t="s">
        <v>148</v>
      </c>
      <c r="G36" s="35" t="s">
        <v>149</v>
      </c>
      <c r="H36" s="93" t="s">
        <v>150</v>
      </c>
      <c r="I36" s="89" t="s">
        <v>146</v>
      </c>
      <c r="J36" s="35" t="s">
        <v>117</v>
      </c>
      <c r="K36" s="35" t="s">
        <v>118</v>
      </c>
      <c r="L36" s="35" t="s">
        <v>126</v>
      </c>
      <c r="M36" s="35" t="s">
        <v>125</v>
      </c>
      <c r="N36" s="35" t="s">
        <v>151</v>
      </c>
    </row>
    <row r="37" spans="1:14" ht="18" customHeight="1" x14ac:dyDescent="0.25">
      <c r="A37" s="13" t="s">
        <v>0</v>
      </c>
      <c r="B37" s="138" t="s">
        <v>52</v>
      </c>
      <c r="C37" s="138"/>
      <c r="D37" s="138"/>
      <c r="E37" s="27">
        <f t="shared" ref="E37:M37" si="27">E8</f>
        <v>1639.2</v>
      </c>
      <c r="F37" s="27">
        <f t="shared" si="27"/>
        <v>1639.2</v>
      </c>
      <c r="G37" s="27">
        <f t="shared" si="27"/>
        <v>1706.08</v>
      </c>
      <c r="H37" s="27">
        <f t="shared" si="27"/>
        <v>1706.08</v>
      </c>
      <c r="I37" s="27">
        <f t="shared" si="27"/>
        <v>1706.08</v>
      </c>
      <c r="J37" s="27">
        <f t="shared" si="27"/>
        <v>1706.08</v>
      </c>
      <c r="K37" s="27">
        <f t="shared" si="27"/>
        <v>1790.36</v>
      </c>
      <c r="L37" s="27">
        <f t="shared" si="27"/>
        <v>1790.36</v>
      </c>
      <c r="M37" s="27">
        <f t="shared" si="27"/>
        <v>1811.84</v>
      </c>
      <c r="N37" s="27">
        <f t="shared" ref="N37" si="28">N8</f>
        <v>1934.33</v>
      </c>
    </row>
    <row r="38" spans="1:14" ht="18" customHeight="1" x14ac:dyDescent="0.25">
      <c r="A38" s="13" t="s">
        <v>1</v>
      </c>
      <c r="B38" s="138" t="s">
        <v>53</v>
      </c>
      <c r="C38" s="138"/>
      <c r="D38" s="138"/>
      <c r="E38" s="27">
        <f t="shared" ref="E38:M38" si="29">E18</f>
        <v>754.43</v>
      </c>
      <c r="F38" s="27">
        <f t="shared" si="29"/>
        <v>798.43</v>
      </c>
      <c r="G38" s="27">
        <f t="shared" si="29"/>
        <v>790.02</v>
      </c>
      <c r="H38" s="27">
        <f t="shared" si="29"/>
        <v>790.02</v>
      </c>
      <c r="I38" s="27">
        <f t="shared" si="29"/>
        <v>790.02</v>
      </c>
      <c r="J38" s="27">
        <f t="shared" si="29"/>
        <v>790.02</v>
      </c>
      <c r="K38" s="27">
        <f t="shared" si="29"/>
        <v>860.64</v>
      </c>
      <c r="L38" s="27">
        <f t="shared" si="29"/>
        <v>860.64</v>
      </c>
      <c r="M38" s="27">
        <f t="shared" si="29"/>
        <v>873.20999999999992</v>
      </c>
      <c r="N38" s="27">
        <f t="shared" ref="N38" si="30">N18</f>
        <v>905.90000000000009</v>
      </c>
    </row>
    <row r="39" spans="1:14" ht="18" customHeight="1" x14ac:dyDescent="0.25">
      <c r="A39" s="13" t="s">
        <v>2</v>
      </c>
      <c r="B39" s="138" t="s">
        <v>54</v>
      </c>
      <c r="C39" s="138"/>
      <c r="D39" s="138"/>
      <c r="E39" s="27">
        <f t="shared" ref="E39:M39" si="31">E23</f>
        <v>171.96</v>
      </c>
      <c r="F39" s="27">
        <f t="shared" si="31"/>
        <v>171.96</v>
      </c>
      <c r="G39" s="27">
        <f t="shared" si="31"/>
        <v>171.96</v>
      </c>
      <c r="H39" s="27">
        <f t="shared" si="31"/>
        <v>171.96</v>
      </c>
      <c r="I39" s="27">
        <f t="shared" si="31"/>
        <v>171.96</v>
      </c>
      <c r="J39" s="27">
        <f t="shared" si="31"/>
        <v>171.96</v>
      </c>
      <c r="K39" s="27">
        <f t="shared" si="31"/>
        <v>171.96</v>
      </c>
      <c r="L39" s="27">
        <f t="shared" si="31"/>
        <v>171.96</v>
      </c>
      <c r="M39" s="27">
        <f t="shared" si="31"/>
        <v>171.96</v>
      </c>
      <c r="N39" s="27">
        <f t="shared" ref="N39" si="32">N23</f>
        <v>171.96</v>
      </c>
    </row>
    <row r="40" spans="1:14" ht="18" customHeight="1" x14ac:dyDescent="0.25">
      <c r="A40" s="13" t="s">
        <v>3</v>
      </c>
      <c r="B40" s="138" t="s">
        <v>55</v>
      </c>
      <c r="C40" s="138"/>
      <c r="D40" s="138"/>
      <c r="E40" s="27">
        <f t="shared" ref="E40:M40" si="33">E26</f>
        <v>753.87</v>
      </c>
      <c r="F40" s="27">
        <f t="shared" si="33"/>
        <v>753.87</v>
      </c>
      <c r="G40" s="27">
        <f t="shared" si="33"/>
        <v>784.63</v>
      </c>
      <c r="H40" s="27">
        <f t="shared" si="33"/>
        <v>807.49</v>
      </c>
      <c r="I40" s="27">
        <f t="shared" si="33"/>
        <v>773.02</v>
      </c>
      <c r="J40" s="27">
        <f t="shared" si="33"/>
        <v>764.67</v>
      </c>
      <c r="K40" s="27">
        <f t="shared" si="33"/>
        <v>802.44</v>
      </c>
      <c r="L40" s="27">
        <f t="shared" si="33"/>
        <v>808.88</v>
      </c>
      <c r="M40" s="27">
        <f t="shared" si="33"/>
        <v>818.59</v>
      </c>
      <c r="N40" s="27">
        <f t="shared" ref="N40" si="34">N26</f>
        <v>873.93</v>
      </c>
    </row>
    <row r="41" spans="1:14" s="19" customFormat="1" ht="18" customHeight="1" x14ac:dyDescent="0.25">
      <c r="A41" s="139" t="s">
        <v>56</v>
      </c>
      <c r="B41" s="139"/>
      <c r="C41" s="139"/>
      <c r="D41" s="139"/>
      <c r="E41" s="35">
        <f t="shared" ref="E41:M41" si="35">SUM(E37:E40)</f>
        <v>3319.46</v>
      </c>
      <c r="F41" s="35">
        <f t="shared" si="35"/>
        <v>3363.46</v>
      </c>
      <c r="G41" s="35">
        <f t="shared" si="35"/>
        <v>3452.69</v>
      </c>
      <c r="H41" s="35">
        <f t="shared" si="35"/>
        <v>3475.55</v>
      </c>
      <c r="I41" s="35">
        <f t="shared" si="35"/>
        <v>3441.08</v>
      </c>
      <c r="J41" s="35">
        <f t="shared" si="35"/>
        <v>3432.73</v>
      </c>
      <c r="K41" s="35">
        <f t="shared" si="35"/>
        <v>3625.4</v>
      </c>
      <c r="L41" s="35">
        <f t="shared" si="35"/>
        <v>3631.84</v>
      </c>
      <c r="M41" s="35">
        <f t="shared" si="35"/>
        <v>3675.6</v>
      </c>
      <c r="N41" s="35">
        <f t="shared" ref="N41" si="36">SUM(N37:N40)</f>
        <v>3886.12</v>
      </c>
    </row>
    <row r="42" spans="1:14" ht="18" customHeight="1" x14ac:dyDescent="0.25">
      <c r="A42" s="13" t="s">
        <v>5</v>
      </c>
      <c r="B42" s="138" t="s">
        <v>57</v>
      </c>
      <c r="C42" s="138"/>
      <c r="D42" s="138"/>
      <c r="E42" s="27">
        <f t="shared" ref="E42:M42" si="37">E35</f>
        <v>2445.6499999999996</v>
      </c>
      <c r="F42" s="27">
        <f t="shared" si="37"/>
        <v>2478.08</v>
      </c>
      <c r="G42" s="27">
        <f t="shared" si="37"/>
        <v>2543.83</v>
      </c>
      <c r="H42" s="27">
        <f t="shared" si="37"/>
        <v>2560.66</v>
      </c>
      <c r="I42" s="27">
        <f t="shared" si="37"/>
        <v>2535.27</v>
      </c>
      <c r="J42" s="27">
        <f t="shared" si="37"/>
        <v>2529.11</v>
      </c>
      <c r="K42" s="27">
        <f t="shared" si="37"/>
        <v>2671.06</v>
      </c>
      <c r="L42" s="27">
        <f t="shared" si="37"/>
        <v>2675.8</v>
      </c>
      <c r="M42" s="27">
        <f t="shared" si="37"/>
        <v>2708.03</v>
      </c>
      <c r="N42" s="27">
        <f t="shared" ref="N42" si="38">N35</f>
        <v>2863.15</v>
      </c>
    </row>
    <row r="43" spans="1:14" s="19" customFormat="1" ht="18" customHeight="1" x14ac:dyDescent="0.25">
      <c r="A43" s="139" t="s">
        <v>58</v>
      </c>
      <c r="B43" s="139"/>
      <c r="C43" s="139"/>
      <c r="D43" s="139"/>
      <c r="E43" s="35">
        <f t="shared" ref="E43:M43" si="39">E41+E42</f>
        <v>5765.11</v>
      </c>
      <c r="F43" s="35">
        <f t="shared" si="39"/>
        <v>5841.54</v>
      </c>
      <c r="G43" s="35">
        <f t="shared" si="39"/>
        <v>5996.52</v>
      </c>
      <c r="H43" s="35">
        <f t="shared" si="39"/>
        <v>6036.21</v>
      </c>
      <c r="I43" s="35">
        <f t="shared" si="39"/>
        <v>5976.35</v>
      </c>
      <c r="J43" s="35">
        <f t="shared" si="39"/>
        <v>5961.84</v>
      </c>
      <c r="K43" s="35">
        <f t="shared" si="39"/>
        <v>6296.46</v>
      </c>
      <c r="L43" s="35">
        <f t="shared" si="39"/>
        <v>6307.64</v>
      </c>
      <c r="M43" s="35">
        <f t="shared" si="39"/>
        <v>6383.63</v>
      </c>
      <c r="N43" s="35">
        <f t="shared" ref="N43" si="40">N41+N42</f>
        <v>6749.27</v>
      </c>
    </row>
    <row r="44" spans="1:14" ht="22.5" customHeight="1" x14ac:dyDescent="0.25">
      <c r="A44" s="140" t="s">
        <v>86</v>
      </c>
      <c r="B44" s="140"/>
      <c r="C44" s="140"/>
      <c r="D44" s="140"/>
      <c r="E44" s="21">
        <v>3</v>
      </c>
      <c r="F44" s="21">
        <v>3</v>
      </c>
      <c r="G44" s="21">
        <v>3</v>
      </c>
      <c r="H44" s="21">
        <v>3</v>
      </c>
      <c r="I44" s="21">
        <v>3</v>
      </c>
      <c r="J44" s="21">
        <v>3</v>
      </c>
      <c r="K44" s="21">
        <v>3</v>
      </c>
      <c r="L44" s="21">
        <v>3</v>
      </c>
      <c r="M44" s="21">
        <v>3</v>
      </c>
      <c r="N44" s="21">
        <v>3</v>
      </c>
    </row>
    <row r="45" spans="1:14" ht="18" customHeight="1" x14ac:dyDescent="0.25">
      <c r="A45" s="125" t="s">
        <v>114</v>
      </c>
      <c r="B45" s="126"/>
      <c r="C45" s="126"/>
      <c r="D45" s="127"/>
      <c r="E45" s="34">
        <f t="shared" ref="E45:M45" si="41">ROUND((E44*E43),2)</f>
        <v>17295.330000000002</v>
      </c>
      <c r="F45" s="34">
        <f t="shared" si="41"/>
        <v>17524.62</v>
      </c>
      <c r="G45" s="34">
        <f t="shared" si="41"/>
        <v>17989.560000000001</v>
      </c>
      <c r="H45" s="34">
        <f t="shared" si="41"/>
        <v>18108.63</v>
      </c>
      <c r="I45" s="34">
        <f t="shared" si="41"/>
        <v>17929.05</v>
      </c>
      <c r="J45" s="34">
        <f t="shared" si="41"/>
        <v>17885.52</v>
      </c>
      <c r="K45" s="34">
        <f t="shared" si="41"/>
        <v>18889.38</v>
      </c>
      <c r="L45" s="34">
        <f t="shared" si="41"/>
        <v>18922.919999999998</v>
      </c>
      <c r="M45" s="34">
        <f t="shared" si="41"/>
        <v>19150.89</v>
      </c>
      <c r="N45" s="34">
        <f t="shared" ref="N45" si="42">ROUND((N44*N43),2)</f>
        <v>20247.810000000001</v>
      </c>
    </row>
  </sheetData>
  <mergeCells count="45">
    <mergeCell ref="A8:D8"/>
    <mergeCell ref="A9:D9"/>
    <mergeCell ref="B10:C10"/>
    <mergeCell ref="B11:C11"/>
    <mergeCell ref="B12:C12"/>
    <mergeCell ref="B13:C13"/>
    <mergeCell ref="B14:C14"/>
    <mergeCell ref="B15:C15"/>
    <mergeCell ref="B16:C16"/>
    <mergeCell ref="B40:D40"/>
    <mergeCell ref="B29:C29"/>
    <mergeCell ref="B30:C30"/>
    <mergeCell ref="B31:C31"/>
    <mergeCell ref="B32:C32"/>
    <mergeCell ref="A35:C35"/>
    <mergeCell ref="A36:D36"/>
    <mergeCell ref="B37:D37"/>
    <mergeCell ref="B38:D38"/>
    <mergeCell ref="B39:D39"/>
    <mergeCell ref="B33:C33"/>
    <mergeCell ref="B34:C34"/>
    <mergeCell ref="A41:D41"/>
    <mergeCell ref="B42:D42"/>
    <mergeCell ref="A43:D43"/>
    <mergeCell ref="A44:D44"/>
    <mergeCell ref="A45:D45"/>
    <mergeCell ref="B28:C28"/>
    <mergeCell ref="A23:D23"/>
    <mergeCell ref="A24:D25"/>
    <mergeCell ref="A26:D26"/>
    <mergeCell ref="A27:D27"/>
    <mergeCell ref="B20:C20"/>
    <mergeCell ref="B21:C21"/>
    <mergeCell ref="B22:C22"/>
    <mergeCell ref="B17:C17"/>
    <mergeCell ref="A18:D18"/>
    <mergeCell ref="A19:D19"/>
    <mergeCell ref="A6:D6"/>
    <mergeCell ref="B7:C7"/>
    <mergeCell ref="A5:B5"/>
    <mergeCell ref="A2:N2"/>
    <mergeCell ref="A3:N3"/>
    <mergeCell ref="A4:N4"/>
    <mergeCell ref="C5:N5"/>
    <mergeCell ref="A1:N1"/>
  </mergeCells>
  <pageMargins left="0.31496062992125984" right="0.11811023622047245" top="0.59055118110236227" bottom="0.39370078740157483" header="0.31496062992125984" footer="0.31496062992125984"/>
  <pageSetup paperSize="9" scale="95" orientation="portrait" r:id="rId1"/>
  <headerFooter>
    <oddHeader xml:space="preserve">&amp;L&amp;"Times New Roman,Negrito"&amp;10PODER JUDICIÁRIO
CONSELHO DA JUSTIÇA FEDERAL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6"/>
  <sheetViews>
    <sheetView showGridLines="0" zoomScale="120" zoomScaleNormal="120" workbookViewId="0">
      <selection activeCell="L5" sqref="L5"/>
    </sheetView>
  </sheetViews>
  <sheetFormatPr defaultRowHeight="15" x14ac:dyDescent="0.25"/>
  <cols>
    <col min="1" max="1" width="4.85546875" style="42" bestFit="1" customWidth="1"/>
    <col min="2" max="2" width="58.42578125" style="42" customWidth="1"/>
    <col min="3" max="3" width="14.42578125" style="42" hidden="1" customWidth="1"/>
    <col min="4" max="9" width="15.140625" style="42" hidden="1" customWidth="1"/>
    <col min="10" max="10" width="15.7109375" style="166" customWidth="1"/>
    <col min="11" max="13" width="9.140625" style="42"/>
    <col min="14" max="14" width="13.85546875" style="42" bestFit="1" customWidth="1"/>
    <col min="15" max="16384" width="9.140625" style="42"/>
  </cols>
  <sheetData>
    <row r="2" spans="1:14" ht="29.25" customHeight="1" x14ac:dyDescent="0.25">
      <c r="A2" s="172" t="s">
        <v>161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4" ht="18" customHeight="1" x14ac:dyDescent="0.25">
      <c r="A3" s="157" t="s">
        <v>116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14" ht="41.25" customHeight="1" x14ac:dyDescent="0.25">
      <c r="A4" s="55" t="s">
        <v>111</v>
      </c>
      <c r="B4" s="55" t="s">
        <v>110</v>
      </c>
      <c r="C4" s="55" t="s">
        <v>124</v>
      </c>
      <c r="D4" s="26" t="s">
        <v>117</v>
      </c>
      <c r="E4" s="26" t="s">
        <v>118</v>
      </c>
      <c r="F4" s="26" t="s">
        <v>127</v>
      </c>
      <c r="G4" s="105" t="s">
        <v>126</v>
      </c>
      <c r="H4" s="105" t="s">
        <v>125</v>
      </c>
      <c r="I4" s="26" t="s">
        <v>134</v>
      </c>
      <c r="J4" s="26" t="s">
        <v>151</v>
      </c>
    </row>
    <row r="5" spans="1:14" ht="18" customHeight="1" x14ac:dyDescent="0.25">
      <c r="A5" s="38">
        <v>1</v>
      </c>
      <c r="B5" s="39" t="s">
        <v>97</v>
      </c>
      <c r="C5" s="65">
        <f>'Item 1-Supervisor'!I45</f>
        <v>10936.42</v>
      </c>
      <c r="D5" s="40">
        <f>'Item 1-Supervisor'!J45</f>
        <v>10902.81</v>
      </c>
      <c r="E5" s="40">
        <f>'Item 1-Supervisor'!K45</f>
        <v>11460.19</v>
      </c>
      <c r="F5" s="40">
        <f>'Item 1-Supervisor'!K45</f>
        <v>11460.19</v>
      </c>
      <c r="G5" s="74">
        <f>'Item 1-Supervisor'!L45</f>
        <v>11486.06</v>
      </c>
      <c r="H5" s="74">
        <f>'Item 1-Supervisor'!M45</f>
        <v>11630.24</v>
      </c>
      <c r="I5" s="74">
        <f>'Item 1-Supervisor'!M45</f>
        <v>11630.24</v>
      </c>
      <c r="J5" s="74">
        <f>'Item 1-Supervisor'!N45</f>
        <v>12399.12</v>
      </c>
    </row>
    <row r="6" spans="1:14" ht="18" customHeight="1" x14ac:dyDescent="0.25">
      <c r="A6" s="38">
        <v>2</v>
      </c>
      <c r="B6" s="39" t="s">
        <v>70</v>
      </c>
      <c r="C6" s="65">
        <f>'Item 2-Consultor TI'!I45</f>
        <v>16257.51</v>
      </c>
      <c r="D6" s="40">
        <f>'Item 2-Consultor TI'!J45</f>
        <v>16207.56</v>
      </c>
      <c r="E6" s="40">
        <f>'Item 2-Consultor TI'!K45</f>
        <v>17036.080000000002</v>
      </c>
      <c r="F6" s="40">
        <f>'Item 2-Consultor TI'!K45</f>
        <v>17036.080000000002</v>
      </c>
      <c r="G6" s="74">
        <f>'Item 2-Consultor TI'!L45</f>
        <v>17074.59</v>
      </c>
      <c r="H6" s="74">
        <f>'Item 2-Consultor TI'!M45</f>
        <v>17288.89</v>
      </c>
      <c r="I6" s="74">
        <f>'Item 2-Consultor TI'!M45</f>
        <v>17288.89</v>
      </c>
      <c r="J6" s="74">
        <f>'Item 2-Consultor TI'!N45</f>
        <v>18431.87</v>
      </c>
    </row>
    <row r="7" spans="1:14" ht="18" customHeight="1" x14ac:dyDescent="0.25">
      <c r="A7" s="38">
        <v>3</v>
      </c>
      <c r="B7" s="39" t="s">
        <v>71</v>
      </c>
      <c r="C7" s="65">
        <f>'Item 3-Tec Suporte III'!I45</f>
        <v>7038.52</v>
      </c>
      <c r="D7" s="40">
        <f>'Item 3-Tec Suporte III'!J45</f>
        <v>7019.66</v>
      </c>
      <c r="E7" s="40">
        <f>'Item 3-Tec Suporte III'!K45</f>
        <v>7371.59</v>
      </c>
      <c r="F7" s="40">
        <f>'Item 3-Tec Suporte III'!K45</f>
        <v>7371.59</v>
      </c>
      <c r="G7" s="74">
        <f>'Item 3-Tec Suporte III'!L45</f>
        <v>7386.13</v>
      </c>
      <c r="H7" s="74">
        <f>'Item 3-Tec Suporte III'!M45</f>
        <v>7478.31</v>
      </c>
      <c r="I7" s="74">
        <f>'Item 3-Tec Suporte III'!M45</f>
        <v>7478.31</v>
      </c>
      <c r="J7" s="74">
        <f>'Item 3-Tec Suporte III'!N45</f>
        <v>7934.31</v>
      </c>
    </row>
    <row r="8" spans="1:14" ht="18" customHeight="1" x14ac:dyDescent="0.25">
      <c r="A8" s="38">
        <v>4</v>
      </c>
      <c r="B8" s="39" t="s">
        <v>112</v>
      </c>
      <c r="C8" s="66">
        <v>25560.91</v>
      </c>
      <c r="D8" s="40">
        <v>25560.91</v>
      </c>
      <c r="E8" s="40">
        <v>25560.91</v>
      </c>
      <c r="F8" s="40">
        <f>26930.97</f>
        <v>26930.97</v>
      </c>
      <c r="G8" s="74">
        <f>26930.97</f>
        <v>26930.97</v>
      </c>
      <c r="H8" s="74">
        <f>26930.97</f>
        <v>26930.97</v>
      </c>
      <c r="I8" s="74">
        <f>26930.97*1.08</f>
        <v>29085.447600000003</v>
      </c>
      <c r="J8" s="74">
        <f>26930.97*1.08</f>
        <v>29085.447600000003</v>
      </c>
    </row>
    <row r="9" spans="1:14" ht="18" customHeight="1" x14ac:dyDescent="0.25">
      <c r="A9" s="38">
        <v>5</v>
      </c>
      <c r="B9" s="39" t="s">
        <v>72</v>
      </c>
      <c r="C9" s="65">
        <f>'Item 5-Tec Suporte I'!I45</f>
        <v>15756.24</v>
      </c>
      <c r="D9" s="40">
        <f>'Item 5-Tec Suporte I'!J45</f>
        <v>15718.38</v>
      </c>
      <c r="E9" s="40">
        <f>'Item 5-Tec Suporte I'!K45</f>
        <v>16074.84</v>
      </c>
      <c r="F9" s="40">
        <f>'Item 5-Tec Suporte I'!K45</f>
        <v>16074.84</v>
      </c>
      <c r="G9" s="74">
        <f>'Item 5-Tec Suporte I'!L45</f>
        <v>16102.86</v>
      </c>
      <c r="H9" s="74">
        <f>'Item 5-Tec Suporte I'!M45</f>
        <v>16308.24</v>
      </c>
      <c r="I9" s="74">
        <f>'Item 5-Tec Suporte I'!M45</f>
        <v>16308.24</v>
      </c>
      <c r="J9" s="74">
        <f>'Item 5-Tec Suporte I'!N45</f>
        <v>17267.580000000002</v>
      </c>
    </row>
    <row r="10" spans="1:14" ht="18" customHeight="1" x14ac:dyDescent="0.25">
      <c r="A10" s="38">
        <v>6</v>
      </c>
      <c r="B10" s="39" t="s">
        <v>73</v>
      </c>
      <c r="C10" s="65">
        <f>'Item 6-Tec Suporte II'!I45</f>
        <v>17929.05</v>
      </c>
      <c r="D10" s="40">
        <f>'Item 6-Tec Suporte II'!J45</f>
        <v>17885.52</v>
      </c>
      <c r="E10" s="40">
        <f>'Item 6-Tec Suporte II'!K45</f>
        <v>18889.38</v>
      </c>
      <c r="F10" s="40">
        <f>'Item 6-Tec Suporte II'!K45</f>
        <v>18889.38</v>
      </c>
      <c r="G10" s="74">
        <f>'Item 6-Tec Suporte II'!L45</f>
        <v>18922.919999999998</v>
      </c>
      <c r="H10" s="74">
        <f>'Item 6-Tec Suporte II'!M45</f>
        <v>19150.89</v>
      </c>
      <c r="I10" s="74">
        <f>'Item 6-Tec Suporte II'!M45</f>
        <v>19150.89</v>
      </c>
      <c r="J10" s="74">
        <f>'Item 6-Tec Suporte II'!N45</f>
        <v>20247.810000000001</v>
      </c>
    </row>
    <row r="11" spans="1:14" ht="20.100000000000001" customHeight="1" x14ac:dyDescent="0.25">
      <c r="A11" s="155" t="s">
        <v>115</v>
      </c>
      <c r="B11" s="156"/>
      <c r="C11" s="67">
        <f t="shared" ref="C11:I11" si="0">SUM(C5:C10)</f>
        <v>93478.650000000009</v>
      </c>
      <c r="D11" s="41">
        <f t="shared" si="0"/>
        <v>93294.840000000011</v>
      </c>
      <c r="E11" s="41">
        <f t="shared" si="0"/>
        <v>96392.99</v>
      </c>
      <c r="F11" s="41">
        <f t="shared" si="0"/>
        <v>97763.05</v>
      </c>
      <c r="G11" s="106">
        <f t="shared" si="0"/>
        <v>97903.53</v>
      </c>
      <c r="H11" s="106">
        <f t="shared" si="0"/>
        <v>98787.54</v>
      </c>
      <c r="I11" s="106">
        <f t="shared" si="0"/>
        <v>100942.01760000001</v>
      </c>
      <c r="J11" s="106">
        <f t="shared" ref="J11" si="1">SUM(J5:J10)</f>
        <v>105366.1376</v>
      </c>
      <c r="N11" s="50"/>
    </row>
    <row r="13" spans="1:14" x14ac:dyDescent="0.25">
      <c r="B13" s="42" t="s">
        <v>135</v>
      </c>
    </row>
    <row r="15" spans="1:14" x14ac:dyDescent="0.25">
      <c r="D15" s="50"/>
    </row>
    <row r="16" spans="1:14" x14ac:dyDescent="0.25">
      <c r="D16" s="50"/>
      <c r="E16" s="50"/>
      <c r="F16" s="50"/>
      <c r="G16" s="50"/>
      <c r="H16" s="50"/>
      <c r="I16" s="50"/>
    </row>
  </sheetData>
  <mergeCells count="3">
    <mergeCell ref="A11:B11"/>
    <mergeCell ref="A3:J3"/>
    <mergeCell ref="A2:J2"/>
  </mergeCells>
  <pageMargins left="0.511811024" right="0.511811024" top="0.78740157499999996" bottom="0.78740157499999996" header="0.31496062000000002" footer="0.31496062000000002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C5FE9-57E0-4C8A-BA32-839D964FCE87}">
  <dimension ref="A1:X50"/>
  <sheetViews>
    <sheetView topLeftCell="O1" workbookViewId="0">
      <selection activeCell="AB12" sqref="AB12"/>
    </sheetView>
  </sheetViews>
  <sheetFormatPr defaultRowHeight="15" x14ac:dyDescent="0.25"/>
  <cols>
    <col min="1" max="1" width="0" hidden="1" customWidth="1"/>
    <col min="2" max="2" width="45.85546875" hidden="1" customWidth="1"/>
    <col min="3" max="6" width="0" hidden="1" customWidth="1"/>
    <col min="7" max="7" width="45.5703125" hidden="1" customWidth="1"/>
    <col min="8" max="8" width="0" hidden="1" customWidth="1"/>
    <col min="9" max="9" width="10.85546875" hidden="1" customWidth="1"/>
    <col min="10" max="11" width="0" hidden="1" customWidth="1"/>
    <col min="12" max="12" width="46" hidden="1" customWidth="1"/>
    <col min="13" max="13" width="0" hidden="1" customWidth="1"/>
    <col min="14" max="14" width="13.28515625" hidden="1" customWidth="1"/>
    <col min="16" max="16" width="0" hidden="1" customWidth="1"/>
    <col min="17" max="17" width="46.42578125" hidden="1" customWidth="1"/>
    <col min="18" max="18" width="0" hidden="1" customWidth="1"/>
    <col min="19" max="19" width="11.5703125" hidden="1" customWidth="1"/>
    <col min="20" max="20" width="0" hidden="1" customWidth="1"/>
    <col min="22" max="22" width="47.28515625" style="167" customWidth="1"/>
    <col min="24" max="24" width="12" customWidth="1"/>
  </cols>
  <sheetData>
    <row r="1" spans="1:24" ht="41.25" customHeight="1" x14ac:dyDescent="0.25">
      <c r="A1" s="144" t="s">
        <v>145</v>
      </c>
      <c r="B1" s="136"/>
      <c r="C1" s="136"/>
      <c r="D1" s="136"/>
      <c r="F1" s="144" t="s">
        <v>143</v>
      </c>
      <c r="G1" s="136"/>
      <c r="H1" s="136"/>
      <c r="I1" s="136"/>
      <c r="K1" s="144" t="s">
        <v>119</v>
      </c>
      <c r="L1" s="136"/>
      <c r="M1" s="136"/>
      <c r="N1" s="136"/>
      <c r="P1" s="144" t="s">
        <v>119</v>
      </c>
      <c r="Q1" s="136"/>
      <c r="R1" s="136"/>
      <c r="S1" s="136"/>
      <c r="U1" s="144" t="s">
        <v>156</v>
      </c>
      <c r="V1" s="136"/>
      <c r="W1" s="136"/>
      <c r="X1" s="136"/>
    </row>
    <row r="2" spans="1:24" ht="15" customHeight="1" x14ac:dyDescent="0.25">
      <c r="A2" s="81" t="s">
        <v>11</v>
      </c>
      <c r="B2" s="160" t="s">
        <v>12</v>
      </c>
      <c r="C2" s="160"/>
      <c r="D2" s="81" t="s">
        <v>13</v>
      </c>
      <c r="F2" s="81" t="s">
        <v>11</v>
      </c>
      <c r="G2" s="160" t="s">
        <v>12</v>
      </c>
      <c r="H2" s="160"/>
      <c r="I2" s="81" t="s">
        <v>13</v>
      </c>
      <c r="K2" s="81" t="s">
        <v>11</v>
      </c>
      <c r="L2" s="160" t="s">
        <v>12</v>
      </c>
      <c r="M2" s="160"/>
      <c r="N2" s="81" t="s">
        <v>13</v>
      </c>
      <c r="P2" s="78" t="s">
        <v>11</v>
      </c>
      <c r="Q2" s="145" t="s">
        <v>12</v>
      </c>
      <c r="R2" s="145"/>
      <c r="S2" s="78" t="s">
        <v>13</v>
      </c>
      <c r="U2" s="103" t="s">
        <v>11</v>
      </c>
      <c r="V2" s="145" t="s">
        <v>12</v>
      </c>
      <c r="W2" s="145"/>
      <c r="X2" s="103" t="s">
        <v>13</v>
      </c>
    </row>
    <row r="3" spans="1:24" x14ac:dyDescent="0.25">
      <c r="A3" s="82" t="s">
        <v>0</v>
      </c>
      <c r="B3" s="161" t="s">
        <v>14</v>
      </c>
      <c r="C3" s="161"/>
      <c r="D3" s="9">
        <v>0</v>
      </c>
      <c r="F3" s="82" t="s">
        <v>0</v>
      </c>
      <c r="G3" s="161" t="s">
        <v>14</v>
      </c>
      <c r="H3" s="161"/>
      <c r="I3" s="9">
        <v>0</v>
      </c>
      <c r="K3" s="82" t="s">
        <v>0</v>
      </c>
      <c r="L3" s="161" t="s">
        <v>14</v>
      </c>
      <c r="M3" s="161"/>
      <c r="N3" s="9">
        <v>0</v>
      </c>
      <c r="P3" s="13" t="s">
        <v>0</v>
      </c>
      <c r="Q3" s="138" t="s">
        <v>14</v>
      </c>
      <c r="R3" s="138"/>
      <c r="S3" s="9">
        <v>0</v>
      </c>
      <c r="U3" s="13" t="s">
        <v>0</v>
      </c>
      <c r="V3" s="138" t="s">
        <v>14</v>
      </c>
      <c r="W3" s="138"/>
      <c r="X3" s="9">
        <v>0</v>
      </c>
    </row>
    <row r="4" spans="1:24" ht="15" customHeight="1" x14ac:dyDescent="0.25">
      <c r="A4" s="82" t="s">
        <v>1</v>
      </c>
      <c r="B4" s="161" t="s">
        <v>15</v>
      </c>
      <c r="C4" s="161"/>
      <c r="D4" s="9">
        <v>1.4999999999999999E-2</v>
      </c>
      <c r="F4" s="82" t="s">
        <v>1</v>
      </c>
      <c r="G4" s="161" t="s">
        <v>15</v>
      </c>
      <c r="H4" s="161"/>
      <c r="I4" s="9">
        <v>1.4999999999999999E-2</v>
      </c>
      <c r="K4" s="82" t="s">
        <v>1</v>
      </c>
      <c r="L4" s="161" t="s">
        <v>15</v>
      </c>
      <c r="M4" s="161"/>
      <c r="N4" s="9">
        <v>1.4999999999999999E-2</v>
      </c>
      <c r="P4" s="13" t="s">
        <v>1</v>
      </c>
      <c r="Q4" s="138" t="s">
        <v>15</v>
      </c>
      <c r="R4" s="138"/>
      <c r="S4" s="9">
        <v>1.4999999999999999E-2</v>
      </c>
      <c r="U4" s="13" t="s">
        <v>1</v>
      </c>
      <c r="V4" s="138" t="s">
        <v>15</v>
      </c>
      <c r="W4" s="138"/>
      <c r="X4" s="9">
        <v>1.4999999999999999E-2</v>
      </c>
    </row>
    <row r="5" spans="1:24" ht="15" customHeight="1" x14ac:dyDescent="0.25">
      <c r="A5" s="82" t="s">
        <v>2</v>
      </c>
      <c r="B5" s="161" t="s">
        <v>16</v>
      </c>
      <c r="C5" s="161"/>
      <c r="D5" s="9">
        <v>0.01</v>
      </c>
      <c r="F5" s="82" t="s">
        <v>2</v>
      </c>
      <c r="G5" s="161" t="s">
        <v>16</v>
      </c>
      <c r="H5" s="161"/>
      <c r="I5" s="9">
        <v>0.01</v>
      </c>
      <c r="K5" s="82" t="s">
        <v>2</v>
      </c>
      <c r="L5" s="161" t="s">
        <v>16</v>
      </c>
      <c r="M5" s="161"/>
      <c r="N5" s="9">
        <v>0.01</v>
      </c>
      <c r="P5" s="13" t="s">
        <v>2</v>
      </c>
      <c r="Q5" s="138" t="s">
        <v>16</v>
      </c>
      <c r="R5" s="138"/>
      <c r="S5" s="9">
        <v>0.01</v>
      </c>
      <c r="U5" s="13" t="s">
        <v>2</v>
      </c>
      <c r="V5" s="138" t="s">
        <v>16</v>
      </c>
      <c r="W5" s="138"/>
      <c r="X5" s="9">
        <v>0.01</v>
      </c>
    </row>
    <row r="6" spans="1:24" x14ac:dyDescent="0.25">
      <c r="A6" s="82" t="s">
        <v>3</v>
      </c>
      <c r="B6" s="161" t="s">
        <v>17</v>
      </c>
      <c r="C6" s="161"/>
      <c r="D6" s="9">
        <v>2E-3</v>
      </c>
      <c r="F6" s="82" t="s">
        <v>3</v>
      </c>
      <c r="G6" s="161" t="s">
        <v>17</v>
      </c>
      <c r="H6" s="161"/>
      <c r="I6" s="9">
        <v>2E-3</v>
      </c>
      <c r="K6" s="82" t="s">
        <v>3</v>
      </c>
      <c r="L6" s="161" t="s">
        <v>17</v>
      </c>
      <c r="M6" s="161"/>
      <c r="N6" s="9">
        <v>2E-3</v>
      </c>
      <c r="P6" s="13" t="s">
        <v>3</v>
      </c>
      <c r="Q6" s="138" t="s">
        <v>17</v>
      </c>
      <c r="R6" s="138"/>
      <c r="S6" s="9">
        <v>2E-3</v>
      </c>
      <c r="U6" s="13" t="s">
        <v>3</v>
      </c>
      <c r="V6" s="138" t="s">
        <v>17</v>
      </c>
      <c r="W6" s="138"/>
      <c r="X6" s="9">
        <v>2E-3</v>
      </c>
    </row>
    <row r="7" spans="1:24" ht="15" customHeight="1" x14ac:dyDescent="0.25">
      <c r="A7" s="82" t="s">
        <v>5</v>
      </c>
      <c r="B7" s="161" t="s">
        <v>18</v>
      </c>
      <c r="C7" s="161"/>
      <c r="D7" s="9">
        <v>2.5000000000000001E-2</v>
      </c>
      <c r="F7" s="82" t="s">
        <v>5</v>
      </c>
      <c r="G7" s="161" t="s">
        <v>18</v>
      </c>
      <c r="H7" s="161"/>
      <c r="I7" s="9">
        <v>2.5000000000000001E-2</v>
      </c>
      <c r="K7" s="82" t="s">
        <v>5</v>
      </c>
      <c r="L7" s="161" t="s">
        <v>18</v>
      </c>
      <c r="M7" s="161"/>
      <c r="N7" s="9">
        <v>2.5000000000000001E-2</v>
      </c>
      <c r="P7" s="13" t="s">
        <v>5</v>
      </c>
      <c r="Q7" s="138" t="s">
        <v>18</v>
      </c>
      <c r="R7" s="138"/>
      <c r="S7" s="9">
        <v>2.5000000000000001E-2</v>
      </c>
      <c r="U7" s="13" t="s">
        <v>5</v>
      </c>
      <c r="V7" s="138" t="s">
        <v>18</v>
      </c>
      <c r="W7" s="138"/>
      <c r="X7" s="9">
        <v>2.5000000000000001E-2</v>
      </c>
    </row>
    <row r="8" spans="1:24" x14ac:dyDescent="0.25">
      <c r="A8" s="82" t="s">
        <v>6</v>
      </c>
      <c r="B8" s="161" t="s">
        <v>19</v>
      </c>
      <c r="C8" s="161"/>
      <c r="D8" s="9">
        <v>0.08</v>
      </c>
      <c r="F8" s="82" t="s">
        <v>6</v>
      </c>
      <c r="G8" s="161" t="s">
        <v>19</v>
      </c>
      <c r="H8" s="161"/>
      <c r="I8" s="9">
        <v>0.08</v>
      </c>
      <c r="K8" s="82" t="s">
        <v>6</v>
      </c>
      <c r="L8" s="161" t="s">
        <v>19</v>
      </c>
      <c r="M8" s="161"/>
      <c r="N8" s="9">
        <v>0.08</v>
      </c>
      <c r="P8" s="13" t="s">
        <v>6</v>
      </c>
      <c r="Q8" s="138" t="s">
        <v>19</v>
      </c>
      <c r="R8" s="138"/>
      <c r="S8" s="9">
        <v>0.08</v>
      </c>
      <c r="U8" s="13" t="s">
        <v>6</v>
      </c>
      <c r="V8" s="138" t="s">
        <v>19</v>
      </c>
      <c r="W8" s="138"/>
      <c r="X8" s="9">
        <v>0.08</v>
      </c>
    </row>
    <row r="9" spans="1:24" ht="15" customHeight="1" x14ac:dyDescent="0.25">
      <c r="A9" s="82" t="s">
        <v>7</v>
      </c>
      <c r="B9" s="161" t="s">
        <v>142</v>
      </c>
      <c r="C9" s="161"/>
      <c r="D9" s="9">
        <v>1.9927999999999998E-2</v>
      </c>
      <c r="F9" s="82" t="s">
        <v>7</v>
      </c>
      <c r="G9" s="161" t="s">
        <v>142</v>
      </c>
      <c r="H9" s="161"/>
      <c r="I9" s="9">
        <v>2.1000000000000001E-2</v>
      </c>
      <c r="K9" s="82" t="s">
        <v>7</v>
      </c>
      <c r="L9" s="161" t="s">
        <v>144</v>
      </c>
      <c r="M9" s="161"/>
      <c r="N9" s="9">
        <f>2*0.8462%</f>
        <v>1.6923999999999998E-2</v>
      </c>
      <c r="P9" s="13" t="s">
        <v>7</v>
      </c>
      <c r="Q9" s="138" t="s">
        <v>141</v>
      </c>
      <c r="R9" s="138"/>
      <c r="S9" s="71">
        <f>1.99%</f>
        <v>1.9900000000000001E-2</v>
      </c>
      <c r="U9" s="13" t="s">
        <v>7</v>
      </c>
      <c r="V9" s="138" t="s">
        <v>152</v>
      </c>
      <c r="W9" s="138"/>
      <c r="X9" s="9">
        <f>1.99%</f>
        <v>1.9900000000000001E-2</v>
      </c>
    </row>
    <row r="10" spans="1:24" x14ac:dyDescent="0.25">
      <c r="A10" s="82" t="s">
        <v>8</v>
      </c>
      <c r="B10" s="161" t="s">
        <v>20</v>
      </c>
      <c r="C10" s="161"/>
      <c r="D10" s="9">
        <v>6.0000000000000001E-3</v>
      </c>
      <c r="F10" s="82" t="s">
        <v>8</v>
      </c>
      <c r="G10" s="161" t="s">
        <v>20</v>
      </c>
      <c r="H10" s="161"/>
      <c r="I10" s="9">
        <v>6.0000000000000001E-3</v>
      </c>
      <c r="K10" s="82" t="s">
        <v>8</v>
      </c>
      <c r="L10" s="161" t="s">
        <v>20</v>
      </c>
      <c r="M10" s="161"/>
      <c r="N10" s="9">
        <v>6.0000000000000001E-3</v>
      </c>
      <c r="P10" s="13" t="s">
        <v>8</v>
      </c>
      <c r="Q10" s="138" t="s">
        <v>20</v>
      </c>
      <c r="R10" s="138"/>
      <c r="S10" s="9">
        <v>6.0000000000000001E-3</v>
      </c>
      <c r="U10" s="13" t="s">
        <v>8</v>
      </c>
      <c r="V10" s="138" t="s">
        <v>20</v>
      </c>
      <c r="W10" s="138"/>
      <c r="X10" s="9">
        <v>6.0000000000000001E-3</v>
      </c>
    </row>
    <row r="11" spans="1:24" x14ac:dyDescent="0.25">
      <c r="A11" s="144" t="s">
        <v>78</v>
      </c>
      <c r="B11" s="144"/>
      <c r="C11" s="144"/>
      <c r="D11" s="18">
        <f>SUM(D3:D10)</f>
        <v>0.15792800000000001</v>
      </c>
      <c r="F11" s="144" t="s">
        <v>78</v>
      </c>
      <c r="G11" s="144"/>
      <c r="H11" s="144"/>
      <c r="I11" s="18">
        <f>SUM(I3:I10)</f>
        <v>0.159</v>
      </c>
      <c r="K11" s="144" t="s">
        <v>78</v>
      </c>
      <c r="L11" s="144"/>
      <c r="M11" s="144"/>
      <c r="N11" s="18">
        <f>SUM(N3:N10)</f>
        <v>0.15492400000000001</v>
      </c>
      <c r="P11" s="144" t="s">
        <v>78</v>
      </c>
      <c r="Q11" s="144"/>
      <c r="R11" s="144"/>
      <c r="S11" s="72">
        <f>SUM(S3:S10)</f>
        <v>0.15790000000000001</v>
      </c>
      <c r="U11" s="144" t="s">
        <v>78</v>
      </c>
      <c r="V11" s="144"/>
      <c r="W11" s="144"/>
      <c r="X11" s="18">
        <f>SUM(X3:X10)</f>
        <v>0.15790000000000001</v>
      </c>
    </row>
    <row r="12" spans="1:24" x14ac:dyDescent="0.25">
      <c r="A12" s="83"/>
      <c r="B12" s="84"/>
      <c r="C12" s="84"/>
      <c r="D12" s="84"/>
      <c r="F12" s="83"/>
      <c r="G12" s="84"/>
      <c r="H12" s="84"/>
      <c r="I12" s="84"/>
      <c r="K12" s="83"/>
      <c r="L12" s="84"/>
      <c r="M12" s="84"/>
      <c r="N12" s="84"/>
      <c r="P12" s="7"/>
      <c r="Q12" s="5"/>
      <c r="R12" s="5"/>
      <c r="S12" s="5"/>
      <c r="U12" s="7"/>
      <c r="V12" s="5"/>
      <c r="W12" s="5"/>
      <c r="X12" s="5"/>
    </row>
    <row r="13" spans="1:24" ht="15" customHeight="1" x14ac:dyDescent="0.25">
      <c r="A13" s="81" t="s">
        <v>21</v>
      </c>
      <c r="B13" s="160" t="s">
        <v>22</v>
      </c>
      <c r="C13" s="160"/>
      <c r="D13" s="85" t="s">
        <v>13</v>
      </c>
      <c r="F13" s="81" t="s">
        <v>21</v>
      </c>
      <c r="G13" s="160" t="s">
        <v>22</v>
      </c>
      <c r="H13" s="160"/>
      <c r="I13" s="85" t="s">
        <v>13</v>
      </c>
      <c r="K13" s="81" t="s">
        <v>21</v>
      </c>
      <c r="L13" s="160" t="s">
        <v>22</v>
      </c>
      <c r="M13" s="160"/>
      <c r="N13" s="85" t="s">
        <v>13</v>
      </c>
      <c r="P13" s="78" t="s">
        <v>21</v>
      </c>
      <c r="Q13" s="145" t="s">
        <v>22</v>
      </c>
      <c r="R13" s="145"/>
      <c r="S13" s="79" t="s">
        <v>13</v>
      </c>
      <c r="U13" s="103" t="s">
        <v>21</v>
      </c>
      <c r="V13" s="145" t="s">
        <v>22</v>
      </c>
      <c r="W13" s="145"/>
      <c r="X13" s="104" t="s">
        <v>13</v>
      </c>
    </row>
    <row r="14" spans="1:24" ht="15" customHeight="1" x14ac:dyDescent="0.25">
      <c r="A14" s="82" t="s">
        <v>0</v>
      </c>
      <c r="B14" s="161" t="s">
        <v>23</v>
      </c>
      <c r="C14" s="161"/>
      <c r="D14" s="9">
        <v>8.3299999999999999E-2</v>
      </c>
      <c r="F14" s="82" t="s">
        <v>0</v>
      </c>
      <c r="G14" s="161" t="s">
        <v>23</v>
      </c>
      <c r="H14" s="161"/>
      <c r="I14" s="9">
        <v>8.3299999999999999E-2</v>
      </c>
      <c r="K14" s="82" t="s">
        <v>0</v>
      </c>
      <c r="L14" s="161" t="s">
        <v>23</v>
      </c>
      <c r="M14" s="161"/>
      <c r="N14" s="9">
        <v>8.3299999999999999E-2</v>
      </c>
      <c r="P14" s="13" t="s">
        <v>0</v>
      </c>
      <c r="Q14" s="138" t="s">
        <v>23</v>
      </c>
      <c r="R14" s="138"/>
      <c r="S14" s="9">
        <v>8.3299999999999999E-2</v>
      </c>
      <c r="U14" s="13" t="s">
        <v>0</v>
      </c>
      <c r="V14" s="138" t="s">
        <v>23</v>
      </c>
      <c r="W14" s="138"/>
      <c r="X14" s="9">
        <v>8.3299999999999999E-2</v>
      </c>
    </row>
    <row r="15" spans="1:24" ht="15" customHeight="1" x14ac:dyDescent="0.25">
      <c r="A15" s="82" t="s">
        <v>2</v>
      </c>
      <c r="B15" s="161" t="s">
        <v>24</v>
      </c>
      <c r="C15" s="161"/>
      <c r="D15" s="9">
        <v>1.32E-2</v>
      </c>
      <c r="F15" s="82" t="s">
        <v>2</v>
      </c>
      <c r="G15" s="161" t="s">
        <v>24</v>
      </c>
      <c r="H15" s="161"/>
      <c r="I15" s="9">
        <f>I11*I14</f>
        <v>1.32447E-2</v>
      </c>
      <c r="K15" s="82" t="s">
        <v>2</v>
      </c>
      <c r="L15" s="161" t="s">
        <v>24</v>
      </c>
      <c r="M15" s="161"/>
      <c r="N15" s="9">
        <f>N11*N14</f>
        <v>1.29051692E-2</v>
      </c>
      <c r="P15" s="13" t="s">
        <v>2</v>
      </c>
      <c r="Q15" s="138" t="s">
        <v>24</v>
      </c>
      <c r="R15" s="138"/>
      <c r="S15" s="71">
        <f>1.31%</f>
        <v>1.3100000000000001E-2</v>
      </c>
      <c r="U15" s="13" t="s">
        <v>2</v>
      </c>
      <c r="V15" s="138" t="s">
        <v>24</v>
      </c>
      <c r="W15" s="138"/>
      <c r="X15" s="9">
        <f>1.31%</f>
        <v>1.3100000000000001E-2</v>
      </c>
    </row>
    <row r="16" spans="1:24" x14ac:dyDescent="0.25">
      <c r="A16" s="144" t="s">
        <v>79</v>
      </c>
      <c r="B16" s="144"/>
      <c r="C16" s="144"/>
      <c r="D16" s="18">
        <f>SUM(D14:D15)</f>
        <v>9.6500000000000002E-2</v>
      </c>
      <c r="F16" s="144" t="s">
        <v>79</v>
      </c>
      <c r="G16" s="144"/>
      <c r="H16" s="144"/>
      <c r="I16" s="18">
        <f>SUM(I14:I15)</f>
        <v>9.6544699999999997E-2</v>
      </c>
      <c r="K16" s="144" t="s">
        <v>79</v>
      </c>
      <c r="L16" s="144"/>
      <c r="M16" s="144"/>
      <c r="N16" s="18">
        <f>SUM(N14:N15)</f>
        <v>9.6205169199999996E-2</v>
      </c>
      <c r="P16" s="144" t="s">
        <v>79</v>
      </c>
      <c r="Q16" s="144"/>
      <c r="R16" s="144"/>
      <c r="S16" s="72">
        <f>SUM(S14:S15)</f>
        <v>9.64E-2</v>
      </c>
      <c r="U16" s="144" t="s">
        <v>79</v>
      </c>
      <c r="V16" s="144"/>
      <c r="W16" s="144"/>
      <c r="X16" s="18">
        <f>SUM(X14:X15)</f>
        <v>9.64E-2</v>
      </c>
    </row>
    <row r="17" spans="1:24" x14ac:dyDescent="0.25">
      <c r="A17" s="83"/>
      <c r="B17" s="84"/>
      <c r="C17" s="84"/>
      <c r="D17" s="84"/>
      <c r="F17" s="83"/>
      <c r="G17" s="84"/>
      <c r="H17" s="84"/>
      <c r="I17" s="84"/>
      <c r="K17" s="83"/>
      <c r="L17" s="84"/>
      <c r="M17" s="84"/>
      <c r="N17" s="84"/>
      <c r="P17" s="7"/>
      <c r="Q17" s="5"/>
      <c r="R17" s="5"/>
      <c r="S17" s="5"/>
      <c r="U17" s="7"/>
      <c r="V17" s="5"/>
      <c r="W17" s="5"/>
      <c r="X17" s="5"/>
    </row>
    <row r="18" spans="1:24" ht="15" customHeight="1" x14ac:dyDescent="0.25">
      <c r="A18" s="86" t="s">
        <v>25</v>
      </c>
      <c r="B18" s="160" t="s">
        <v>26</v>
      </c>
      <c r="C18" s="160"/>
      <c r="D18" s="87" t="s">
        <v>13</v>
      </c>
      <c r="F18" s="86" t="s">
        <v>25</v>
      </c>
      <c r="G18" s="160" t="s">
        <v>26</v>
      </c>
      <c r="H18" s="160"/>
      <c r="I18" s="87" t="s">
        <v>13</v>
      </c>
      <c r="K18" s="86" t="s">
        <v>25</v>
      </c>
      <c r="L18" s="160" t="s">
        <v>26</v>
      </c>
      <c r="M18" s="160"/>
      <c r="N18" s="87" t="s">
        <v>13</v>
      </c>
      <c r="P18" s="14" t="s">
        <v>25</v>
      </c>
      <c r="Q18" s="145" t="s">
        <v>26</v>
      </c>
      <c r="R18" s="145"/>
      <c r="S18" s="16" t="s">
        <v>13</v>
      </c>
      <c r="U18" s="14" t="s">
        <v>25</v>
      </c>
      <c r="V18" s="145" t="s">
        <v>26</v>
      </c>
      <c r="W18" s="145"/>
      <c r="X18" s="16" t="s">
        <v>13</v>
      </c>
    </row>
    <row r="19" spans="1:24" ht="15" customHeight="1" x14ac:dyDescent="0.25">
      <c r="A19" s="82" t="s">
        <v>0</v>
      </c>
      <c r="B19" s="161" t="s">
        <v>27</v>
      </c>
      <c r="C19" s="161"/>
      <c r="D19" s="9">
        <v>1E-4</v>
      </c>
      <c r="F19" s="82" t="s">
        <v>0</v>
      </c>
      <c r="G19" s="161" t="s">
        <v>27</v>
      </c>
      <c r="H19" s="161"/>
      <c r="I19" s="9">
        <v>1E-4</v>
      </c>
      <c r="K19" s="82" t="s">
        <v>0</v>
      </c>
      <c r="L19" s="161" t="s">
        <v>27</v>
      </c>
      <c r="M19" s="161"/>
      <c r="N19" s="9">
        <v>1E-4</v>
      </c>
      <c r="P19" s="13" t="s">
        <v>0</v>
      </c>
      <c r="Q19" s="138" t="s">
        <v>27</v>
      </c>
      <c r="R19" s="138"/>
      <c r="S19" s="9">
        <v>1E-4</v>
      </c>
      <c r="U19" s="13" t="s">
        <v>0</v>
      </c>
      <c r="V19" s="138" t="s">
        <v>27</v>
      </c>
      <c r="W19" s="138"/>
      <c r="X19" s="9">
        <v>1E-4</v>
      </c>
    </row>
    <row r="20" spans="1:24" ht="15" customHeight="1" x14ac:dyDescent="0.25">
      <c r="A20" s="82" t="s">
        <v>1</v>
      </c>
      <c r="B20" s="161" t="s">
        <v>28</v>
      </c>
      <c r="C20" s="161"/>
      <c r="D20" s="9">
        <v>1.5792800000000002E-5</v>
      </c>
      <c r="F20" s="82" t="s">
        <v>1</v>
      </c>
      <c r="G20" s="161" t="s">
        <v>28</v>
      </c>
      <c r="H20" s="161"/>
      <c r="I20" s="9">
        <v>1.5792800000000002E-5</v>
      </c>
      <c r="K20" s="82" t="s">
        <v>1</v>
      </c>
      <c r="L20" s="161" t="s">
        <v>28</v>
      </c>
      <c r="M20" s="161"/>
      <c r="N20" s="9">
        <v>1.5792800000000002E-5</v>
      </c>
      <c r="P20" s="13" t="s">
        <v>1</v>
      </c>
      <c r="Q20" s="159" t="s">
        <v>28</v>
      </c>
      <c r="R20" s="159"/>
      <c r="S20" s="9">
        <v>1.5792800000000002E-5</v>
      </c>
      <c r="U20" s="13" t="s">
        <v>1</v>
      </c>
      <c r="V20" s="159" t="s">
        <v>28</v>
      </c>
      <c r="W20" s="159"/>
      <c r="X20" s="9">
        <v>1.5792800000000002E-5</v>
      </c>
    </row>
    <row r="21" spans="1:24" x14ac:dyDescent="0.25">
      <c r="A21" s="144" t="s">
        <v>80</v>
      </c>
      <c r="B21" s="144"/>
      <c r="C21" s="144"/>
      <c r="D21" s="18">
        <f>SUM(D19:D20)</f>
        <v>1.1579280000000001E-4</v>
      </c>
      <c r="F21" s="144" t="s">
        <v>80</v>
      </c>
      <c r="G21" s="144"/>
      <c r="H21" s="144"/>
      <c r="I21" s="18">
        <f>SUM(I19:I20)</f>
        <v>1.1579280000000001E-4</v>
      </c>
      <c r="K21" s="144" t="s">
        <v>80</v>
      </c>
      <c r="L21" s="144"/>
      <c r="M21" s="144"/>
      <c r="N21" s="18">
        <f>SUM(N19:N20)</f>
        <v>1.1579280000000001E-4</v>
      </c>
      <c r="P21" s="144" t="s">
        <v>80</v>
      </c>
      <c r="Q21" s="144"/>
      <c r="R21" s="144"/>
      <c r="S21" s="18">
        <f>SUM(S19:S20)</f>
        <v>1.1579280000000001E-4</v>
      </c>
      <c r="U21" s="144" t="s">
        <v>80</v>
      </c>
      <c r="V21" s="144"/>
      <c r="W21" s="144"/>
      <c r="X21" s="18">
        <f>SUM(X19:X20)</f>
        <v>1.1579280000000001E-4</v>
      </c>
    </row>
    <row r="22" spans="1:24" x14ac:dyDescent="0.25">
      <c r="A22" s="83"/>
      <c r="B22" s="84"/>
      <c r="C22" s="84"/>
      <c r="D22" s="84"/>
      <c r="F22" s="83"/>
      <c r="G22" s="84"/>
      <c r="H22" s="84"/>
      <c r="I22" s="84"/>
      <c r="K22" s="83"/>
      <c r="L22" s="84"/>
      <c r="M22" s="84"/>
      <c r="N22" s="84"/>
      <c r="P22" s="7"/>
      <c r="Q22" s="5"/>
      <c r="R22" s="5"/>
      <c r="S22" s="5"/>
      <c r="U22" s="7"/>
      <c r="V22" s="5"/>
      <c r="W22" s="5"/>
      <c r="X22" s="5"/>
    </row>
    <row r="23" spans="1:24" ht="15" customHeight="1" x14ac:dyDescent="0.25">
      <c r="A23" s="86" t="s">
        <v>29</v>
      </c>
      <c r="B23" s="160" t="s">
        <v>30</v>
      </c>
      <c r="C23" s="160"/>
      <c r="D23" s="87" t="s">
        <v>13</v>
      </c>
      <c r="F23" s="86" t="s">
        <v>29</v>
      </c>
      <c r="G23" s="160" t="s">
        <v>30</v>
      </c>
      <c r="H23" s="160"/>
      <c r="I23" s="87" t="s">
        <v>13</v>
      </c>
      <c r="K23" s="86" t="s">
        <v>29</v>
      </c>
      <c r="L23" s="160" t="s">
        <v>30</v>
      </c>
      <c r="M23" s="160"/>
      <c r="N23" s="87" t="s">
        <v>13</v>
      </c>
      <c r="P23" s="14" t="s">
        <v>29</v>
      </c>
      <c r="Q23" s="145" t="s">
        <v>30</v>
      </c>
      <c r="R23" s="145"/>
      <c r="S23" s="16" t="s">
        <v>13</v>
      </c>
      <c r="U23" s="14" t="s">
        <v>29</v>
      </c>
      <c r="V23" s="145" t="s">
        <v>30</v>
      </c>
      <c r="W23" s="145"/>
      <c r="X23" s="16" t="s">
        <v>13</v>
      </c>
    </row>
    <row r="24" spans="1:24" ht="15" customHeight="1" x14ac:dyDescent="0.25">
      <c r="A24" s="82" t="s">
        <v>0</v>
      </c>
      <c r="B24" s="161" t="s">
        <v>31</v>
      </c>
      <c r="C24" s="161"/>
      <c r="D24" s="9">
        <v>4.1999999999999997E-3</v>
      </c>
      <c r="F24" s="82" t="s">
        <v>0</v>
      </c>
      <c r="G24" s="161" t="s">
        <v>31</v>
      </c>
      <c r="H24" s="161"/>
      <c r="I24" s="9">
        <v>4.1999999999999997E-3</v>
      </c>
      <c r="K24" s="82" t="s">
        <v>0</v>
      </c>
      <c r="L24" s="161" t="s">
        <v>31</v>
      </c>
      <c r="M24" s="161"/>
      <c r="N24" s="9">
        <v>4.1999999999999997E-3</v>
      </c>
      <c r="P24" s="13" t="s">
        <v>0</v>
      </c>
      <c r="Q24" s="138" t="s">
        <v>31</v>
      </c>
      <c r="R24" s="138"/>
      <c r="S24" s="9">
        <v>4.1999999999999997E-3</v>
      </c>
      <c r="U24" s="13" t="s">
        <v>0</v>
      </c>
      <c r="V24" s="138" t="s">
        <v>31</v>
      </c>
      <c r="W24" s="138"/>
      <c r="X24" s="9">
        <v>4.1999999999999997E-3</v>
      </c>
    </row>
    <row r="25" spans="1:24" ht="15" customHeight="1" x14ac:dyDescent="0.25">
      <c r="A25" s="82" t="s">
        <v>1</v>
      </c>
      <c r="B25" s="161" t="s">
        <v>32</v>
      </c>
      <c r="C25" s="161"/>
      <c r="D25" s="9">
        <v>2.9999999999999997E-4</v>
      </c>
      <c r="F25" s="82" t="s">
        <v>1</v>
      </c>
      <c r="G25" s="161" t="s">
        <v>32</v>
      </c>
      <c r="H25" s="161"/>
      <c r="I25" s="9">
        <v>2.9999999999999997E-4</v>
      </c>
      <c r="K25" s="82" t="s">
        <v>1</v>
      </c>
      <c r="L25" s="161" t="s">
        <v>32</v>
      </c>
      <c r="M25" s="161"/>
      <c r="N25" s="9">
        <v>2.9999999999999997E-4</v>
      </c>
      <c r="P25" s="13" t="s">
        <v>1</v>
      </c>
      <c r="Q25" s="138" t="s">
        <v>32</v>
      </c>
      <c r="R25" s="138"/>
      <c r="S25" s="9">
        <v>2.9999999999999997E-4</v>
      </c>
      <c r="U25" s="13" t="s">
        <v>1</v>
      </c>
      <c r="V25" s="138" t="s">
        <v>32</v>
      </c>
      <c r="W25" s="138"/>
      <c r="X25" s="9">
        <v>2.9999999999999997E-4</v>
      </c>
    </row>
    <row r="26" spans="1:24" ht="15" customHeight="1" x14ac:dyDescent="0.25">
      <c r="A26" s="82" t="s">
        <v>2</v>
      </c>
      <c r="B26" s="161" t="s">
        <v>33</v>
      </c>
      <c r="C26" s="161"/>
      <c r="D26" s="9">
        <v>2.3999999999999998E-3</v>
      </c>
      <c r="F26" s="82" t="s">
        <v>2</v>
      </c>
      <c r="G26" s="161" t="s">
        <v>33</v>
      </c>
      <c r="H26" s="161"/>
      <c r="I26" s="9">
        <v>2.3999999999999998E-3</v>
      </c>
      <c r="K26" s="82" t="s">
        <v>2</v>
      </c>
      <c r="L26" s="161" t="s">
        <v>33</v>
      </c>
      <c r="M26" s="161"/>
      <c r="N26" s="9">
        <v>2.3999999999999998E-3</v>
      </c>
      <c r="P26" s="13" t="s">
        <v>2</v>
      </c>
      <c r="Q26" s="138" t="s">
        <v>33</v>
      </c>
      <c r="R26" s="138"/>
      <c r="S26" s="9">
        <v>2.3999999999999998E-3</v>
      </c>
      <c r="U26" s="13" t="s">
        <v>2</v>
      </c>
      <c r="V26" s="138" t="s">
        <v>33</v>
      </c>
      <c r="W26" s="138"/>
      <c r="X26" s="9">
        <v>2.3999999999999998E-3</v>
      </c>
    </row>
    <row r="27" spans="1:24" ht="15" customHeight="1" x14ac:dyDescent="0.25">
      <c r="A27" s="82" t="s">
        <v>3</v>
      </c>
      <c r="B27" s="161" t="s">
        <v>34</v>
      </c>
      <c r="C27" s="161"/>
      <c r="D27" s="9">
        <v>1.9400000000000001E-2</v>
      </c>
      <c r="F27" s="82" t="s">
        <v>3</v>
      </c>
      <c r="G27" s="161" t="s">
        <v>34</v>
      </c>
      <c r="H27" s="161"/>
      <c r="I27" s="49">
        <v>1.9400000000000001E-3</v>
      </c>
      <c r="K27" s="82" t="s">
        <v>3</v>
      </c>
      <c r="L27" s="161" t="s">
        <v>34</v>
      </c>
      <c r="M27" s="161"/>
      <c r="N27" s="49">
        <v>1.9400000000000001E-3</v>
      </c>
      <c r="P27" s="13" t="s">
        <v>3</v>
      </c>
      <c r="Q27" s="138" t="s">
        <v>34</v>
      </c>
      <c r="R27" s="138"/>
      <c r="S27" s="49">
        <v>1.9400000000000001E-3</v>
      </c>
      <c r="U27" s="13" t="s">
        <v>3</v>
      </c>
      <c r="V27" s="138" t="s">
        <v>34</v>
      </c>
      <c r="W27" s="138"/>
      <c r="X27" s="49">
        <v>1.9400000000000001E-3</v>
      </c>
    </row>
    <row r="28" spans="1:24" ht="15" customHeight="1" x14ac:dyDescent="0.25">
      <c r="A28" s="82" t="s">
        <v>5</v>
      </c>
      <c r="B28" s="161" t="s">
        <v>35</v>
      </c>
      <c r="C28" s="161"/>
      <c r="D28" s="9">
        <v>3.0999999999999999E-3</v>
      </c>
      <c r="F28" s="82" t="s">
        <v>5</v>
      </c>
      <c r="G28" s="161" t="s">
        <v>35</v>
      </c>
      <c r="H28" s="161"/>
      <c r="I28" s="9">
        <f>I11*I27</f>
        <v>3.0846000000000004E-4</v>
      </c>
      <c r="K28" s="82" t="s">
        <v>5</v>
      </c>
      <c r="L28" s="161" t="s">
        <v>35</v>
      </c>
      <c r="M28" s="161"/>
      <c r="N28" s="9">
        <f>N11*N27</f>
        <v>3.0055256000000003E-4</v>
      </c>
      <c r="P28" s="13" t="s">
        <v>5</v>
      </c>
      <c r="Q28" s="159" t="s">
        <v>35</v>
      </c>
      <c r="R28" s="159"/>
      <c r="S28" s="9">
        <f>S11*S27</f>
        <v>3.0632600000000005E-4</v>
      </c>
      <c r="U28" s="13" t="s">
        <v>5</v>
      </c>
      <c r="V28" s="159" t="s">
        <v>35</v>
      </c>
      <c r="W28" s="159"/>
      <c r="X28" s="9">
        <f>X11*X27</f>
        <v>3.0632600000000005E-4</v>
      </c>
    </row>
    <row r="29" spans="1:24" ht="15" customHeight="1" x14ac:dyDescent="0.25">
      <c r="A29" s="82" t="s">
        <v>6</v>
      </c>
      <c r="B29" s="161" t="s">
        <v>36</v>
      </c>
      <c r="C29" s="161"/>
      <c r="D29" s="9">
        <v>4.7600000000000003E-2</v>
      </c>
      <c r="F29" s="82" t="s">
        <v>6</v>
      </c>
      <c r="G29" s="161" t="s">
        <v>36</v>
      </c>
      <c r="H29" s="161"/>
      <c r="I29" s="9">
        <v>4.7600000000000003E-2</v>
      </c>
      <c r="K29" s="82" t="s">
        <v>6</v>
      </c>
      <c r="L29" s="161" t="s">
        <v>36</v>
      </c>
      <c r="M29" s="161"/>
      <c r="N29" s="9">
        <v>4.7600000000000003E-2</v>
      </c>
      <c r="P29" s="13" t="s">
        <v>6</v>
      </c>
      <c r="Q29" s="138" t="s">
        <v>36</v>
      </c>
      <c r="R29" s="138"/>
      <c r="S29" s="9">
        <v>4.7600000000000003E-2</v>
      </c>
      <c r="U29" s="13" t="s">
        <v>6</v>
      </c>
      <c r="V29" s="138" t="s">
        <v>36</v>
      </c>
      <c r="W29" s="138"/>
      <c r="X29" s="9">
        <v>4.7600000000000003E-2</v>
      </c>
    </row>
    <row r="30" spans="1:24" x14ac:dyDescent="0.25">
      <c r="A30" s="144" t="s">
        <v>81</v>
      </c>
      <c r="B30" s="144"/>
      <c r="C30" s="144"/>
      <c r="D30" s="18">
        <f>SUM(D24:D29)</f>
        <v>7.6999999999999999E-2</v>
      </c>
      <c r="F30" s="144" t="s">
        <v>81</v>
      </c>
      <c r="G30" s="144"/>
      <c r="H30" s="144"/>
      <c r="I30" s="18">
        <f>SUM(I24:I29)</f>
        <v>5.6748460000000001E-2</v>
      </c>
      <c r="K30" s="144" t="s">
        <v>81</v>
      </c>
      <c r="L30" s="144"/>
      <c r="M30" s="144"/>
      <c r="N30" s="18">
        <f>SUM(N24:N29)</f>
        <v>5.6740552560000004E-2</v>
      </c>
      <c r="P30" s="144" t="s">
        <v>81</v>
      </c>
      <c r="Q30" s="144"/>
      <c r="R30" s="144"/>
      <c r="S30" s="18">
        <f>SUM(S24:S29)</f>
        <v>5.6746326000000007E-2</v>
      </c>
      <c r="U30" s="144" t="s">
        <v>81</v>
      </c>
      <c r="V30" s="144"/>
      <c r="W30" s="144"/>
      <c r="X30" s="18">
        <f>SUM(X24:X29)</f>
        <v>5.6746326000000007E-2</v>
      </c>
    </row>
    <row r="31" spans="1:24" x14ac:dyDescent="0.25">
      <c r="A31" s="83"/>
      <c r="B31" s="84"/>
      <c r="C31" s="84"/>
      <c r="D31" s="84"/>
      <c r="F31" s="83"/>
      <c r="G31" s="84"/>
      <c r="H31" s="84"/>
      <c r="I31" s="84"/>
      <c r="K31" s="83"/>
      <c r="L31" s="84"/>
      <c r="M31" s="84"/>
      <c r="N31" s="84"/>
      <c r="P31" s="7"/>
      <c r="Q31" s="5"/>
      <c r="R31" s="5"/>
      <c r="S31" s="5"/>
      <c r="U31" s="7"/>
      <c r="V31" s="5"/>
      <c r="W31" s="5"/>
      <c r="X31" s="5"/>
    </row>
    <row r="32" spans="1:24" ht="15" customHeight="1" x14ac:dyDescent="0.25">
      <c r="A32" s="81" t="s">
        <v>37</v>
      </c>
      <c r="B32" s="160" t="s">
        <v>38</v>
      </c>
      <c r="C32" s="160"/>
      <c r="D32" s="85" t="s">
        <v>13</v>
      </c>
      <c r="F32" s="81" t="s">
        <v>37</v>
      </c>
      <c r="G32" s="160" t="s">
        <v>38</v>
      </c>
      <c r="H32" s="160"/>
      <c r="I32" s="85" t="s">
        <v>13</v>
      </c>
      <c r="K32" s="81" t="s">
        <v>37</v>
      </c>
      <c r="L32" s="160" t="s">
        <v>38</v>
      </c>
      <c r="M32" s="160"/>
      <c r="N32" s="85" t="s">
        <v>13</v>
      </c>
      <c r="P32" s="78" t="s">
        <v>37</v>
      </c>
      <c r="Q32" s="145" t="s">
        <v>38</v>
      </c>
      <c r="R32" s="145"/>
      <c r="S32" s="79" t="s">
        <v>13</v>
      </c>
      <c r="U32" s="103" t="s">
        <v>37</v>
      </c>
      <c r="V32" s="145" t="s">
        <v>38</v>
      </c>
      <c r="W32" s="145"/>
      <c r="X32" s="104" t="s">
        <v>13</v>
      </c>
    </row>
    <row r="33" spans="1:24" ht="15" customHeight="1" x14ac:dyDescent="0.25">
      <c r="A33" s="82" t="s">
        <v>0</v>
      </c>
      <c r="B33" s="161" t="s">
        <v>39</v>
      </c>
      <c r="C33" s="161"/>
      <c r="D33" s="9">
        <v>0.121</v>
      </c>
      <c r="F33" s="82" t="s">
        <v>0</v>
      </c>
      <c r="G33" s="161" t="s">
        <v>39</v>
      </c>
      <c r="H33" s="161"/>
      <c r="I33" s="9">
        <v>0.121</v>
      </c>
      <c r="K33" s="82" t="s">
        <v>0</v>
      </c>
      <c r="L33" s="161" t="s">
        <v>39</v>
      </c>
      <c r="M33" s="161"/>
      <c r="N33" s="9">
        <v>0.121</v>
      </c>
      <c r="P33" s="13" t="s">
        <v>0</v>
      </c>
      <c r="Q33" s="138" t="s">
        <v>39</v>
      </c>
      <c r="R33" s="138"/>
      <c r="S33" s="9">
        <v>0.121</v>
      </c>
      <c r="U33" s="13" t="s">
        <v>0</v>
      </c>
      <c r="V33" s="138" t="s">
        <v>39</v>
      </c>
      <c r="W33" s="138"/>
      <c r="X33" s="9">
        <v>0.121</v>
      </c>
    </row>
    <row r="34" spans="1:24" ht="15" customHeight="1" x14ac:dyDescent="0.25">
      <c r="A34" s="82" t="s">
        <v>1</v>
      </c>
      <c r="B34" s="161" t="s">
        <v>40</v>
      </c>
      <c r="C34" s="161"/>
      <c r="D34" s="9">
        <v>1E-4</v>
      </c>
      <c r="F34" s="82" t="s">
        <v>1</v>
      </c>
      <c r="G34" s="161" t="s">
        <v>40</v>
      </c>
      <c r="H34" s="161"/>
      <c r="I34" s="9">
        <v>1E-4</v>
      </c>
      <c r="K34" s="82" t="s">
        <v>1</v>
      </c>
      <c r="L34" s="161" t="s">
        <v>40</v>
      </c>
      <c r="M34" s="161"/>
      <c r="N34" s="9">
        <v>1E-4</v>
      </c>
      <c r="P34" s="13" t="s">
        <v>1</v>
      </c>
      <c r="Q34" s="138" t="s">
        <v>40</v>
      </c>
      <c r="R34" s="138"/>
      <c r="S34" s="9">
        <v>1E-4</v>
      </c>
      <c r="U34" s="13" t="s">
        <v>1</v>
      </c>
      <c r="V34" s="138" t="s">
        <v>40</v>
      </c>
      <c r="W34" s="138"/>
      <c r="X34" s="9">
        <v>1E-4</v>
      </c>
    </row>
    <row r="35" spans="1:24" ht="15" customHeight="1" x14ac:dyDescent="0.25">
      <c r="A35" s="82" t="s">
        <v>2</v>
      </c>
      <c r="B35" s="161" t="s">
        <v>41</v>
      </c>
      <c r="C35" s="161"/>
      <c r="D35" s="9">
        <v>1E-4</v>
      </c>
      <c r="F35" s="82" t="s">
        <v>2</v>
      </c>
      <c r="G35" s="161" t="s">
        <v>41</v>
      </c>
      <c r="H35" s="161"/>
      <c r="I35" s="9">
        <v>1E-4</v>
      </c>
      <c r="K35" s="82" t="s">
        <v>2</v>
      </c>
      <c r="L35" s="161" t="s">
        <v>41</v>
      </c>
      <c r="M35" s="161"/>
      <c r="N35" s="9">
        <v>1E-4</v>
      </c>
      <c r="P35" s="13" t="s">
        <v>2</v>
      </c>
      <c r="Q35" s="138" t="s">
        <v>41</v>
      </c>
      <c r="R35" s="138"/>
      <c r="S35" s="9">
        <v>1E-4</v>
      </c>
      <c r="U35" s="13" t="s">
        <v>2</v>
      </c>
      <c r="V35" s="138" t="s">
        <v>41</v>
      </c>
      <c r="W35" s="138"/>
      <c r="X35" s="9">
        <v>1E-4</v>
      </c>
    </row>
    <row r="36" spans="1:24" ht="15" customHeight="1" x14ac:dyDescent="0.25">
      <c r="A36" s="82" t="s">
        <v>3</v>
      </c>
      <c r="B36" s="161" t="s">
        <v>42</v>
      </c>
      <c r="C36" s="161"/>
      <c r="D36" s="9">
        <v>1E-4</v>
      </c>
      <c r="F36" s="82" t="s">
        <v>3</v>
      </c>
      <c r="G36" s="161" t="s">
        <v>42</v>
      </c>
      <c r="H36" s="161"/>
      <c r="I36" s="9">
        <v>1E-4</v>
      </c>
      <c r="K36" s="82" t="s">
        <v>3</v>
      </c>
      <c r="L36" s="161" t="s">
        <v>42</v>
      </c>
      <c r="M36" s="161"/>
      <c r="N36" s="9">
        <v>1E-4</v>
      </c>
      <c r="P36" s="13" t="s">
        <v>3</v>
      </c>
      <c r="Q36" s="138" t="s">
        <v>42</v>
      </c>
      <c r="R36" s="138"/>
      <c r="S36" s="9">
        <v>1E-4</v>
      </c>
      <c r="U36" s="13" t="s">
        <v>3</v>
      </c>
      <c r="V36" s="138" t="s">
        <v>42</v>
      </c>
      <c r="W36" s="138"/>
      <c r="X36" s="9">
        <v>1E-4</v>
      </c>
    </row>
    <row r="37" spans="1:24" ht="15" customHeight="1" x14ac:dyDescent="0.25">
      <c r="A37" s="82" t="s">
        <v>5</v>
      </c>
      <c r="B37" s="161" t="s">
        <v>43</v>
      </c>
      <c r="C37" s="161"/>
      <c r="D37" s="9">
        <v>1E-4</v>
      </c>
      <c r="F37" s="82" t="s">
        <v>5</v>
      </c>
      <c r="G37" s="161" t="s">
        <v>43</v>
      </c>
      <c r="H37" s="161"/>
      <c r="I37" s="9">
        <v>1E-4</v>
      </c>
      <c r="K37" s="82" t="s">
        <v>5</v>
      </c>
      <c r="L37" s="161" t="s">
        <v>43</v>
      </c>
      <c r="M37" s="161"/>
      <c r="N37" s="9">
        <v>1E-4</v>
      </c>
      <c r="P37" s="13" t="s">
        <v>5</v>
      </c>
      <c r="Q37" s="138" t="s">
        <v>43</v>
      </c>
      <c r="R37" s="138"/>
      <c r="S37" s="9">
        <v>1E-4</v>
      </c>
      <c r="U37" s="13" t="s">
        <v>5</v>
      </c>
      <c r="V37" s="138" t="s">
        <v>43</v>
      </c>
      <c r="W37" s="138"/>
      <c r="X37" s="9">
        <v>1E-4</v>
      </c>
    </row>
    <row r="38" spans="1:24" ht="15" customHeight="1" x14ac:dyDescent="0.25">
      <c r="A38" s="82" t="s">
        <v>6</v>
      </c>
      <c r="B38" s="161" t="s">
        <v>44</v>
      </c>
      <c r="C38" s="161"/>
      <c r="D38" s="9"/>
      <c r="F38" s="82" t="s">
        <v>6</v>
      </c>
      <c r="G38" s="161" t="s">
        <v>44</v>
      </c>
      <c r="H38" s="161"/>
      <c r="I38" s="9"/>
      <c r="K38" s="82" t="s">
        <v>6</v>
      </c>
      <c r="L38" s="161" t="s">
        <v>44</v>
      </c>
      <c r="M38" s="161"/>
      <c r="N38" s="9"/>
      <c r="P38" s="13" t="s">
        <v>6</v>
      </c>
      <c r="Q38" s="138" t="s">
        <v>44</v>
      </c>
      <c r="R38" s="138"/>
      <c r="S38" s="9"/>
      <c r="U38" s="13" t="s">
        <v>6</v>
      </c>
      <c r="V38" s="138" t="s">
        <v>44</v>
      </c>
      <c r="W38" s="138"/>
      <c r="X38" s="9"/>
    </row>
    <row r="39" spans="1:24" x14ac:dyDescent="0.25">
      <c r="A39" s="144" t="s">
        <v>45</v>
      </c>
      <c r="B39" s="144"/>
      <c r="C39" s="144"/>
      <c r="D39" s="17">
        <f>SUM(D33:D38)</f>
        <v>0.12140000000000001</v>
      </c>
      <c r="F39" s="144" t="s">
        <v>45</v>
      </c>
      <c r="G39" s="144"/>
      <c r="H39" s="144"/>
      <c r="I39" s="17">
        <f>SUM(I33:I38)</f>
        <v>0.12140000000000001</v>
      </c>
      <c r="K39" s="144" t="s">
        <v>45</v>
      </c>
      <c r="L39" s="144"/>
      <c r="M39" s="144"/>
      <c r="N39" s="17">
        <f>SUM(N33:N38)</f>
        <v>0.12140000000000001</v>
      </c>
      <c r="P39" s="144" t="s">
        <v>45</v>
      </c>
      <c r="Q39" s="144"/>
      <c r="R39" s="144"/>
      <c r="S39" s="17">
        <f>SUM(S33:S38)</f>
        <v>0.12140000000000001</v>
      </c>
      <c r="U39" s="144" t="s">
        <v>45</v>
      </c>
      <c r="V39" s="144"/>
      <c r="W39" s="144"/>
      <c r="X39" s="17">
        <f>SUM(X33:X38)</f>
        <v>0.12140000000000001</v>
      </c>
    </row>
    <row r="40" spans="1:24" ht="15" customHeight="1" x14ac:dyDescent="0.25">
      <c r="A40" s="82" t="s">
        <v>7</v>
      </c>
      <c r="B40" s="161" t="s">
        <v>46</v>
      </c>
      <c r="C40" s="161"/>
      <c r="D40" s="9">
        <v>1.9199999999999998E-2</v>
      </c>
      <c r="F40" s="82" t="s">
        <v>7</v>
      </c>
      <c r="G40" s="161" t="s">
        <v>46</v>
      </c>
      <c r="H40" s="161"/>
      <c r="I40" s="9">
        <f>I39*I11</f>
        <v>1.9302600000000003E-2</v>
      </c>
      <c r="K40" s="82" t="s">
        <v>7</v>
      </c>
      <c r="L40" s="161" t="s">
        <v>46</v>
      </c>
      <c r="M40" s="161"/>
      <c r="N40" s="9">
        <f>N39*N11</f>
        <v>1.8807773600000001E-2</v>
      </c>
      <c r="P40" s="13" t="s">
        <v>7</v>
      </c>
      <c r="Q40" s="138" t="s">
        <v>46</v>
      </c>
      <c r="R40" s="138"/>
      <c r="S40" s="71">
        <f>1.92%</f>
        <v>1.9199999999999998E-2</v>
      </c>
      <c r="U40" s="13" t="s">
        <v>7</v>
      </c>
      <c r="V40" s="138" t="s">
        <v>46</v>
      </c>
      <c r="W40" s="138"/>
      <c r="X40" s="9">
        <f>1.92%</f>
        <v>1.9199999999999998E-2</v>
      </c>
    </row>
    <row r="41" spans="1:24" x14ac:dyDescent="0.25">
      <c r="A41" s="144" t="s">
        <v>82</v>
      </c>
      <c r="B41" s="144"/>
      <c r="C41" s="144"/>
      <c r="D41" s="18">
        <f>D39+D40</f>
        <v>0.1406</v>
      </c>
      <c r="F41" s="144" t="s">
        <v>82</v>
      </c>
      <c r="G41" s="144"/>
      <c r="H41" s="144"/>
      <c r="I41" s="18">
        <f>I39+I40</f>
        <v>0.14070260000000001</v>
      </c>
      <c r="K41" s="144" t="s">
        <v>82</v>
      </c>
      <c r="L41" s="144"/>
      <c r="M41" s="144"/>
      <c r="N41" s="18">
        <f>N39+N40</f>
        <v>0.1402077736</v>
      </c>
      <c r="P41" s="144" t="s">
        <v>82</v>
      </c>
      <c r="Q41" s="144"/>
      <c r="R41" s="144"/>
      <c r="S41" s="72">
        <f>S39+S40</f>
        <v>0.1406</v>
      </c>
      <c r="U41" s="144" t="s">
        <v>82</v>
      </c>
      <c r="V41" s="144"/>
      <c r="W41" s="144"/>
      <c r="X41" s="18">
        <f>X39+X40</f>
        <v>0.1406</v>
      </c>
    </row>
    <row r="42" spans="1:24" x14ac:dyDescent="0.25">
      <c r="A42" s="83"/>
      <c r="B42" s="84"/>
      <c r="C42" s="84"/>
      <c r="D42" s="84"/>
      <c r="F42" s="83"/>
      <c r="G42" s="84"/>
      <c r="H42" s="84"/>
      <c r="I42" s="84"/>
      <c r="K42" s="83"/>
      <c r="L42" s="84"/>
      <c r="M42" s="84"/>
      <c r="N42" s="84"/>
      <c r="P42" s="7"/>
      <c r="Q42" s="5"/>
      <c r="R42" s="5"/>
      <c r="S42" s="5"/>
      <c r="U42" s="7"/>
      <c r="V42" s="5"/>
      <c r="W42" s="5"/>
      <c r="X42" s="5"/>
    </row>
    <row r="43" spans="1:24" x14ac:dyDescent="0.25">
      <c r="A43" s="164" t="s">
        <v>96</v>
      </c>
      <c r="B43" s="164"/>
      <c r="C43" s="164"/>
      <c r="D43" s="164"/>
      <c r="F43" s="164" t="s">
        <v>96</v>
      </c>
      <c r="G43" s="164"/>
      <c r="H43" s="164"/>
      <c r="I43" s="164"/>
      <c r="K43" s="164" t="s">
        <v>96</v>
      </c>
      <c r="L43" s="164"/>
      <c r="M43" s="164"/>
      <c r="N43" s="164"/>
      <c r="P43" s="150" t="s">
        <v>96</v>
      </c>
      <c r="Q43" s="150"/>
      <c r="R43" s="150"/>
      <c r="S43" s="150"/>
      <c r="U43" s="150" t="s">
        <v>96</v>
      </c>
      <c r="V43" s="150"/>
      <c r="W43" s="150"/>
      <c r="X43" s="150"/>
    </row>
    <row r="44" spans="1:24" ht="15" customHeight="1" x14ac:dyDescent="0.25">
      <c r="A44" s="88" t="s">
        <v>11</v>
      </c>
      <c r="B44" s="162" t="s">
        <v>12</v>
      </c>
      <c r="C44" s="163"/>
      <c r="D44" s="2">
        <f>D11</f>
        <v>0.15792800000000001</v>
      </c>
      <c r="F44" s="88" t="s">
        <v>11</v>
      </c>
      <c r="G44" s="162" t="s">
        <v>12</v>
      </c>
      <c r="H44" s="163"/>
      <c r="I44" s="2">
        <f>I11</f>
        <v>0.159</v>
      </c>
      <c r="K44" s="88" t="s">
        <v>11</v>
      </c>
      <c r="L44" s="162" t="s">
        <v>12</v>
      </c>
      <c r="M44" s="163"/>
      <c r="N44" s="2">
        <f>N11</f>
        <v>0.15492400000000001</v>
      </c>
      <c r="P44" s="1" t="s">
        <v>11</v>
      </c>
      <c r="Q44" s="116" t="s">
        <v>12</v>
      </c>
      <c r="R44" s="118"/>
      <c r="S44" s="73">
        <f>S11</f>
        <v>0.15790000000000001</v>
      </c>
      <c r="U44" s="1" t="s">
        <v>11</v>
      </c>
      <c r="V44" s="116" t="s">
        <v>12</v>
      </c>
      <c r="W44" s="118"/>
      <c r="X44" s="2">
        <f>X11</f>
        <v>0.15790000000000001</v>
      </c>
    </row>
    <row r="45" spans="1:24" ht="15" customHeight="1" x14ac:dyDescent="0.25">
      <c r="A45" s="88" t="s">
        <v>21</v>
      </c>
      <c r="B45" s="162" t="s">
        <v>22</v>
      </c>
      <c r="C45" s="163"/>
      <c r="D45" s="2">
        <f>D16</f>
        <v>9.6500000000000002E-2</v>
      </c>
      <c r="F45" s="88" t="s">
        <v>21</v>
      </c>
      <c r="G45" s="162" t="s">
        <v>22</v>
      </c>
      <c r="H45" s="163"/>
      <c r="I45" s="2">
        <f>I16</f>
        <v>9.6544699999999997E-2</v>
      </c>
      <c r="K45" s="88" t="s">
        <v>21</v>
      </c>
      <c r="L45" s="162" t="s">
        <v>22</v>
      </c>
      <c r="M45" s="163"/>
      <c r="N45" s="2">
        <f>N16</f>
        <v>9.6205169199999996E-2</v>
      </c>
      <c r="P45" s="1" t="s">
        <v>21</v>
      </c>
      <c r="Q45" s="116" t="s">
        <v>22</v>
      </c>
      <c r="R45" s="118"/>
      <c r="S45" s="73">
        <f>S16</f>
        <v>9.64E-2</v>
      </c>
      <c r="U45" s="1" t="s">
        <v>21</v>
      </c>
      <c r="V45" s="116" t="s">
        <v>22</v>
      </c>
      <c r="W45" s="118"/>
      <c r="X45" s="2">
        <f>X16</f>
        <v>9.64E-2</v>
      </c>
    </row>
    <row r="46" spans="1:24" ht="15" customHeight="1" x14ac:dyDescent="0.25">
      <c r="A46" s="88" t="s">
        <v>25</v>
      </c>
      <c r="B46" s="162" t="s">
        <v>27</v>
      </c>
      <c r="C46" s="163"/>
      <c r="D46" s="2">
        <f>D21</f>
        <v>1.1579280000000001E-4</v>
      </c>
      <c r="F46" s="88" t="s">
        <v>25</v>
      </c>
      <c r="G46" s="162" t="s">
        <v>27</v>
      </c>
      <c r="H46" s="163"/>
      <c r="I46" s="2">
        <f>I21</f>
        <v>1.1579280000000001E-4</v>
      </c>
      <c r="K46" s="88" t="s">
        <v>25</v>
      </c>
      <c r="L46" s="162" t="s">
        <v>27</v>
      </c>
      <c r="M46" s="163"/>
      <c r="N46" s="2">
        <f>N21</f>
        <v>1.1579280000000001E-4</v>
      </c>
      <c r="P46" s="1" t="s">
        <v>25</v>
      </c>
      <c r="Q46" s="116" t="s">
        <v>27</v>
      </c>
      <c r="R46" s="118"/>
      <c r="S46" s="2">
        <f>S21</f>
        <v>1.1579280000000001E-4</v>
      </c>
      <c r="U46" s="1" t="s">
        <v>25</v>
      </c>
      <c r="V46" s="116" t="s">
        <v>27</v>
      </c>
      <c r="W46" s="118"/>
      <c r="X46" s="2">
        <f>X21</f>
        <v>1.1579280000000001E-4</v>
      </c>
    </row>
    <row r="47" spans="1:24" ht="15" customHeight="1" x14ac:dyDescent="0.25">
      <c r="A47" s="88" t="s">
        <v>29</v>
      </c>
      <c r="B47" s="162" t="s">
        <v>47</v>
      </c>
      <c r="C47" s="163"/>
      <c r="D47" s="2">
        <f>D30</f>
        <v>7.6999999999999999E-2</v>
      </c>
      <c r="F47" s="88" t="s">
        <v>29</v>
      </c>
      <c r="G47" s="162" t="s">
        <v>47</v>
      </c>
      <c r="H47" s="163"/>
      <c r="I47" s="2">
        <f>I30</f>
        <v>5.6748460000000001E-2</v>
      </c>
      <c r="K47" s="88" t="s">
        <v>29</v>
      </c>
      <c r="L47" s="162" t="s">
        <v>47</v>
      </c>
      <c r="M47" s="163"/>
      <c r="N47" s="2">
        <f>N30</f>
        <v>5.6740552560000004E-2</v>
      </c>
      <c r="P47" s="1" t="s">
        <v>29</v>
      </c>
      <c r="Q47" s="116" t="s">
        <v>47</v>
      </c>
      <c r="R47" s="118"/>
      <c r="S47" s="2">
        <f>S30</f>
        <v>5.6746326000000007E-2</v>
      </c>
      <c r="U47" s="1" t="s">
        <v>29</v>
      </c>
      <c r="V47" s="116" t="s">
        <v>47</v>
      </c>
      <c r="W47" s="118"/>
      <c r="X47" s="2">
        <f>X30</f>
        <v>5.6746326000000007E-2</v>
      </c>
    </row>
    <row r="48" spans="1:24" ht="15" customHeight="1" x14ac:dyDescent="0.25">
      <c r="A48" s="88" t="s">
        <v>37</v>
      </c>
      <c r="B48" s="162" t="s">
        <v>48</v>
      </c>
      <c r="C48" s="163"/>
      <c r="D48" s="2">
        <f>D41</f>
        <v>0.1406</v>
      </c>
      <c r="F48" s="88" t="s">
        <v>37</v>
      </c>
      <c r="G48" s="162" t="s">
        <v>48</v>
      </c>
      <c r="H48" s="163"/>
      <c r="I48" s="2">
        <f>I41</f>
        <v>0.14070260000000001</v>
      </c>
      <c r="K48" s="88" t="s">
        <v>37</v>
      </c>
      <c r="L48" s="162" t="s">
        <v>48</v>
      </c>
      <c r="M48" s="163"/>
      <c r="N48" s="2">
        <f>N41</f>
        <v>0.1402077736</v>
      </c>
      <c r="P48" s="1" t="s">
        <v>37</v>
      </c>
      <c r="Q48" s="116" t="s">
        <v>48</v>
      </c>
      <c r="R48" s="118"/>
      <c r="S48" s="73">
        <f>S41</f>
        <v>0.1406</v>
      </c>
      <c r="U48" s="1" t="s">
        <v>37</v>
      </c>
      <c r="V48" s="116" t="s">
        <v>48</v>
      </c>
      <c r="W48" s="118"/>
      <c r="X48" s="2">
        <f>X41</f>
        <v>0.1406</v>
      </c>
    </row>
    <row r="49" spans="1:24" ht="15" customHeight="1" x14ac:dyDescent="0.25">
      <c r="A49" s="88" t="s">
        <v>49</v>
      </c>
      <c r="B49" s="162" t="s">
        <v>44</v>
      </c>
      <c r="C49" s="163"/>
      <c r="D49" s="10"/>
      <c r="F49" s="88" t="s">
        <v>49</v>
      </c>
      <c r="G49" s="162" t="s">
        <v>44</v>
      </c>
      <c r="H49" s="163"/>
      <c r="I49" s="10"/>
      <c r="K49" s="88" t="s">
        <v>49</v>
      </c>
      <c r="L49" s="162" t="s">
        <v>44</v>
      </c>
      <c r="M49" s="163"/>
      <c r="N49" s="10"/>
      <c r="P49" s="1" t="s">
        <v>49</v>
      </c>
      <c r="Q49" s="116" t="s">
        <v>44</v>
      </c>
      <c r="R49" s="118"/>
      <c r="S49" s="10"/>
      <c r="U49" s="1" t="s">
        <v>49</v>
      </c>
      <c r="V49" s="116" t="s">
        <v>44</v>
      </c>
      <c r="W49" s="118"/>
      <c r="X49" s="10"/>
    </row>
    <row r="50" spans="1:24" ht="15" customHeight="1" x14ac:dyDescent="0.25">
      <c r="A50" s="144" t="s">
        <v>84</v>
      </c>
      <c r="B50" s="144"/>
      <c r="C50" s="144"/>
      <c r="D50" s="18">
        <f>SUM(D44:D49)</f>
        <v>0.47214379280000002</v>
      </c>
      <c r="F50" s="144" t="s">
        <v>84</v>
      </c>
      <c r="G50" s="144"/>
      <c r="H50" s="144"/>
      <c r="I50" s="18">
        <f>SUM(I44:I49)</f>
        <v>0.45311155280000004</v>
      </c>
      <c r="K50" s="144" t="s">
        <v>84</v>
      </c>
      <c r="L50" s="144"/>
      <c r="M50" s="144"/>
      <c r="N50" s="18">
        <f>SUM(N44:N49)</f>
        <v>0.44819328816000004</v>
      </c>
      <c r="P50" s="144" t="s">
        <v>84</v>
      </c>
      <c r="Q50" s="144"/>
      <c r="R50" s="144"/>
      <c r="S50" s="72">
        <f>SUM(S44:S49)</f>
        <v>0.45176211880000006</v>
      </c>
      <c r="U50" s="144" t="s">
        <v>84</v>
      </c>
      <c r="V50" s="144"/>
      <c r="W50" s="144"/>
      <c r="X50" s="18">
        <f>SUM(X44:X49)</f>
        <v>0.45176211880000006</v>
      </c>
    </row>
  </sheetData>
  <mergeCells count="225">
    <mergeCell ref="Q45:R45"/>
    <mergeCell ref="Q46:R46"/>
    <mergeCell ref="Q47:R47"/>
    <mergeCell ref="Q48:R48"/>
    <mergeCell ref="Q49:R49"/>
    <mergeCell ref="P50:R50"/>
    <mergeCell ref="Q38:R38"/>
    <mergeCell ref="P39:R39"/>
    <mergeCell ref="Q40:R40"/>
    <mergeCell ref="P41:R41"/>
    <mergeCell ref="P43:S43"/>
    <mergeCell ref="Q44:R44"/>
    <mergeCell ref="Q32:R32"/>
    <mergeCell ref="Q33:R33"/>
    <mergeCell ref="Q34:R34"/>
    <mergeCell ref="Q35:R35"/>
    <mergeCell ref="Q36:R36"/>
    <mergeCell ref="Q37:R37"/>
    <mergeCell ref="Q25:R25"/>
    <mergeCell ref="Q26:R26"/>
    <mergeCell ref="Q27:R27"/>
    <mergeCell ref="Q28:R28"/>
    <mergeCell ref="Q29:R29"/>
    <mergeCell ref="P30:R30"/>
    <mergeCell ref="Q18:R18"/>
    <mergeCell ref="Q19:R19"/>
    <mergeCell ref="Q20:R20"/>
    <mergeCell ref="P21:R21"/>
    <mergeCell ref="Q23:R23"/>
    <mergeCell ref="Q24:R24"/>
    <mergeCell ref="Q10:R10"/>
    <mergeCell ref="P11:R11"/>
    <mergeCell ref="Q13:R13"/>
    <mergeCell ref="Q14:R14"/>
    <mergeCell ref="Q15:R15"/>
    <mergeCell ref="P16:R16"/>
    <mergeCell ref="K50:M50"/>
    <mergeCell ref="P1:S1"/>
    <mergeCell ref="Q2:R2"/>
    <mergeCell ref="Q3:R3"/>
    <mergeCell ref="Q4:R4"/>
    <mergeCell ref="Q5:R5"/>
    <mergeCell ref="Q6:R6"/>
    <mergeCell ref="Q7:R7"/>
    <mergeCell ref="Q8:R8"/>
    <mergeCell ref="Q9:R9"/>
    <mergeCell ref="L44:M44"/>
    <mergeCell ref="L45:M45"/>
    <mergeCell ref="L46:M46"/>
    <mergeCell ref="L47:M47"/>
    <mergeCell ref="L48:M48"/>
    <mergeCell ref="L49:M49"/>
    <mergeCell ref="L37:M37"/>
    <mergeCell ref="L38:M38"/>
    <mergeCell ref="K39:M39"/>
    <mergeCell ref="L40:M40"/>
    <mergeCell ref="K41:M41"/>
    <mergeCell ref="K43:N43"/>
    <mergeCell ref="K30:M30"/>
    <mergeCell ref="L32:M32"/>
    <mergeCell ref="L33:M33"/>
    <mergeCell ref="L34:M34"/>
    <mergeCell ref="L35:M35"/>
    <mergeCell ref="L36:M36"/>
    <mergeCell ref="L24:M24"/>
    <mergeCell ref="L25:M25"/>
    <mergeCell ref="L26:M26"/>
    <mergeCell ref="L27:M27"/>
    <mergeCell ref="L28:M28"/>
    <mergeCell ref="L29:M29"/>
    <mergeCell ref="K16:M16"/>
    <mergeCell ref="L18:M18"/>
    <mergeCell ref="L19:M19"/>
    <mergeCell ref="L20:M20"/>
    <mergeCell ref="K21:M21"/>
    <mergeCell ref="L23:M23"/>
    <mergeCell ref="L9:M9"/>
    <mergeCell ref="L10:M10"/>
    <mergeCell ref="K11:M11"/>
    <mergeCell ref="L13:M13"/>
    <mergeCell ref="L14:M14"/>
    <mergeCell ref="L15:M15"/>
    <mergeCell ref="G49:H49"/>
    <mergeCell ref="F50:H50"/>
    <mergeCell ref="K1:N1"/>
    <mergeCell ref="L2:M2"/>
    <mergeCell ref="L3:M3"/>
    <mergeCell ref="L4:M4"/>
    <mergeCell ref="L5:M5"/>
    <mergeCell ref="L6:M6"/>
    <mergeCell ref="L7:M7"/>
    <mergeCell ref="L8:M8"/>
    <mergeCell ref="F43:I43"/>
    <mergeCell ref="G44:H44"/>
    <mergeCell ref="G45:H45"/>
    <mergeCell ref="G46:H46"/>
    <mergeCell ref="G47:H47"/>
    <mergeCell ref="G48:H48"/>
    <mergeCell ref="G36:H36"/>
    <mergeCell ref="G37:H37"/>
    <mergeCell ref="G38:H38"/>
    <mergeCell ref="F39:H39"/>
    <mergeCell ref="G40:H40"/>
    <mergeCell ref="F41:H41"/>
    <mergeCell ref="G29:H29"/>
    <mergeCell ref="F30:H30"/>
    <mergeCell ref="G32:H32"/>
    <mergeCell ref="G33:H33"/>
    <mergeCell ref="G34:H34"/>
    <mergeCell ref="G35:H35"/>
    <mergeCell ref="G23:H23"/>
    <mergeCell ref="G24:H24"/>
    <mergeCell ref="G25:H25"/>
    <mergeCell ref="G26:H26"/>
    <mergeCell ref="G27:H27"/>
    <mergeCell ref="G28:H28"/>
    <mergeCell ref="G15:H15"/>
    <mergeCell ref="F16:H16"/>
    <mergeCell ref="G18:H18"/>
    <mergeCell ref="G19:H19"/>
    <mergeCell ref="G20:H20"/>
    <mergeCell ref="F21:H21"/>
    <mergeCell ref="G8:H8"/>
    <mergeCell ref="G9:H9"/>
    <mergeCell ref="G10:H10"/>
    <mergeCell ref="F11:H11"/>
    <mergeCell ref="G13:H13"/>
    <mergeCell ref="G14:H14"/>
    <mergeCell ref="B48:C48"/>
    <mergeCell ref="B49:C49"/>
    <mergeCell ref="A50:C50"/>
    <mergeCell ref="F1:I1"/>
    <mergeCell ref="G2:H2"/>
    <mergeCell ref="G3:H3"/>
    <mergeCell ref="G4:H4"/>
    <mergeCell ref="G5:H5"/>
    <mergeCell ref="G6:H6"/>
    <mergeCell ref="G7:H7"/>
    <mergeCell ref="A41:C41"/>
    <mergeCell ref="A43:D43"/>
    <mergeCell ref="B44:C44"/>
    <mergeCell ref="B45:C45"/>
    <mergeCell ref="B46:C46"/>
    <mergeCell ref="B47:C47"/>
    <mergeCell ref="B35:C35"/>
    <mergeCell ref="B36:C36"/>
    <mergeCell ref="B37:C37"/>
    <mergeCell ref="B38:C38"/>
    <mergeCell ref="A39:C39"/>
    <mergeCell ref="B40:C40"/>
    <mergeCell ref="B28:C28"/>
    <mergeCell ref="B29:C29"/>
    <mergeCell ref="A30:C30"/>
    <mergeCell ref="B32:C32"/>
    <mergeCell ref="B33:C33"/>
    <mergeCell ref="B34:C34"/>
    <mergeCell ref="A21:C21"/>
    <mergeCell ref="B23:C23"/>
    <mergeCell ref="B24:C24"/>
    <mergeCell ref="B25:C25"/>
    <mergeCell ref="B26:C26"/>
    <mergeCell ref="B27:C27"/>
    <mergeCell ref="B18:C18"/>
    <mergeCell ref="B19:C19"/>
    <mergeCell ref="B20:C20"/>
    <mergeCell ref="B7:C7"/>
    <mergeCell ref="B8:C8"/>
    <mergeCell ref="B9:C9"/>
    <mergeCell ref="B10:C10"/>
    <mergeCell ref="A11:C11"/>
    <mergeCell ref="B13:C13"/>
    <mergeCell ref="A1:D1"/>
    <mergeCell ref="B2:C2"/>
    <mergeCell ref="B3:C3"/>
    <mergeCell ref="B4:C4"/>
    <mergeCell ref="B5:C5"/>
    <mergeCell ref="B6:C6"/>
    <mergeCell ref="B14:C14"/>
    <mergeCell ref="B15:C15"/>
    <mergeCell ref="A16:C16"/>
    <mergeCell ref="U1:X1"/>
    <mergeCell ref="V2:W2"/>
    <mergeCell ref="V3:W3"/>
    <mergeCell ref="V4:W4"/>
    <mergeCell ref="V5:W5"/>
    <mergeCell ref="V6:W6"/>
    <mergeCell ref="V7:W7"/>
    <mergeCell ref="V8:W8"/>
    <mergeCell ref="V9:W9"/>
    <mergeCell ref="V10:W10"/>
    <mergeCell ref="U11:W11"/>
    <mergeCell ref="V13:W13"/>
    <mergeCell ref="V14:W14"/>
    <mergeCell ref="V15:W15"/>
    <mergeCell ref="U16:W16"/>
    <mergeCell ref="V18:W18"/>
    <mergeCell ref="V19:W19"/>
    <mergeCell ref="V20:W20"/>
    <mergeCell ref="U21:W21"/>
    <mergeCell ref="V23:W23"/>
    <mergeCell ref="V24:W24"/>
    <mergeCell ref="V25:W25"/>
    <mergeCell ref="V26:W26"/>
    <mergeCell ref="V27:W27"/>
    <mergeCell ref="V28:W28"/>
    <mergeCell ref="V29:W29"/>
    <mergeCell ref="U30:W30"/>
    <mergeCell ref="V32:W32"/>
    <mergeCell ref="V33:W33"/>
    <mergeCell ref="V34:W34"/>
    <mergeCell ref="V35:W35"/>
    <mergeCell ref="V36:W36"/>
    <mergeCell ref="V37:W37"/>
    <mergeCell ref="V38:W38"/>
    <mergeCell ref="U39:W39"/>
    <mergeCell ref="V40:W40"/>
    <mergeCell ref="U41:W41"/>
    <mergeCell ref="U43:X43"/>
    <mergeCell ref="V44:W44"/>
    <mergeCell ref="V45:W45"/>
    <mergeCell ref="V46:W46"/>
    <mergeCell ref="V47:W47"/>
    <mergeCell ref="V48:W48"/>
    <mergeCell ref="V49:W49"/>
    <mergeCell ref="U50:W50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68"/>
  <sheetViews>
    <sheetView showGridLines="0" topLeftCell="A35" zoomScaleNormal="100" workbookViewId="0">
      <selection activeCell="F44" sqref="F44"/>
    </sheetView>
  </sheetViews>
  <sheetFormatPr defaultRowHeight="15" x14ac:dyDescent="0.25"/>
  <cols>
    <col min="1" max="1" width="9.140625" style="45" customWidth="1"/>
    <col min="2" max="2" width="15.140625" style="44" customWidth="1"/>
    <col min="3" max="3" width="16.7109375" style="46" customWidth="1"/>
    <col min="4" max="4" width="17" style="46" customWidth="1"/>
    <col min="5" max="5" width="9.140625" style="45"/>
    <col min="6" max="6" width="35" style="44" customWidth="1"/>
    <col min="7" max="7" width="14.5703125" style="46" bestFit="1" customWidth="1"/>
    <col min="8" max="8" width="9.140625" style="45"/>
    <col min="9" max="9" width="9.42578125" style="45" bestFit="1" customWidth="1"/>
    <col min="10" max="10" width="20.85546875" style="45" customWidth="1"/>
    <col min="11" max="11" width="26.28515625" style="45" customWidth="1"/>
    <col min="12" max="16384" width="9.140625" style="45"/>
  </cols>
  <sheetData>
    <row r="1" spans="1:11" hidden="1" x14ac:dyDescent="0.25">
      <c r="B1" s="44" t="s">
        <v>113</v>
      </c>
    </row>
    <row r="2" spans="1:11" hidden="1" x14ac:dyDescent="0.25"/>
    <row r="3" spans="1:11" hidden="1" x14ac:dyDescent="0.25">
      <c r="A3" s="45">
        <v>1</v>
      </c>
      <c r="B3" s="44">
        <v>43313</v>
      </c>
      <c r="C3" s="63">
        <v>74783.039999999994</v>
      </c>
      <c r="E3" s="45">
        <v>1</v>
      </c>
      <c r="F3" s="44">
        <v>43800</v>
      </c>
      <c r="G3" s="46">
        <v>77114.39</v>
      </c>
      <c r="I3" s="46">
        <f>96392.99/30</f>
        <v>3213.099666666667</v>
      </c>
      <c r="J3" s="45">
        <v>24</v>
      </c>
      <c r="K3" s="46">
        <f>I3*J3</f>
        <v>77114.392000000007</v>
      </c>
    </row>
    <row r="4" spans="1:11" hidden="1" x14ac:dyDescent="0.25">
      <c r="A4" s="45">
        <v>2</v>
      </c>
      <c r="B4" s="44">
        <v>43344</v>
      </c>
      <c r="C4" s="63">
        <v>93478.65</v>
      </c>
      <c r="E4" s="45">
        <v>2</v>
      </c>
      <c r="F4" s="44">
        <v>43831</v>
      </c>
      <c r="G4" s="46">
        <v>96392.99</v>
      </c>
      <c r="K4" s="46"/>
    </row>
    <row r="5" spans="1:11" hidden="1" x14ac:dyDescent="0.25">
      <c r="A5" s="45">
        <v>3</v>
      </c>
      <c r="B5" s="44">
        <v>43374</v>
      </c>
      <c r="C5" s="63">
        <v>93478.65</v>
      </c>
      <c r="E5" s="45">
        <v>3</v>
      </c>
      <c r="F5" s="44">
        <v>43862</v>
      </c>
      <c r="G5" s="46">
        <v>96392.99</v>
      </c>
      <c r="J5" s="56"/>
      <c r="K5" s="56"/>
    </row>
    <row r="6" spans="1:11" hidden="1" x14ac:dyDescent="0.25">
      <c r="A6" s="45">
        <v>4</v>
      </c>
      <c r="B6" s="44">
        <v>43405</v>
      </c>
      <c r="C6" s="63">
        <v>93478.65</v>
      </c>
      <c r="E6" s="45">
        <v>4</v>
      </c>
      <c r="F6" s="44">
        <v>43891</v>
      </c>
      <c r="G6" s="46">
        <v>96392.99</v>
      </c>
      <c r="J6" s="57"/>
      <c r="K6" s="57"/>
    </row>
    <row r="7" spans="1:11" hidden="1" x14ac:dyDescent="0.25">
      <c r="A7" s="45">
        <v>5</v>
      </c>
      <c r="B7" s="44">
        <v>43435</v>
      </c>
      <c r="C7" s="63">
        <v>93478.65</v>
      </c>
      <c r="E7" s="45">
        <v>5</v>
      </c>
      <c r="F7" s="44">
        <v>43922</v>
      </c>
      <c r="G7" s="46">
        <v>96392.99</v>
      </c>
      <c r="J7" s="57"/>
      <c r="K7" s="57"/>
    </row>
    <row r="8" spans="1:11" hidden="1" x14ac:dyDescent="0.25">
      <c r="A8" s="45">
        <v>6</v>
      </c>
      <c r="B8" s="44">
        <v>43466</v>
      </c>
      <c r="C8" s="63">
        <v>93294.84</v>
      </c>
      <c r="E8" s="45">
        <v>6</v>
      </c>
      <c r="F8" s="44">
        <v>43952</v>
      </c>
      <c r="G8" s="46">
        <v>96392.99</v>
      </c>
      <c r="J8" s="57"/>
      <c r="K8" s="57"/>
    </row>
    <row r="9" spans="1:11" hidden="1" x14ac:dyDescent="0.25">
      <c r="A9" s="45">
        <v>7</v>
      </c>
      <c r="B9" s="44">
        <v>43497</v>
      </c>
      <c r="C9" s="63">
        <v>93294.84</v>
      </c>
      <c r="E9" s="45">
        <v>7</v>
      </c>
      <c r="F9" s="44">
        <v>43983</v>
      </c>
      <c r="G9" s="46">
        <v>96392.99</v>
      </c>
      <c r="J9" s="57"/>
      <c r="K9" s="57"/>
    </row>
    <row r="10" spans="1:11" hidden="1" x14ac:dyDescent="0.25">
      <c r="A10" s="45">
        <v>8</v>
      </c>
      <c r="B10" s="44">
        <v>43525</v>
      </c>
      <c r="C10" s="63">
        <v>93294.84</v>
      </c>
      <c r="E10" s="45">
        <v>8</v>
      </c>
      <c r="F10" s="44">
        <v>44013</v>
      </c>
      <c r="G10" s="46">
        <v>96392.99</v>
      </c>
      <c r="J10" s="57"/>
      <c r="K10" s="57"/>
    </row>
    <row r="11" spans="1:11" hidden="1" x14ac:dyDescent="0.25">
      <c r="A11" s="45">
        <v>9</v>
      </c>
      <c r="B11" s="44">
        <v>43556</v>
      </c>
      <c r="C11" s="63">
        <v>93294.84</v>
      </c>
      <c r="E11" s="45">
        <v>9</v>
      </c>
      <c r="F11" s="44">
        <v>44044</v>
      </c>
      <c r="G11" s="46">
        <v>96392.99</v>
      </c>
      <c r="J11" s="57"/>
      <c r="K11" s="57"/>
    </row>
    <row r="12" spans="1:11" hidden="1" x14ac:dyDescent="0.25">
      <c r="A12" s="45">
        <v>10</v>
      </c>
      <c r="B12" s="44">
        <v>43586</v>
      </c>
      <c r="C12" s="63">
        <v>96392.99</v>
      </c>
      <c r="E12" s="45">
        <v>10</v>
      </c>
      <c r="F12" s="44">
        <v>44075</v>
      </c>
      <c r="G12" s="46">
        <v>96392.99</v>
      </c>
      <c r="J12" s="57"/>
      <c r="K12" s="57"/>
    </row>
    <row r="13" spans="1:11" hidden="1" x14ac:dyDescent="0.25">
      <c r="A13" s="45">
        <v>11</v>
      </c>
      <c r="B13" s="44">
        <v>43617</v>
      </c>
      <c r="C13" s="63">
        <v>96392.99</v>
      </c>
      <c r="E13" s="45">
        <v>11</v>
      </c>
      <c r="F13" s="44">
        <v>44105</v>
      </c>
      <c r="G13" s="46">
        <v>96392.99</v>
      </c>
      <c r="K13" s="46"/>
    </row>
    <row r="14" spans="1:11" hidden="1" x14ac:dyDescent="0.25">
      <c r="A14" s="45">
        <v>12</v>
      </c>
      <c r="B14" s="44">
        <v>43647</v>
      </c>
      <c r="C14" s="63">
        <v>96392.99</v>
      </c>
      <c r="E14" s="45">
        <v>12</v>
      </c>
      <c r="F14" s="44">
        <v>44136</v>
      </c>
      <c r="G14" s="46">
        <v>96392.99</v>
      </c>
      <c r="K14" s="46"/>
    </row>
    <row r="15" spans="1:11" hidden="1" x14ac:dyDescent="0.25">
      <c r="A15" s="45">
        <v>13</v>
      </c>
      <c r="B15" s="44">
        <v>43678</v>
      </c>
      <c r="C15" s="63">
        <v>96392.99</v>
      </c>
      <c r="E15" s="45">
        <v>13</v>
      </c>
      <c r="F15" s="44">
        <v>44166</v>
      </c>
      <c r="G15" s="46">
        <v>96392.99</v>
      </c>
    </row>
    <row r="16" spans="1:11" hidden="1" x14ac:dyDescent="0.25">
      <c r="A16" s="45">
        <v>14</v>
      </c>
      <c r="B16" s="44">
        <v>43709</v>
      </c>
      <c r="C16" s="63">
        <v>96392.99</v>
      </c>
      <c r="E16" s="45">
        <v>14</v>
      </c>
      <c r="F16" s="44">
        <v>44197</v>
      </c>
      <c r="G16" s="46">
        <v>96392.99</v>
      </c>
    </row>
    <row r="17" spans="1:11" hidden="1" x14ac:dyDescent="0.25">
      <c r="A17" s="45">
        <v>15</v>
      </c>
      <c r="B17" s="44">
        <v>43739</v>
      </c>
      <c r="C17" s="63">
        <v>96392.99</v>
      </c>
      <c r="E17" s="45">
        <v>15</v>
      </c>
      <c r="F17" s="44">
        <v>44228</v>
      </c>
      <c r="G17" s="46">
        <v>96392.99</v>
      </c>
    </row>
    <row r="18" spans="1:11" hidden="1" x14ac:dyDescent="0.25">
      <c r="A18" s="45">
        <v>16</v>
      </c>
      <c r="B18" s="44">
        <v>43770</v>
      </c>
      <c r="C18" s="63">
        <v>96392.99</v>
      </c>
      <c r="E18" s="45">
        <v>16</v>
      </c>
      <c r="F18" s="44">
        <v>44256</v>
      </c>
      <c r="G18" s="46">
        <v>96392.99</v>
      </c>
    </row>
    <row r="19" spans="1:11" hidden="1" x14ac:dyDescent="0.25">
      <c r="A19" s="45">
        <v>17</v>
      </c>
      <c r="B19" s="44">
        <v>43800</v>
      </c>
      <c r="C19" s="63">
        <f>I3*6</f>
        <v>19278.598000000002</v>
      </c>
      <c r="E19" s="45">
        <v>17</v>
      </c>
      <c r="F19" s="44">
        <v>44287</v>
      </c>
      <c r="G19" s="46">
        <v>96392.99</v>
      </c>
    </row>
    <row r="20" spans="1:11" hidden="1" x14ac:dyDescent="0.25">
      <c r="B20" s="62"/>
      <c r="C20" s="60">
        <f>SUM(C3:C19)</f>
        <v>1515906.5279999999</v>
      </c>
      <c r="E20" s="45">
        <v>18</v>
      </c>
      <c r="F20" s="44">
        <v>44317</v>
      </c>
      <c r="G20" s="46">
        <v>96392.99</v>
      </c>
    </row>
    <row r="21" spans="1:11" hidden="1" x14ac:dyDescent="0.25">
      <c r="B21" s="62"/>
      <c r="C21" s="63"/>
      <c r="E21" s="45">
        <v>19</v>
      </c>
      <c r="F21" s="44">
        <v>44348</v>
      </c>
      <c r="G21" s="46">
        <v>96392.99</v>
      </c>
    </row>
    <row r="22" spans="1:11" hidden="1" x14ac:dyDescent="0.25">
      <c r="B22" s="62"/>
      <c r="C22" s="63"/>
      <c r="E22" s="45">
        <v>20</v>
      </c>
      <c r="F22" s="44">
        <v>44378</v>
      </c>
      <c r="G22" s="46">
        <v>96392.99</v>
      </c>
    </row>
    <row r="23" spans="1:11" hidden="1" x14ac:dyDescent="0.25">
      <c r="B23" s="62"/>
      <c r="C23" s="63"/>
      <c r="E23" s="45">
        <v>21</v>
      </c>
      <c r="F23" s="44">
        <v>44409</v>
      </c>
      <c r="G23" s="46">
        <v>96392.99</v>
      </c>
    </row>
    <row r="24" spans="1:11" hidden="1" x14ac:dyDescent="0.25">
      <c r="B24" s="62"/>
      <c r="C24" s="60"/>
      <c r="E24" s="45">
        <v>22</v>
      </c>
      <c r="F24" s="44">
        <v>44440</v>
      </c>
      <c r="G24" s="46">
        <v>96392.99</v>
      </c>
    </row>
    <row r="25" spans="1:11" hidden="1" x14ac:dyDescent="0.25">
      <c r="B25" s="62"/>
      <c r="C25" s="60"/>
      <c r="E25" s="45">
        <v>23</v>
      </c>
      <c r="F25" s="44">
        <v>44470</v>
      </c>
      <c r="G25" s="46">
        <v>96392.99</v>
      </c>
    </row>
    <row r="26" spans="1:11" hidden="1" x14ac:dyDescent="0.25">
      <c r="B26" s="62"/>
      <c r="C26" s="64"/>
      <c r="E26" s="45">
        <v>24</v>
      </c>
      <c r="F26" s="44">
        <v>44501</v>
      </c>
      <c r="G26" s="46">
        <v>96392.99</v>
      </c>
    </row>
    <row r="27" spans="1:11" hidden="1" x14ac:dyDescent="0.25">
      <c r="B27" s="62"/>
      <c r="C27" s="60"/>
      <c r="E27" s="45">
        <v>25</v>
      </c>
      <c r="F27" s="44">
        <v>44531</v>
      </c>
      <c r="G27" s="46">
        <f>I3*6</f>
        <v>19278.598000000002</v>
      </c>
    </row>
    <row r="28" spans="1:11" hidden="1" x14ac:dyDescent="0.25">
      <c r="G28" s="47">
        <f>SUM(G3:G27)</f>
        <v>2313431.7580000008</v>
      </c>
      <c r="J28" s="46">
        <f>K32*24</f>
        <v>2313431.7600000002</v>
      </c>
    </row>
    <row r="29" spans="1:11" hidden="1" x14ac:dyDescent="0.25"/>
    <row r="30" spans="1:11" hidden="1" x14ac:dyDescent="0.25">
      <c r="F30" s="61" t="s">
        <v>122</v>
      </c>
      <c r="G30" s="48">
        <f>ROUND((G28*3%),2)</f>
        <v>69402.95</v>
      </c>
    </row>
    <row r="31" spans="1:11" ht="43.5" hidden="1" x14ac:dyDescent="0.25">
      <c r="J31" s="58" t="s">
        <v>117</v>
      </c>
      <c r="K31" s="58" t="s">
        <v>118</v>
      </c>
    </row>
    <row r="32" spans="1:11" hidden="1" x14ac:dyDescent="0.25">
      <c r="J32" s="59">
        <v>93294.840000000011</v>
      </c>
      <c r="K32" s="59">
        <v>96392.99</v>
      </c>
    </row>
    <row r="33" spans="2:7" hidden="1" x14ac:dyDescent="0.25"/>
    <row r="34" spans="2:7" hidden="1" x14ac:dyDescent="0.25"/>
    <row r="36" spans="2:7" x14ac:dyDescent="0.25">
      <c r="B36" s="77">
        <v>1</v>
      </c>
      <c r="C36" s="76">
        <v>43800</v>
      </c>
      <c r="D36" s="115">
        <f>G36*25</f>
        <v>81469.208333333343</v>
      </c>
      <c r="E36" s="114" t="s">
        <v>153</v>
      </c>
      <c r="G36" s="46">
        <f>97763.05/30</f>
        <v>3258.7683333333334</v>
      </c>
    </row>
    <row r="37" spans="2:7" x14ac:dyDescent="0.25">
      <c r="B37" s="77">
        <v>2</v>
      </c>
      <c r="C37" s="76">
        <v>43831</v>
      </c>
      <c r="D37" s="46">
        <v>97903.53</v>
      </c>
      <c r="E37" s="45" t="s">
        <v>140</v>
      </c>
    </row>
    <row r="38" spans="2:7" x14ac:dyDescent="0.25">
      <c r="B38" s="77">
        <v>3</v>
      </c>
      <c r="C38" s="76">
        <v>43862</v>
      </c>
      <c r="D38" s="46">
        <v>97903.53</v>
      </c>
    </row>
    <row r="39" spans="2:7" x14ac:dyDescent="0.25">
      <c r="B39" s="77">
        <v>4</v>
      </c>
      <c r="C39" s="76">
        <v>43891</v>
      </c>
      <c r="D39" s="46">
        <v>97903.53</v>
      </c>
    </row>
    <row r="40" spans="2:7" x14ac:dyDescent="0.25">
      <c r="B40" s="77">
        <v>5</v>
      </c>
      <c r="C40" s="76">
        <v>43922</v>
      </c>
      <c r="D40" s="46">
        <v>97903.53</v>
      </c>
    </row>
    <row r="41" spans="2:7" x14ac:dyDescent="0.25">
      <c r="B41" s="77">
        <v>6</v>
      </c>
      <c r="C41" s="44">
        <v>43952</v>
      </c>
      <c r="D41" s="46">
        <v>98787.54</v>
      </c>
      <c r="E41" s="45" t="s">
        <v>139</v>
      </c>
    </row>
    <row r="42" spans="2:7" x14ac:dyDescent="0.25">
      <c r="B42" s="77">
        <v>7</v>
      </c>
      <c r="C42" s="44">
        <v>43983</v>
      </c>
      <c r="D42" s="46">
        <v>98787.54</v>
      </c>
    </row>
    <row r="43" spans="2:7" x14ac:dyDescent="0.25">
      <c r="B43" s="77">
        <v>8</v>
      </c>
      <c r="C43" s="44">
        <v>44013</v>
      </c>
      <c r="D43" s="46">
        <v>98787.54</v>
      </c>
    </row>
    <row r="44" spans="2:7" x14ac:dyDescent="0.25">
      <c r="B44" s="77">
        <v>9</v>
      </c>
      <c r="C44" s="44">
        <v>44044</v>
      </c>
      <c r="D44" s="46">
        <v>98787.54</v>
      </c>
    </row>
    <row r="45" spans="2:7" x14ac:dyDescent="0.25">
      <c r="B45" s="77">
        <v>10</v>
      </c>
      <c r="C45" s="44">
        <v>44075</v>
      </c>
      <c r="D45" s="46">
        <v>98787.54</v>
      </c>
    </row>
    <row r="46" spans="2:7" x14ac:dyDescent="0.25">
      <c r="B46" s="77">
        <v>11</v>
      </c>
      <c r="C46" s="44">
        <v>44105</v>
      </c>
      <c r="D46" s="46">
        <v>98787.54</v>
      </c>
    </row>
    <row r="47" spans="2:7" x14ac:dyDescent="0.25">
      <c r="B47" s="77">
        <v>12</v>
      </c>
      <c r="C47" s="44">
        <v>44136</v>
      </c>
      <c r="D47" s="46">
        <v>98787.54</v>
      </c>
    </row>
    <row r="48" spans="2:7" x14ac:dyDescent="0.25">
      <c r="B48" s="77">
        <v>13</v>
      </c>
      <c r="C48" s="44">
        <v>44166</v>
      </c>
      <c r="D48" s="46">
        <f>G48*6</f>
        <v>19757.507999999998</v>
      </c>
      <c r="E48" s="45" t="s">
        <v>132</v>
      </c>
      <c r="G48" s="46">
        <f>D47/30</f>
        <v>3292.9179999999997</v>
      </c>
    </row>
    <row r="49" spans="2:8" x14ac:dyDescent="0.25">
      <c r="B49" s="77">
        <v>14</v>
      </c>
      <c r="C49" s="44">
        <v>44166</v>
      </c>
      <c r="D49" s="46">
        <f>G49*25</f>
        <v>84118.349999999991</v>
      </c>
      <c r="E49" s="45" t="s">
        <v>133</v>
      </c>
      <c r="G49" s="46">
        <f>100942.02/30</f>
        <v>3364.7339999999999</v>
      </c>
    </row>
    <row r="50" spans="2:8" x14ac:dyDescent="0.25">
      <c r="B50" s="77">
        <v>15</v>
      </c>
      <c r="C50" s="44">
        <v>44197</v>
      </c>
      <c r="D50" s="46">
        <v>100942.02</v>
      </c>
    </row>
    <row r="51" spans="2:8" x14ac:dyDescent="0.25">
      <c r="B51" s="77">
        <v>16</v>
      </c>
      <c r="C51" s="44">
        <v>44228</v>
      </c>
      <c r="D51" s="46">
        <v>100942.02</v>
      </c>
    </row>
    <row r="52" spans="2:8" x14ac:dyDescent="0.25">
      <c r="B52" s="77">
        <v>17</v>
      </c>
      <c r="C52" s="44">
        <v>44256</v>
      </c>
      <c r="D52" s="46">
        <v>100942.02</v>
      </c>
    </row>
    <row r="53" spans="2:8" x14ac:dyDescent="0.25">
      <c r="B53" s="77">
        <v>18</v>
      </c>
      <c r="C53" s="44">
        <v>44287</v>
      </c>
      <c r="D53" s="46">
        <v>100942.02</v>
      </c>
    </row>
    <row r="54" spans="2:8" x14ac:dyDescent="0.25">
      <c r="B54" s="77">
        <v>19</v>
      </c>
      <c r="C54" s="44">
        <v>44317</v>
      </c>
      <c r="D54" s="46">
        <v>100942.02</v>
      </c>
    </row>
    <row r="55" spans="2:8" x14ac:dyDescent="0.25">
      <c r="B55" s="77">
        <v>20</v>
      </c>
      <c r="C55" s="44">
        <v>44348</v>
      </c>
      <c r="D55" s="46">
        <v>100942.02</v>
      </c>
    </row>
    <row r="56" spans="2:8" x14ac:dyDescent="0.25">
      <c r="B56" s="77">
        <v>21</v>
      </c>
      <c r="C56" s="44">
        <v>44378</v>
      </c>
      <c r="D56" s="46">
        <v>100942.02</v>
      </c>
    </row>
    <row r="57" spans="2:8" x14ac:dyDescent="0.25">
      <c r="B57" s="77">
        <v>22</v>
      </c>
      <c r="C57" s="44">
        <v>44409</v>
      </c>
      <c r="D57" s="46">
        <v>100942.02</v>
      </c>
    </row>
    <row r="58" spans="2:8" x14ac:dyDescent="0.25">
      <c r="B58" s="77">
        <v>23</v>
      </c>
      <c r="C58" s="44">
        <v>44440</v>
      </c>
      <c r="D58" s="107">
        <v>105366.14</v>
      </c>
      <c r="E58" s="45" t="s">
        <v>154</v>
      </c>
    </row>
    <row r="59" spans="2:8" x14ac:dyDescent="0.25">
      <c r="B59" s="77">
        <v>24</v>
      </c>
      <c r="C59" s="44">
        <v>44470</v>
      </c>
      <c r="D59" s="107">
        <v>105366.14</v>
      </c>
    </row>
    <row r="60" spans="2:8" x14ac:dyDescent="0.25">
      <c r="B60" s="77">
        <v>25</v>
      </c>
      <c r="C60" s="44">
        <v>44501</v>
      </c>
      <c r="D60" s="107">
        <v>105366.14</v>
      </c>
      <c r="G60" s="46">
        <f>D60/30</f>
        <v>3512.2046666666665</v>
      </c>
    </row>
    <row r="61" spans="2:8" x14ac:dyDescent="0.25">
      <c r="B61" s="77">
        <v>26</v>
      </c>
      <c r="C61" s="44">
        <v>44531</v>
      </c>
      <c r="D61" s="107">
        <f>G60*6</f>
        <v>21073.227999999999</v>
      </c>
      <c r="E61" s="45" t="s">
        <v>132</v>
      </c>
    </row>
    <row r="62" spans="2:8" x14ac:dyDescent="0.25">
      <c r="D62" s="107">
        <f>SUM(D36:D61)</f>
        <v>2413179.7743333341</v>
      </c>
    </row>
    <row r="64" spans="2:8" x14ac:dyDescent="0.25">
      <c r="C64" s="48" t="s">
        <v>122</v>
      </c>
      <c r="D64" s="48">
        <f>D62*3%</f>
        <v>72395.393230000016</v>
      </c>
      <c r="F64" s="44" t="s">
        <v>129</v>
      </c>
      <c r="G64" s="46">
        <v>69720.58</v>
      </c>
      <c r="H64" s="45" t="s">
        <v>136</v>
      </c>
    </row>
    <row r="65" spans="6:10" x14ac:dyDescent="0.25">
      <c r="F65" s="44" t="s">
        <v>128</v>
      </c>
      <c r="G65" s="46">
        <v>987.96</v>
      </c>
      <c r="H65" s="45" t="s">
        <v>137</v>
      </c>
    </row>
    <row r="66" spans="6:10" x14ac:dyDescent="0.25">
      <c r="F66" s="44" t="s">
        <v>130</v>
      </c>
      <c r="G66" s="108" t="s">
        <v>155</v>
      </c>
      <c r="H66" s="109" t="s">
        <v>138</v>
      </c>
      <c r="I66" s="109"/>
      <c r="J66" s="45">
        <v>69526.600000000006</v>
      </c>
    </row>
    <row r="67" spans="6:10" ht="30" x14ac:dyDescent="0.25">
      <c r="F67" s="113" t="s">
        <v>157</v>
      </c>
      <c r="G67" s="107">
        <f>D64</f>
        <v>72395.393230000016</v>
      </c>
    </row>
    <row r="68" spans="6:10" x14ac:dyDescent="0.25">
      <c r="F68" s="75" t="s">
        <v>131</v>
      </c>
      <c r="G68" s="46">
        <f>G67-G65-G64</f>
        <v>1686.8532300000079</v>
      </c>
    </row>
  </sheetData>
  <pageMargins left="0.511811024" right="0.511811024" top="0.78740157499999996" bottom="0.78740157499999996" header="0.31496062000000002" footer="0.31496062000000002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Item 1-Supervisor</vt:lpstr>
      <vt:lpstr>Item 2-Consultor TI</vt:lpstr>
      <vt:lpstr>Item 3-Tec Suporte III</vt:lpstr>
      <vt:lpstr>Item 5-Tec Suporte I</vt:lpstr>
      <vt:lpstr>Item 6-Tec Suporte II</vt:lpstr>
      <vt:lpstr>Resumo</vt:lpstr>
      <vt:lpstr>Tabela Encargos</vt:lpstr>
      <vt:lpstr>Calculos e garantia</vt:lpstr>
      <vt:lpstr>'Calculos e garantia'!Print_Area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2016-05-18T14:14:25Z</dcterms:created>
  <dcterms:modified xsi:type="dcterms:W3CDTF">2022-07-06T16:21:41Z</dcterms:modified>
</cp:coreProperties>
</file>