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W:\SUCOP\SECCON\2022\PROVISORIO SECCON\TERMOS\TERMO ADITIVO\I TA - CTR 028-2021 JC DIEHL SEI n. 0000296-75.2021.4.90.8000\"/>
    </mc:Choice>
  </mc:AlternateContent>
  <xr:revisionPtr revIDLastSave="0" documentId="13_ncr:1_{32348483-F412-4418-9179-8B8AD4D14561}" xr6:coauthVersionLast="47" xr6:coauthVersionMax="47" xr10:uidLastSave="{00000000-0000-0000-0000-000000000000}"/>
  <bookViews>
    <workbookView xWindow="28680" yWindow="-120" windowWidth="29040" windowHeight="15840" tabRatio="694" xr2:uid="{00000000-000D-0000-FFFF-FFFF00000000}"/>
  </bookViews>
  <sheets>
    <sheet name="TABELA 1 Formação de Preço " sheetId="46" r:id="rId1"/>
    <sheet name="Garantia" sheetId="49" r:id="rId2"/>
    <sheet name="TABELA 2 Resumo Post de Trab" sheetId="2" r:id="rId3"/>
    <sheet name="TABELA 3.1 Bomb Hidra 5X2hs" sheetId="33" r:id="rId4"/>
    <sheet name="TABELA 3.2 Eletricista" sheetId="12" r:id="rId5"/>
    <sheet name="TABELA 3.3 Encarregado de Man" sheetId="19" r:id="rId6"/>
    <sheet name="TABELA 3.4 Estoquista Ferram" sheetId="20" r:id="rId7"/>
    <sheet name="TABELA 3.5 Jardineiro" sheetId="21" r:id="rId8"/>
    <sheet name="TABELA 3.6  Lavador" sheetId="22" r:id="rId9"/>
    <sheet name="TABELA 3.7 Marceneiro" sheetId="23" r:id="rId10"/>
    <sheet name="TABELA 3.8 Pedreiro" sheetId="25" r:id="rId11"/>
    <sheet name="TABELA 3.9 Pintor-Gesseiro" sheetId="26" r:id="rId12"/>
    <sheet name="TABELA 3.10 Serralheiro" sheetId="39" r:id="rId13"/>
    <sheet name="TABELA 3.11 Engenheiro" sheetId="6" r:id="rId14"/>
    <sheet name="TABELA 3.12 Técnico telefonia" sheetId="38" r:id="rId15"/>
    <sheet name="TABELA 3.13 Ofi Mec Refrig" sheetId="24" r:id="rId16"/>
    <sheet name="TABELA 3.14 Ajud de Man e Rep" sheetId="10" r:id="rId17"/>
    <sheet name="TABELA 4 Uniformes e EPIS" sheetId="34" r:id="rId18"/>
    <sheet name="TABELA 5 - Ferramentas" sheetId="35" r:id="rId19"/>
    <sheet name="TABELA 6 Serv Especializados" sheetId="43" r:id="rId20"/>
    <sheet name="TABELA 7 - Mat. e Peças" sheetId="36" r:id="rId21"/>
    <sheet name="TABELA 8 - Serviços Eventuais" sheetId="47" r:id="rId22"/>
    <sheet name="TABELA 9 - Planilha BDI" sheetId="44" r:id="rId23"/>
  </sheets>
  <definedNames>
    <definedName name="_Hlk74142935" localSheetId="0">'TABELA 1 Formação de Preço '!$A$2</definedName>
    <definedName name="_Hlk74148335" localSheetId="0">'TABELA 1 Formação de Preço '!$B$7</definedName>
    <definedName name="_Hlk74164378" localSheetId="0">'TABELA 1 Formação de Preço '!$A$1</definedName>
    <definedName name="_Hlk74222037" localSheetId="0">'TABELA 1 Formação de Preço '!$A$11</definedName>
    <definedName name="_xlnm.Print_Area" localSheetId="18">'TABELA 5 - Ferramentas'!$A$1:$J$147</definedName>
    <definedName name="_xlnm.Print_Area" localSheetId="19">'TABELA 6 Serv Especializados'!$A$1:$F$31</definedName>
    <definedName name="Print_Area" localSheetId="17">'TABELA 4 Uniformes e EPIS'!$A$1:$E$44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 i="24" l="1"/>
  <c r="C4" i="49"/>
  <c r="B4" i="49"/>
  <c r="C3" i="49"/>
  <c r="B3" i="49"/>
  <c r="J8" i="46"/>
  <c r="J7" i="46"/>
  <c r="J6" i="46"/>
  <c r="I8" i="46"/>
  <c r="I7" i="46"/>
  <c r="I6" i="46"/>
  <c r="H8" i="46"/>
  <c r="H7" i="46"/>
  <c r="H6" i="46"/>
  <c r="I80" i="2"/>
  <c r="I21" i="2"/>
  <c r="H85" i="10"/>
  <c r="F86" i="10"/>
  <c r="F87" i="10"/>
  <c r="F88" i="10"/>
  <c r="F89" i="10"/>
  <c r="F90" i="10"/>
  <c r="F85" i="10"/>
  <c r="H34" i="10"/>
  <c r="F34" i="10"/>
  <c r="H26" i="10"/>
  <c r="H25" i="10"/>
  <c r="F26" i="10"/>
  <c r="F25" i="10"/>
  <c r="H13" i="10"/>
  <c r="F13" i="10"/>
  <c r="I20" i="2"/>
  <c r="I19" i="2"/>
  <c r="I17" i="2"/>
  <c r="I16" i="2"/>
  <c r="I15" i="2"/>
  <c r="I14" i="2"/>
  <c r="I13" i="2"/>
  <c r="I12" i="2"/>
  <c r="I11" i="2"/>
  <c r="I10" i="2"/>
  <c r="I9" i="2"/>
  <c r="I8" i="2"/>
  <c r="I133" i="24"/>
  <c r="I132" i="24"/>
  <c r="I131" i="24"/>
  <c r="I134" i="24" s="1"/>
  <c r="I130" i="24"/>
  <c r="I129" i="24"/>
  <c r="H120" i="24"/>
  <c r="H119" i="24"/>
  <c r="H118" i="24" s="1"/>
  <c r="H123" i="24" s="1"/>
  <c r="I107" i="24"/>
  <c r="I106" i="24"/>
  <c r="I110" i="24" s="1"/>
  <c r="I101" i="24"/>
  <c r="I102" i="24" s="1"/>
  <c r="I100" i="24"/>
  <c r="H90" i="24"/>
  <c r="I89" i="24"/>
  <c r="I88" i="24"/>
  <c r="I87" i="24"/>
  <c r="I86" i="24"/>
  <c r="I90" i="24" s="1"/>
  <c r="I85" i="24"/>
  <c r="I84" i="24"/>
  <c r="F86" i="24"/>
  <c r="F87" i="24"/>
  <c r="F88" i="24"/>
  <c r="F89" i="24"/>
  <c r="F85" i="24"/>
  <c r="F84" i="24"/>
  <c r="H75" i="24"/>
  <c r="I74" i="24"/>
  <c r="I73" i="24"/>
  <c r="I72" i="24"/>
  <c r="I71" i="24"/>
  <c r="I70" i="24"/>
  <c r="I75" i="24" s="1"/>
  <c r="I69" i="24"/>
  <c r="I68" i="24"/>
  <c r="I63" i="24"/>
  <c r="I62" i="24"/>
  <c r="I64" i="24" s="1"/>
  <c r="I61" i="24"/>
  <c r="I51" i="24"/>
  <c r="I52" i="24"/>
  <c r="I55" i="24"/>
  <c r="H42" i="24"/>
  <c r="I41" i="24"/>
  <c r="I40" i="24"/>
  <c r="I39" i="24"/>
  <c r="I38" i="24"/>
  <c r="I37" i="24"/>
  <c r="I36" i="24"/>
  <c r="I35" i="24"/>
  <c r="I42" i="24" s="1"/>
  <c r="I34" i="24"/>
  <c r="I19" i="24"/>
  <c r="I26" i="24" s="1"/>
  <c r="H27" i="24"/>
  <c r="F13" i="24"/>
  <c r="F86" i="38"/>
  <c r="F87" i="38"/>
  <c r="F88" i="38"/>
  <c r="F89" i="38"/>
  <c r="F90" i="38"/>
  <c r="F85" i="38"/>
  <c r="H34" i="38"/>
  <c r="F34" i="38"/>
  <c r="H26" i="38"/>
  <c r="H25" i="38"/>
  <c r="F26" i="38"/>
  <c r="F25" i="38"/>
  <c r="H13" i="38"/>
  <c r="F13" i="38"/>
  <c r="F86" i="39"/>
  <c r="F87" i="39"/>
  <c r="F88" i="39"/>
  <c r="F89" i="39"/>
  <c r="F90" i="39"/>
  <c r="F85" i="39"/>
  <c r="H34" i="39"/>
  <c r="F34" i="39"/>
  <c r="H26" i="39"/>
  <c r="H25" i="39"/>
  <c r="F26" i="39"/>
  <c r="F25" i="39"/>
  <c r="H13" i="39"/>
  <c r="F13" i="39"/>
  <c r="F86" i="26"/>
  <c r="F87" i="26"/>
  <c r="F88" i="26"/>
  <c r="F89" i="26"/>
  <c r="F90" i="26"/>
  <c r="F85" i="26"/>
  <c r="H34" i="26"/>
  <c r="F34" i="26"/>
  <c r="H26" i="26"/>
  <c r="H25" i="26"/>
  <c r="F26" i="26"/>
  <c r="F25" i="26"/>
  <c r="H13" i="26"/>
  <c r="F13" i="26"/>
  <c r="F86" i="25"/>
  <c r="F87" i="25"/>
  <c r="F88" i="25"/>
  <c r="F89" i="25"/>
  <c r="F90" i="25"/>
  <c r="F85" i="25"/>
  <c r="H34" i="25"/>
  <c r="F34" i="25"/>
  <c r="H26" i="25"/>
  <c r="H25" i="25"/>
  <c r="F26" i="25"/>
  <c r="F25" i="25"/>
  <c r="H13" i="25"/>
  <c r="F13" i="25"/>
  <c r="F86" i="23"/>
  <c r="F87" i="23"/>
  <c r="F88" i="23"/>
  <c r="F89" i="23"/>
  <c r="F90" i="23"/>
  <c r="F85" i="23"/>
  <c r="H34" i="23"/>
  <c r="F34" i="23"/>
  <c r="H26" i="23"/>
  <c r="H25" i="23"/>
  <c r="F26" i="23"/>
  <c r="F25" i="23"/>
  <c r="H13" i="23"/>
  <c r="F13" i="23"/>
  <c r="F86" i="22"/>
  <c r="F87" i="22"/>
  <c r="F88" i="22"/>
  <c r="F89" i="22"/>
  <c r="F90" i="22"/>
  <c r="F85" i="22"/>
  <c r="H34" i="22"/>
  <c r="F34" i="22"/>
  <c r="H26" i="22"/>
  <c r="H25" i="22"/>
  <c r="F26" i="22"/>
  <c r="F25" i="22"/>
  <c r="H13" i="22"/>
  <c r="F13" i="22"/>
  <c r="F86" i="21"/>
  <c r="F87" i="21"/>
  <c r="F88" i="21"/>
  <c r="F89" i="21"/>
  <c r="F90" i="21"/>
  <c r="F85" i="21"/>
  <c r="H34" i="21"/>
  <c r="F34" i="21"/>
  <c r="H26" i="21"/>
  <c r="H25" i="21"/>
  <c r="F26" i="21"/>
  <c r="F25" i="21"/>
  <c r="H13" i="21"/>
  <c r="F13" i="21"/>
  <c r="F86" i="20"/>
  <c r="F87" i="20"/>
  <c r="F88" i="20"/>
  <c r="F89" i="20"/>
  <c r="F90" i="20"/>
  <c r="F85" i="20"/>
  <c r="H34" i="20"/>
  <c r="F34" i="20"/>
  <c r="H26" i="20"/>
  <c r="H25" i="20"/>
  <c r="F26" i="20"/>
  <c r="F25" i="20"/>
  <c r="H13" i="20"/>
  <c r="F13" i="20"/>
  <c r="F86" i="19"/>
  <c r="F87" i="19"/>
  <c r="F88" i="19"/>
  <c r="F89" i="19"/>
  <c r="F90" i="19"/>
  <c r="F85" i="19"/>
  <c r="H34" i="19"/>
  <c r="F34" i="19"/>
  <c r="H26" i="19"/>
  <c r="H25" i="19"/>
  <c r="F26" i="19"/>
  <c r="F25" i="19"/>
  <c r="F13" i="19"/>
  <c r="F86" i="12"/>
  <c r="F87" i="12"/>
  <c r="F88" i="12"/>
  <c r="F89" i="12"/>
  <c r="F90" i="12"/>
  <c r="F85" i="12"/>
  <c r="G76" i="12"/>
  <c r="H34" i="12"/>
  <c r="F34" i="12"/>
  <c r="H26" i="12"/>
  <c r="H25" i="12"/>
  <c r="F26" i="12"/>
  <c r="F25" i="12"/>
  <c r="H13" i="12"/>
  <c r="F13" i="12"/>
  <c r="F87" i="33"/>
  <c r="F88" i="33"/>
  <c r="F89" i="33"/>
  <c r="F90" i="33"/>
  <c r="F86" i="33"/>
  <c r="F85" i="33"/>
  <c r="H34" i="33"/>
  <c r="F34" i="33"/>
  <c r="H26" i="33"/>
  <c r="H25" i="33"/>
  <c r="F26" i="33"/>
  <c r="F25" i="33"/>
  <c r="H13" i="33"/>
  <c r="F13" i="33"/>
  <c r="I117" i="24" l="1"/>
  <c r="I118" i="24" s="1"/>
  <c r="I116" i="24"/>
  <c r="I122" i="24"/>
  <c r="I25" i="24"/>
  <c r="I27" i="24" s="1"/>
  <c r="D76" i="6"/>
  <c r="J107" i="24"/>
  <c r="J106" i="24"/>
  <c r="J101" i="24"/>
  <c r="J52" i="24"/>
  <c r="I123" i="24" l="1"/>
  <c r="I135" i="24" s="1"/>
  <c r="I136" i="24" s="1"/>
  <c r="J110" i="24"/>
  <c r="J133" i="24" s="1"/>
  <c r="G52" i="24"/>
  <c r="F52" i="24"/>
  <c r="G107" i="24"/>
  <c r="G106" i="24"/>
  <c r="G101" i="24"/>
  <c r="E120" i="24"/>
  <c r="E119" i="24"/>
  <c r="F107" i="24"/>
  <c r="F106" i="24"/>
  <c r="F101" i="24"/>
  <c r="E90" i="24"/>
  <c r="E42" i="24"/>
  <c r="E27" i="24"/>
  <c r="F19" i="24"/>
  <c r="D106" i="24"/>
  <c r="D51" i="24"/>
  <c r="H108" i="10"/>
  <c r="H107" i="10"/>
  <c r="H111" i="10" s="1"/>
  <c r="H134" i="10" s="1"/>
  <c r="F108" i="10"/>
  <c r="F107" i="10"/>
  <c r="F111" i="10" s="1"/>
  <c r="F134" i="10" s="1"/>
  <c r="D108" i="10"/>
  <c r="D107" i="10"/>
  <c r="H108" i="38"/>
  <c r="H107" i="38"/>
  <c r="F108" i="38"/>
  <c r="F107" i="38"/>
  <c r="D108" i="38"/>
  <c r="D107" i="38"/>
  <c r="D107" i="6"/>
  <c r="H108" i="39"/>
  <c r="H107" i="39"/>
  <c r="H111" i="39" s="1"/>
  <c r="H134" i="39" s="1"/>
  <c r="F108" i="39"/>
  <c r="F107" i="39"/>
  <c r="D108" i="39"/>
  <c r="D107" i="39"/>
  <c r="H15" i="39"/>
  <c r="F15" i="39"/>
  <c r="H108" i="26"/>
  <c r="H107" i="26"/>
  <c r="H111" i="26" s="1"/>
  <c r="H134" i="26" s="1"/>
  <c r="F108" i="26"/>
  <c r="F107" i="26"/>
  <c r="F111" i="26" s="1"/>
  <c r="F134" i="26" s="1"/>
  <c r="D108" i="26"/>
  <c r="D107" i="26"/>
  <c r="H108" i="25"/>
  <c r="H107" i="25"/>
  <c r="H111" i="25" s="1"/>
  <c r="H134" i="25" s="1"/>
  <c r="F108" i="25"/>
  <c r="F107" i="25"/>
  <c r="F111" i="25" s="1"/>
  <c r="F134" i="25" s="1"/>
  <c r="D108" i="25"/>
  <c r="D107" i="25"/>
  <c r="H108" i="23"/>
  <c r="H107" i="23"/>
  <c r="H111" i="23" s="1"/>
  <c r="H134" i="23" s="1"/>
  <c r="F108" i="23"/>
  <c r="F107" i="23"/>
  <c r="F111" i="23" s="1"/>
  <c r="F134" i="23" s="1"/>
  <c r="D108" i="23"/>
  <c r="D107" i="23"/>
  <c r="H15" i="23"/>
  <c r="F15" i="23"/>
  <c r="H108" i="22"/>
  <c r="H107" i="22"/>
  <c r="F108" i="22"/>
  <c r="F107" i="22"/>
  <c r="F111" i="22" s="1"/>
  <c r="F134" i="22" s="1"/>
  <c r="D108" i="22"/>
  <c r="D107" i="22"/>
  <c r="H15" i="22"/>
  <c r="F15" i="22"/>
  <c r="H108" i="21"/>
  <c r="H107" i="21"/>
  <c r="F108" i="21"/>
  <c r="F107" i="21"/>
  <c r="F111" i="21" s="1"/>
  <c r="F134" i="21" s="1"/>
  <c r="D107" i="21"/>
  <c r="D108" i="21"/>
  <c r="H108" i="20"/>
  <c r="H107" i="20"/>
  <c r="F108" i="20"/>
  <c r="F107" i="20"/>
  <c r="F111" i="20" s="1"/>
  <c r="F134" i="20" s="1"/>
  <c r="D107" i="20"/>
  <c r="D108" i="20"/>
  <c r="H108" i="19"/>
  <c r="H107" i="19"/>
  <c r="H111" i="19" s="1"/>
  <c r="H134" i="19" s="1"/>
  <c r="F108" i="19"/>
  <c r="F107" i="19"/>
  <c r="F111" i="19" s="1"/>
  <c r="F134" i="19" s="1"/>
  <c r="D108" i="19"/>
  <c r="D107" i="19"/>
  <c r="H108" i="12"/>
  <c r="H107" i="12"/>
  <c r="H111" i="12" s="1"/>
  <c r="F111" i="12"/>
  <c r="F134" i="12" s="1"/>
  <c r="F108" i="12"/>
  <c r="F107" i="12"/>
  <c r="D108" i="12"/>
  <c r="D107" i="12"/>
  <c r="H14" i="12"/>
  <c r="D107" i="24"/>
  <c r="G121" i="10"/>
  <c r="E121" i="10"/>
  <c r="G120" i="10"/>
  <c r="E120" i="10"/>
  <c r="E119" i="10" s="1"/>
  <c r="E124" i="10" s="1"/>
  <c r="H102" i="10"/>
  <c r="F102" i="10"/>
  <c r="G91" i="10"/>
  <c r="E91" i="10"/>
  <c r="H52" i="10"/>
  <c r="F52" i="10"/>
  <c r="G42" i="10"/>
  <c r="E42" i="10"/>
  <c r="E27" i="10"/>
  <c r="G121" i="38"/>
  <c r="E121" i="38"/>
  <c r="G120" i="38"/>
  <c r="G119" i="38" s="1"/>
  <c r="G124" i="38" s="1"/>
  <c r="E120" i="38"/>
  <c r="E119" i="38" s="1"/>
  <c r="E124" i="38" s="1"/>
  <c r="H102" i="38"/>
  <c r="F102" i="38"/>
  <c r="G91" i="38"/>
  <c r="E91" i="38"/>
  <c r="H52" i="38"/>
  <c r="F52" i="38"/>
  <c r="E42" i="38"/>
  <c r="G42" i="38"/>
  <c r="E27" i="38"/>
  <c r="J108" i="6"/>
  <c r="J107" i="6"/>
  <c r="J111" i="6" s="1"/>
  <c r="H108" i="6"/>
  <c r="H107" i="6"/>
  <c r="H111" i="6" s="1"/>
  <c r="F108" i="6"/>
  <c r="F107" i="6"/>
  <c r="F111" i="6" s="1"/>
  <c r="D108" i="6"/>
  <c r="I121" i="6"/>
  <c r="I119" i="6" s="1"/>
  <c r="I120" i="6"/>
  <c r="G121" i="6"/>
  <c r="G120" i="6"/>
  <c r="E121" i="6"/>
  <c r="E119" i="6" s="1"/>
  <c r="E120" i="6"/>
  <c r="G121" i="39"/>
  <c r="E121" i="39"/>
  <c r="G120" i="39"/>
  <c r="E120" i="39"/>
  <c r="E119" i="39" s="1"/>
  <c r="E124" i="39" s="1"/>
  <c r="G119" i="39"/>
  <c r="G124" i="39" s="1"/>
  <c r="H102" i="39"/>
  <c r="F102" i="39"/>
  <c r="G91" i="39"/>
  <c r="E91" i="39"/>
  <c r="H52" i="39"/>
  <c r="F52" i="39"/>
  <c r="E42" i="39"/>
  <c r="G42" i="39"/>
  <c r="H51" i="39"/>
  <c r="H56" i="39" s="1"/>
  <c r="H64" i="39" s="1"/>
  <c r="F51" i="39"/>
  <c r="F56" i="39" s="1"/>
  <c r="F64" i="39" s="1"/>
  <c r="G121" i="26"/>
  <c r="E121" i="26"/>
  <c r="G120" i="26"/>
  <c r="G119" i="26" s="1"/>
  <c r="G124" i="26" s="1"/>
  <c r="E120" i="26"/>
  <c r="E119" i="26" s="1"/>
  <c r="E124" i="26" s="1"/>
  <c r="H102" i="26"/>
  <c r="F102" i="26"/>
  <c r="G91" i="26"/>
  <c r="E91" i="26"/>
  <c r="H52" i="26"/>
  <c r="F52" i="26"/>
  <c r="G42" i="26"/>
  <c r="E42" i="26"/>
  <c r="G27" i="26"/>
  <c r="E27" i="26"/>
  <c r="G121" i="25"/>
  <c r="E121" i="25"/>
  <c r="G120" i="25"/>
  <c r="G119" i="25" s="1"/>
  <c r="G124" i="25" s="1"/>
  <c r="E120" i="25"/>
  <c r="E119" i="25" s="1"/>
  <c r="E124" i="25" s="1"/>
  <c r="H102" i="25"/>
  <c r="F102" i="25"/>
  <c r="G91" i="25"/>
  <c r="E91" i="25"/>
  <c r="H52" i="25"/>
  <c r="F52" i="25"/>
  <c r="E42" i="25"/>
  <c r="G42" i="25"/>
  <c r="G27" i="25"/>
  <c r="E27" i="25"/>
  <c r="F51" i="25"/>
  <c r="F56" i="25" s="1"/>
  <c r="F64" i="25" s="1"/>
  <c r="G121" i="23"/>
  <c r="E121" i="23"/>
  <c r="G120" i="23"/>
  <c r="G119" i="23" s="1"/>
  <c r="G124" i="23" s="1"/>
  <c r="E120" i="23"/>
  <c r="E119" i="23" s="1"/>
  <c r="E124" i="23" s="1"/>
  <c r="H102" i="23"/>
  <c r="F102" i="23"/>
  <c r="G91" i="23"/>
  <c r="E91" i="23"/>
  <c r="H52" i="23"/>
  <c r="F52" i="23"/>
  <c r="E42" i="23"/>
  <c r="G42" i="23"/>
  <c r="G27" i="23"/>
  <c r="E27" i="23"/>
  <c r="G121" i="22"/>
  <c r="E121" i="22"/>
  <c r="G120" i="22"/>
  <c r="E120" i="22"/>
  <c r="H102" i="22"/>
  <c r="F102" i="22"/>
  <c r="G91" i="22"/>
  <c r="E91" i="22"/>
  <c r="H52" i="22"/>
  <c r="F52" i="22"/>
  <c r="G42" i="22"/>
  <c r="E42" i="22"/>
  <c r="G27" i="22"/>
  <c r="E27" i="22"/>
  <c r="H19" i="22"/>
  <c r="G121" i="21"/>
  <c r="E121" i="21"/>
  <c r="G120" i="21"/>
  <c r="G119" i="21" s="1"/>
  <c r="G124" i="21" s="1"/>
  <c r="E120" i="21"/>
  <c r="E119" i="21"/>
  <c r="E124" i="21" s="1"/>
  <c r="H102" i="21"/>
  <c r="F102" i="21"/>
  <c r="G91" i="21"/>
  <c r="E91" i="21"/>
  <c r="H52" i="21"/>
  <c r="F52" i="21"/>
  <c r="G42" i="21"/>
  <c r="E42" i="21"/>
  <c r="E27" i="21"/>
  <c r="G27" i="21"/>
  <c r="G121" i="20"/>
  <c r="G120" i="20"/>
  <c r="G119" i="20" s="1"/>
  <c r="G124" i="20" s="1"/>
  <c r="E121" i="20"/>
  <c r="E120" i="20"/>
  <c r="E119" i="20" s="1"/>
  <c r="E124" i="20" s="1"/>
  <c r="H111" i="20"/>
  <c r="H134" i="20" s="1"/>
  <c r="H102" i="20"/>
  <c r="F102" i="20"/>
  <c r="G91" i="20"/>
  <c r="E91" i="20"/>
  <c r="H52" i="20"/>
  <c r="F52" i="20"/>
  <c r="E42" i="20"/>
  <c r="G42" i="20"/>
  <c r="E27" i="20"/>
  <c r="E121" i="19"/>
  <c r="E120" i="19"/>
  <c r="E119" i="19" s="1"/>
  <c r="E124" i="19" s="1"/>
  <c r="G121" i="19"/>
  <c r="G120" i="19"/>
  <c r="G119" i="19" s="1"/>
  <c r="G124" i="19" s="1"/>
  <c r="E121" i="33"/>
  <c r="E120" i="33"/>
  <c r="E119" i="33" s="1"/>
  <c r="E124" i="33" s="1"/>
  <c r="E121" i="12"/>
  <c r="E120" i="12"/>
  <c r="E119" i="12"/>
  <c r="G121" i="12"/>
  <c r="G120" i="12"/>
  <c r="G119" i="12" s="1"/>
  <c r="G124" i="12" s="1"/>
  <c r="H13" i="19"/>
  <c r="H102" i="19"/>
  <c r="F102" i="19"/>
  <c r="G91" i="19"/>
  <c r="E91" i="19"/>
  <c r="H52" i="19"/>
  <c r="F52" i="19"/>
  <c r="G42" i="19"/>
  <c r="E42" i="19"/>
  <c r="E27" i="19"/>
  <c r="H102" i="12"/>
  <c r="F102" i="12"/>
  <c r="G91" i="12"/>
  <c r="E91" i="12"/>
  <c r="H52" i="12"/>
  <c r="F52" i="12"/>
  <c r="E42" i="12"/>
  <c r="G42" i="12"/>
  <c r="G27" i="12"/>
  <c r="E27" i="12"/>
  <c r="H51" i="12"/>
  <c r="H56" i="12" s="1"/>
  <c r="H64" i="12" s="1"/>
  <c r="F51" i="12"/>
  <c r="F56" i="12" s="1"/>
  <c r="F64" i="12" s="1"/>
  <c r="E91" i="33"/>
  <c r="E42" i="33"/>
  <c r="G119" i="10" l="1"/>
  <c r="G124" i="10" s="1"/>
  <c r="F110" i="24"/>
  <c r="F133" i="24" s="1"/>
  <c r="F25" i="24"/>
  <c r="F26" i="24"/>
  <c r="E118" i="24"/>
  <c r="E123" i="24" s="1"/>
  <c r="G13" i="24"/>
  <c r="I13" i="24" s="1"/>
  <c r="F51" i="24"/>
  <c r="F55" i="24" s="1"/>
  <c r="F63" i="24" s="1"/>
  <c r="G110" i="24"/>
  <c r="G133" i="24" s="1"/>
  <c r="F111" i="38"/>
  <c r="F134" i="38" s="1"/>
  <c r="H111" i="38"/>
  <c r="H134" i="38" s="1"/>
  <c r="H19" i="39"/>
  <c r="F111" i="39"/>
  <c r="F134" i="39" s="1"/>
  <c r="F19" i="25"/>
  <c r="H51" i="22"/>
  <c r="H56" i="22" s="1"/>
  <c r="H64" i="22" s="1"/>
  <c r="G119" i="22"/>
  <c r="G124" i="22" s="1"/>
  <c r="E119" i="22"/>
  <c r="E124" i="22" s="1"/>
  <c r="H111" i="22"/>
  <c r="H134" i="22" s="1"/>
  <c r="H111" i="21"/>
  <c r="H134" i="21" s="1"/>
  <c r="F14" i="12"/>
  <c r="F19" i="12" s="1"/>
  <c r="F130" i="12" s="1"/>
  <c r="E76" i="39"/>
  <c r="F129" i="24"/>
  <c r="E75" i="24"/>
  <c r="G27" i="10"/>
  <c r="E76" i="38"/>
  <c r="G27" i="38"/>
  <c r="G119" i="6"/>
  <c r="H130" i="39"/>
  <c r="E27" i="39"/>
  <c r="G27" i="39"/>
  <c r="G76" i="39"/>
  <c r="F19" i="39"/>
  <c r="E76" i="25"/>
  <c r="H130" i="22"/>
  <c r="E76" i="21"/>
  <c r="G76" i="21"/>
  <c r="G27" i="20"/>
  <c r="E76" i="20"/>
  <c r="E124" i="12"/>
  <c r="H134" i="12"/>
  <c r="G27" i="19"/>
  <c r="E76" i="19"/>
  <c r="H19" i="12"/>
  <c r="H130" i="12" s="1"/>
  <c r="E76" i="12"/>
  <c r="E27" i="33"/>
  <c r="E76" i="33"/>
  <c r="G51" i="24" l="1"/>
  <c r="G55" i="24" s="1"/>
  <c r="G63" i="24" s="1"/>
  <c r="G19" i="24"/>
  <c r="G25" i="24" s="1"/>
  <c r="F130" i="25"/>
  <c r="F27" i="24"/>
  <c r="F51" i="10"/>
  <c r="F56" i="10" s="1"/>
  <c r="F64" i="10" s="1"/>
  <c r="F19" i="10"/>
  <c r="G76" i="10"/>
  <c r="H19" i="10"/>
  <c r="H51" i="10"/>
  <c r="H56" i="10" s="1"/>
  <c r="H64" i="10" s="1"/>
  <c r="E76" i="10"/>
  <c r="H19" i="38"/>
  <c r="H51" i="38"/>
  <c r="H56" i="38" s="1"/>
  <c r="H64" i="38" s="1"/>
  <c r="F51" i="38"/>
  <c r="F56" i="38" s="1"/>
  <c r="F64" i="38" s="1"/>
  <c r="F19" i="38"/>
  <c r="G76" i="38"/>
  <c r="H27" i="39"/>
  <c r="F27" i="39"/>
  <c r="F130" i="39"/>
  <c r="H51" i="26"/>
  <c r="H56" i="26" s="1"/>
  <c r="H64" i="26" s="1"/>
  <c r="H19" i="26"/>
  <c r="E76" i="26"/>
  <c r="F51" i="26"/>
  <c r="F56" i="26" s="1"/>
  <c r="F64" i="26" s="1"/>
  <c r="F19" i="26"/>
  <c r="G76" i="26"/>
  <c r="H51" i="25"/>
  <c r="H56" i="25" s="1"/>
  <c r="H64" i="25" s="1"/>
  <c r="H19" i="25"/>
  <c r="F27" i="25"/>
  <c r="G76" i="25"/>
  <c r="E76" i="23"/>
  <c r="H19" i="23"/>
  <c r="H51" i="23"/>
  <c r="H56" i="23" s="1"/>
  <c r="H64" i="23" s="1"/>
  <c r="F51" i="23"/>
  <c r="F56" i="23" s="1"/>
  <c r="F64" i="23" s="1"/>
  <c r="F19" i="23"/>
  <c r="G76" i="23"/>
  <c r="E76" i="22"/>
  <c r="G76" i="22"/>
  <c r="F51" i="22"/>
  <c r="F56" i="22" s="1"/>
  <c r="F64" i="22" s="1"/>
  <c r="F19" i="22"/>
  <c r="H27" i="22"/>
  <c r="H71" i="22" s="1"/>
  <c r="F51" i="21"/>
  <c r="F56" i="21" s="1"/>
  <c r="F64" i="21" s="1"/>
  <c r="F19" i="21"/>
  <c r="H19" i="21"/>
  <c r="H51" i="21"/>
  <c r="H56" i="21" s="1"/>
  <c r="H64" i="21" s="1"/>
  <c r="G76" i="20"/>
  <c r="H19" i="20"/>
  <c r="H51" i="20"/>
  <c r="H56" i="20" s="1"/>
  <c r="H64" i="20" s="1"/>
  <c r="F51" i="20"/>
  <c r="F56" i="20" s="1"/>
  <c r="F64" i="20" s="1"/>
  <c r="F19" i="20"/>
  <c r="F51" i="19"/>
  <c r="F56" i="19" s="1"/>
  <c r="F64" i="19" s="1"/>
  <c r="F19" i="19"/>
  <c r="H19" i="19"/>
  <c r="H51" i="19"/>
  <c r="H56" i="19" s="1"/>
  <c r="H64" i="19" s="1"/>
  <c r="G76" i="19"/>
  <c r="F38" i="24" l="1"/>
  <c r="F73" i="24"/>
  <c r="F72" i="24"/>
  <c r="F70" i="24"/>
  <c r="F74" i="24"/>
  <c r="F69" i="24"/>
  <c r="F71" i="24"/>
  <c r="F68" i="24"/>
  <c r="F39" i="24"/>
  <c r="F40" i="24"/>
  <c r="F41" i="24"/>
  <c r="F61" i="24"/>
  <c r="G129" i="24"/>
  <c r="G26" i="24"/>
  <c r="J51" i="24"/>
  <c r="J55" i="24" s="1"/>
  <c r="J63" i="24" s="1"/>
  <c r="J19" i="24"/>
  <c r="H27" i="12"/>
  <c r="H36" i="12" s="1"/>
  <c r="F34" i="24"/>
  <c r="F36" i="24"/>
  <c r="F37" i="24"/>
  <c r="F35" i="24"/>
  <c r="F27" i="12"/>
  <c r="H130" i="10"/>
  <c r="F130" i="10"/>
  <c r="F130" i="38"/>
  <c r="H130" i="38"/>
  <c r="F62" i="39"/>
  <c r="F72" i="39"/>
  <c r="F40" i="39"/>
  <c r="F75" i="39"/>
  <c r="F35" i="39"/>
  <c r="F73" i="39"/>
  <c r="F38" i="39"/>
  <c r="F39" i="39"/>
  <c r="F70" i="39"/>
  <c r="F37" i="39"/>
  <c r="F71" i="39"/>
  <c r="F74" i="39"/>
  <c r="F69" i="39"/>
  <c r="F41" i="39"/>
  <c r="F36" i="39"/>
  <c r="H62" i="39"/>
  <c r="H37" i="39"/>
  <c r="H85" i="39"/>
  <c r="H90" i="39"/>
  <c r="H73" i="39"/>
  <c r="H86" i="39"/>
  <c r="H41" i="39"/>
  <c r="H71" i="39"/>
  <c r="H40" i="39"/>
  <c r="H87" i="39"/>
  <c r="H35" i="39"/>
  <c r="H72" i="39"/>
  <c r="H89" i="39"/>
  <c r="H39" i="39"/>
  <c r="H70" i="39"/>
  <c r="H75" i="39"/>
  <c r="H36" i="39"/>
  <c r="H69" i="39"/>
  <c r="H88" i="39"/>
  <c r="H38" i="39"/>
  <c r="H74" i="39"/>
  <c r="F130" i="26"/>
  <c r="F27" i="26"/>
  <c r="F72" i="26" s="1"/>
  <c r="H130" i="26"/>
  <c r="H27" i="26"/>
  <c r="H40" i="26" s="1"/>
  <c r="H130" i="25"/>
  <c r="H27" i="25"/>
  <c r="H62" i="25" s="1"/>
  <c r="F39" i="25"/>
  <c r="F62" i="25"/>
  <c r="F69" i="25"/>
  <c r="F71" i="25"/>
  <c r="F70" i="25"/>
  <c r="F72" i="25"/>
  <c r="F41" i="25"/>
  <c r="F35" i="25"/>
  <c r="F37" i="25"/>
  <c r="F36" i="25"/>
  <c r="F40" i="25"/>
  <c r="F38" i="25"/>
  <c r="F74" i="25"/>
  <c r="F73" i="25"/>
  <c r="F75" i="25"/>
  <c r="H130" i="23"/>
  <c r="H27" i="23"/>
  <c r="F130" i="23"/>
  <c r="F27" i="23"/>
  <c r="F130" i="22"/>
  <c r="H62" i="22"/>
  <c r="H69" i="22"/>
  <c r="H35" i="22"/>
  <c r="H88" i="22"/>
  <c r="H38" i="22"/>
  <c r="H75" i="22"/>
  <c r="H87" i="22"/>
  <c r="H37" i="22"/>
  <c r="H70" i="22"/>
  <c r="H90" i="22"/>
  <c r="H86" i="22"/>
  <c r="H72" i="22"/>
  <c r="H36" i="22"/>
  <c r="H40" i="22"/>
  <c r="H73" i="22"/>
  <c r="H41" i="22"/>
  <c r="H85" i="22"/>
  <c r="H39" i="22"/>
  <c r="H89" i="22"/>
  <c r="H74" i="22"/>
  <c r="H130" i="21"/>
  <c r="F130" i="21"/>
  <c r="F130" i="20"/>
  <c r="H130" i="20"/>
  <c r="F130" i="19"/>
  <c r="H130" i="19"/>
  <c r="J25" i="24" l="1"/>
  <c r="J26" i="24"/>
  <c r="F90" i="24"/>
  <c r="F100" i="24" s="1"/>
  <c r="F102" i="24" s="1"/>
  <c r="F132" i="24" s="1"/>
  <c r="G27" i="24"/>
  <c r="G73" i="24" s="1"/>
  <c r="G71" i="24"/>
  <c r="G72" i="24"/>
  <c r="G37" i="24"/>
  <c r="J129" i="24"/>
  <c r="H36" i="26"/>
  <c r="H86" i="12"/>
  <c r="H74" i="12"/>
  <c r="H40" i="12"/>
  <c r="H71" i="12"/>
  <c r="H90" i="12"/>
  <c r="H75" i="12"/>
  <c r="H69" i="12"/>
  <c r="H70" i="12"/>
  <c r="H85" i="12"/>
  <c r="H73" i="12"/>
  <c r="H62" i="12"/>
  <c r="H42" i="12"/>
  <c r="H63" i="12" s="1"/>
  <c r="H65" i="12" s="1"/>
  <c r="H131" i="12" s="1"/>
  <c r="H39" i="12"/>
  <c r="H41" i="12"/>
  <c r="H88" i="12"/>
  <c r="H89" i="12"/>
  <c r="H37" i="12"/>
  <c r="H35" i="12"/>
  <c r="H72" i="12"/>
  <c r="H87" i="12"/>
  <c r="H38" i="12"/>
  <c r="H39" i="26"/>
  <c r="H89" i="26"/>
  <c r="H86" i="26"/>
  <c r="F75" i="24"/>
  <c r="F131" i="24" s="1"/>
  <c r="F42" i="24"/>
  <c r="F62" i="24" s="1"/>
  <c r="F64" i="24" s="1"/>
  <c r="F130" i="24" s="1"/>
  <c r="H69" i="26"/>
  <c r="F41" i="26"/>
  <c r="H72" i="26"/>
  <c r="H73" i="26"/>
  <c r="F36" i="23"/>
  <c r="F39" i="23"/>
  <c r="F27" i="20"/>
  <c r="H42" i="39"/>
  <c r="H63" i="39" s="1"/>
  <c r="H65" i="39" s="1"/>
  <c r="H131" i="39" s="1"/>
  <c r="H88" i="26"/>
  <c r="H70" i="26"/>
  <c r="H35" i="26"/>
  <c r="H90" i="26"/>
  <c r="H41" i="26"/>
  <c r="H37" i="26"/>
  <c r="H87" i="26"/>
  <c r="F36" i="26"/>
  <c r="F35" i="26"/>
  <c r="F38" i="26"/>
  <c r="F70" i="26"/>
  <c r="F72" i="23"/>
  <c r="H39" i="23"/>
  <c r="H89" i="23"/>
  <c r="F41" i="23"/>
  <c r="H42" i="22"/>
  <c r="H63" i="22" s="1"/>
  <c r="H65" i="22" s="1"/>
  <c r="H131" i="22" s="1"/>
  <c r="H27" i="20"/>
  <c r="H38" i="20" s="1"/>
  <c r="F35" i="12"/>
  <c r="F75" i="12"/>
  <c r="F74" i="12"/>
  <c r="F69" i="12"/>
  <c r="F37" i="12"/>
  <c r="F73" i="12"/>
  <c r="F38" i="12"/>
  <c r="F36" i="12"/>
  <c r="F39" i="12"/>
  <c r="F72" i="12"/>
  <c r="F41" i="12"/>
  <c r="F70" i="12"/>
  <c r="F71" i="12"/>
  <c r="F62" i="12"/>
  <c r="F40" i="12"/>
  <c r="H27" i="10"/>
  <c r="F27" i="10"/>
  <c r="F27" i="38"/>
  <c r="H27" i="38"/>
  <c r="F91" i="39"/>
  <c r="F101" i="39" s="1"/>
  <c r="F103" i="39" s="1"/>
  <c r="F133" i="39" s="1"/>
  <c r="F42" i="39"/>
  <c r="F63" i="39" s="1"/>
  <c r="F65" i="39" s="1"/>
  <c r="F131" i="39" s="1"/>
  <c r="H91" i="39"/>
  <c r="H101" i="39" s="1"/>
  <c r="H103" i="39" s="1"/>
  <c r="H133" i="39" s="1"/>
  <c r="H76" i="39"/>
  <c r="H132" i="39" s="1"/>
  <c r="F76" i="39"/>
  <c r="F132" i="39" s="1"/>
  <c r="H75" i="26"/>
  <c r="H38" i="26"/>
  <c r="F39" i="26"/>
  <c r="F62" i="26"/>
  <c r="F71" i="26"/>
  <c r="F37" i="26"/>
  <c r="F69" i="26"/>
  <c r="H62" i="26"/>
  <c r="H74" i="26"/>
  <c r="H71" i="26"/>
  <c r="F73" i="26"/>
  <c r="H85" i="26"/>
  <c r="F75" i="26"/>
  <c r="F74" i="26"/>
  <c r="F40" i="26"/>
  <c r="H41" i="25"/>
  <c r="H86" i="25"/>
  <c r="H75" i="25"/>
  <c r="H37" i="25"/>
  <c r="H72" i="25"/>
  <c r="H87" i="25"/>
  <c r="H70" i="25"/>
  <c r="H38" i="25"/>
  <c r="H73" i="25"/>
  <c r="H71" i="25"/>
  <c r="H88" i="25"/>
  <c r="H36" i="25"/>
  <c r="H69" i="25"/>
  <c r="H74" i="25"/>
  <c r="H35" i="25"/>
  <c r="H39" i="25"/>
  <c r="H40" i="25"/>
  <c r="H89" i="25"/>
  <c r="F91" i="25"/>
  <c r="F101" i="25" s="1"/>
  <c r="F103" i="25" s="1"/>
  <c r="F133" i="25" s="1"/>
  <c r="F76" i="25"/>
  <c r="F132" i="25" s="1"/>
  <c r="H90" i="25"/>
  <c r="F42" i="25"/>
  <c r="F63" i="25" s="1"/>
  <c r="F65" i="25" s="1"/>
  <c r="F131" i="25" s="1"/>
  <c r="H85" i="25"/>
  <c r="H35" i="23"/>
  <c r="H40" i="23"/>
  <c r="H74" i="23"/>
  <c r="F37" i="23"/>
  <c r="H90" i="23"/>
  <c r="F70" i="23"/>
  <c r="H85" i="23"/>
  <c r="F71" i="23"/>
  <c r="F75" i="23"/>
  <c r="F38" i="23"/>
  <c r="H41" i="23"/>
  <c r="F73" i="23"/>
  <c r="H86" i="23"/>
  <c r="H37" i="23"/>
  <c r="H87" i="23"/>
  <c r="H36" i="23"/>
  <c r="H72" i="23"/>
  <c r="H62" i="23"/>
  <c r="H71" i="23"/>
  <c r="F62" i="23"/>
  <c r="F74" i="23"/>
  <c r="H75" i="23"/>
  <c r="F69" i="23"/>
  <c r="H69" i="23"/>
  <c r="F35" i="23"/>
  <c r="H38" i="23"/>
  <c r="F40" i="23"/>
  <c r="H73" i="23"/>
  <c r="H88" i="23"/>
  <c r="H70" i="23"/>
  <c r="H91" i="22"/>
  <c r="H101" i="22" s="1"/>
  <c r="H103" i="22" s="1"/>
  <c r="H133" i="22" s="1"/>
  <c r="H76" i="22"/>
  <c r="H132" i="22" s="1"/>
  <c r="F27" i="22"/>
  <c r="F27" i="21"/>
  <c r="H27" i="21"/>
  <c r="H27" i="19"/>
  <c r="H73" i="19" s="1"/>
  <c r="F27" i="19"/>
  <c r="G39" i="24" l="1"/>
  <c r="G74" i="24"/>
  <c r="G84" i="24"/>
  <c r="G68" i="24"/>
  <c r="G87" i="24"/>
  <c r="G88" i="24"/>
  <c r="G41" i="24"/>
  <c r="G40" i="24"/>
  <c r="G38" i="24"/>
  <c r="G36" i="24"/>
  <c r="G61" i="24"/>
  <c r="G69" i="24"/>
  <c r="G35" i="24"/>
  <c r="G34" i="24"/>
  <c r="G70" i="24"/>
  <c r="G89" i="24"/>
  <c r="G86" i="24"/>
  <c r="G85" i="24"/>
  <c r="J27" i="24"/>
  <c r="F38" i="20"/>
  <c r="F40" i="20"/>
  <c r="F69" i="20"/>
  <c r="F39" i="20"/>
  <c r="F35" i="20"/>
  <c r="H71" i="20"/>
  <c r="F71" i="20"/>
  <c r="F70" i="20"/>
  <c r="F42" i="20"/>
  <c r="F63" i="20" s="1"/>
  <c r="F73" i="20"/>
  <c r="F74" i="20"/>
  <c r="F36" i="20"/>
  <c r="F37" i="20"/>
  <c r="F41" i="20"/>
  <c r="H76" i="12"/>
  <c r="H132" i="12" s="1"/>
  <c r="H135" i="12" s="1"/>
  <c r="H91" i="12"/>
  <c r="H101" i="12" s="1"/>
  <c r="H103" i="12" s="1"/>
  <c r="H133" i="12" s="1"/>
  <c r="H76" i="26"/>
  <c r="H132" i="26" s="1"/>
  <c r="F134" i="24"/>
  <c r="F117" i="24" s="1"/>
  <c r="H42" i="26"/>
  <c r="H63" i="26" s="1"/>
  <c r="H65" i="26" s="1"/>
  <c r="H131" i="26" s="1"/>
  <c r="F135" i="25"/>
  <c r="F117" i="25" s="1"/>
  <c r="F91" i="23"/>
  <c r="F101" i="23" s="1"/>
  <c r="F103" i="23" s="1"/>
  <c r="F133" i="23" s="1"/>
  <c r="F62" i="20"/>
  <c r="F91" i="20"/>
  <c r="F101" i="20" s="1"/>
  <c r="F103" i="20" s="1"/>
  <c r="F133" i="20" s="1"/>
  <c r="F72" i="20"/>
  <c r="F75" i="20"/>
  <c r="H91" i="26"/>
  <c r="H101" i="26" s="1"/>
  <c r="H103" i="26" s="1"/>
  <c r="H133" i="26" s="1"/>
  <c r="F91" i="26"/>
  <c r="F101" i="26" s="1"/>
  <c r="F103" i="26" s="1"/>
  <c r="F133" i="26" s="1"/>
  <c r="F42" i="26"/>
  <c r="F63" i="26" s="1"/>
  <c r="F65" i="26" s="1"/>
  <c r="F131" i="26" s="1"/>
  <c r="H42" i="23"/>
  <c r="H63" i="23" s="1"/>
  <c r="H65" i="23" s="1"/>
  <c r="H131" i="23" s="1"/>
  <c r="F42" i="23"/>
  <c r="F63" i="23" s="1"/>
  <c r="F65" i="23" s="1"/>
  <c r="F131" i="23" s="1"/>
  <c r="H135" i="22"/>
  <c r="H118" i="22" s="1"/>
  <c r="H62" i="20"/>
  <c r="H86" i="20"/>
  <c r="H41" i="20"/>
  <c r="H89" i="20"/>
  <c r="H85" i="20"/>
  <c r="H90" i="20"/>
  <c r="H35" i="20"/>
  <c r="H75" i="20"/>
  <c r="H73" i="20"/>
  <c r="H87" i="20"/>
  <c r="H72" i="20"/>
  <c r="H36" i="20"/>
  <c r="H40" i="20"/>
  <c r="H74" i="20"/>
  <c r="H39" i="20"/>
  <c r="H70" i="20"/>
  <c r="H37" i="20"/>
  <c r="H88" i="20"/>
  <c r="H69" i="20"/>
  <c r="F42" i="12"/>
  <c r="F63" i="12" s="1"/>
  <c r="F65" i="12" s="1"/>
  <c r="F131" i="12" s="1"/>
  <c r="F91" i="12"/>
  <c r="F101" i="12" s="1"/>
  <c r="F103" i="12" s="1"/>
  <c r="F133" i="12" s="1"/>
  <c r="F76" i="12"/>
  <c r="F132" i="12" s="1"/>
  <c r="H62" i="10"/>
  <c r="H88" i="10"/>
  <c r="H35" i="10"/>
  <c r="H36" i="10"/>
  <c r="H89" i="10"/>
  <c r="H73" i="10"/>
  <c r="H87" i="10"/>
  <c r="H71" i="10"/>
  <c r="H38" i="10"/>
  <c r="H75" i="10"/>
  <c r="H37" i="10"/>
  <c r="H70" i="10"/>
  <c r="H74" i="10"/>
  <c r="H86" i="10"/>
  <c r="H41" i="10"/>
  <c r="H90" i="10"/>
  <c r="H40" i="10"/>
  <c r="H39" i="10"/>
  <c r="H69" i="10"/>
  <c r="H72" i="10"/>
  <c r="F62" i="10"/>
  <c r="F74" i="10"/>
  <c r="F35" i="10"/>
  <c r="F40" i="10"/>
  <c r="F39" i="10"/>
  <c r="F71" i="10"/>
  <c r="F36" i="10"/>
  <c r="F75" i="10"/>
  <c r="F73" i="10"/>
  <c r="F38" i="10"/>
  <c r="F37" i="10"/>
  <c r="F72" i="10"/>
  <c r="F70" i="10"/>
  <c r="F69" i="10"/>
  <c r="F41" i="10"/>
  <c r="F62" i="38"/>
  <c r="F37" i="38"/>
  <c r="F73" i="38"/>
  <c r="F35" i="38"/>
  <c r="F69" i="38"/>
  <c r="F41" i="38"/>
  <c r="F36" i="38"/>
  <c r="F40" i="38"/>
  <c r="F39" i="38"/>
  <c r="F75" i="38"/>
  <c r="F70" i="38"/>
  <c r="F71" i="38"/>
  <c r="F38" i="38"/>
  <c r="F74" i="38"/>
  <c r="F72" i="38"/>
  <c r="H62" i="38"/>
  <c r="H74" i="38"/>
  <c r="H71" i="38"/>
  <c r="H40" i="38"/>
  <c r="H75" i="38"/>
  <c r="H73" i="38"/>
  <c r="H37" i="38"/>
  <c r="H88" i="38"/>
  <c r="H36" i="38"/>
  <c r="H38" i="38"/>
  <c r="H70" i="38"/>
  <c r="H69" i="38"/>
  <c r="H72" i="38"/>
  <c r="H87" i="38"/>
  <c r="H86" i="38"/>
  <c r="H89" i="38"/>
  <c r="H41" i="38"/>
  <c r="H35" i="38"/>
  <c r="H85" i="38"/>
  <c r="H39" i="38"/>
  <c r="H90" i="38"/>
  <c r="F135" i="39"/>
  <c r="H135" i="39"/>
  <c r="F76" i="26"/>
  <c r="F132" i="26" s="1"/>
  <c r="H91" i="25"/>
  <c r="H101" i="25" s="1"/>
  <c r="H103" i="25" s="1"/>
  <c r="H133" i="25" s="1"/>
  <c r="H76" i="25"/>
  <c r="H132" i="25" s="1"/>
  <c r="H42" i="25"/>
  <c r="H63" i="25" s="1"/>
  <c r="H65" i="25" s="1"/>
  <c r="H131" i="25" s="1"/>
  <c r="F76" i="23"/>
  <c r="F132" i="23" s="1"/>
  <c r="H76" i="23"/>
  <c r="H132" i="23" s="1"/>
  <c r="H91" i="23"/>
  <c r="H101" i="23" s="1"/>
  <c r="H103" i="23" s="1"/>
  <c r="H133" i="23" s="1"/>
  <c r="F62" i="22"/>
  <c r="F39" i="22"/>
  <c r="F69" i="22"/>
  <c r="F41" i="22"/>
  <c r="F36" i="22"/>
  <c r="F75" i="22"/>
  <c r="F71" i="22"/>
  <c r="F38" i="22"/>
  <c r="F72" i="22"/>
  <c r="F73" i="22"/>
  <c r="F37" i="22"/>
  <c r="F74" i="22"/>
  <c r="F70" i="22"/>
  <c r="F35" i="22"/>
  <c r="F40" i="22"/>
  <c r="H62" i="21"/>
  <c r="H35" i="21"/>
  <c r="H71" i="21"/>
  <c r="H72" i="21"/>
  <c r="H88" i="21"/>
  <c r="H73" i="21"/>
  <c r="H70" i="21"/>
  <c r="H37" i="21"/>
  <c r="H38" i="21"/>
  <c r="H87" i="21"/>
  <c r="H75" i="21"/>
  <c r="H69" i="21"/>
  <c r="H86" i="21"/>
  <c r="H36" i="21"/>
  <c r="H74" i="21"/>
  <c r="H89" i="21"/>
  <c r="H90" i="21"/>
  <c r="H41" i="21"/>
  <c r="H85" i="21"/>
  <c r="H40" i="21"/>
  <c r="H39" i="21"/>
  <c r="F62" i="21"/>
  <c r="F70" i="21"/>
  <c r="F41" i="21"/>
  <c r="F39" i="21"/>
  <c r="F74" i="21"/>
  <c r="F72" i="21"/>
  <c r="F38" i="21"/>
  <c r="F73" i="21"/>
  <c r="F40" i="21"/>
  <c r="F75" i="21"/>
  <c r="F36" i="21"/>
  <c r="F37" i="21"/>
  <c r="F69" i="21"/>
  <c r="F35" i="21"/>
  <c r="F71" i="21"/>
  <c r="H86" i="19"/>
  <c r="H85" i="19"/>
  <c r="H62" i="19"/>
  <c r="H71" i="19"/>
  <c r="H88" i="19"/>
  <c r="H38" i="19"/>
  <c r="H39" i="19"/>
  <c r="H70" i="19"/>
  <c r="H35" i="19"/>
  <c r="H75" i="19"/>
  <c r="H37" i="19"/>
  <c r="H74" i="19"/>
  <c r="H87" i="19"/>
  <c r="H90" i="19"/>
  <c r="H36" i="19"/>
  <c r="H41" i="19"/>
  <c r="H40" i="19"/>
  <c r="H72" i="19"/>
  <c r="H89" i="19"/>
  <c r="H69" i="19"/>
  <c r="F62" i="19"/>
  <c r="F74" i="19"/>
  <c r="F41" i="19"/>
  <c r="F39" i="19"/>
  <c r="F40" i="19"/>
  <c r="F36" i="19"/>
  <c r="F69" i="19"/>
  <c r="F38" i="19"/>
  <c r="F72" i="19"/>
  <c r="F71" i="19"/>
  <c r="F75" i="19"/>
  <c r="F37" i="19"/>
  <c r="F73" i="19"/>
  <c r="F35" i="19"/>
  <c r="F70" i="19"/>
  <c r="J70" i="24" l="1"/>
  <c r="J69" i="24"/>
  <c r="J68" i="24"/>
  <c r="J85" i="24"/>
  <c r="J71" i="24"/>
  <c r="J86" i="24"/>
  <c r="J84" i="24"/>
  <c r="J87" i="24"/>
  <c r="J88" i="24"/>
  <c r="J72" i="24"/>
  <c r="J74" i="24"/>
  <c r="J89" i="24"/>
  <c r="J73" i="24"/>
  <c r="G75" i="24"/>
  <c r="G131" i="24" s="1"/>
  <c r="G42" i="24"/>
  <c r="G62" i="24" s="1"/>
  <c r="G64" i="24" s="1"/>
  <c r="G130" i="24" s="1"/>
  <c r="G90" i="24"/>
  <c r="G100" i="24" s="1"/>
  <c r="G102" i="24" s="1"/>
  <c r="G132" i="24" s="1"/>
  <c r="J61" i="24"/>
  <c r="J39" i="24"/>
  <c r="J34" i="24"/>
  <c r="J37" i="24"/>
  <c r="J41" i="24"/>
  <c r="J35" i="24"/>
  <c r="J40" i="24"/>
  <c r="J38" i="24"/>
  <c r="J36" i="24"/>
  <c r="F65" i="20"/>
  <c r="F131" i="20" s="1"/>
  <c r="F76" i="20"/>
  <c r="F132" i="20" s="1"/>
  <c r="H135" i="26"/>
  <c r="H117" i="26" s="1"/>
  <c r="F118" i="25"/>
  <c r="F119" i="25" s="1"/>
  <c r="H42" i="20"/>
  <c r="H63" i="20" s="1"/>
  <c r="H65" i="20" s="1"/>
  <c r="H131" i="20" s="1"/>
  <c r="F116" i="24"/>
  <c r="F122" i="24" s="1"/>
  <c r="H76" i="20"/>
  <c r="H132" i="20" s="1"/>
  <c r="F135" i="12"/>
  <c r="F117" i="12" s="1"/>
  <c r="F91" i="10"/>
  <c r="F101" i="10" s="1"/>
  <c r="F103" i="10" s="1"/>
  <c r="F133" i="10" s="1"/>
  <c r="F42" i="10"/>
  <c r="F63" i="10" s="1"/>
  <c r="F65" i="10" s="1"/>
  <c r="F131" i="10" s="1"/>
  <c r="F135" i="26"/>
  <c r="F117" i="26" s="1"/>
  <c r="H135" i="25"/>
  <c r="H117" i="25" s="1"/>
  <c r="H117" i="22"/>
  <c r="H119" i="22" s="1"/>
  <c r="F91" i="22"/>
  <c r="F101" i="22" s="1"/>
  <c r="F103" i="22" s="1"/>
  <c r="F133" i="22" s="1"/>
  <c r="F42" i="21"/>
  <c r="F63" i="21" s="1"/>
  <c r="F65" i="21" s="1"/>
  <c r="F131" i="21" s="1"/>
  <c r="H91" i="20"/>
  <c r="H101" i="20" s="1"/>
  <c r="H103" i="20" s="1"/>
  <c r="H133" i="20" s="1"/>
  <c r="F76" i="19"/>
  <c r="F132" i="19" s="1"/>
  <c r="H118" i="12"/>
  <c r="H117" i="12"/>
  <c r="H91" i="10"/>
  <c r="H101" i="10" s="1"/>
  <c r="H103" i="10" s="1"/>
  <c r="H133" i="10" s="1"/>
  <c r="F76" i="10"/>
  <c r="F132" i="10" s="1"/>
  <c r="H76" i="10"/>
  <c r="H132" i="10" s="1"/>
  <c r="H42" i="10"/>
  <c r="H63" i="10" s="1"/>
  <c r="H65" i="10" s="1"/>
  <c r="H131" i="10" s="1"/>
  <c r="F42" i="38"/>
  <c r="F63" i="38" s="1"/>
  <c r="F65" i="38" s="1"/>
  <c r="F131" i="38" s="1"/>
  <c r="H42" i="38"/>
  <c r="H63" i="38" s="1"/>
  <c r="H65" i="38" s="1"/>
  <c r="H131" i="38" s="1"/>
  <c r="H91" i="38"/>
  <c r="H101" i="38" s="1"/>
  <c r="H103" i="38" s="1"/>
  <c r="H133" i="38" s="1"/>
  <c r="F91" i="38"/>
  <c r="F101" i="38" s="1"/>
  <c r="F103" i="38" s="1"/>
  <c r="F133" i="38" s="1"/>
  <c r="F76" i="38"/>
  <c r="F132" i="38" s="1"/>
  <c r="H76" i="38"/>
  <c r="H132" i="38" s="1"/>
  <c r="F117" i="39"/>
  <c r="F118" i="39"/>
  <c r="H117" i="39"/>
  <c r="H118" i="39"/>
  <c r="H135" i="23"/>
  <c r="F135" i="23"/>
  <c r="F42" i="22"/>
  <c r="F63" i="22" s="1"/>
  <c r="F65" i="22" s="1"/>
  <c r="F131" i="22" s="1"/>
  <c r="F76" i="22"/>
  <c r="F132" i="22" s="1"/>
  <c r="H76" i="21"/>
  <c r="H132" i="21" s="1"/>
  <c r="F91" i="21"/>
  <c r="F101" i="21" s="1"/>
  <c r="F103" i="21" s="1"/>
  <c r="F133" i="21" s="1"/>
  <c r="F76" i="21"/>
  <c r="F132" i="21" s="1"/>
  <c r="H91" i="21"/>
  <c r="H101" i="21" s="1"/>
  <c r="H103" i="21" s="1"/>
  <c r="H133" i="21" s="1"/>
  <c r="H42" i="21"/>
  <c r="H63" i="21" s="1"/>
  <c r="H65" i="21" s="1"/>
  <c r="H131" i="21" s="1"/>
  <c r="H76" i="19"/>
  <c r="H132" i="19" s="1"/>
  <c r="H42" i="19"/>
  <c r="H63" i="19" s="1"/>
  <c r="H65" i="19" s="1"/>
  <c r="H131" i="19" s="1"/>
  <c r="H91" i="19"/>
  <c r="H101" i="19" s="1"/>
  <c r="H103" i="19" s="1"/>
  <c r="H133" i="19" s="1"/>
  <c r="F91" i="19"/>
  <c r="F101" i="19" s="1"/>
  <c r="F103" i="19" s="1"/>
  <c r="F133" i="19" s="1"/>
  <c r="F42" i="19"/>
  <c r="F63" i="19" s="1"/>
  <c r="F65" i="19" s="1"/>
  <c r="F131" i="19" s="1"/>
  <c r="J75" i="24" l="1"/>
  <c r="J131" i="24" s="1"/>
  <c r="J90" i="24"/>
  <c r="J100" i="24" s="1"/>
  <c r="J102" i="24" s="1"/>
  <c r="J132" i="24" s="1"/>
  <c r="J42" i="24"/>
  <c r="J62" i="24" s="1"/>
  <c r="J64" i="24" s="1"/>
  <c r="J130" i="24" s="1"/>
  <c r="G134" i="24"/>
  <c r="F135" i="20"/>
  <c r="F118" i="20" s="1"/>
  <c r="F118" i="12"/>
  <c r="F119" i="12" s="1"/>
  <c r="H119" i="39"/>
  <c r="H118" i="26"/>
  <c r="H123" i="26" s="1"/>
  <c r="F123" i="25"/>
  <c r="F124" i="25" s="1"/>
  <c r="F136" i="25" s="1"/>
  <c r="F137" i="25" s="1"/>
  <c r="H123" i="22"/>
  <c r="H124" i="22" s="1"/>
  <c r="H136" i="22" s="1"/>
  <c r="H137" i="22" s="1"/>
  <c r="H135" i="21"/>
  <c r="H117" i="21" s="1"/>
  <c r="H135" i="20"/>
  <c r="H117" i="20" s="1"/>
  <c r="F118" i="24"/>
  <c r="F123" i="24" s="1"/>
  <c r="F135" i="24" s="1"/>
  <c r="F136" i="24" s="1"/>
  <c r="I40" i="2" s="1"/>
  <c r="H135" i="10"/>
  <c r="H117" i="10" s="1"/>
  <c r="F135" i="38"/>
  <c r="F117" i="38" s="1"/>
  <c r="F135" i="21"/>
  <c r="F117" i="21" s="1"/>
  <c r="H123" i="39"/>
  <c r="F123" i="39"/>
  <c r="F118" i="26"/>
  <c r="F119" i="26" s="1"/>
  <c r="H118" i="25"/>
  <c r="H119" i="25" s="1"/>
  <c r="F135" i="19"/>
  <c r="F118" i="19" s="1"/>
  <c r="H135" i="19"/>
  <c r="H118" i="19" s="1"/>
  <c r="H119" i="12"/>
  <c r="H123" i="12"/>
  <c r="F135" i="10"/>
  <c r="H135" i="38"/>
  <c r="F119" i="39"/>
  <c r="F117" i="23"/>
  <c r="F118" i="23"/>
  <c r="H117" i="23"/>
  <c r="H118" i="23"/>
  <c r="F135" i="22"/>
  <c r="J134" i="24" l="1"/>
  <c r="J117" i="24" s="1"/>
  <c r="G116" i="24"/>
  <c r="G117" i="24"/>
  <c r="F117" i="20"/>
  <c r="F123" i="20" s="1"/>
  <c r="F123" i="12"/>
  <c r="F124" i="12" s="1"/>
  <c r="F136" i="12" s="1"/>
  <c r="F137" i="12" s="1"/>
  <c r="I29" i="2" s="1"/>
  <c r="F118" i="38"/>
  <c r="F119" i="38" s="1"/>
  <c r="H124" i="39"/>
  <c r="H136" i="39" s="1"/>
  <c r="H137" i="39" s="1"/>
  <c r="I97" i="2" s="1"/>
  <c r="K97" i="2" s="1"/>
  <c r="F124" i="39"/>
  <c r="F136" i="39" s="1"/>
  <c r="F137" i="39" s="1"/>
  <c r="I57" i="2" s="1"/>
  <c r="H119" i="26"/>
  <c r="H124" i="26" s="1"/>
  <c r="H136" i="26" s="1"/>
  <c r="H137" i="26" s="1"/>
  <c r="H119" i="23"/>
  <c r="H118" i="21"/>
  <c r="H119" i="21" s="1"/>
  <c r="H118" i="20"/>
  <c r="H119" i="20" s="1"/>
  <c r="H118" i="10"/>
  <c r="H119" i="10" s="1"/>
  <c r="H123" i="25"/>
  <c r="H124" i="25" s="1"/>
  <c r="H136" i="25" s="1"/>
  <c r="H137" i="25" s="1"/>
  <c r="I55" i="2"/>
  <c r="I35" i="2"/>
  <c r="F119" i="23"/>
  <c r="I93" i="2"/>
  <c r="K93" i="2" s="1"/>
  <c r="I73" i="2"/>
  <c r="K73" i="2" s="1"/>
  <c r="F118" i="21"/>
  <c r="F119" i="21" s="1"/>
  <c r="F117" i="19"/>
  <c r="F119" i="19" s="1"/>
  <c r="F123" i="26"/>
  <c r="F124" i="26" s="1"/>
  <c r="F136" i="26" s="1"/>
  <c r="F137" i="26" s="1"/>
  <c r="H117" i="19"/>
  <c r="H119" i="19" s="1"/>
  <c r="F117" i="10"/>
  <c r="F118" i="10"/>
  <c r="H117" i="38"/>
  <c r="H118" i="38"/>
  <c r="F123" i="23"/>
  <c r="H123" i="23"/>
  <c r="F117" i="22"/>
  <c r="F118" i="22"/>
  <c r="J116" i="24" l="1"/>
  <c r="J118" i="24" s="1"/>
  <c r="G118" i="24"/>
  <c r="G122" i="24"/>
  <c r="F119" i="20"/>
  <c r="F124" i="20" s="1"/>
  <c r="F136" i="20" s="1"/>
  <c r="F137" i="20" s="1"/>
  <c r="I31" i="2" s="1"/>
  <c r="F119" i="10"/>
  <c r="H123" i="10"/>
  <c r="H124" i="10" s="1"/>
  <c r="H136" i="10" s="1"/>
  <c r="H137" i="10" s="1"/>
  <c r="I101" i="2" s="1"/>
  <c r="K101" i="2" s="1"/>
  <c r="F123" i="10"/>
  <c r="F124" i="10" s="1"/>
  <c r="F136" i="10" s="1"/>
  <c r="F137" i="10" s="1"/>
  <c r="F123" i="38"/>
  <c r="F124" i="38" s="1"/>
  <c r="F136" i="38" s="1"/>
  <c r="F137" i="38" s="1"/>
  <c r="I77" i="2"/>
  <c r="K77" i="2" s="1"/>
  <c r="I37" i="2"/>
  <c r="I96" i="2"/>
  <c r="K96" i="2" s="1"/>
  <c r="I76" i="2"/>
  <c r="K76" i="2" s="1"/>
  <c r="H124" i="23"/>
  <c r="H136" i="23" s="1"/>
  <c r="H137" i="23" s="1"/>
  <c r="I74" i="2" s="1"/>
  <c r="K74" i="2" s="1"/>
  <c r="F124" i="23"/>
  <c r="F136" i="23" s="1"/>
  <c r="F137" i="23" s="1"/>
  <c r="I54" i="2" s="1"/>
  <c r="H123" i="21"/>
  <c r="H124" i="21" s="1"/>
  <c r="H136" i="21" s="1"/>
  <c r="H137" i="21" s="1"/>
  <c r="F123" i="21"/>
  <c r="F124" i="21" s="1"/>
  <c r="F136" i="21" s="1"/>
  <c r="F137" i="21" s="1"/>
  <c r="I32" i="2" s="1"/>
  <c r="H123" i="20"/>
  <c r="H124" i="20" s="1"/>
  <c r="H136" i="20" s="1"/>
  <c r="H137" i="20" s="1"/>
  <c r="F123" i="19"/>
  <c r="F124" i="19" s="1"/>
  <c r="F136" i="19" s="1"/>
  <c r="F137" i="19" s="1"/>
  <c r="I49" i="2"/>
  <c r="I56" i="2"/>
  <c r="I36" i="2"/>
  <c r="I95" i="2"/>
  <c r="K95" i="2" s="1"/>
  <c r="I75" i="2"/>
  <c r="K75" i="2" s="1"/>
  <c r="H123" i="38"/>
  <c r="F119" i="22"/>
  <c r="H123" i="19"/>
  <c r="H119" i="38"/>
  <c r="F123" i="22"/>
  <c r="J122" i="24" l="1"/>
  <c r="J123" i="24" s="1"/>
  <c r="J135" i="24" s="1"/>
  <c r="J136" i="24" s="1"/>
  <c r="I100" i="2" s="1"/>
  <c r="K100" i="2" s="1"/>
  <c r="G123" i="24"/>
  <c r="G135" i="24" s="1"/>
  <c r="G136" i="24" s="1"/>
  <c r="I51" i="2"/>
  <c r="I81" i="2"/>
  <c r="K81" i="2" s="1"/>
  <c r="I94" i="2"/>
  <c r="K94" i="2" s="1"/>
  <c r="I34" i="2"/>
  <c r="I52" i="2"/>
  <c r="I30" i="2"/>
  <c r="I50" i="2"/>
  <c r="I61" i="2"/>
  <c r="I41" i="2"/>
  <c r="I39" i="2"/>
  <c r="I59" i="2"/>
  <c r="F124" i="22"/>
  <c r="F136" i="22" s="1"/>
  <c r="F137" i="22" s="1"/>
  <c r="I72" i="2"/>
  <c r="K72" i="2" s="1"/>
  <c r="I92" i="2"/>
  <c r="K92" i="2" s="1"/>
  <c r="I91" i="2"/>
  <c r="K91" i="2" s="1"/>
  <c r="I71" i="2"/>
  <c r="K71" i="2" s="1"/>
  <c r="H124" i="38"/>
  <c r="H136" i="38" s="1"/>
  <c r="H137" i="38" s="1"/>
  <c r="K80" i="2" l="1"/>
  <c r="I60" i="2"/>
  <c r="K60" i="2" s="1"/>
  <c r="I99" i="2"/>
  <c r="K99" i="2" s="1"/>
  <c r="I79" i="2"/>
  <c r="K79" i="2" s="1"/>
  <c r="I33" i="2"/>
  <c r="K33" i="2" s="1"/>
  <c r="I53" i="2"/>
  <c r="K53" i="2" s="1"/>
  <c r="F52" i="6"/>
  <c r="H102" i="6"/>
  <c r="H13" i="6"/>
  <c r="J13" i="6" s="1"/>
  <c r="K57" i="2"/>
  <c r="K56" i="2"/>
  <c r="K55" i="2"/>
  <c r="K54" i="2"/>
  <c r="K52" i="2"/>
  <c r="K51" i="2"/>
  <c r="K50" i="2"/>
  <c r="K49" i="2"/>
  <c r="K61" i="2"/>
  <c r="K59" i="2"/>
  <c r="K37" i="2"/>
  <c r="K36" i="2"/>
  <c r="K35" i="2"/>
  <c r="K34" i="2"/>
  <c r="K32" i="2"/>
  <c r="K31" i="2"/>
  <c r="K30" i="2"/>
  <c r="K29" i="2"/>
  <c r="K41" i="2"/>
  <c r="K40" i="2"/>
  <c r="K39" i="2"/>
  <c r="K17" i="2"/>
  <c r="K16" i="2"/>
  <c r="K15" i="2"/>
  <c r="K14" i="2"/>
  <c r="K13" i="2"/>
  <c r="K12" i="2"/>
  <c r="K11" i="2"/>
  <c r="K10" i="2"/>
  <c r="K9" i="2"/>
  <c r="K21" i="2"/>
  <c r="K19" i="2"/>
  <c r="J52" i="6"/>
  <c r="H52" i="6"/>
  <c r="G124" i="6" l="1"/>
  <c r="G91" i="6"/>
  <c r="H56" i="6"/>
  <c r="H64" i="6" s="1"/>
  <c r="G42" i="6"/>
  <c r="H19" i="6"/>
  <c r="J102" i="6"/>
  <c r="F102" i="6"/>
  <c r="I91" i="6"/>
  <c r="E91" i="6"/>
  <c r="I42" i="6"/>
  <c r="F19" i="6"/>
  <c r="J56" i="6"/>
  <c r="J64" i="6" s="1"/>
  <c r="G121" i="33"/>
  <c r="G120" i="33"/>
  <c r="H108" i="33"/>
  <c r="H107" i="33"/>
  <c r="G91" i="33"/>
  <c r="G42" i="33"/>
  <c r="G119" i="33" l="1"/>
  <c r="G124" i="33" s="1"/>
  <c r="E42" i="6"/>
  <c r="H134" i="6"/>
  <c r="I124" i="6"/>
  <c r="G27" i="6"/>
  <c r="H25" i="6"/>
  <c r="H130" i="6"/>
  <c r="E124" i="6"/>
  <c r="F56" i="6"/>
  <c r="F64" i="6" s="1"/>
  <c r="F134" i="6"/>
  <c r="J134" i="6"/>
  <c r="F130" i="6"/>
  <c r="I27" i="6"/>
  <c r="J19" i="6"/>
  <c r="J25" i="6" s="1"/>
  <c r="F25" i="6"/>
  <c r="H111" i="33"/>
  <c r="G27" i="33"/>
  <c r="G76" i="6" l="1"/>
  <c r="I76" i="6"/>
  <c r="E27" i="6"/>
  <c r="H26" i="6"/>
  <c r="H27" i="6" s="1"/>
  <c r="J130" i="6"/>
  <c r="E76" i="6"/>
  <c r="J26" i="6"/>
  <c r="J27" i="6" s="1"/>
  <c r="F26" i="6"/>
  <c r="F27" i="6" s="1"/>
  <c r="F69" i="6" s="1"/>
  <c r="F36" i="6" l="1"/>
  <c r="F35" i="6"/>
  <c r="H72" i="6"/>
  <c r="H74" i="6"/>
  <c r="H73" i="6"/>
  <c r="H62" i="6"/>
  <c r="H87" i="6"/>
  <c r="H75" i="6"/>
  <c r="H86" i="6"/>
  <c r="H38" i="6"/>
  <c r="H85" i="6"/>
  <c r="H34" i="6"/>
  <c r="H35" i="6"/>
  <c r="H36" i="6"/>
  <c r="H69" i="6"/>
  <c r="H41" i="6"/>
  <c r="H90" i="6"/>
  <c r="H71" i="6"/>
  <c r="H37" i="6"/>
  <c r="H40" i="6"/>
  <c r="H89" i="6"/>
  <c r="H39" i="6"/>
  <c r="H88" i="6"/>
  <c r="H70" i="6"/>
  <c r="F62" i="6"/>
  <c r="F40" i="6"/>
  <c r="F75" i="6"/>
  <c r="F39" i="6"/>
  <c r="F74" i="6"/>
  <c r="F86" i="6"/>
  <c r="F34" i="6"/>
  <c r="F90" i="6"/>
  <c r="F88" i="6"/>
  <c r="F85" i="6"/>
  <c r="F87" i="6"/>
  <c r="F41" i="6"/>
  <c r="F38" i="6"/>
  <c r="F37" i="6"/>
  <c r="F89" i="6"/>
  <c r="F72" i="6"/>
  <c r="F73" i="6"/>
  <c r="F71" i="6"/>
  <c r="F70" i="6"/>
  <c r="J62" i="6"/>
  <c r="J71" i="6"/>
  <c r="J73" i="6"/>
  <c r="J38" i="6"/>
  <c r="J85" i="6"/>
  <c r="J70" i="6"/>
  <c r="J90" i="6"/>
  <c r="J75" i="6"/>
  <c r="J72" i="6"/>
  <c r="J86" i="6"/>
  <c r="J74" i="6"/>
  <c r="J89" i="6"/>
  <c r="J36" i="6"/>
  <c r="J69" i="6"/>
  <c r="J35" i="6"/>
  <c r="J34" i="6"/>
  <c r="J37" i="6"/>
  <c r="J41" i="6"/>
  <c r="J88" i="6"/>
  <c r="J87" i="6"/>
  <c r="J39" i="6"/>
  <c r="J40" i="6"/>
  <c r="F76" i="6" l="1"/>
  <c r="H76" i="6"/>
  <c r="H132" i="6" s="1"/>
  <c r="H42" i="6"/>
  <c r="H63" i="6" s="1"/>
  <c r="H65" i="6" s="1"/>
  <c r="H131" i="6" s="1"/>
  <c r="H91" i="6"/>
  <c r="J76" i="6"/>
  <c r="J132" i="6" s="1"/>
  <c r="F91" i="6"/>
  <c r="F101" i="6" s="1"/>
  <c r="F103" i="6" s="1"/>
  <c r="F133" i="6" s="1"/>
  <c r="J91" i="6"/>
  <c r="J101" i="6" s="1"/>
  <c r="J103" i="6" s="1"/>
  <c r="J133" i="6" s="1"/>
  <c r="F42" i="6"/>
  <c r="F63" i="6" s="1"/>
  <c r="F65" i="6" s="1"/>
  <c r="F131" i="6" s="1"/>
  <c r="J42" i="6"/>
  <c r="J63" i="6" s="1"/>
  <c r="J65" i="6" s="1"/>
  <c r="J131" i="6" s="1"/>
  <c r="H101" i="6" l="1"/>
  <c r="H103" i="6" s="1"/>
  <c r="H133" i="6" s="1"/>
  <c r="H135" i="6" s="1"/>
  <c r="F132" i="6"/>
  <c r="F135" i="6" s="1"/>
  <c r="J135" i="6"/>
  <c r="H118" i="6" l="1"/>
  <c r="H117" i="6"/>
  <c r="F118" i="6"/>
  <c r="F117" i="6"/>
  <c r="F119" i="6" s="1"/>
  <c r="J118" i="6"/>
  <c r="J117" i="6"/>
  <c r="J123" i="6" l="1"/>
  <c r="H123" i="6"/>
  <c r="F123" i="6"/>
  <c r="H119" i="6"/>
  <c r="J119" i="6"/>
  <c r="H51" i="33" l="1"/>
  <c r="H15" i="33"/>
  <c r="G76" i="33"/>
  <c r="H102" i="33"/>
  <c r="H52" i="33"/>
  <c r="F108" i="33"/>
  <c r="F107" i="33"/>
  <c r="F52" i="33"/>
  <c r="D52" i="33"/>
  <c r="D51" i="33"/>
  <c r="F15" i="33"/>
  <c r="F19" i="33" s="1"/>
  <c r="F27" i="33" l="1"/>
  <c r="H134" i="33"/>
  <c r="H56" i="33"/>
  <c r="H64" i="33" s="1"/>
  <c r="F51" i="33"/>
  <c r="H19" i="33"/>
  <c r="F69" i="33" l="1"/>
  <c r="F38" i="33"/>
  <c r="F41" i="33"/>
  <c r="F72" i="33"/>
  <c r="F35" i="33"/>
  <c r="F71" i="33"/>
  <c r="F36" i="33"/>
  <c r="F73" i="33"/>
  <c r="F39" i="33"/>
  <c r="F75" i="33"/>
  <c r="F70" i="33"/>
  <c r="F37" i="33"/>
  <c r="F74" i="33"/>
  <c r="F40" i="33"/>
  <c r="H130" i="33"/>
  <c r="H27" i="33" l="1"/>
  <c r="H73" i="33" s="1"/>
  <c r="H69" i="33"/>
  <c r="H40" i="33"/>
  <c r="H72" i="33"/>
  <c r="H35" i="33"/>
  <c r="H70" i="33"/>
  <c r="H71" i="33"/>
  <c r="H74" i="33"/>
  <c r="H41" i="33"/>
  <c r="F91" i="33"/>
  <c r="F42" i="33"/>
  <c r="F76" i="33"/>
  <c r="H62" i="33"/>
  <c r="H36" i="33" l="1"/>
  <c r="H85" i="33"/>
  <c r="H86" i="33"/>
  <c r="H87" i="33"/>
  <c r="H88" i="33"/>
  <c r="H89" i="33"/>
  <c r="H90" i="33"/>
  <c r="H38" i="33"/>
  <c r="H37" i="33"/>
  <c r="H75" i="33"/>
  <c r="H39" i="33"/>
  <c r="H76" i="33"/>
  <c r="H42" i="33"/>
  <c r="H63" i="33" s="1"/>
  <c r="H65" i="33" s="1"/>
  <c r="H131" i="33" s="1"/>
  <c r="H91" i="33"/>
  <c r="H101" i="33" s="1"/>
  <c r="H103" i="33" s="1"/>
  <c r="H133" i="33" s="1"/>
  <c r="F111" i="33" l="1"/>
  <c r="F134" i="33" s="1"/>
  <c r="F102" i="33"/>
  <c r="F130" i="33"/>
  <c r="F21" i="43"/>
  <c r="F18" i="43"/>
  <c r="F12" i="36" l="1"/>
  <c r="C7" i="46" s="1"/>
  <c r="E7" i="46" s="1"/>
  <c r="F7" i="46" s="1"/>
  <c r="G7" i="46" s="1"/>
  <c r="E11" i="36"/>
  <c r="E12" i="47"/>
  <c r="F13" i="47"/>
  <c r="C8" i="46"/>
  <c r="E8" i="46" s="1"/>
  <c r="F8" i="46" s="1"/>
  <c r="G8" i="46" s="1"/>
  <c r="F20" i="43" l="1"/>
  <c r="F19" i="43"/>
  <c r="F17" i="43"/>
  <c r="F16" i="43"/>
  <c r="F15" i="43"/>
  <c r="F14" i="43"/>
  <c r="F13" i="43"/>
  <c r="F12" i="43"/>
  <c r="F11" i="43"/>
  <c r="F10" i="43"/>
  <c r="F9" i="43"/>
  <c r="F8" i="43"/>
  <c r="F5" i="43"/>
  <c r="F6" i="43"/>
  <c r="F4" i="43"/>
  <c r="E21" i="43"/>
  <c r="D52" i="24"/>
  <c r="D52" i="6"/>
  <c r="D15" i="39"/>
  <c r="D14" i="12"/>
  <c r="C12" i="44" l="1"/>
  <c r="C17" i="44" s="1"/>
  <c r="F3" i="47" s="1"/>
  <c r="G3" i="47" s="1"/>
  <c r="G4" i="47" s="1"/>
  <c r="G11" i="44"/>
  <c r="G15" i="44" s="1"/>
  <c r="F3" i="36" s="1"/>
  <c r="G3" i="36" s="1"/>
  <c r="G4" i="36" s="1"/>
  <c r="C9" i="44"/>
  <c r="G8" i="44"/>
  <c r="K6" i="44"/>
  <c r="K10" i="44" s="1"/>
  <c r="C6" i="46" l="1"/>
  <c r="E6" i="46" s="1"/>
  <c r="F6" i="46" s="1"/>
  <c r="G6" i="46" s="1"/>
  <c r="D19" i="24" l="1"/>
  <c r="D15" i="22"/>
  <c r="D19" i="6"/>
  <c r="D52" i="10" l="1"/>
  <c r="D52" i="38"/>
  <c r="D51" i="38"/>
  <c r="D52" i="39"/>
  <c r="D51" i="39"/>
  <c r="D19" i="38"/>
  <c r="D15" i="23"/>
  <c r="D19" i="23" s="1"/>
  <c r="D19" i="39"/>
  <c r="D52" i="26"/>
  <c r="D51" i="26"/>
  <c r="D19" i="26"/>
  <c r="D52" i="25"/>
  <c r="D51" i="25"/>
  <c r="D19" i="25"/>
  <c r="D51" i="23"/>
  <c r="D52" i="23"/>
  <c r="D51" i="22"/>
  <c r="D52" i="22"/>
  <c r="D52" i="21"/>
  <c r="D51" i="21"/>
  <c r="D19" i="21"/>
  <c r="F56" i="33"/>
  <c r="F64" i="33" s="1"/>
  <c r="D51" i="20"/>
  <c r="D52" i="20"/>
  <c r="D19" i="20"/>
  <c r="D51" i="19"/>
  <c r="D51" i="12"/>
  <c r="D52" i="12"/>
  <c r="D52" i="19"/>
  <c r="D19" i="19"/>
  <c r="D19" i="12"/>
  <c r="D56" i="19" l="1"/>
  <c r="D56" i="12"/>
  <c r="D56" i="33"/>
  <c r="D26" i="12"/>
  <c r="D25" i="12"/>
  <c r="D19" i="22"/>
  <c r="D27" i="12" l="1"/>
  <c r="D62" i="12" s="1"/>
  <c r="D41" i="12"/>
  <c r="D34" i="12" l="1"/>
  <c r="D15" i="33" l="1"/>
  <c r="C121" i="39" l="1"/>
  <c r="C120" i="39"/>
  <c r="C119" i="39" s="1"/>
  <c r="C97" i="39"/>
  <c r="D102" i="39" s="1"/>
  <c r="C91" i="39"/>
  <c r="D56" i="39"/>
  <c r="D64" i="39" s="1"/>
  <c r="C42" i="39"/>
  <c r="C27" i="39"/>
  <c r="C121" i="38"/>
  <c r="C120" i="38"/>
  <c r="C119" i="38" s="1"/>
  <c r="C124" i="38" s="1"/>
  <c r="C97" i="38"/>
  <c r="D102" i="38" s="1"/>
  <c r="C91" i="38"/>
  <c r="D56" i="38"/>
  <c r="D64" i="38" s="1"/>
  <c r="C42" i="38"/>
  <c r="C76" i="38" s="1"/>
  <c r="C27" i="38"/>
  <c r="C124" i="39" l="1"/>
  <c r="C76" i="39"/>
  <c r="D26" i="39"/>
  <c r="D25" i="39"/>
  <c r="D130" i="39"/>
  <c r="D25" i="38"/>
  <c r="D26" i="38"/>
  <c r="D130" i="38"/>
  <c r="D27" i="38" l="1"/>
  <c r="D89" i="38"/>
  <c r="D73" i="38"/>
  <c r="D70" i="38"/>
  <c r="D27" i="39"/>
  <c r="D69" i="38"/>
  <c r="D87" i="38"/>
  <c r="D62" i="38"/>
  <c r="D86" i="38"/>
  <c r="D85" i="38"/>
  <c r="D74" i="38"/>
  <c r="D39" i="38"/>
  <c r="D38" i="38"/>
  <c r="D37" i="38"/>
  <c r="D72" i="38"/>
  <c r="D36" i="38"/>
  <c r="D71" i="38"/>
  <c r="D35" i="38"/>
  <c r="D41" i="38"/>
  <c r="D75" i="38"/>
  <c r="D40" i="38"/>
  <c r="F3" i="35"/>
  <c r="I3" i="35" s="1"/>
  <c r="F4" i="35"/>
  <c r="I4" i="35" s="1"/>
  <c r="F5" i="35"/>
  <c r="I5" i="35" s="1"/>
  <c r="F6" i="35"/>
  <c r="I6" i="35" s="1"/>
  <c r="F7" i="35"/>
  <c r="I7" i="35" s="1"/>
  <c r="F8" i="35"/>
  <c r="I8" i="35" s="1"/>
  <c r="F9" i="35"/>
  <c r="I9" i="35" s="1"/>
  <c r="F10" i="35"/>
  <c r="I10" i="35" s="1"/>
  <c r="F11" i="35"/>
  <c r="I11" i="35"/>
  <c r="F12" i="35"/>
  <c r="I12" i="35" s="1"/>
  <c r="F13" i="35"/>
  <c r="I13" i="35" s="1"/>
  <c r="F14" i="35"/>
  <c r="I14" i="35" s="1"/>
  <c r="F15" i="35"/>
  <c r="I15" i="35" s="1"/>
  <c r="F16" i="35"/>
  <c r="I16" i="35" s="1"/>
  <c r="F17" i="35"/>
  <c r="I17" i="35" s="1"/>
  <c r="F18" i="35"/>
  <c r="I18" i="35" s="1"/>
  <c r="F19" i="35"/>
  <c r="I19" i="35" s="1"/>
  <c r="F20" i="35"/>
  <c r="I20" i="35" s="1"/>
  <c r="F21" i="35"/>
  <c r="I21" i="35" s="1"/>
  <c r="F22" i="35"/>
  <c r="I22" i="35" s="1"/>
  <c r="F23" i="35"/>
  <c r="I23" i="35" s="1"/>
  <c r="F24" i="35"/>
  <c r="I24" i="35" s="1"/>
  <c r="F25" i="35"/>
  <c r="I25" i="35" s="1"/>
  <c r="F26" i="35"/>
  <c r="I26" i="35" s="1"/>
  <c r="F27" i="35"/>
  <c r="I27" i="35" s="1"/>
  <c r="F28" i="35"/>
  <c r="I28" i="35" s="1"/>
  <c r="F29" i="35"/>
  <c r="I29" i="35" s="1"/>
  <c r="F30" i="35"/>
  <c r="I30" i="35" s="1"/>
  <c r="F31" i="35"/>
  <c r="I31" i="35" s="1"/>
  <c r="F32" i="35"/>
  <c r="I32" i="35" s="1"/>
  <c r="F33" i="35"/>
  <c r="I33" i="35" s="1"/>
  <c r="F34" i="35"/>
  <c r="I34" i="35" s="1"/>
  <c r="F35" i="35"/>
  <c r="I35" i="35" s="1"/>
  <c r="F36" i="35"/>
  <c r="I36" i="35" s="1"/>
  <c r="F37" i="35"/>
  <c r="I37" i="35" s="1"/>
  <c r="F38" i="35"/>
  <c r="I38" i="35" s="1"/>
  <c r="F39" i="35"/>
  <c r="I39" i="35" s="1"/>
  <c r="F40" i="35"/>
  <c r="I40" i="35" s="1"/>
  <c r="F41" i="35"/>
  <c r="I41" i="35" s="1"/>
  <c r="F42" i="35"/>
  <c r="I42" i="35" s="1"/>
  <c r="F43" i="35"/>
  <c r="I43" i="35" s="1"/>
  <c r="F44" i="35"/>
  <c r="I44" i="35" s="1"/>
  <c r="F45" i="35"/>
  <c r="I45" i="35" s="1"/>
  <c r="F46" i="35"/>
  <c r="I46" i="35" s="1"/>
  <c r="F47" i="35"/>
  <c r="I47" i="35" s="1"/>
  <c r="F48" i="35"/>
  <c r="I48" i="35" s="1"/>
  <c r="F49" i="35"/>
  <c r="I49" i="35"/>
  <c r="F50" i="35"/>
  <c r="I50" i="35" s="1"/>
  <c r="F51" i="35"/>
  <c r="I51" i="35" s="1"/>
  <c r="F52" i="35"/>
  <c r="I52" i="35" s="1"/>
  <c r="F53" i="35"/>
  <c r="I53" i="35" s="1"/>
  <c r="F54" i="35"/>
  <c r="I54" i="35" s="1"/>
  <c r="F55" i="35"/>
  <c r="I55" i="35" s="1"/>
  <c r="F56" i="35"/>
  <c r="I56" i="35" s="1"/>
  <c r="F57" i="35"/>
  <c r="I57" i="35" s="1"/>
  <c r="F58" i="35"/>
  <c r="I58" i="35"/>
  <c r="F59" i="35"/>
  <c r="I59" i="35" s="1"/>
  <c r="F60" i="35"/>
  <c r="I60" i="35" s="1"/>
  <c r="F61" i="35"/>
  <c r="I61" i="35" s="1"/>
  <c r="F62" i="35"/>
  <c r="I62" i="35" s="1"/>
  <c r="F63" i="35"/>
  <c r="I63" i="35" s="1"/>
  <c r="F64" i="35"/>
  <c r="I64" i="35"/>
  <c r="F65" i="35"/>
  <c r="I65" i="35" s="1"/>
  <c r="F66" i="35"/>
  <c r="I66" i="35" s="1"/>
  <c r="F67" i="35"/>
  <c r="I67" i="35" s="1"/>
  <c r="F68" i="35"/>
  <c r="I68" i="35" s="1"/>
  <c r="F69" i="35"/>
  <c r="I69" i="35" s="1"/>
  <c r="F70" i="35"/>
  <c r="I70" i="35" s="1"/>
  <c r="F71" i="35"/>
  <c r="I71" i="35" s="1"/>
  <c r="F72" i="35"/>
  <c r="I72" i="35" s="1"/>
  <c r="F73" i="35"/>
  <c r="I73" i="35" s="1"/>
  <c r="F74" i="35"/>
  <c r="I74" i="35"/>
  <c r="F75" i="35"/>
  <c r="I75" i="35"/>
  <c r="F76" i="35"/>
  <c r="I76" i="35" s="1"/>
  <c r="F77" i="35"/>
  <c r="I77" i="35" s="1"/>
  <c r="F78" i="35"/>
  <c r="I78" i="35" s="1"/>
  <c r="F79" i="35"/>
  <c r="I79" i="35" s="1"/>
  <c r="F80" i="35"/>
  <c r="I80" i="35"/>
  <c r="F81" i="35"/>
  <c r="I81" i="35"/>
  <c r="F82" i="35"/>
  <c r="I82" i="35" s="1"/>
  <c r="F83" i="35"/>
  <c r="I83" i="35" s="1"/>
  <c r="F84" i="35"/>
  <c r="I84" i="35" s="1"/>
  <c r="F85" i="35"/>
  <c r="I85" i="35" s="1"/>
  <c r="F86" i="35"/>
  <c r="I86" i="35" s="1"/>
  <c r="F87" i="35"/>
  <c r="I87" i="35" s="1"/>
  <c r="F88" i="35"/>
  <c r="I88" i="35" s="1"/>
  <c r="F89" i="35"/>
  <c r="I89" i="35" s="1"/>
  <c r="F90" i="35"/>
  <c r="I90" i="35"/>
  <c r="F91" i="35"/>
  <c r="I91" i="35" s="1"/>
  <c r="F92" i="35"/>
  <c r="I92" i="35" s="1"/>
  <c r="F93" i="35"/>
  <c r="I93" i="35" s="1"/>
  <c r="F94" i="35"/>
  <c r="I94" i="35" s="1"/>
  <c r="F95" i="35"/>
  <c r="I95" i="35" s="1"/>
  <c r="F96" i="35"/>
  <c r="I96" i="35"/>
  <c r="F97" i="35"/>
  <c r="I97" i="35" s="1"/>
  <c r="F98" i="35"/>
  <c r="I98" i="35" s="1"/>
  <c r="F99" i="35"/>
  <c r="I99" i="35" s="1"/>
  <c r="F100" i="35"/>
  <c r="I100" i="35" s="1"/>
  <c r="F101" i="35"/>
  <c r="I101" i="35" s="1"/>
  <c r="F102" i="35"/>
  <c r="I102" i="35" s="1"/>
  <c r="F103" i="35"/>
  <c r="I103" i="35" s="1"/>
  <c r="F104" i="35"/>
  <c r="I104" i="35" s="1"/>
  <c r="F105" i="35"/>
  <c r="I105" i="35" s="1"/>
  <c r="F106" i="35"/>
  <c r="I106" i="35"/>
  <c r="F107" i="35"/>
  <c r="I107" i="35"/>
  <c r="F108" i="35"/>
  <c r="I108" i="35" s="1"/>
  <c r="F109" i="35"/>
  <c r="I109" i="35" s="1"/>
  <c r="F110" i="35"/>
  <c r="I110" i="35" s="1"/>
  <c r="F111" i="35"/>
  <c r="I111" i="35" s="1"/>
  <c r="F112" i="35"/>
  <c r="I112" i="35"/>
  <c r="F113" i="35"/>
  <c r="I113" i="35"/>
  <c r="F114" i="35"/>
  <c r="I114" i="35" s="1"/>
  <c r="F115" i="35"/>
  <c r="I115" i="35" s="1"/>
  <c r="F116" i="35"/>
  <c r="I116" i="35" s="1"/>
  <c r="F117" i="35"/>
  <c r="I117" i="35" s="1"/>
  <c r="F118" i="35"/>
  <c r="I118" i="35" s="1"/>
  <c r="F119" i="35"/>
  <c r="I119" i="35" s="1"/>
  <c r="F120" i="35"/>
  <c r="I120" i="35" s="1"/>
  <c r="F121" i="35"/>
  <c r="I121" i="35" s="1"/>
  <c r="F122" i="35"/>
  <c r="I122" i="35"/>
  <c r="F123" i="35"/>
  <c r="I123" i="35" s="1"/>
  <c r="F124" i="35"/>
  <c r="I124" i="35" s="1"/>
  <c r="F125" i="35"/>
  <c r="I125" i="35" s="1"/>
  <c r="F126" i="35"/>
  <c r="I126" i="35" s="1"/>
  <c r="F127" i="35"/>
  <c r="I127" i="35" s="1"/>
  <c r="F128" i="35"/>
  <c r="I128" i="35"/>
  <c r="F129" i="35"/>
  <c r="I129" i="35" s="1"/>
  <c r="F130" i="35"/>
  <c r="I130" i="35" s="1"/>
  <c r="F131" i="35"/>
  <c r="I131" i="35" s="1"/>
  <c r="F132" i="35"/>
  <c r="I132" i="35" s="1"/>
  <c r="F133" i="35"/>
  <c r="I133" i="35" s="1"/>
  <c r="F134" i="35"/>
  <c r="I134" i="35" s="1"/>
  <c r="F135" i="35"/>
  <c r="I135" i="35" s="1"/>
  <c r="F136" i="35"/>
  <c r="I136" i="35" s="1"/>
  <c r="F137" i="35"/>
  <c r="I137" i="35" s="1"/>
  <c r="F138" i="35"/>
  <c r="I138" i="35" s="1"/>
  <c r="F139" i="35"/>
  <c r="I139" i="35"/>
  <c r="F140" i="35"/>
  <c r="I140" i="35" s="1"/>
  <c r="F141" i="35"/>
  <c r="I141" i="35" s="1"/>
  <c r="F142" i="35"/>
  <c r="I142" i="35" s="1"/>
  <c r="F143" i="35"/>
  <c r="I143" i="35" s="1"/>
  <c r="D131" i="34"/>
  <c r="E131" i="34" s="1"/>
  <c r="D132" i="34"/>
  <c r="E132" i="34" s="1"/>
  <c r="D133" i="34"/>
  <c r="E133" i="34" s="1"/>
  <c r="D134" i="34"/>
  <c r="E134" i="34" s="1"/>
  <c r="D135" i="34"/>
  <c r="E135" i="34" s="1"/>
  <c r="D130" i="34"/>
  <c r="E130" i="34" s="1"/>
  <c r="D124" i="34"/>
  <c r="E124" i="34" s="1"/>
  <c r="D123" i="34"/>
  <c r="E123" i="34" s="1"/>
  <c r="D114" i="34"/>
  <c r="E114" i="34" s="1"/>
  <c r="D115" i="34"/>
  <c r="E115" i="34" s="1"/>
  <c r="D116" i="34"/>
  <c r="E116" i="34" s="1"/>
  <c r="D117" i="34"/>
  <c r="E117" i="34" s="1"/>
  <c r="D113" i="34"/>
  <c r="E113" i="34" s="1"/>
  <c r="D106" i="34"/>
  <c r="E106" i="34" s="1"/>
  <c r="D107" i="34"/>
  <c r="E107" i="34" s="1"/>
  <c r="D100" i="34"/>
  <c r="E100" i="34" s="1"/>
  <c r="D88" i="34"/>
  <c r="E88" i="34" s="1"/>
  <c r="D89" i="34"/>
  <c r="E89" i="34" s="1"/>
  <c r="D90" i="34"/>
  <c r="E90" i="34" s="1"/>
  <c r="D91" i="34"/>
  <c r="E91" i="34" s="1"/>
  <c r="D92" i="34"/>
  <c r="E92" i="34" s="1"/>
  <c r="D93" i="34"/>
  <c r="E93" i="34" s="1"/>
  <c r="D94" i="34"/>
  <c r="E94" i="34" s="1"/>
  <c r="D87" i="34"/>
  <c r="E87" i="34" s="1"/>
  <c r="D81" i="34"/>
  <c r="E81" i="34" s="1"/>
  <c r="D75" i="34"/>
  <c r="E75" i="34" s="1"/>
  <c r="D76" i="34"/>
  <c r="E76" i="34" s="1"/>
  <c r="D77" i="34"/>
  <c r="E77" i="34" s="1"/>
  <c r="D78" i="34"/>
  <c r="E78" i="34" s="1"/>
  <c r="D79" i="34"/>
  <c r="E79" i="34" s="1"/>
  <c r="D80" i="34"/>
  <c r="E80" i="34" s="1"/>
  <c r="D74" i="34"/>
  <c r="E74" i="34" s="1"/>
  <c r="D62" i="34"/>
  <c r="E62" i="34" s="1"/>
  <c r="D63" i="34"/>
  <c r="E63" i="34" s="1"/>
  <c r="D64" i="34"/>
  <c r="E64" i="34" s="1"/>
  <c r="D65" i="34"/>
  <c r="E65" i="34" s="1"/>
  <c r="D66" i="34"/>
  <c r="E66" i="34" s="1"/>
  <c r="D67" i="34"/>
  <c r="E67" i="34" s="1"/>
  <c r="D68" i="34"/>
  <c r="E68" i="34" s="1"/>
  <c r="D61" i="34"/>
  <c r="E61" i="34" s="1"/>
  <c r="D52" i="34"/>
  <c r="E52" i="34" s="1"/>
  <c r="D53" i="34"/>
  <c r="E53" i="34" s="1"/>
  <c r="D54" i="34"/>
  <c r="E54" i="34" s="1"/>
  <c r="D55" i="34"/>
  <c r="E55" i="34" s="1"/>
  <c r="D46" i="34"/>
  <c r="E46" i="34" s="1"/>
  <c r="D45" i="34"/>
  <c r="E45" i="34" s="1"/>
  <c r="E47" i="34" s="1"/>
  <c r="D37" i="34"/>
  <c r="E37" i="34" s="1"/>
  <c r="D34" i="34"/>
  <c r="E34" i="34" s="1"/>
  <c r="D35" i="34"/>
  <c r="E35" i="34" s="1"/>
  <c r="D36" i="34"/>
  <c r="E36" i="34" s="1"/>
  <c r="D38" i="34"/>
  <c r="E38" i="34" s="1"/>
  <c r="D33" i="34"/>
  <c r="E33" i="34" s="1"/>
  <c r="D26" i="34"/>
  <c r="E26" i="34" s="1"/>
  <c r="D27" i="34"/>
  <c r="E27" i="34" s="1"/>
  <c r="D22" i="34"/>
  <c r="E22" i="34" s="1"/>
  <c r="D23" i="34"/>
  <c r="E23" i="34" s="1"/>
  <c r="D24" i="34"/>
  <c r="E24" i="34" s="1"/>
  <c r="D25" i="34"/>
  <c r="E25" i="34" s="1"/>
  <c r="D21" i="34"/>
  <c r="E21" i="34" s="1"/>
  <c r="D5" i="34"/>
  <c r="E5" i="34" s="1"/>
  <c r="D6" i="34"/>
  <c r="E6" i="34" s="1"/>
  <c r="D7" i="34"/>
  <c r="E7" i="34" s="1"/>
  <c r="D8" i="34"/>
  <c r="E8" i="34" s="1"/>
  <c r="D9" i="34"/>
  <c r="E9" i="34" s="1"/>
  <c r="D10" i="34"/>
  <c r="E10" i="34" s="1"/>
  <c r="D11" i="34"/>
  <c r="E11" i="34" s="1"/>
  <c r="D12" i="34"/>
  <c r="E12" i="34" s="1"/>
  <c r="D13" i="34"/>
  <c r="E13" i="34" s="1"/>
  <c r="D14" i="34"/>
  <c r="E14" i="34" s="1"/>
  <c r="D4" i="34"/>
  <c r="E4" i="34" s="1"/>
  <c r="I144" i="35" l="1"/>
  <c r="I145" i="35" s="1"/>
  <c r="E56" i="34"/>
  <c r="E57" i="34" s="1"/>
  <c r="E39" i="34"/>
  <c r="E40" i="34" s="1"/>
  <c r="E28" i="34"/>
  <c r="E69" i="34"/>
  <c r="E70" i="34" s="1"/>
  <c r="E15" i="34"/>
  <c r="E16" i="34" s="1"/>
  <c r="D88" i="38"/>
  <c r="D90" i="38"/>
  <c r="D34" i="38"/>
  <c r="D42" i="38" s="1"/>
  <c r="D63" i="38" s="1"/>
  <c r="D65" i="38" s="1"/>
  <c r="D131" i="38" s="1"/>
  <c r="D72" i="39"/>
  <c r="D37" i="39"/>
  <c r="D62" i="39"/>
  <c r="D86" i="39"/>
  <c r="D75" i="39"/>
  <c r="D74" i="39"/>
  <c r="D41" i="39"/>
  <c r="D40" i="39"/>
  <c r="D39" i="39"/>
  <c r="D38" i="39"/>
  <c r="D36" i="39"/>
  <c r="D73" i="39"/>
  <c r="D85" i="39"/>
  <c r="D88" i="39"/>
  <c r="D89" i="39"/>
  <c r="D90" i="39"/>
  <c r="D34" i="39"/>
  <c r="D69" i="39"/>
  <c r="D87" i="39"/>
  <c r="D71" i="39"/>
  <c r="D35" i="39"/>
  <c r="D70" i="39"/>
  <c r="D76" i="38"/>
  <c r="D132" i="38" s="1"/>
  <c r="F144" i="35"/>
  <c r="E125" i="34"/>
  <c r="E126" i="34" s="1"/>
  <c r="E136" i="34"/>
  <c r="E137" i="34" s="1"/>
  <c r="E118" i="34"/>
  <c r="E119" i="34" s="1"/>
  <c r="E108" i="34"/>
  <c r="E109" i="34" s="1"/>
  <c r="E102" i="34"/>
  <c r="E101" i="34"/>
  <c r="E95" i="34"/>
  <c r="E96" i="34" s="1"/>
  <c r="E82" i="34"/>
  <c r="E83" i="34" s="1"/>
  <c r="E48" i="34"/>
  <c r="E29" i="34"/>
  <c r="D91" i="38" l="1"/>
  <c r="D101" i="38" s="1"/>
  <c r="D103" i="38" s="1"/>
  <c r="D133" i="38" s="1"/>
  <c r="D108" i="33"/>
  <c r="D111" i="38"/>
  <c r="D134" i="38" s="1"/>
  <c r="D135" i="38" s="1"/>
  <c r="D107" i="33"/>
  <c r="D42" i="39"/>
  <c r="D63" i="39" s="1"/>
  <c r="D65" i="39" s="1"/>
  <c r="D131" i="39" s="1"/>
  <c r="D91" i="39"/>
  <c r="D101" i="39" s="1"/>
  <c r="D103" i="39" s="1"/>
  <c r="D133" i="39" s="1"/>
  <c r="D76" i="39"/>
  <c r="C121" i="33"/>
  <c r="C120" i="33"/>
  <c r="C97" i="33"/>
  <c r="D102" i="33" s="1"/>
  <c r="C91" i="33"/>
  <c r="D64" i="33"/>
  <c r="C42" i="33"/>
  <c r="C27" i="33"/>
  <c r="D132" i="39" l="1"/>
  <c r="C119" i="33"/>
  <c r="C124" i="33" s="1"/>
  <c r="H132" i="33"/>
  <c r="H135" i="33" s="1"/>
  <c r="D111" i="33"/>
  <c r="D134" i="33" s="1"/>
  <c r="D111" i="39"/>
  <c r="D134" i="39" s="1"/>
  <c r="D135" i="39" s="1"/>
  <c r="D118" i="39" s="1"/>
  <c r="D118" i="38"/>
  <c r="D117" i="38"/>
  <c r="D19" i="33"/>
  <c r="C76" i="33"/>
  <c r="C121" i="26"/>
  <c r="C120" i="26"/>
  <c r="C119" i="26" s="1"/>
  <c r="D111" i="26"/>
  <c r="D134" i="26" s="1"/>
  <c r="C97" i="26"/>
  <c r="D102" i="26" s="1"/>
  <c r="C91" i="26"/>
  <c r="D56" i="26"/>
  <c r="D64" i="26" s="1"/>
  <c r="C42" i="26"/>
  <c r="C76" i="26" s="1"/>
  <c r="C27" i="26"/>
  <c r="C121" i="25"/>
  <c r="C120" i="25"/>
  <c r="D111" i="25"/>
  <c r="D134" i="25" s="1"/>
  <c r="C97" i="25"/>
  <c r="D102" i="25" s="1"/>
  <c r="C91" i="25"/>
  <c r="D56" i="25"/>
  <c r="D64" i="25" s="1"/>
  <c r="C42" i="25"/>
  <c r="C27" i="25"/>
  <c r="C120" i="24"/>
  <c r="C119" i="24"/>
  <c r="D110" i="24"/>
  <c r="D133" i="24" s="1"/>
  <c r="C96" i="24"/>
  <c r="D101" i="24" s="1"/>
  <c r="C90" i="24"/>
  <c r="D55" i="24"/>
  <c r="D63" i="24" s="1"/>
  <c r="C42" i="24"/>
  <c r="C75" i="24" s="1"/>
  <c r="C27" i="24"/>
  <c r="C121" i="23"/>
  <c r="C120" i="23"/>
  <c r="D111" i="23"/>
  <c r="D134" i="23" s="1"/>
  <c r="C97" i="23"/>
  <c r="D102" i="23" s="1"/>
  <c r="C91" i="23"/>
  <c r="D56" i="23"/>
  <c r="D64" i="23" s="1"/>
  <c r="C42" i="23"/>
  <c r="C27" i="23"/>
  <c r="C121" i="22"/>
  <c r="C120" i="22"/>
  <c r="D111" i="22"/>
  <c r="D134" i="22" s="1"/>
  <c r="C97" i="22"/>
  <c r="D102" i="22" s="1"/>
  <c r="C91" i="22"/>
  <c r="D56" i="22"/>
  <c r="D64" i="22" s="1"/>
  <c r="C42" i="22"/>
  <c r="C76" i="22" s="1"/>
  <c r="C27" i="22"/>
  <c r="C121" i="21"/>
  <c r="C120" i="21"/>
  <c r="C119" i="21" s="1"/>
  <c r="D111" i="21"/>
  <c r="D134" i="21" s="1"/>
  <c r="C97" i="21"/>
  <c r="D102" i="21" s="1"/>
  <c r="C91" i="21"/>
  <c r="C42" i="21"/>
  <c r="C27" i="21"/>
  <c r="C121" i="20"/>
  <c r="C120" i="20"/>
  <c r="C119" i="20" s="1"/>
  <c r="D111" i="20"/>
  <c r="D134" i="20" s="1"/>
  <c r="C97" i="20"/>
  <c r="D102" i="20" s="1"/>
  <c r="C91" i="20"/>
  <c r="D56" i="20"/>
  <c r="D64" i="20" s="1"/>
  <c r="C42" i="20"/>
  <c r="C76" i="20" s="1"/>
  <c r="C27" i="20"/>
  <c r="C121" i="6"/>
  <c r="C120" i="6"/>
  <c r="D111" i="6"/>
  <c r="D134" i="6" s="1"/>
  <c r="C97" i="6"/>
  <c r="D102" i="6" s="1"/>
  <c r="C91" i="6"/>
  <c r="D56" i="6"/>
  <c r="D64" i="6" s="1"/>
  <c r="C42" i="6"/>
  <c r="C76" i="6" s="1"/>
  <c r="C27" i="6"/>
  <c r="C121" i="19"/>
  <c r="C120" i="19"/>
  <c r="C119" i="19" s="1"/>
  <c r="D111" i="19"/>
  <c r="D134" i="19" s="1"/>
  <c r="C97" i="19"/>
  <c r="D102" i="19" s="1"/>
  <c r="C91" i="19"/>
  <c r="D64" i="19"/>
  <c r="C42" i="19"/>
  <c r="C27" i="19"/>
  <c r="C121" i="12"/>
  <c r="C120" i="12"/>
  <c r="C119" i="12" s="1"/>
  <c r="H124" i="12" s="1"/>
  <c r="H136" i="12" s="1"/>
  <c r="H137" i="12" s="1"/>
  <c r="D111" i="12"/>
  <c r="D134" i="12" s="1"/>
  <c r="C97" i="12"/>
  <c r="D102" i="12" s="1"/>
  <c r="C91" i="12"/>
  <c r="D64" i="12"/>
  <c r="C42" i="12"/>
  <c r="C27" i="12"/>
  <c r="C121" i="10"/>
  <c r="C120" i="10"/>
  <c r="D111" i="10"/>
  <c r="D134" i="10" s="1"/>
  <c r="C97" i="10"/>
  <c r="D102" i="10" s="1"/>
  <c r="C91" i="10"/>
  <c r="C42" i="10"/>
  <c r="C76" i="10" s="1"/>
  <c r="C27" i="10"/>
  <c r="C119" i="10" l="1"/>
  <c r="C124" i="10" s="1"/>
  <c r="I89" i="2"/>
  <c r="K89" i="2" s="1"/>
  <c r="I69" i="2"/>
  <c r="K69" i="2" s="1"/>
  <c r="H117" i="33"/>
  <c r="H118" i="33"/>
  <c r="H123" i="33" s="1"/>
  <c r="C119" i="6"/>
  <c r="C124" i="6"/>
  <c r="J124" i="6"/>
  <c r="J136" i="6" s="1"/>
  <c r="J137" i="6" s="1"/>
  <c r="F124" i="6"/>
  <c r="C124" i="26"/>
  <c r="C124" i="21"/>
  <c r="C124" i="20"/>
  <c r="C124" i="19"/>
  <c r="C124" i="12"/>
  <c r="D26" i="33"/>
  <c r="D25" i="33"/>
  <c r="C118" i="24"/>
  <c r="C123" i="24" s="1"/>
  <c r="C119" i="25"/>
  <c r="C119" i="22"/>
  <c r="C119" i="23"/>
  <c r="D51" i="10"/>
  <c r="D56" i="10" s="1"/>
  <c r="D64" i="10" s="1"/>
  <c r="D19" i="10"/>
  <c r="D117" i="39"/>
  <c r="D123" i="39" s="1"/>
  <c r="D56" i="21"/>
  <c r="D64" i="21" s="1"/>
  <c r="D123" i="38"/>
  <c r="D119" i="38"/>
  <c r="C76" i="19"/>
  <c r="D26" i="19"/>
  <c r="D130" i="19"/>
  <c r="D25" i="19"/>
  <c r="D27" i="19" s="1"/>
  <c r="D62" i="19" s="1"/>
  <c r="C76" i="12"/>
  <c r="D130" i="12"/>
  <c r="D130" i="26"/>
  <c r="D26" i="26"/>
  <c r="D25" i="26"/>
  <c r="D130" i="25"/>
  <c r="D25" i="25"/>
  <c r="D26" i="25"/>
  <c r="C76" i="25"/>
  <c r="D129" i="24"/>
  <c r="D26" i="24"/>
  <c r="D25" i="24"/>
  <c r="C76" i="23"/>
  <c r="D26" i="23"/>
  <c r="D25" i="23"/>
  <c r="D27" i="23" s="1"/>
  <c r="D62" i="23" s="1"/>
  <c r="D130" i="23"/>
  <c r="D26" i="22"/>
  <c r="D25" i="22"/>
  <c r="D130" i="22"/>
  <c r="D130" i="6"/>
  <c r="D26" i="6"/>
  <c r="D25" i="6"/>
  <c r="D27" i="6" s="1"/>
  <c r="D62" i="6" s="1"/>
  <c r="D25" i="20"/>
  <c r="D130" i="20"/>
  <c r="D26" i="20"/>
  <c r="D130" i="21"/>
  <c r="D25" i="21"/>
  <c r="D26" i="21"/>
  <c r="C76" i="21"/>
  <c r="D130" i="33"/>
  <c r="I78" i="2" l="1"/>
  <c r="K78" i="2" s="1"/>
  <c r="I98" i="2"/>
  <c r="K98" i="2" s="1"/>
  <c r="H119" i="33"/>
  <c r="D27" i="22"/>
  <c r="D62" i="22" s="1"/>
  <c r="H124" i="6"/>
  <c r="H136" i="6" s="1"/>
  <c r="H137" i="6" s="1"/>
  <c r="F136" i="6"/>
  <c r="F137" i="6" s="1"/>
  <c r="C124" i="25"/>
  <c r="C124" i="23"/>
  <c r="C124" i="22"/>
  <c r="F62" i="33"/>
  <c r="D124" i="38"/>
  <c r="D136" i="38" s="1"/>
  <c r="D137" i="38" s="1"/>
  <c r="C19" i="2" s="1"/>
  <c r="E19" i="2" s="1"/>
  <c r="D27" i="25"/>
  <c r="D62" i="25" s="1"/>
  <c r="D27" i="24"/>
  <c r="D61" i="24" s="1"/>
  <c r="D27" i="26"/>
  <c r="D62" i="26" s="1"/>
  <c r="D25" i="10"/>
  <c r="D130" i="10"/>
  <c r="D26" i="10"/>
  <c r="D119" i="39"/>
  <c r="D72" i="22"/>
  <c r="D71" i="22"/>
  <c r="D38" i="22"/>
  <c r="D39" i="22"/>
  <c r="D75" i="22"/>
  <c r="D90" i="22"/>
  <c r="D40" i="22"/>
  <c r="D73" i="22"/>
  <c r="D37" i="22"/>
  <c r="D74" i="22"/>
  <c r="D41" i="22"/>
  <c r="D69" i="19"/>
  <c r="D34" i="19"/>
  <c r="D89" i="19"/>
  <c r="D38" i="19"/>
  <c r="D71" i="19"/>
  <c r="D90" i="19"/>
  <c r="D88" i="19"/>
  <c r="D85" i="19"/>
  <c r="D87" i="19"/>
  <c r="D40" i="19"/>
  <c r="D86" i="19"/>
  <c r="D75" i="19"/>
  <c r="D70" i="19"/>
  <c r="D73" i="19"/>
  <c r="D39" i="19"/>
  <c r="D72" i="19"/>
  <c r="D37" i="19"/>
  <c r="D41" i="19"/>
  <c r="D36" i="19"/>
  <c r="D35" i="19"/>
  <c r="D74" i="19"/>
  <c r="D40" i="12"/>
  <c r="D72" i="12"/>
  <c r="D37" i="12"/>
  <c r="D39" i="12"/>
  <c r="D38" i="12"/>
  <c r="D71" i="12"/>
  <c r="D70" i="12"/>
  <c r="D36" i="12"/>
  <c r="D87" i="12"/>
  <c r="D75" i="12"/>
  <c r="D85" i="12"/>
  <c r="D88" i="12"/>
  <c r="D35" i="12"/>
  <c r="D69" i="12"/>
  <c r="D89" i="12"/>
  <c r="D73" i="12"/>
  <c r="D86" i="12"/>
  <c r="D90" i="12"/>
  <c r="D74" i="12"/>
  <c r="D70" i="23"/>
  <c r="D34" i="23"/>
  <c r="D69" i="23"/>
  <c r="D41" i="23"/>
  <c r="D74" i="23"/>
  <c r="D87" i="23"/>
  <c r="D40" i="23"/>
  <c r="D86" i="23"/>
  <c r="D72" i="23"/>
  <c r="D71" i="23"/>
  <c r="D73" i="23"/>
  <c r="D35" i="23"/>
  <c r="D90" i="23"/>
  <c r="D89" i="23"/>
  <c r="D88" i="23"/>
  <c r="D39" i="23"/>
  <c r="D38" i="23"/>
  <c r="D85" i="23"/>
  <c r="D37" i="23"/>
  <c r="D36" i="23"/>
  <c r="D75" i="23"/>
  <c r="D87" i="22"/>
  <c r="D70" i="22"/>
  <c r="D88" i="22"/>
  <c r="D34" i="22"/>
  <c r="D35" i="22"/>
  <c r="D36" i="22"/>
  <c r="D89" i="22"/>
  <c r="D40" i="6"/>
  <c r="D86" i="6"/>
  <c r="D85" i="6"/>
  <c r="D90" i="6"/>
  <c r="D34" i="6"/>
  <c r="D35" i="6"/>
  <c r="D71" i="6"/>
  <c r="D74" i="6"/>
  <c r="D87" i="6"/>
  <c r="D73" i="6"/>
  <c r="D88" i="6"/>
  <c r="D37" i="6"/>
  <c r="D72" i="6"/>
  <c r="D89" i="6"/>
  <c r="D38" i="6"/>
  <c r="D36" i="6"/>
  <c r="D69" i="6"/>
  <c r="D39" i="6"/>
  <c r="D41" i="6"/>
  <c r="D75" i="6"/>
  <c r="D70" i="6"/>
  <c r="D27" i="20"/>
  <c r="D87" i="20" s="1"/>
  <c r="D27" i="21"/>
  <c r="D62" i="21" s="1"/>
  <c r="D27" i="33"/>
  <c r="I18" i="2" l="1"/>
  <c r="K18" i="2" s="1"/>
  <c r="D37" i="25"/>
  <c r="D90" i="25"/>
  <c r="D71" i="25"/>
  <c r="D34" i="25"/>
  <c r="D86" i="25"/>
  <c r="D85" i="22"/>
  <c r="D86" i="22"/>
  <c r="D69" i="22"/>
  <c r="I38" i="2"/>
  <c r="K38" i="2" s="1"/>
  <c r="I58" i="2"/>
  <c r="K58" i="2" s="1"/>
  <c r="D39" i="24"/>
  <c r="D70" i="24"/>
  <c r="D74" i="24"/>
  <c r="D71" i="24"/>
  <c r="D73" i="24"/>
  <c r="D68" i="24"/>
  <c r="D38" i="24"/>
  <c r="D40" i="24"/>
  <c r="D36" i="24"/>
  <c r="D69" i="24"/>
  <c r="D72" i="24"/>
  <c r="D40" i="26"/>
  <c r="D34" i="26"/>
  <c r="D88" i="26"/>
  <c r="D69" i="26"/>
  <c r="D35" i="26"/>
  <c r="D70" i="26"/>
  <c r="D75" i="25"/>
  <c r="D69" i="25"/>
  <c r="D89" i="25"/>
  <c r="D88" i="25"/>
  <c r="D41" i="25"/>
  <c r="D74" i="25"/>
  <c r="D40" i="25"/>
  <c r="D85" i="25"/>
  <c r="D36" i="25"/>
  <c r="D87" i="25"/>
  <c r="D72" i="25"/>
  <c r="D73" i="25"/>
  <c r="D35" i="25"/>
  <c r="D87" i="24"/>
  <c r="D86" i="24"/>
  <c r="D85" i="24"/>
  <c r="D41" i="24"/>
  <c r="D34" i="24"/>
  <c r="D37" i="24"/>
  <c r="D35" i="24"/>
  <c r="D89" i="24"/>
  <c r="D88" i="24"/>
  <c r="D84" i="24"/>
  <c r="K8" i="2"/>
  <c r="D73" i="26"/>
  <c r="D90" i="26"/>
  <c r="D71" i="26"/>
  <c r="D87" i="26"/>
  <c r="D89" i="26"/>
  <c r="D85" i="26"/>
  <c r="D36" i="26"/>
  <c r="D86" i="26"/>
  <c r="D41" i="26"/>
  <c r="D74" i="26"/>
  <c r="D75" i="26"/>
  <c r="D38" i="26"/>
  <c r="D39" i="26"/>
  <c r="D72" i="26"/>
  <c r="D37" i="26"/>
  <c r="D39" i="25"/>
  <c r="D38" i="25"/>
  <c r="D70" i="25"/>
  <c r="H124" i="33"/>
  <c r="H136" i="33" s="1"/>
  <c r="H137" i="33" s="1"/>
  <c r="D71" i="33"/>
  <c r="D35" i="33"/>
  <c r="D34" i="33"/>
  <c r="D85" i="33"/>
  <c r="D88" i="33"/>
  <c r="D36" i="33"/>
  <c r="D89" i="33"/>
  <c r="D75" i="33"/>
  <c r="D38" i="33"/>
  <c r="D70" i="33"/>
  <c r="D73" i="33"/>
  <c r="D86" i="33"/>
  <c r="D40" i="33"/>
  <c r="D37" i="33"/>
  <c r="D87" i="33"/>
  <c r="D90" i="33"/>
  <c r="D41" i="33"/>
  <c r="D39" i="33"/>
  <c r="D74" i="33"/>
  <c r="D69" i="33"/>
  <c r="D72" i="33"/>
  <c r="D124" i="39"/>
  <c r="D27" i="10"/>
  <c r="D91" i="22"/>
  <c r="D101" i="22" s="1"/>
  <c r="D103" i="22" s="1"/>
  <c r="D133" i="22" s="1"/>
  <c r="D87" i="21"/>
  <c r="D41" i="21"/>
  <c r="D40" i="21"/>
  <c r="D85" i="21"/>
  <c r="D71" i="21"/>
  <c r="D35" i="21"/>
  <c r="D37" i="21"/>
  <c r="D90" i="21"/>
  <c r="D36" i="21"/>
  <c r="D89" i="21"/>
  <c r="D75" i="21"/>
  <c r="D88" i="21"/>
  <c r="D86" i="21"/>
  <c r="D70" i="21"/>
  <c r="D74" i="21"/>
  <c r="D34" i="21"/>
  <c r="D73" i="21"/>
  <c r="D72" i="21"/>
  <c r="D39" i="21"/>
  <c r="D38" i="21"/>
  <c r="D69" i="21"/>
  <c r="D37" i="20"/>
  <c r="D41" i="20"/>
  <c r="D72" i="20"/>
  <c r="D71" i="20"/>
  <c r="D73" i="20"/>
  <c r="D38" i="20"/>
  <c r="D36" i="20"/>
  <c r="D39" i="20"/>
  <c r="D70" i="20"/>
  <c r="D35" i="20"/>
  <c r="D74" i="20"/>
  <c r="D91" i="12"/>
  <c r="D101" i="12" s="1"/>
  <c r="D103" i="12" s="1"/>
  <c r="D133" i="12" s="1"/>
  <c r="D91" i="19"/>
  <c r="D101" i="19" s="1"/>
  <c r="D103" i="19" s="1"/>
  <c r="D133" i="19" s="1"/>
  <c r="D42" i="19"/>
  <c r="D63" i="19" s="1"/>
  <c r="D65" i="19" s="1"/>
  <c r="D131" i="19" s="1"/>
  <c r="D76" i="19"/>
  <c r="D42" i="12"/>
  <c r="D63" i="12" s="1"/>
  <c r="D65" i="12" s="1"/>
  <c r="D131" i="12" s="1"/>
  <c r="D76" i="12"/>
  <c r="D42" i="23"/>
  <c r="D63" i="23" s="1"/>
  <c r="D65" i="23" s="1"/>
  <c r="D131" i="23" s="1"/>
  <c r="D91" i="23"/>
  <c r="D101" i="23" s="1"/>
  <c r="D103" i="23" s="1"/>
  <c r="D133" i="23" s="1"/>
  <c r="D76" i="23"/>
  <c r="D42" i="22"/>
  <c r="D63" i="22" s="1"/>
  <c r="D65" i="22" s="1"/>
  <c r="D131" i="22" s="1"/>
  <c r="D76" i="22"/>
  <c r="D91" i="6"/>
  <c r="D101" i="6" s="1"/>
  <c r="D103" i="6" s="1"/>
  <c r="D133" i="6" s="1"/>
  <c r="D42" i="6"/>
  <c r="D63" i="6" s="1"/>
  <c r="D65" i="6" s="1"/>
  <c r="D131" i="6" s="1"/>
  <c r="D62" i="20"/>
  <c r="D90" i="20"/>
  <c r="D88" i="20"/>
  <c r="D85" i="20"/>
  <c r="D69" i="20"/>
  <c r="D86" i="20"/>
  <c r="D34" i="20"/>
  <c r="D89" i="20"/>
  <c r="D40" i="20"/>
  <c r="D75" i="20"/>
  <c r="D62" i="33"/>
  <c r="D91" i="26" l="1"/>
  <c r="D101" i="26" s="1"/>
  <c r="D103" i="26" s="1"/>
  <c r="D133" i="26" s="1"/>
  <c r="D42" i="25"/>
  <c r="D63" i="25" s="1"/>
  <c r="D65" i="25" s="1"/>
  <c r="D131" i="25" s="1"/>
  <c r="D76" i="25"/>
  <c r="I88" i="2"/>
  <c r="K88" i="2" s="1"/>
  <c r="I68" i="2"/>
  <c r="K68" i="2" s="1"/>
  <c r="D75" i="24"/>
  <c r="D131" i="24" s="1"/>
  <c r="D42" i="24"/>
  <c r="D62" i="24" s="1"/>
  <c r="D64" i="24" s="1"/>
  <c r="D130" i="24" s="1"/>
  <c r="D90" i="24"/>
  <c r="D100" i="24" s="1"/>
  <c r="D102" i="24" s="1"/>
  <c r="D132" i="24" s="1"/>
  <c r="D76" i="26"/>
  <c r="D42" i="26"/>
  <c r="D63" i="26" s="1"/>
  <c r="D65" i="26" s="1"/>
  <c r="D131" i="26" s="1"/>
  <c r="D135" i="26" s="1"/>
  <c r="D91" i="25"/>
  <c r="D101" i="25" s="1"/>
  <c r="D103" i="25" s="1"/>
  <c r="D133" i="25" s="1"/>
  <c r="D132" i="6"/>
  <c r="D135" i="6" s="1"/>
  <c r="D117" i="6" s="1"/>
  <c r="D136" i="39"/>
  <c r="D137" i="39" s="1"/>
  <c r="C17" i="2" s="1"/>
  <c r="E17" i="2" s="1"/>
  <c r="D132" i="26"/>
  <c r="D132" i="25"/>
  <c r="D135" i="25" s="1"/>
  <c r="D118" i="25" s="1"/>
  <c r="D132" i="23"/>
  <c r="D135" i="23" s="1"/>
  <c r="D132" i="22"/>
  <c r="D135" i="22" s="1"/>
  <c r="D132" i="19"/>
  <c r="D132" i="12"/>
  <c r="F63" i="33"/>
  <c r="F65" i="33" s="1"/>
  <c r="F131" i="33" s="1"/>
  <c r="F132" i="33"/>
  <c r="F101" i="33"/>
  <c r="F103" i="33" s="1"/>
  <c r="F133" i="33" s="1"/>
  <c r="D42" i="21"/>
  <c r="D63" i="21" s="1"/>
  <c r="D65" i="21" s="1"/>
  <c r="D131" i="21" s="1"/>
  <c r="D62" i="10"/>
  <c r="D69" i="10"/>
  <c r="D75" i="10"/>
  <c r="D88" i="10"/>
  <c r="D74" i="10"/>
  <c r="D87" i="10"/>
  <c r="D73" i="10"/>
  <c r="D34" i="10"/>
  <c r="D41" i="10"/>
  <c r="D40" i="10"/>
  <c r="D86" i="10"/>
  <c r="D36" i="10"/>
  <c r="D85" i="10"/>
  <c r="D72" i="10"/>
  <c r="D39" i="10"/>
  <c r="D71" i="10"/>
  <c r="D38" i="10"/>
  <c r="D35" i="10"/>
  <c r="D90" i="10"/>
  <c r="D70" i="10"/>
  <c r="D37" i="10"/>
  <c r="D89" i="10"/>
  <c r="D76" i="21"/>
  <c r="D91" i="21"/>
  <c r="D101" i="21" s="1"/>
  <c r="D103" i="21" s="1"/>
  <c r="D133" i="21" s="1"/>
  <c r="D135" i="19"/>
  <c r="D135" i="12"/>
  <c r="D42" i="20"/>
  <c r="D63" i="20" s="1"/>
  <c r="D65" i="20" s="1"/>
  <c r="D131" i="20" s="1"/>
  <c r="D91" i="20"/>
  <c r="D101" i="20" s="1"/>
  <c r="D103" i="20" s="1"/>
  <c r="D133" i="20" s="1"/>
  <c r="D76" i="20"/>
  <c r="D91" i="33"/>
  <c r="D101" i="33" s="1"/>
  <c r="D103" i="33" s="1"/>
  <c r="D133" i="33" s="1"/>
  <c r="D42" i="33"/>
  <c r="D63" i="33" s="1"/>
  <c r="D65" i="33" s="1"/>
  <c r="D131" i="33" s="1"/>
  <c r="D76" i="33"/>
  <c r="D134" i="24" l="1"/>
  <c r="D117" i="24"/>
  <c r="D116" i="24"/>
  <c r="D117" i="19"/>
  <c r="D118" i="19"/>
  <c r="D123" i="19" s="1"/>
  <c r="D118" i="24"/>
  <c r="D118" i="12"/>
  <c r="D117" i="12"/>
  <c r="D132" i="21"/>
  <c r="D132" i="20"/>
  <c r="D135" i="20" s="1"/>
  <c r="D132" i="33"/>
  <c r="D135" i="33" s="1"/>
  <c r="F135" i="33"/>
  <c r="D118" i="6"/>
  <c r="D123" i="6" s="1"/>
  <c r="D135" i="21"/>
  <c r="D117" i="21" s="1"/>
  <c r="D117" i="25"/>
  <c r="D119" i="25" s="1"/>
  <c r="D91" i="10"/>
  <c r="D101" i="10" s="1"/>
  <c r="D103" i="10" s="1"/>
  <c r="D133" i="10" s="1"/>
  <c r="D42" i="10"/>
  <c r="D63" i="10" s="1"/>
  <c r="D65" i="10" s="1"/>
  <c r="D131" i="10" s="1"/>
  <c r="D76" i="10"/>
  <c r="D132" i="10" s="1"/>
  <c r="D117" i="26"/>
  <c r="D118" i="26"/>
  <c r="D118" i="23"/>
  <c r="D117" i="23"/>
  <c r="D117" i="22"/>
  <c r="D118" i="22"/>
  <c r="F118" i="33" l="1"/>
  <c r="F117" i="33"/>
  <c r="D122" i="24"/>
  <c r="D123" i="24" s="1"/>
  <c r="D135" i="24" s="1"/>
  <c r="D136" i="24" s="1"/>
  <c r="C20" i="2" s="1"/>
  <c r="E20" i="2" s="1"/>
  <c r="D119" i="19"/>
  <c r="D117" i="33"/>
  <c r="D118" i="33"/>
  <c r="D119" i="6"/>
  <c r="D124" i="6" s="1"/>
  <c r="D123" i="25"/>
  <c r="D124" i="25" s="1"/>
  <c r="D118" i="21"/>
  <c r="D123" i="21" s="1"/>
  <c r="D135" i="10"/>
  <c r="D117" i="10" s="1"/>
  <c r="D119" i="12"/>
  <c r="D123" i="23"/>
  <c r="D119" i="22"/>
  <c r="D123" i="26"/>
  <c r="D119" i="26"/>
  <c r="D123" i="22"/>
  <c r="D123" i="12"/>
  <c r="D119" i="23"/>
  <c r="D118" i="20"/>
  <c r="D117" i="20"/>
  <c r="F123" i="33" l="1"/>
  <c r="F119" i="33"/>
  <c r="D136" i="6"/>
  <c r="D137" i="6" s="1"/>
  <c r="C18" i="2" s="1"/>
  <c r="E18" i="2" s="1"/>
  <c r="D136" i="25"/>
  <c r="D137" i="25" s="1"/>
  <c r="C15" i="2" s="1"/>
  <c r="E15" i="2" s="1"/>
  <c r="D119" i="33"/>
  <c r="D123" i="33"/>
  <c r="D119" i="21"/>
  <c r="D124" i="21" s="1"/>
  <c r="D124" i="26"/>
  <c r="D124" i="23"/>
  <c r="D124" i="22"/>
  <c r="D124" i="19"/>
  <c r="D124" i="12"/>
  <c r="D123" i="20"/>
  <c r="D118" i="10"/>
  <c r="D123" i="10" s="1"/>
  <c r="D119" i="20"/>
  <c r="D136" i="26" l="1"/>
  <c r="D137" i="26" s="1"/>
  <c r="C16" i="2" s="1"/>
  <c r="E16" i="2" s="1"/>
  <c r="D136" i="23"/>
  <c r="D137" i="23" s="1"/>
  <c r="C14" i="2" s="1"/>
  <c r="E14" i="2" s="1"/>
  <c r="D136" i="22"/>
  <c r="D137" i="22" s="1"/>
  <c r="C13" i="2" s="1"/>
  <c r="E13" i="2" s="1"/>
  <c r="D136" i="21"/>
  <c r="D137" i="21" s="1"/>
  <c r="C12" i="2" s="1"/>
  <c r="E12" i="2" s="1"/>
  <c r="D136" i="19"/>
  <c r="D137" i="19" s="1"/>
  <c r="D136" i="12"/>
  <c r="D137" i="12" s="1"/>
  <c r="F124" i="33"/>
  <c r="F136" i="33" s="1"/>
  <c r="F137" i="33" s="1"/>
  <c r="D124" i="20"/>
  <c r="D124" i="33"/>
  <c r="D119" i="10"/>
  <c r="I28" i="2" l="1"/>
  <c r="K28" i="2" s="1"/>
  <c r="K42" i="2" s="1"/>
  <c r="I48" i="2"/>
  <c r="K48" i="2" s="1"/>
  <c r="K62" i="2" s="1"/>
  <c r="D136" i="33"/>
  <c r="D137" i="33" s="1"/>
  <c r="D136" i="20"/>
  <c r="D137" i="20" s="1"/>
  <c r="C11" i="2" s="1"/>
  <c r="E11" i="2" s="1"/>
  <c r="C10" i="2"/>
  <c r="E10" i="2" s="1"/>
  <c r="C9" i="2"/>
  <c r="E9" i="2" s="1"/>
  <c r="D124" i="10"/>
  <c r="D136" i="10" s="1"/>
  <c r="D137" i="10" s="1"/>
  <c r="C21" i="2" s="1"/>
  <c r="E21" i="2" s="1"/>
  <c r="K63" i="2" l="1"/>
  <c r="G5" i="46"/>
  <c r="G9" i="46" s="1"/>
  <c r="K43" i="2"/>
  <c r="F5" i="46"/>
  <c r="F9" i="46" s="1"/>
  <c r="C8" i="2"/>
  <c r="E8" i="2" s="1"/>
  <c r="E22" i="2" s="1"/>
  <c r="E23" i="2" s="1"/>
  <c r="D5" i="46" s="1"/>
  <c r="C5" i="46" s="1"/>
  <c r="C9" i="46" s="1"/>
  <c r="D9" i="46" l="1"/>
  <c r="H124" i="19"/>
  <c r="H136" i="19" s="1"/>
  <c r="H137" i="19" s="1"/>
  <c r="I70" i="2" l="1"/>
  <c r="K70" i="2" s="1"/>
  <c r="K82" i="2" s="1"/>
  <c r="I90" i="2"/>
  <c r="K90" i="2" s="1"/>
  <c r="K102" i="2" s="1"/>
  <c r="K20" i="2"/>
  <c r="K22" i="2" s="1"/>
  <c r="K83" i="2" l="1"/>
  <c r="H5" i="46"/>
  <c r="K23" i="2"/>
  <c r="E5" i="46"/>
  <c r="K103" i="2"/>
  <c r="J5" i="46" s="1"/>
  <c r="J9" i="46" s="1"/>
  <c r="B5" i="49" s="1"/>
  <c r="C5" i="49" s="1"/>
  <c r="D5" i="49" s="1"/>
  <c r="I5" i="46"/>
  <c r="E9" i="46"/>
  <c r="I9" i="46"/>
  <c r="H9" i="46" l="1"/>
</calcChain>
</file>

<file path=xl/sharedStrings.xml><?xml version="1.0" encoding="utf-8"?>
<sst xmlns="http://schemas.openxmlformats.org/spreadsheetml/2006/main" count="4787" uniqueCount="606">
  <si>
    <t>Dados para composição dos custos referentes a mão de obra</t>
  </si>
  <si>
    <t>Tipo de Serviço (mesmo serviço com características distintas)</t>
  </si>
  <si>
    <t>Classificação Brasileira de Ocupações (CBO)</t>
  </si>
  <si>
    <t>Data-Base da Categoria (dia/mês/ano)</t>
  </si>
  <si>
    <t>Composição da Remuneração</t>
  </si>
  <si>
    <t>Valor (R$)</t>
  </si>
  <si>
    <t>A</t>
  </si>
  <si>
    <t>Salário-Base</t>
  </si>
  <si>
    <t>B</t>
  </si>
  <si>
    <t>C</t>
  </si>
  <si>
    <t>Adicional de Insalubridade</t>
  </si>
  <si>
    <t>D</t>
  </si>
  <si>
    <t>Adicional Noturno</t>
  </si>
  <si>
    <t>E</t>
  </si>
  <si>
    <t>Adicional de Hora Noturna Reduzida</t>
  </si>
  <si>
    <t>F</t>
  </si>
  <si>
    <t>Outros (especificar)</t>
  </si>
  <si>
    <t>Total</t>
  </si>
  <si>
    <t>Nota 1: O Módulo 1 refere-se ao valor mensal devido ao empregado pela prestação do serviço no período de 12 meses.</t>
  </si>
  <si>
    <t>Módulo 2 - Encargos e Benefícios Anuais, Mensais e Diários</t>
  </si>
  <si>
    <t>2.1</t>
  </si>
  <si>
    <t>13º (décimo terceiro) Salário, Férias e Adicional de Férias</t>
  </si>
  <si>
    <t>13º (décimo terceiro) Salário</t>
  </si>
  <si>
    <t>Férias e Adicional de Férias</t>
  </si>
  <si>
    <t> Submódulo 2.1 - 13º (décimo terceiro) Salário, Férias e Adicional de Férias</t>
  </si>
  <si>
    <t>Submódulo 2.2 - Encargos Previdenciários (GPS), Fundo de Garantia por Tempo de Serviço (FGTS) e outras contribuições.</t>
  </si>
  <si>
    <t>2.2</t>
  </si>
  <si>
    <t>GPS, FGTS e outras contribuições</t>
  </si>
  <si>
    <t>Percentual (%)</t>
  </si>
  <si>
    <t>INSS</t>
  </si>
  <si>
    <t>Salário Educação</t>
  </si>
  <si>
    <t>SESC ou SESI</t>
  </si>
  <si>
    <t>SENAI - SENAC</t>
  </si>
  <si>
    <t>SEBRAE</t>
  </si>
  <si>
    <t>G</t>
  </si>
  <si>
    <t>INCRA</t>
  </si>
  <si>
    <t>H</t>
  </si>
  <si>
    <t>FGTS</t>
  </si>
  <si>
    <t>Submódulo 2.3 - Benefícios Mensais e Diários.</t>
  </si>
  <si>
    <t>2.3</t>
  </si>
  <si>
    <t>Benefícios Mensais e Diários</t>
  </si>
  <si>
    <t>Transporte</t>
  </si>
  <si>
    <t>Assistência Médica e Familiar</t>
  </si>
  <si>
    <t>Quadro-Resumo do Módulo 2 - Encargos e Benefícios anuais, mensais e diários</t>
  </si>
  <si>
    <t>Encargos e Benefícios Anuais, Mensais e Diários</t>
  </si>
  <si>
    <t>Nota 1: O valor informado deverá ser o custo real do benefício (descontado o valor eventualmente pago pelo empregado).</t>
  </si>
  <si>
    <t>Provisão para Rescisão</t>
  </si>
  <si>
    <t>Aviso Prévio Indenizado</t>
  </si>
  <si>
    <t>Incidência do FGTS sobre o Aviso Prévio Indenizado</t>
  </si>
  <si>
    <t>Multa do FGTS e contribuição social sobre o Aviso Prévio Indenizado</t>
  </si>
  <si>
    <t>Aviso Prévio Trabalhado</t>
  </si>
  <si>
    <t>Incidência de GPS, FGTS e outras contribuições sobre o Aviso Prévio Trabalhado</t>
  </si>
  <si>
    <t>Multa do FGTS e contribuição social sobre o Aviso Prévio Trabalhado</t>
  </si>
  <si>
    <t>Módulo 4 - Custo de Reposição do Profissional Ausente</t>
  </si>
  <si>
    <t>4.1</t>
  </si>
  <si>
    <t>Substituto nas Ausências Legais</t>
  </si>
  <si>
    <t>Substituto na cobertura de Férias</t>
  </si>
  <si>
    <t>Substituto na cobertura de Ausências Legais</t>
  </si>
  <si>
    <t>Substituto na cobertura de Licença-Paternidade</t>
  </si>
  <si>
    <t>Substituto na cobertura de Ausência por acidente de trabalho</t>
  </si>
  <si>
    <t>Substituto na cobertura de Afastamento Maternidade</t>
  </si>
  <si>
    <t>4.2</t>
  </si>
  <si>
    <t>Substituto na Intrajornada </t>
  </si>
  <si>
    <t>Substituto na cobertura de Intervalo para repouso ou alimentação</t>
  </si>
  <si>
    <t>Custo de Reposição do Profissional Ausente</t>
  </si>
  <si>
    <t>Substituto na Intrajornada</t>
  </si>
  <si>
    <t>Módulo 5 - Insumos Diversos</t>
  </si>
  <si>
    <t>Insumos Diversos</t>
  </si>
  <si>
    <t>Uniformes</t>
  </si>
  <si>
    <t>Equipamentos</t>
  </si>
  <si>
    <t>Módulo 6 - Custos Indiretos, Tributos e Lucro</t>
  </si>
  <si>
    <t>Custos Indiretos, Tributos e Lucro</t>
  </si>
  <si>
    <t>Custos Indiretos</t>
  </si>
  <si>
    <t>Lucro</t>
  </si>
  <si>
    <t>Valor(R$)</t>
  </si>
  <si>
    <t>Módulo 1 - Composição da Remuneração</t>
  </si>
  <si>
    <t>Módulo 3 - Provisão para Rescisão</t>
  </si>
  <si>
    <t>Subtotal (A + B +C+ D+E)</t>
  </si>
  <si>
    <t>Nota: Valores mensais por empregado.</t>
  </si>
  <si>
    <t>Nota 1: Custos Indiretos, Tributos e Lucro por empregado.</t>
  </si>
  <si>
    <t>Mão de obra vinculada à execução contratual (valor por empregado)</t>
  </si>
  <si>
    <t>Tipo de Serviço</t>
  </si>
  <si>
    <t>(A)</t>
  </si>
  <si>
    <t>(B)</t>
  </si>
  <si>
    <t>(C)</t>
  </si>
  <si>
    <t>(D) = (B x C)</t>
  </si>
  <si>
    <t>I</t>
  </si>
  <si>
    <t>II</t>
  </si>
  <si>
    <t>Valor Mensal dos Serviços (I + II + N)</t>
  </si>
  <si>
    <t>Dias úteis</t>
  </si>
  <si>
    <t>Assistência Odontológica</t>
  </si>
  <si>
    <t>III</t>
  </si>
  <si>
    <t>PLANILHA DE CUSTOS E FORMAÇÃO DE PREÇOS</t>
  </si>
  <si>
    <t>Nº do Contrato:</t>
  </si>
  <si>
    <t xml:space="preserve">Pregão Nº: </t>
  </si>
  <si>
    <t>Salário da Categoria Profissional</t>
  </si>
  <si>
    <t>Sindicato da Categoria Profissional (vinculada à execução contratual)</t>
  </si>
  <si>
    <t>Nº da Convenção Coletiva de trabalho (CCT)</t>
  </si>
  <si>
    <t>Nota 1: Como a planilha de custos e formação de preços é calculada mensalmente, provisiona-se proporcionalmente 1/11 (um onze avos) dos valores referentes a gratificação natalina, férias e adicional de férias. (Redação dada pela Instrução Normativa CJF nº 1, de 2016)</t>
  </si>
  <si>
    <t>Nota 2: O adicional de férias contido no Submódulo 2.1 corresponde a 1/3 (um terço) da remuneração que por sua vez é divido por 11 (onze) conforme Nota 1 acima.</t>
  </si>
  <si>
    <t>Nota 3: Levando em consideração a vigência contratual prevista no art. 57 da Lei nº 8.666, de 23 de junho de 1993, a rubrica férias tem como objetivo principal suprir a necessidade do pagamento das férias remuneradas ao final do contrato de 12 meses.</t>
  </si>
  <si>
    <t>RATAjustado (RAT x FAP)</t>
  </si>
  <si>
    <t>Nota 2: Os percentuais dos encargos previdenciários, do FGTS e demais contribuições são aqueles estabelecidos pela legislação vigente.</t>
  </si>
  <si>
    <t>Nota 3: O RAT a depender do grau de risco do serviço irá variar entre 1%, para risco leve, de 2%, para risco médio, e de 3% de risco grave. Deverá ser ajustado ao fator acidentário previdenciário (FAP).</t>
  </si>
  <si>
    <t>Nota 1: O percentual do INSS poderá sofrer alteração de acordo com a "Desoneração da Folha de Pagamento" (Lei 12.546/2011).</t>
  </si>
  <si>
    <t>Nota 2: Observar a previsão dos benefícios contidos em Acordos, Convenções e Dissídios Coletivos de Trabalho..</t>
  </si>
  <si>
    <t>Nota 1: O percentual de 1,94% indicado no Aviso Prévio Trabalhado torna-se custo não renovável decorridos 12 meses.</t>
  </si>
  <si>
    <t>Nota 1: Os itens que contemplam o módulo 4 se referem ao custo dos dias trabalhados pelo repositor/substituto, quando o empregado alocado na prestação de serviço estiver ausente, conforme as previsões estabelecidas na legislação.</t>
  </si>
  <si>
    <t>Nota 4: Esses percentuais incidem sobre o Módulo 1, o Submódulo 2.1.</t>
  </si>
  <si>
    <t>Submódulo 4.1 - Substituto nas Ausências Legais</t>
  </si>
  <si>
    <t>Submódulo 4.2 - Substituto na Intrajornada</t>
  </si>
  <si>
    <t>Quadro-Resumo do Módulo 4 - Custo de Reposição do Profissional Ausente</t>
  </si>
  <si>
    <t>QUADRO-RESUMO DO CUSTO POR EMPREGADO</t>
  </si>
  <si>
    <t>Nota 5: Os percentuais do Submódulo 2.2 já incidem sobre remuneração, 13º salário, férias e adicional de férias.</t>
  </si>
  <si>
    <t>Nota 2: Os percentuais do Módulo 3 já incidem sobre remuneração, 13º salário, férias e adicional de férias.</t>
  </si>
  <si>
    <t>Nota 1: Os percentuais do Submódulo 4.1 já incidem sobre remuneração, 13º salário, férias e adicional de férias.</t>
  </si>
  <si>
    <t>Regime de tributação:</t>
  </si>
  <si>
    <t>Lucro presumido</t>
  </si>
  <si>
    <t>-</t>
  </si>
  <si>
    <t>Tributos Federais (PIS)</t>
  </si>
  <si>
    <t xml:space="preserve">C.1. </t>
  </si>
  <si>
    <t>Tributos Federais (COFINS)</t>
  </si>
  <si>
    <t>C.2.</t>
  </si>
  <si>
    <t>Tributos Estaduais/Municipais (ISS)</t>
  </si>
  <si>
    <t>C.3.</t>
  </si>
  <si>
    <t>Tributos (C.1 + C.2 + C.3)</t>
  </si>
  <si>
    <t>Nota 2: A empresa que indicar "desoneração" do Submódulo 2.2 deverá incluir uma rubrica para tributação da Contribuição Previdenciária sobre a Receita Bruta - CPRB.</t>
  </si>
  <si>
    <t>Contribuição Previdenciária sobre a Receita Bruta - CPRB</t>
  </si>
  <si>
    <t>Multa do FGTS</t>
  </si>
  <si>
    <t>Adicional de Periculosidade (30% sobre o salário base)</t>
  </si>
  <si>
    <t>Valor Unitário</t>
  </si>
  <si>
    <t>Valor Anual</t>
  </si>
  <si>
    <t>QUADRO-RESUMO DO VALOR DOS SERVIÇOS</t>
  </si>
  <si>
    <t>Adicional Noturno (20%)</t>
  </si>
  <si>
    <t>Substituto na cobertura de outras ausências (licença por doença)</t>
  </si>
  <si>
    <t>Transporte (2 de 3,80 + 2 de 5,50)</t>
  </si>
  <si>
    <t>ITEM</t>
  </si>
  <si>
    <t>DESCRIÇÃO</t>
  </si>
  <si>
    <t>AJUDANTE DE MANUTENÇÃO E REPAROS</t>
  </si>
  <si>
    <t>ENCARREGADO DE MANUTENÇÃO (44H)</t>
  </si>
  <si>
    <t>ENGENHEIRO (44H)</t>
  </si>
  <si>
    <t>ESTOQUISTA FERRAMENTEIRO (44H)</t>
  </si>
  <si>
    <t>JARDINEIRO (44H)</t>
  </si>
  <si>
    <t>LAVADOR (44H)</t>
  </si>
  <si>
    <t>MARCENEIRO (44H)</t>
  </si>
  <si>
    <t>OFICIAL MECANICO REFRIGERAÇÃO (44H)</t>
  </si>
  <si>
    <t>PEDREIRO (44H)</t>
  </si>
  <si>
    <t>PINTOR GESSEIRO (44H)</t>
  </si>
  <si>
    <t xml:space="preserve"> </t>
  </si>
  <si>
    <t>Cópia de chave simples</t>
  </si>
  <si>
    <t>Cópia de chave de cabeça plástica para veículo</t>
  </si>
  <si>
    <t>Abertura de fechadura</t>
  </si>
  <si>
    <t>Troca de segredo de fechadura</t>
  </si>
  <si>
    <t>Modelagem de fechadura</t>
  </si>
  <si>
    <t>Conserto de fechadura</t>
  </si>
  <si>
    <t>Mestragem de fechadura</t>
  </si>
  <si>
    <t>Extração de chave quebrada em fechadura</t>
  </si>
  <si>
    <t>Abertura e troca de segredo de cilindro de fechadura de veiculo</t>
  </si>
  <si>
    <t>Abertura e troca de segredo de cofre</t>
  </si>
  <si>
    <t>BOMBEIRO HIDRÁULICO (5X2hs)</t>
  </si>
  <si>
    <t>UNIFORMES</t>
  </si>
  <si>
    <t>POSTO: ENCARREGADO DE MANUTENÇÃO E ENGENHEIRO</t>
  </si>
  <si>
    <t>Tipo de Uniforme</t>
  </si>
  <si>
    <t>Qtd</t>
  </si>
  <si>
    <t xml:space="preserve"> Valor Total
Semestre</t>
  </si>
  <si>
    <t>CALÇA – Jeans azul. Confeccionada em tecido algodão poliéster, tipo brim, padrão ou similar.</t>
  </si>
  <si>
    <t>CAMISA - 100% algodão – tipo gola polo com 02 (dois) botões, manga curta, bolso lado esquerdo, na cor branca.</t>
  </si>
  <si>
    <t>CAMISA – 100% algodão – tipo gola polo com 02 (dois) botões, manga longa, bolso lado esquerdo, na cor branca.</t>
  </si>
  <si>
    <t>PAR DE BOTINA - Calçado de segurança, confeccionado em couro vacum curtido ao cromo, no modelo em elástico, com palmilha de montagem em couro no sistema strobel, solado poliuretano monodensidade e bidensidade injetado diretamente no cabedal e baqueado. Referência: Botina de segurança Dynatus ou similar.</t>
  </si>
  <si>
    <t>PARES DE MEIAS – 100% algodão, preta.</t>
  </si>
  <si>
    <t>BONÉ ÁRABE – Com aba longa para proteger contra ação do sol sobre pescoço, cabeça e ombro.</t>
  </si>
  <si>
    <t>Valores estimados no contrato da Real JG</t>
  </si>
  <si>
    <t>BLAZER/CALÇA –  em tecido de micro-fibra, externo e interno 100% poliéster na cor preta, sendo o paletó forrado internamente, inclusive manga em tecido tipo cetim, e calça social com dois bolsos na frente tipo faca e dois bolsos traseiros</t>
  </si>
  <si>
    <t>CAMISA SOCIAL –  em tecido, gola com intertela, 100% algodão na cor branca</t>
  </si>
  <si>
    <t>GRAVATA –  em tecido 100% poliéster, na cor preta</t>
  </si>
  <si>
    <t>CINTO SOCIAL –  em couro legítimo cor preta</t>
  </si>
  <si>
    <t>PARES DE SAPATOS –  Modelo social, em pelica, cor preta, provida de palmilha acolchoada, com salto em borracha e solado em couro com proteção antiderrapante</t>
  </si>
  <si>
    <t xml:space="preserve">Total </t>
  </si>
  <si>
    <t>Total mensal</t>
  </si>
  <si>
    <t>POSTO: AJUDANTE, BOMBEIRO HIDRÁULICO, ELETRICISTA, ESTOQUISTA, JARDINEIRO, MARCENEIRO, OFICIAL MECÂNICO, PEDREIRO, PINTOR/GESSEIRO, SERRALHEIRO, TÉCNICO TELEFONIA/CABISTA</t>
  </si>
  <si>
    <t>Valores estimados no atual T.A da Saga Serviços</t>
  </si>
  <si>
    <t>JALECO LONGO - Confeccionado em tecido algodão poliéster.</t>
  </si>
  <si>
    <t>CAMISA - 100% algodão – tipo gola polo com 02 (dois) botões, manga curta, bolso lado esquerdo, na cor azul (marinho).</t>
  </si>
  <si>
    <t>CAMISA – 100% algodão – tipo gola polo com 02 (dois) botões, manga longa, bolso lado esquerdo, na cor azul (marinho)</t>
  </si>
  <si>
    <t>POSTO: LAVADOR</t>
  </si>
  <si>
    <t>CALÇA - Jeans azul. Confeccionada em tecido algodão poliéster, tipo brim, padrão ou similar.</t>
  </si>
  <si>
    <t>BOTA - Bota de borracha cano longo vulcanizada e com solado antiderrapante, ideais para utilização na construção civil, postos de combustíveis, locais úmidos, lamacentos e encharcados.</t>
  </si>
  <si>
    <t>EPIS</t>
  </si>
  <si>
    <t xml:space="preserve">Orçamento - internet </t>
  </si>
  <si>
    <t>EPIs COMUNS PARA TODOS OS POSTOS</t>
  </si>
  <si>
    <t>Tipo de EPI</t>
  </si>
  <si>
    <t>Óculos de segurança transparente contra impacto e antirriscos, com lente única em policarbonato que possibilitam uma excelente cobertura frontal e lateral aos olhos do usuário</t>
  </si>
  <si>
    <t>Capacete de segurança aba frontal, com suspensão de polietileno sem jugular</t>
  </si>
  <si>
    <t>EPIs ELÉTRICA</t>
  </si>
  <si>
    <t>Par de calçado de segurança para eletricista. Marca de referência: Fujiwara, Marluvas ou equivalente</t>
  </si>
  <si>
    <t>Par de luvas de cobertura em vaqueta, para proteger a luva de segurança de baixa tensão. Marca de referência: SIG, Orion ou equivalente</t>
  </si>
  <si>
    <t>Par de luvas de segurança para baixa tensão, 500V e pico 2500V, classe 00</t>
  </si>
  <si>
    <t>Par de luvas para proteção tricotada em nylon, recoberta na palma em poliuretano, punho em elástico. Marca de referência: Danny flex DA-12.200C ou equivalente</t>
  </si>
  <si>
    <t>EPIs HIDRÁULICA</t>
  </si>
  <si>
    <t>Par de luvas de látex, espessura mínima 0,62mm. Marca de referência Mucambo, Promat ou equivalente</t>
  </si>
  <si>
    <t>Par de luvas de PVC cano longo, 60cm, áspera. Marca de referência Indacol, Promat ou equivalente</t>
  </si>
  <si>
    <t xml:space="preserve">Protetor facial em policarbonato incolor de 24cm de largura por 40cm de altura. </t>
  </si>
  <si>
    <t>Respirador descartável de meia peça facial, com nível de proteção PFF2 sem válvula</t>
  </si>
  <si>
    <t>Macacão de saneamento completo com capuz (macacão de segurança, confeccionado em tela de poliéster revestida de PVC em ambas as faces KP400, capuz com cordão para ajuste, mangas compridas, fechamento frontal através de ziper de plástico e velcro, costuras através de solda eletrônica</t>
  </si>
  <si>
    <t>Par de botas de PVC pretas, cano médio, sem forro</t>
  </si>
  <si>
    <t>Par de botinas de segurança sem biqueira, com elástico</t>
  </si>
  <si>
    <t>Avental impermeável 1,20x0,70m</t>
  </si>
  <si>
    <t>EPIs AR CONDICIONADO - OFICIAL MECÂNICO</t>
  </si>
  <si>
    <t>Par de luvas de segurança com palma pigmentada</t>
  </si>
  <si>
    <t>Par de luvas para solda</t>
  </si>
  <si>
    <t>Par de luvas de segurança para baixa tensão, CA: 500V / CC: 750V. Marca de referência: SIG, Orion ou equivalente</t>
  </si>
  <si>
    <t>Talabarte de segurança, 2 mosquetões travam dupla *53* mm de abertura, com absorvedor de energia</t>
  </si>
  <si>
    <t>Trava quedas em aço para corda de 12mm, extensor de 25 x 300mm, com mosquetão tipo gancho trava dupla</t>
  </si>
  <si>
    <t>Cinturão de segurança tipo paraquedista, fivela em aço, ajuste no suspensório, cintura e pernas</t>
  </si>
  <si>
    <t>EPIs MARCENARIA</t>
  </si>
  <si>
    <t>Par de luvas em neoprene com 3 dedos vazados. Marca de referência: Irwin ou equivalente</t>
  </si>
  <si>
    <t>Par de luvas de couro com palma em vaqueta, punho 20 cm</t>
  </si>
  <si>
    <t>Avental de segurança confeccionado em raspa de couro sem emenda e sem costura - tamanho único</t>
  </si>
  <si>
    <t>Máscara com carvão ativado. Marca de referência 3M modelo 8713 ou equivalente</t>
  </si>
  <si>
    <t>Protetor auricular de inserção, tipo plug, em silicone, com atenuação de no mínimo 18 (dezoito) decibéis</t>
  </si>
  <si>
    <t>Protetor auditivo tipo concha, atenuação 21 dB</t>
  </si>
  <si>
    <t>EPIs AJUDANTE APOIO GERAL</t>
  </si>
  <si>
    <t>EPIs LAVADOR</t>
  </si>
  <si>
    <t>Par de luvas de Látex antiderrapante, forro C/PO, punho médio, proteção química</t>
  </si>
  <si>
    <t>EPIs JARDINEIRO</t>
  </si>
  <si>
    <t>Protetor facial de tela com ajuste</t>
  </si>
  <si>
    <t>Par de perneira em PVC, proteção contra animais peçonhentos, fechamento em velcro</t>
  </si>
  <si>
    <t>Avental para jardinagem, confeccionado em algodão, com dois bolsos</t>
  </si>
  <si>
    <t>Par de luvas multitato confeccionada em algodão, punho com elástico</t>
  </si>
  <si>
    <t>EPIs PEDREIRO</t>
  </si>
  <si>
    <t>EPIs SERRALHEIRO</t>
  </si>
  <si>
    <t>Valor Total</t>
  </si>
  <si>
    <t>Respirador semi facial para 01 filtro</t>
  </si>
  <si>
    <t>Máscara de Solda com escurecimento automático e regulagem</t>
  </si>
  <si>
    <t>Total anual</t>
  </si>
  <si>
    <t>VALOR TOTAL</t>
  </si>
  <si>
    <t>und</t>
  </si>
  <si>
    <t>Ventosa dupla 100kg</t>
  </si>
  <si>
    <t xml:space="preserve">Trena longa aberta 50 metros x 10mm </t>
  </si>
  <si>
    <t xml:space="preserve">Trena de 5m </t>
  </si>
  <si>
    <t>Trena de 10m</t>
  </si>
  <si>
    <t>Trena 8m</t>
  </si>
  <si>
    <t>Tesourão de poda extensível 46,5 a 78cm</t>
  </si>
  <si>
    <t>Tesoura de poda para jardim</t>
  </si>
  <si>
    <t xml:space="preserve">Tesoura Aviação Reta 10" </t>
  </si>
  <si>
    <t>Talhadeira 12" com protetor</t>
  </si>
  <si>
    <t>Sugador de solda</t>
  </si>
  <si>
    <t>Serrote profissional 18" cabo em madeira</t>
  </si>
  <si>
    <t>Riscador de formica cabo de madeira</t>
  </si>
  <si>
    <t xml:space="preserve">Régua de alumínio para pedreiro 2m </t>
  </si>
  <si>
    <t>Rebitador tipo alavanca</t>
  </si>
  <si>
    <t>Rebitador</t>
  </si>
  <si>
    <t xml:space="preserve">Rádio comunicador alcance de até 56 km, 22 canais </t>
  </si>
  <si>
    <t xml:space="preserve">Prumo de face 1000g </t>
  </si>
  <si>
    <t>Ponteiro de aço forjado de 250x19mm com protetor</t>
  </si>
  <si>
    <t>Pistola par apintura alta pressão</t>
  </si>
  <si>
    <t>Picareta estreita com cabo de madeira 90cm</t>
  </si>
  <si>
    <t>Pente em alunínio para aletas e serpentinas</t>
  </si>
  <si>
    <t>Peneira areia, 55cm aro redondo em madeira</t>
  </si>
  <si>
    <t>Pé de Cabra aço forjado 36"x19mm</t>
  </si>
  <si>
    <t>Parafusadeira e furadeira com cabo de 4 metros</t>
  </si>
  <si>
    <t xml:space="preserve">Paquímetro 150mm DIGITAL </t>
  </si>
  <si>
    <t>Pá de bico pequena com cabo de madeira 45cm</t>
  </si>
  <si>
    <t>Pá de bico com cabo de madeira 120cm</t>
  </si>
  <si>
    <t>Nivel bolha de mão em alumínio 30cm</t>
  </si>
  <si>
    <t>Multímetro digital com teste de continuidade</t>
  </si>
  <si>
    <t xml:space="preserve">Morsa/torno de bancada 6" </t>
  </si>
  <si>
    <t>Martelo de unha 25mm</t>
  </si>
  <si>
    <t>Martelo de unha 18mm</t>
  </si>
  <si>
    <t>Martelo bola 200g</t>
  </si>
  <si>
    <t>Marreta de borracha 800g cabo de madeira</t>
  </si>
  <si>
    <t>Marreta de 5Kg cabo de madeira</t>
  </si>
  <si>
    <t>Marreta de 3Kg cabo de madeira</t>
  </si>
  <si>
    <t xml:space="preserve">Maçarico para Impermeabilização </t>
  </si>
  <si>
    <t>Lixadeira angular 7"</t>
  </si>
  <si>
    <t>Lima redonda 12" cabo emborrachado</t>
  </si>
  <si>
    <t>Lanternas tática LED</t>
  </si>
  <si>
    <t>Kit saca polias, 3 garras, 100-150-200-250mm</t>
  </si>
  <si>
    <t>Jogo soquete e Chave catraca (jogo completo)</t>
  </si>
  <si>
    <t>Jogo formão 4 peças aço cromo de 1/4-1/2-23/22-15/16"</t>
  </si>
  <si>
    <t>Jogo de vazador completo 12 peças Ref: Rocast</t>
  </si>
  <si>
    <t>Jogo de trinchas cerda mista com 6 unidades - 1/2"-3/4"-1"-2"-2.1/2-3"</t>
  </si>
  <si>
    <t xml:space="preserve">Jogo de Tarracha de 1/2" à 2" 6 peças </t>
  </si>
  <si>
    <t>Jogo de serra copo para gesso, madeira e PVC 15 peças 3-2.1/2-2.1/4-2-
1.3/4-1.1/2-1.3/8-1.1/4-1.1/8-1-7/8-3/4</t>
  </si>
  <si>
    <t>Jogo de serra copo bi metálicas 15 peças  16-19-22-25-32-35-38-44-51-57-64-76mm</t>
  </si>
  <si>
    <t xml:space="preserve">Jogo de saca pino paraleo 6 peças </t>
  </si>
  <si>
    <t>Jogo de lima  bastarda 8"</t>
  </si>
  <si>
    <t xml:space="preserve">Jogo de Chave TORX com 12 Peças </t>
  </si>
  <si>
    <t>Jogo de Chave combinada 6 a 22mm</t>
  </si>
  <si>
    <t>Jogo de Chave canhão (6 a 14)</t>
  </si>
  <si>
    <t xml:space="preserve">Jogo de chave Boca completo 1/4" a 1.1/4" </t>
  </si>
  <si>
    <t xml:space="preserve">Jogo de chave allen  de 1/8" à 1/2' </t>
  </si>
  <si>
    <t>Jogo de calibres de folgas de 0.05 - 1.00 mm 20 lâminas</t>
  </si>
  <si>
    <t>Jogo de brocas para madeira 3 a 10mm</t>
  </si>
  <si>
    <t>Jogo de brocas para concreto 3 a 10mm</t>
  </si>
  <si>
    <t>Jogo de brocas chata para madeira 6 peças de 3/8-1/2-5/8-3/4-7/8-1"</t>
  </si>
  <si>
    <t>Jogo de brocas aço rápido 1 a 13mm</t>
  </si>
  <si>
    <t>Jogo chave Grifo completo 08-10-12-14-18"</t>
  </si>
  <si>
    <t>Jogo chave de estria de 1/4 a 1.1/4"</t>
  </si>
  <si>
    <t>Jogo chave cotoco fenda 3.16" x 1.1/2" e 1.4" x 1.1/2" e
phillips: 3.16" x 1.1/2" e 1/4" x 1.1/2"</t>
  </si>
  <si>
    <t>Jogo chave allen  13 peças Ref: Irwin</t>
  </si>
  <si>
    <t>Jogo Bits para parafusadeira 25pçs Ref: Bosch</t>
  </si>
  <si>
    <t>Jodo de Chave canhão de 6 a 13 mm cano longo</t>
  </si>
  <si>
    <t>Identificador de Cabo Ref: MTC-183 Minipa</t>
  </si>
  <si>
    <t>Furadeira impacto a cabo 750w variável e reversível</t>
  </si>
  <si>
    <t>Furadeira impacto a Bateria 20V com carregador Ref: Dewalt</t>
  </si>
  <si>
    <t>Forcado para cascalho, 10 dentes, cabo de madeira 74cm</t>
  </si>
  <si>
    <t>Flangeadores Capacidade de 1/8 à 1.1/8"</t>
  </si>
  <si>
    <t>Ferro de solda 60W</t>
  </si>
  <si>
    <t>Ferro de solda 100 W 2</t>
  </si>
  <si>
    <t xml:space="preserve">Ferramenta de Inserção Patch Panel </t>
  </si>
  <si>
    <t>Estilete Emborrachado Profissional 18mm</t>
  </si>
  <si>
    <t>Esquadro aço carbono 30 cm</t>
  </si>
  <si>
    <t>Espátulas em Inox cabo de madeira 12cm</t>
  </si>
  <si>
    <t>Espátulas em Inox cabo de madeira 10 cm</t>
  </si>
  <si>
    <t>Espátula Plástica 150x80mm</t>
  </si>
  <si>
    <t xml:space="preserve">Esmerilhadeira Industrial 9" 6500 RPM BOSCH </t>
  </si>
  <si>
    <t xml:space="preserve">Esmeril Bancada 360W 6" 1/2cv </t>
  </si>
  <si>
    <t>Escada de aço, 5 degraus, dobrável, degraus antiderrapantes</t>
  </si>
  <si>
    <t>Escada de aço extensível 7 degraus</t>
  </si>
  <si>
    <t>Enxada larga 2.5 com cabo de madeira com 145cm</t>
  </si>
  <si>
    <t>Desempenadeira plastica lisa 18x30cm</t>
  </si>
  <si>
    <t>Desempenadeira de Aço Inox 12x30cm</t>
  </si>
  <si>
    <t>Corta tubos comprimento de 3-32mm</t>
  </si>
  <si>
    <t>Colher para pedreiro 8"</t>
  </si>
  <si>
    <t xml:space="preserve">Chave phillips de 1/8 x 5" </t>
  </si>
  <si>
    <t>Chave phillips de 1/4 x 5"</t>
  </si>
  <si>
    <t xml:space="preserve">Chave phillips cotoco 1/4" x 1.1/2" </t>
  </si>
  <si>
    <t xml:space="preserve">Chave phillips 5/16x10" </t>
  </si>
  <si>
    <t xml:space="preserve">Chave phillips 3/16x5" </t>
  </si>
  <si>
    <t>Chave phillips 3/16x 5”</t>
  </si>
  <si>
    <t xml:space="preserve">Chave phillips 3/16" x 4" </t>
  </si>
  <si>
    <t xml:space="preserve">Chave phillips 3/16" x 3" </t>
  </si>
  <si>
    <t xml:space="preserve">Chave phillips 1/8" x 2" </t>
  </si>
  <si>
    <t>Chave phillips  3/16x6”</t>
  </si>
  <si>
    <t>Chave philips 1/4x6”</t>
  </si>
  <si>
    <t>Chave philips 1/4x4”</t>
  </si>
  <si>
    <t>Chave inglesa 8"</t>
  </si>
  <si>
    <t>Chave inglesa 6"</t>
  </si>
  <si>
    <t>Chave de teste digital com display.</t>
  </si>
  <si>
    <t xml:space="preserve">Chave de grifo de 18" </t>
  </si>
  <si>
    <t>Chave de fenda philips  3/16 x3”</t>
  </si>
  <si>
    <t>Chave de fenda philips  3/16 x 4”</t>
  </si>
  <si>
    <t>Chave de fenda philips  1x8 x3”</t>
  </si>
  <si>
    <t>Chave de fenda philips  1/4 x 4”</t>
  </si>
  <si>
    <t xml:space="preserve">Chave de fenda de 5/16 x 10" </t>
  </si>
  <si>
    <t xml:space="preserve">Chave de fenda de 3/16" x 6" </t>
  </si>
  <si>
    <t xml:space="preserve">Chave de fenda de 3/16 x 5" </t>
  </si>
  <si>
    <t xml:space="preserve">Chave de fenda de 1/8 x 5" </t>
  </si>
  <si>
    <t xml:space="preserve">Chave de fenda de 1/4x5" </t>
  </si>
  <si>
    <t xml:space="preserve">Chave de fenda de 1/4" x 8" </t>
  </si>
  <si>
    <t xml:space="preserve">Chave de fenda de 1/4" x 6" </t>
  </si>
  <si>
    <t xml:space="preserve">Chave de fenda de 1/4 x 4" </t>
  </si>
  <si>
    <t xml:space="preserve">Chave de fenda 5/16x10 </t>
  </si>
  <si>
    <t>Chave de fenda 1x8 x5”</t>
  </si>
  <si>
    <t xml:space="preserve">Chave de Fenda 12" BELZER </t>
  </si>
  <si>
    <t>Chave de fenda ¼ x6”</t>
  </si>
  <si>
    <t>Chave de fenda ¼ x5”</t>
  </si>
  <si>
    <t xml:space="preserve">Chave de Corrente Cap. 4" </t>
  </si>
  <si>
    <t>Cavadeira articulada 180cm</t>
  </si>
  <si>
    <t>Arco de serra regulável 10 a 12"</t>
  </si>
  <si>
    <t>Aparador de grama 1500W</t>
  </si>
  <si>
    <t xml:space="preserve">Alicate universal com proteção p/1000v 8" </t>
  </si>
  <si>
    <t>Alicate universal  8”  profissional  aço  cromado cabo isolado.</t>
  </si>
  <si>
    <t xml:space="preserve">Alicate prensa terminais com catraca até 6mm² </t>
  </si>
  <si>
    <t>Alicate para crimpar cabo coaxial</t>
  </si>
  <si>
    <t>Alicate desencapador (2,5 a 6mm²)</t>
  </si>
  <si>
    <t>Alicate de Pressão 12"</t>
  </si>
  <si>
    <t>Alicate de pressão 10"</t>
  </si>
  <si>
    <t>Alicate de prensa  terminais (mc3,mc4)</t>
  </si>
  <si>
    <t>Alicate de corte diagonal  aço cromado cabo isolado 6" p/ 1000 v</t>
  </si>
  <si>
    <t xml:space="preserve">Alicate de bico fino com prot. P/1000v 6" </t>
  </si>
  <si>
    <t>Alicate de bico aço cromado cabo isolado p/ 1000 v.</t>
  </si>
  <si>
    <t xml:space="preserve">Alicate Crimpar RJ45 Cat5 Cat6 tipo AMP </t>
  </si>
  <si>
    <t>Alicate Coaxial - RG 58/59/62/72</t>
  </si>
  <si>
    <t xml:space="preserve">Alicate chato com cabo isolado 6" </t>
  </si>
  <si>
    <t xml:space="preserve">Alicate amperimetro digital para 1000A                          -    </t>
  </si>
  <si>
    <t>Alavanca 1" x 1,80m</t>
  </si>
  <si>
    <t>Taxa Anual de depreciação</t>
  </si>
  <si>
    <t>Vida útil (anos)</t>
  </si>
  <si>
    <t>Valor 
Unitário</t>
  </si>
  <si>
    <t>Quant.</t>
  </si>
  <si>
    <t>Unid.</t>
  </si>
  <si>
    <t>Descrição</t>
  </si>
  <si>
    <t>Item</t>
  </si>
  <si>
    <t>IN RFB Nº 1700/2017  
Anexo III Capítulo 82</t>
  </si>
  <si>
    <t>Materiais (EPIs + Ferramentas)</t>
  </si>
  <si>
    <r>
      <t>FERRAMENTAL (LISTA</t>
    </r>
    <r>
      <rPr>
        <b/>
        <sz val="10"/>
        <color rgb="FFFF0000"/>
        <rFont val="Calibri"/>
        <family val="2"/>
        <scheme val="minor"/>
      </rPr>
      <t xml:space="preserve"> NÃO </t>
    </r>
    <r>
      <rPr>
        <b/>
        <sz val="10"/>
        <color theme="0"/>
        <rFont val="Calibri"/>
        <family val="2"/>
        <scheme val="minor"/>
      </rPr>
      <t>EXAUSTIVA)</t>
    </r>
  </si>
  <si>
    <t>3.8</t>
  </si>
  <si>
    <t>3.7</t>
  </si>
  <si>
    <t>3.6</t>
  </si>
  <si>
    <t>3.5</t>
  </si>
  <si>
    <t>3.4</t>
  </si>
  <si>
    <t>3.3</t>
  </si>
  <si>
    <t>3.2</t>
  </si>
  <si>
    <t>3.1</t>
  </si>
  <si>
    <t>1.4</t>
  </si>
  <si>
    <t>1.3</t>
  </si>
  <si>
    <t>1.2</t>
  </si>
  <si>
    <t>1.1</t>
  </si>
  <si>
    <t xml:space="preserve">Adicional de Periculosidade </t>
  </si>
  <si>
    <t>Adicional de Periculosidade</t>
  </si>
  <si>
    <t>Valor mensal por posto</t>
  </si>
  <si>
    <t>VALOR MENSAL POR POSTO</t>
  </si>
  <si>
    <t>Nota: Valor orçado com base em preços divulgados em sítios especializados</t>
  </si>
  <si>
    <t>Materiais (EPIs + Ferramental)</t>
  </si>
  <si>
    <t>Bombeiro Hidráulico</t>
  </si>
  <si>
    <t>Eletricista</t>
  </si>
  <si>
    <t>Encarregado manutenção</t>
  </si>
  <si>
    <t>Estoquista/Ferramenteiro</t>
  </si>
  <si>
    <t>Jardineiro</t>
  </si>
  <si>
    <t>Lavador</t>
  </si>
  <si>
    <t>Marceneiro</t>
  </si>
  <si>
    <t>Pedreiro</t>
  </si>
  <si>
    <t>Pintor/Gesseiro</t>
  </si>
  <si>
    <t>Serralheiro</t>
  </si>
  <si>
    <t>Engenheiro</t>
  </si>
  <si>
    <t>Técnico em telefonia 1</t>
  </si>
  <si>
    <t>Oficial mecânico de refrigeração</t>
  </si>
  <si>
    <t>IV</t>
  </si>
  <si>
    <t>V</t>
  </si>
  <si>
    <t>VI</t>
  </si>
  <si>
    <t>VII</t>
  </si>
  <si>
    <t>VIII</t>
  </si>
  <si>
    <t>IX</t>
  </si>
  <si>
    <t>X</t>
  </si>
  <si>
    <t>XI</t>
  </si>
  <si>
    <t>XII</t>
  </si>
  <si>
    <t>XIII</t>
  </si>
  <si>
    <t>XIV</t>
  </si>
  <si>
    <t xml:space="preserve">Valor unitário por posto de trabalho </t>
  </si>
  <si>
    <t>Qtde. de Postos</t>
  </si>
  <si>
    <t>VALOR TOTAL (12 meses)</t>
  </si>
  <si>
    <t>Ajudante Geral de Manutenção
e Reparos</t>
  </si>
  <si>
    <t>Valor Total por Empregado/posto</t>
  </si>
  <si>
    <t>Valor Total por Empregado/Posto</t>
  </si>
  <si>
    <t>Valor Total por Empregado / Posto</t>
  </si>
  <si>
    <r>
      <rPr>
        <b/>
        <sz val="10"/>
        <color theme="1"/>
        <rFont val="Arial"/>
        <family val="2"/>
      </rPr>
      <t>Nota</t>
    </r>
    <r>
      <rPr>
        <sz val="10"/>
        <color theme="1"/>
        <rFont val="Arial"/>
        <family val="2"/>
      </rPr>
      <t xml:space="preserve">:
</t>
    </r>
    <r>
      <rPr>
        <b/>
        <sz val="10"/>
        <color theme="1"/>
        <rFont val="Arial"/>
        <family val="2"/>
      </rPr>
      <t>1</t>
    </r>
    <r>
      <rPr>
        <sz val="10"/>
        <color theme="1"/>
        <rFont val="Arial"/>
        <family val="2"/>
      </rPr>
      <t xml:space="preserve">. Os valores desta simulação referente à remuneração, auxílio-alimentação e percentual de adicionais (periculosidade/noturno) foram incluídos com base da Convenção Coletiva da Categoria (DF000080/2021).
</t>
    </r>
    <r>
      <rPr>
        <b/>
        <sz val="10"/>
        <color theme="1"/>
        <rFont val="Arial"/>
        <family val="2"/>
      </rPr>
      <t>2</t>
    </r>
    <r>
      <rPr>
        <sz val="10"/>
        <color theme="1"/>
        <rFont val="Arial"/>
        <family val="2"/>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Arial"/>
        <family val="2"/>
      </rPr>
      <t>3</t>
    </r>
    <r>
      <rPr>
        <sz val="10"/>
        <color theme="1"/>
        <rFont val="Arial"/>
        <family val="2"/>
      </rPr>
      <t>. Os percentuais dos valores do Módulo 6 – custos indiretos, lucro e tributos - foram extraídos da Nota Técnica n. 1/2013-CJF.</t>
    </r>
  </si>
  <si>
    <t>SERRALHEIRO (44H)</t>
  </si>
  <si>
    <t>Valor Total por Empregado /Posto</t>
  </si>
  <si>
    <t>Valor Total por Empregado  / Posto</t>
  </si>
  <si>
    <t>mês</t>
  </si>
  <si>
    <t>MANUTENÇÃO INTEGRAL DO SISTEMA DE ALARME DE INCÊNDIO</t>
  </si>
  <si>
    <t>PRESTAÇÃO DE SERVIÇO DE CHAVEIRO</t>
  </si>
  <si>
    <t>MANUTENÇÃO INTEGRAL E SERVIÇOS DE ASSISTÊNCIA TÉCNICA DOS ELEVADORES</t>
  </si>
  <si>
    <t>Manutenção corretiva</t>
  </si>
  <si>
    <t>MANUTENÇÃO INTEGRAL DE ASSISTÊNCIA TÉCNICA E CONSERVAÇÃO DO GRUPO GERADOR</t>
  </si>
  <si>
    <t xml:space="preserve">Unidade de medida </t>
  </si>
  <si>
    <t>Adicional de Insalubridade (40% sobre o salário categoria "aux serv gerais")</t>
  </si>
  <si>
    <t>Sindicato dos Emp de Asseio, Conservação, Trabalho Temporário, Prest Serviços e Serviços Terceirizáveis do DF - SINDISERVICOS/DF,</t>
  </si>
  <si>
    <t>Sindicato dos Emp de Asseio, Conservação, Trabalho Temporário, Prest Serviços e Serviços
Terceirizáveis do DF - SINDISERVICOS/DF,</t>
  </si>
  <si>
    <t>1º/1/2021</t>
  </si>
  <si>
    <t>CCT DF 000038/2021</t>
  </si>
  <si>
    <t>Assistência Funeral</t>
  </si>
  <si>
    <t>ELETRICISTA 44HS</t>
  </si>
  <si>
    <t>Adicional de Periculosidade (30% do salário base)</t>
  </si>
  <si>
    <t>Auxílio-Refeição/Alimentação (R$35,00 por dia)</t>
  </si>
  <si>
    <t>Auxílio-Refeição/Alimentação  (R$35,00 por dia)</t>
  </si>
  <si>
    <t>Sindicato dos Emp de Asseio, Conservação, Trabalho Temporário, Prest Serviços e Serviços
Terceirizáveis do DF - INDISERVICOS/DF</t>
  </si>
  <si>
    <t>Adicional de Insalubridade (20% sobre o piso salaraial )</t>
  </si>
  <si>
    <t>Adicional de Insalubridade (20% sobre o piso salarial)</t>
  </si>
  <si>
    <t>Sindicato dos Emp de Asseio, Conservação, Trabalho Temporário, Prest Serviços e Serviços
Terceirizáveis do DF - SINDISERVICOS/DF</t>
  </si>
  <si>
    <t>SIND NACIONAL EMPR ARQUITETURA E ENGENHARIA CONSULTIVA</t>
  </si>
  <si>
    <t>CCT 2019/2020 - DF000687/2019</t>
  </si>
  <si>
    <t>1º/5/2019 a 30/4/2021</t>
  </si>
  <si>
    <t>Auxílio-Refeição/Alimentação (R$28,00 por dia)</t>
  </si>
  <si>
    <t>Auxílio Creche (empregadas mãe)</t>
  </si>
  <si>
    <t>SIND DAS IND METAL, MEC E DE MATE ELETR DO DF</t>
  </si>
  <si>
    <t>Nota 1: Como a planilha de custos e formação de preços é calculada mensalmente, provisiona-se proporcionalmente 1/11 (um onze avos) dos valores referentes a gratificação natalina, férias e adicional de férias. (Redação dada pela Instrução Normativa CJF nº 1, de 2013)</t>
  </si>
  <si>
    <r>
      <rPr>
        <b/>
        <sz val="10"/>
        <color theme="1"/>
        <rFont val="Arial"/>
        <family val="2"/>
      </rPr>
      <t>Nota</t>
    </r>
    <r>
      <rPr>
        <sz val="10"/>
        <color theme="1"/>
        <rFont val="Arial"/>
        <family val="2"/>
      </rPr>
      <t xml:space="preserve">:
</t>
    </r>
    <r>
      <rPr>
        <b/>
        <sz val="10"/>
        <color theme="1"/>
        <rFont val="Arial"/>
        <family val="2"/>
      </rPr>
      <t>1</t>
    </r>
    <r>
      <rPr>
        <sz val="10"/>
        <color theme="1"/>
        <rFont val="Arial"/>
        <family val="2"/>
      </rPr>
      <t xml:space="preserve">. Os valores desta simulação referente à remuneração, auxílio-alimentação e percentual de adicionais (periculosidade/noturno) foram incluídos com base da Convenção Coletiva da Categoria.
</t>
    </r>
    <r>
      <rPr>
        <b/>
        <sz val="10"/>
        <color theme="1"/>
        <rFont val="Arial"/>
        <family val="2"/>
      </rPr>
      <t>2</t>
    </r>
    <r>
      <rPr>
        <sz val="10"/>
        <color theme="1"/>
        <rFont val="Arial"/>
        <family val="2"/>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Arial"/>
        <family val="2"/>
      </rPr>
      <t>3</t>
    </r>
    <r>
      <rPr>
        <sz val="10"/>
        <color theme="1"/>
        <rFont val="Arial"/>
        <family val="2"/>
      </rPr>
      <t xml:space="preserve">. Os percentuais dos valores do Módulo 6 – custos indiretos, lucro e tributos - foram extraídos da Nota Técnica n. 1/2013-CJF.
</t>
    </r>
    <r>
      <rPr>
        <b/>
        <sz val="10"/>
        <color theme="1"/>
        <rFont val="Arial"/>
        <family val="2"/>
      </rPr>
      <t>4</t>
    </r>
    <r>
      <rPr>
        <sz val="10"/>
        <color theme="1"/>
        <rFont val="Arial"/>
        <family val="2"/>
      </rPr>
      <t>. O valor da remuneração usada foi com base na indicação da unidade requisitante, constante no termo de ferência.</t>
    </r>
  </si>
  <si>
    <t>TÉCNICO EM TELEFONIA/CABISTA (44H)</t>
  </si>
  <si>
    <t>CUSTOS UNITÁRIOS SERVIÇOS ESPECIALIZADOS</t>
  </si>
  <si>
    <t>Nº do Processo: 0000296-75.2021.4.90.8000</t>
  </si>
  <si>
    <t>COMPOSIÇÃO DO BDI - TABELA NÃO-DESONERADA</t>
  </si>
  <si>
    <t>Empresas sujeitas ao regime de Incidência Cumulativa (LUCRO PRESUMIDO)</t>
  </si>
  <si>
    <t xml:space="preserve">SERVIÇOS </t>
  </si>
  <si>
    <t>MATERIAIS</t>
  </si>
  <si>
    <t>EQUIPAMENTOS</t>
  </si>
  <si>
    <t>%</t>
  </si>
  <si>
    <t>ADMINISTRAÇÃO CENTRAL (AC)</t>
  </si>
  <si>
    <t>TRIBUTOS (T)</t>
  </si>
  <si>
    <t>LUCRO (L)</t>
  </si>
  <si>
    <t>DESPESAS FINANCEIRAS (DF)</t>
  </si>
  <si>
    <t>01.1</t>
  </si>
  <si>
    <t>Cofins</t>
  </si>
  <si>
    <t>SEGUROS, RISCOS E GARANTIAS (SRG)</t>
  </si>
  <si>
    <t>01.2</t>
  </si>
  <si>
    <t>PIS</t>
  </si>
  <si>
    <t>03.1</t>
  </si>
  <si>
    <t>Seguro+Garantia</t>
  </si>
  <si>
    <t>01.3</t>
  </si>
  <si>
    <t>CPRB</t>
  </si>
  <si>
    <t>04.1</t>
  </si>
  <si>
    <t>03.2</t>
  </si>
  <si>
    <t>Risco</t>
  </si>
  <si>
    <t>BDI (%):</t>
  </si>
  <si>
    <t>04.2</t>
  </si>
  <si>
    <t>05.1</t>
  </si>
  <si>
    <t>05.2</t>
  </si>
  <si>
    <t>04.3</t>
  </si>
  <si>
    <t>05.3</t>
  </si>
  <si>
    <t>ISS</t>
  </si>
  <si>
    <t>05.4</t>
  </si>
  <si>
    <t>Fórmula do BDI</t>
  </si>
  <si>
    <t>MÃO-DE-OBRA E SERVIÇOS</t>
  </si>
  <si>
    <t>SERVIÇOS</t>
  </si>
  <si>
    <t xml:space="preserve">                                         (1 – T)</t>
  </si>
  <si>
    <t xml:space="preserve">                                  (1 – T)</t>
  </si>
  <si>
    <t xml:space="preserve">                         (1 – T)</t>
  </si>
  <si>
    <t>Em que:</t>
  </si>
  <si>
    <t>AC = Taxa de Administração Central</t>
  </si>
  <si>
    <t>SRG = Taxa de Seguros + Txa de Riscos + Taxa de Garantias</t>
  </si>
  <si>
    <t>DF = Taxa de Despesas Financeiras</t>
  </si>
  <si>
    <t>L = Taxa de Lucro</t>
  </si>
  <si>
    <t>T = Taxa de Tributos ( PIS, Confins, ISS e CPRB)</t>
  </si>
  <si>
    <r>
      <t xml:space="preserve">BDI =       </t>
    </r>
    <r>
      <rPr>
        <u/>
        <sz val="12"/>
        <color theme="1"/>
        <rFont val="Calibri"/>
        <family val="2"/>
        <scheme val="minor"/>
      </rPr>
      <t>(1 + AC + SRG) x (1 + DF) x (1 + L)</t>
    </r>
    <r>
      <rPr>
        <sz val="12"/>
        <rFont val="Calibri"/>
        <family val="2"/>
        <scheme val="minor"/>
      </rPr>
      <t xml:space="preserve"> – 1                                  </t>
    </r>
  </si>
  <si>
    <r>
      <t xml:space="preserve">BDI =       </t>
    </r>
    <r>
      <rPr>
        <u/>
        <sz val="12"/>
        <color theme="1"/>
        <rFont val="Calibri"/>
        <family val="2"/>
        <scheme val="minor"/>
      </rPr>
      <t>(1 + AC + SRG) x (1 + DF)</t>
    </r>
    <r>
      <rPr>
        <sz val="12"/>
        <rFont val="Calibri"/>
        <family val="2"/>
        <scheme val="minor"/>
      </rPr>
      <t xml:space="preserve"> – 1                                  </t>
    </r>
  </si>
  <si>
    <r>
      <t xml:space="preserve">BDI =          </t>
    </r>
    <r>
      <rPr>
        <u/>
        <sz val="12"/>
        <color theme="1"/>
        <rFont val="Calibri"/>
        <family val="2"/>
        <scheme val="minor"/>
      </rPr>
      <t xml:space="preserve">          1           </t>
    </r>
    <r>
      <rPr>
        <sz val="12"/>
        <rFont val="Calibri"/>
        <family val="2"/>
        <scheme val="minor"/>
      </rPr>
      <t xml:space="preserve">–  1                                  </t>
    </r>
  </si>
  <si>
    <t xml:space="preserve">CCT 2021/2023 -DF000417/2021 </t>
  </si>
  <si>
    <t>1º/5/2021 a 30/4/2023</t>
  </si>
  <si>
    <t>Auxílio-Refeição/Alimentação (R$20,15 por dia, claus 25ª CCT)</t>
  </si>
  <si>
    <t>Objeto</t>
  </si>
  <si>
    <t xml:space="preserve">Quant </t>
  </si>
  <si>
    <t xml:space="preserve"> Valor</t>
  </si>
  <si>
    <t>Unitário</t>
  </si>
  <si>
    <t xml:space="preserve"> Valor Anual </t>
  </si>
  <si>
    <t>Subtotal do item de serviços de Chaveiro</t>
  </si>
  <si>
    <r>
      <t>MANUTENÇÃO INTEGRAL DO SISTEMA DE UPS (</t>
    </r>
    <r>
      <rPr>
        <i/>
        <sz val="11"/>
        <color rgb="FF000000"/>
        <rFont val="Times New Roman"/>
        <family val="1"/>
      </rPr>
      <t>Uninterruptible Power Suply</t>
    </r>
    <r>
      <rPr>
        <sz val="11"/>
        <color rgb="FF000000"/>
        <rFont val="Times New Roman"/>
        <family val="1"/>
      </rPr>
      <t>)</t>
    </r>
  </si>
  <si>
    <t>SUBTOTAL 1.2</t>
  </si>
  <si>
    <t>3.9</t>
  </si>
  <si>
    <t>3.10</t>
  </si>
  <si>
    <t>1- Os valores mensal e anual da linha "Subtotal 1.2" deverão ser transferidos para o subitem 1.2 da Tabela 1 
2- Os valores mensais dos subitens unitários correspondem a 1/12 (um doze avos) do valor total anual;
3- Os valores anuais dos subitens correspondem ao produto do valor unitário e do quantitativo total;</t>
  </si>
  <si>
    <t>PLANILHA DE FORMAÇÃO DE PREÇOS PARA A EXECUÇÃO DOS SERVIÇOS DE MANUTENÇÃO PREDIAL</t>
  </si>
  <si>
    <t>Item e Subitens que compõe a contratação</t>
  </si>
  <si>
    <t>Contratação de empresa especializada em Engenharia para a prestação de serviços contínuos de operação e manutenção predial preventiva, corretiva e preditiva, incluindo pequenas adaptações e reformas, por meio de postos de trabalhos, com fornecimento de ferramentas, peças e materiais, assim como para a realização de serviços de manutenção especializada e serviços eventuais diversos, nos sistemas, equipamentos e instalações prediais do Conselho da Justiça Federal em Brasília – DF.</t>
  </si>
  <si>
    <t>Subitem</t>
  </si>
  <si>
    <t xml:space="preserve"> Custo Mensal </t>
  </si>
  <si>
    <t xml:space="preserve"> Custo Anual </t>
  </si>
  <si>
    <t>Valor anual dos Postos de Trabalho</t>
  </si>
  <si>
    <t>Valor anual para Manutenção Especializada</t>
  </si>
  <si>
    <t>Valor anual para Materiais e Peças de Reposição*</t>
  </si>
  <si>
    <t>Valor anual para Serviços Eventuais*</t>
  </si>
  <si>
    <t xml:space="preserve">TOTAL </t>
  </si>
  <si>
    <t>Observação:</t>
  </si>
  <si>
    <r>
      <t>ATENÇÃO:</t>
    </r>
    <r>
      <rPr>
        <sz val="11"/>
        <color rgb="FF000000"/>
        <rFont val="Times New Roman"/>
        <family val="1"/>
      </rPr>
      <t xml:space="preserve"> *</t>
    </r>
    <r>
      <rPr>
        <sz val="11"/>
        <color theme="1"/>
        <rFont val="Times New Roman"/>
        <family val="1"/>
      </rPr>
      <t xml:space="preserve">*Para os subitens 1.3 (matérias e equipamentos) e 1.4 (serviços eventuais), o valor percentual equivalente à diferença </t>
    </r>
    <r>
      <rPr>
        <b/>
        <sz val="11"/>
        <color theme="1"/>
        <rFont val="Times New Roman"/>
        <family val="1"/>
      </rPr>
      <t>entre o valor estimado</t>
    </r>
    <r>
      <rPr>
        <sz val="11"/>
        <color theme="1"/>
        <rFont val="Times New Roman"/>
        <family val="1"/>
      </rPr>
      <t xml:space="preserve"> (Planilha 1 - itens 3 e 4 do Módulo V, respectivamente nos valores bases R$ 694.071,72 e R$ 226.284,96) </t>
    </r>
    <r>
      <rPr>
        <sz val="11"/>
        <color rgb="FF000000"/>
        <rFont val="Times New Roman"/>
        <family val="1"/>
      </rPr>
      <t xml:space="preserve">e </t>
    </r>
    <r>
      <rPr>
        <b/>
        <sz val="11"/>
        <color rgb="FF000000"/>
        <rFont val="Times New Roman"/>
        <family val="1"/>
      </rPr>
      <t>o valor do lance</t>
    </r>
    <r>
      <rPr>
        <sz val="11"/>
        <color rgb="FF000000"/>
        <rFont val="Times New Roman"/>
        <family val="1"/>
      </rPr>
      <t xml:space="preserve"> vencedor será aplicado como desconto sobre os itens a serem fornecidos com base na tabela SINAPI, conforme fórmula de cálculo a seguir:</t>
    </r>
    <r>
      <rPr>
        <b/>
        <sz val="11"/>
        <color rgb="FFFF0000"/>
        <rFont val="Times New Roman"/>
        <family val="1"/>
      </rPr>
      <t xml:space="preserve">
</t>
    </r>
    <r>
      <rPr>
        <b/>
        <sz val="11"/>
        <rFont val="Times New Roman"/>
        <family val="1"/>
      </rPr>
      <t xml:space="preserve">
Onde:
D= Valor do desconto;
E= Valor estimado do subitem constante na Tabela 1, itens 3 ou 4 do Módulo V;
P= Valor do lance vencedor no subitem
Exemplo: Se o valor estimado é R$ 226.284,96 (serviços eventuais 1.4) e a empresa ofertar R$ 224.022,11, entende-se que o percentual de desconto a ser avaliado durante a execução contratual será de 1% sobre os preços tabelados no SINAPI.
</t>
    </r>
  </si>
  <si>
    <t>CUSTOS UNITÁRIOS MATERIAIS E PEÇAS DE REPOSIÇÃO</t>
  </si>
  <si>
    <t>% desconto</t>
  </si>
  <si>
    <t>Valor ofertado pela empresa</t>
  </si>
  <si>
    <t>SUBTOTAL 1.3</t>
  </si>
  <si>
    <t xml:space="preserve">1-  O valor da linha "Subtotal 1.3" corresponde ao custo anual que deverá ser preenchido no subitem 1.3 da Tabela 1 </t>
  </si>
  <si>
    <t xml:space="preserve">base estimativa  </t>
  </si>
  <si>
    <t>Materiais e peças de reposição</t>
  </si>
  <si>
    <t>anual</t>
  </si>
  <si>
    <t>Serviços eventuais</t>
  </si>
  <si>
    <t>SUBTOTAL 1.4</t>
  </si>
  <si>
    <t>CUSTOS UNITÁRIOS SERVIÇOS EVENTUAIS</t>
  </si>
  <si>
    <t>1-  O valor da linha "Subtotal 1.4" corresponde ao custo anual que deverá ser preenchido no subitem 1.4 da Tabela 1.</t>
  </si>
  <si>
    <t xml:space="preserve">1- Para formação da proposta, a proponente deverá considerar: 
Coluna” Valor Unitário (B)” = valor anual estimado pela proponente para utilização durante os 12 
meses de contrato; 
Coluna “BDI (C)” = Porcentagem do BDI ofertado pela proponente; 
Coluna “Valor Total (D)” = A*B*(1+C). 
2-  O valor da linha "Subtotal 1.3" corresponde ao custo anual que deverá ser preenchido no subitem 
1.3 da Tabela 8 - PLANILHA DE FORMAÇÃO DE PREÇOS PARA A EXECUÇÃO DOS SERVIÇOS DE 
MANUTENÇÃO PREDIAL; 
3- Para preenchimento do “Valor Mensal” no subitem 1.3 da Tabela 8 deverá ser considerado o 
equivalente a 1/12 do “Custo Anual”. </t>
  </si>
  <si>
    <t>Valor Unt (B)</t>
  </si>
  <si>
    <t>Quant. (A)</t>
  </si>
  <si>
    <t>BDI ( C )</t>
  </si>
  <si>
    <t>Valor Total ( D )</t>
  </si>
  <si>
    <t xml:space="preserve">1- Para formação da proposta, a proponente deverá considerar: 
Coluna” Valor Unitário (B)” = valor anual estimado pela proponente para utilização durante os 12 
meses de contrato; 
Coluna “BDI (C)” = Porcentagem do BDI ofertado pela proponente; 
Coluna “Valor Total (D)” = A*B*(1+C). 
2-  O valor da linha "Subtotal 1.4" corresponde ao custo anual que deverá ser preenchido no subitem 
1.3 da Tabela 8 - PLANILHA DE FORMAÇÃO DE PREÇOS PARA A EXECUÇÃO DOS SERVIÇOS DE 
MANUTENÇÃO PREDIAL; 
3- Para preenchimento do “Valor Mensal” no subitem 1.4 da Tabela 8 deverá ser considerado o 
equivalente a 1/12 do “Custo Anual”. </t>
  </si>
  <si>
    <t xml:space="preserve">Serviços eventuais </t>
  </si>
  <si>
    <t>RAT Ajustado (RAT x FAP)</t>
  </si>
  <si>
    <t xml:space="preserve">Observações:
1- Os parâmetros para taxas de BDI estão especificados no acórdão TCU 2622/2013 para CONSTRUÇÃO DE EDIFÍCIOS.
2 - Os percentuais de PIS e COFINS devem ser indicados de acordo com sua situação tributária da empresa.
3 - Caso as licitantes trabalhem no regime de desoneração da folha de pagamento, deverão ser incluído na planilha de composição do BDI o percentual de 4,50% referente a Contribuição Previdenciária sobre a Receita Bruta - CPRB.
</t>
  </si>
  <si>
    <t>CCT DF 000015/2022</t>
  </si>
  <si>
    <t>1/1/2022 a 30/8/2022</t>
  </si>
  <si>
    <t>a partir de 31/8/2022</t>
  </si>
  <si>
    <t xml:space="preserve">Alteração do percentual do aviso prévio trabalhado de 1,94% para 0,194%
</t>
  </si>
  <si>
    <t>1/5/2021 a 30/4/2023</t>
  </si>
  <si>
    <t>CCT DF 000352/2021</t>
  </si>
  <si>
    <t>VALORES DO CONTRATO FIRMADO EM 31/8/2022</t>
  </si>
  <si>
    <t>Alteração da alíquota do FAP.</t>
  </si>
  <si>
    <t>Alteração da alíquota do FAP e ajuste no valor da assistência médica e familiar</t>
  </si>
  <si>
    <t>Reajuste salarial de 10%; Reajustes no adicional de insalubridade; no auxílio alimentação, no auxílio transporte, nas assistências médica familiar, odontológica e funeral. Alteração da alíquota do FAP.</t>
  </si>
  <si>
    <t>Reajuste salarial de 6%; Reajustes no adicional de insalubridade; no auxílio alimentação, no auxílio transporte, nas assistências médica familiar, odontológica e funeral. Alteração da alíquota do FAP.</t>
  </si>
  <si>
    <t>CCT DF 000220/2022</t>
  </si>
  <si>
    <t>1/1/2022 a 30/4/2022</t>
  </si>
  <si>
    <t>Reajuste salarial de 5,5%; Reajustes no auxílio alimentação.</t>
  </si>
  <si>
    <t>a partir de 1/9/2022</t>
  </si>
  <si>
    <t>Reajuste salarial de 5,5%.</t>
  </si>
  <si>
    <r>
      <t xml:space="preserve">I TERMO ADITIVO
</t>
    </r>
    <r>
      <rPr>
        <b/>
        <sz val="11"/>
        <color theme="1"/>
        <rFont val="Calibri"/>
        <family val="2"/>
        <scheme val="minor"/>
      </rPr>
      <t>DE 1/5/2022 A 30/8/2022</t>
    </r>
    <r>
      <rPr>
        <sz val="11"/>
        <color theme="1"/>
        <rFont val="Calibri"/>
        <family val="2"/>
        <scheme val="minor"/>
      </rPr>
      <t xml:space="preserve">
REAJUSTE DO SALÁRIO DO OFICIAL  MECÂNICO DE REFRIGERAÇÃO.</t>
    </r>
  </si>
  <si>
    <r>
      <t xml:space="preserve">I TERMO ADITIVO
</t>
    </r>
    <r>
      <rPr>
        <b/>
        <sz val="11"/>
        <color theme="1"/>
        <rFont val="Calibri"/>
        <family val="2"/>
        <scheme val="minor"/>
      </rPr>
      <t>DE 1/1/2022 A 30/4/2022</t>
    </r>
    <r>
      <rPr>
        <sz val="11"/>
        <color theme="1"/>
        <rFont val="Calibri"/>
        <family val="2"/>
        <scheme val="minor"/>
      </rPr>
      <t xml:space="preserve">
ALTERAÇÃO DA ALÍQUOTA FAP;
REAJUSTES SALARIAIS DEVIDO À CCT DF000015/2022;
REAJUSTES NOS VALORES DE AUXÍLIOS E ADICIONAIS.</t>
    </r>
  </si>
  <si>
    <r>
      <t xml:space="preserve">I TERMO ADITIVO
</t>
    </r>
    <r>
      <rPr>
        <b/>
        <sz val="11"/>
        <color theme="1"/>
        <rFont val="Calibri"/>
        <family val="2"/>
        <scheme val="minor"/>
      </rPr>
      <t>A PARTIR DE 1/9/2022</t>
    </r>
    <r>
      <rPr>
        <sz val="11"/>
        <color theme="1"/>
        <rFont val="Calibri"/>
        <family val="2"/>
        <scheme val="minor"/>
      </rPr>
      <t xml:space="preserve">
REAJUSTE DO SALÁRIO DO OFICIAL MECÂNICO DE REFRIGERAÇÃO.</t>
    </r>
  </si>
  <si>
    <t xml:space="preserve"> Custos Anual</t>
  </si>
  <si>
    <t>VALOR TOTAL (4 meses)</t>
  </si>
  <si>
    <t>VALOR TOTAL (1 dia)</t>
  </si>
  <si>
    <r>
      <t xml:space="preserve">I TERMO ADITIVO
</t>
    </r>
    <r>
      <rPr>
        <b/>
        <sz val="11"/>
        <color theme="1"/>
        <rFont val="Calibri"/>
        <family val="2"/>
        <scheme val="minor"/>
      </rPr>
      <t>EM 31/8/2022</t>
    </r>
    <r>
      <rPr>
        <sz val="11"/>
        <color theme="1"/>
        <rFont val="Calibri"/>
        <family val="2"/>
        <scheme val="minor"/>
      </rPr>
      <t xml:space="preserve">
ALTERAÇÃO DO PERCENTUAL DO AVISO PRÉVIO TRABALHADO.</t>
    </r>
  </si>
  <si>
    <t>II TERMO ADITIVO
DE 1/1/2022 A 30/4/2022</t>
  </si>
  <si>
    <t>II TERMO ADITIVO
DE 1/5/2022 A 30/8/2022</t>
  </si>
  <si>
    <t>II TERMO ADITIVO
EM 31/8/2022</t>
  </si>
  <si>
    <t>II TERMO ADITIVO
A PARTIR DE 1/9/2022</t>
  </si>
  <si>
    <t>Reajuste no salário e no auxílio alimentação.</t>
  </si>
  <si>
    <t>31/8/2021 a 31/12/2021</t>
  </si>
  <si>
    <t>Alteração do percentual do aviso prévio trabalhado de 1,94% para 0,194%</t>
  </si>
  <si>
    <t>em 31/8/2022</t>
  </si>
  <si>
    <t>1/5/2022 a 30/8/2022</t>
  </si>
  <si>
    <r>
      <t xml:space="preserve">I TERMO ADITIVO
</t>
    </r>
    <r>
      <rPr>
        <b/>
        <sz val="11"/>
        <color theme="1"/>
        <rFont val="Calibri"/>
        <family val="2"/>
        <scheme val="minor"/>
      </rPr>
      <t xml:space="preserve">31/8/2021 a 31/12/2021 </t>
    </r>
    <r>
      <rPr>
        <sz val="11"/>
        <color theme="1"/>
        <rFont val="Calibri"/>
        <family val="2"/>
        <scheme val="minor"/>
      </rPr>
      <t xml:space="preserve">
REAJUSTE NO SALÁRIO DO CARGO DE ENGENHEIRO, DEVIDO À CCT DF000352/2021.</t>
    </r>
  </si>
  <si>
    <t>II TERMO ADITIVO
31/8/2021 a 31/12/2021</t>
  </si>
  <si>
    <t>Garantia Contratual</t>
  </si>
  <si>
    <t>Contrato</t>
  </si>
  <si>
    <t>Garantia (5%)</t>
  </si>
  <si>
    <t>I Termo Aditivo (prorrogação)</t>
  </si>
  <si>
    <t>II Termo Aditivo (repactuação)</t>
  </si>
  <si>
    <t>Complementar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</si>
</sst>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R$-416]* #,##0.00_-;\-[$R$-416]* #,##0.00_-;_-[$R$-416]* &quot;-&quot;??_-;_-@_-"/>
    <numFmt numFmtId="166" formatCode="0.0000%"/>
    <numFmt numFmtId="167" formatCode="_(&quot;R$ &quot;* #,##0.00_);_(&quot;R$ &quot;* \(#,##0.00\);_(&quot;R$ &quot;* &quot;-&quot;??_);_(@_)"/>
    <numFmt numFmtId="168" formatCode="_(* #,##0.00_);_(* \(#,##0.00\);_(* \-??_);_(@_)"/>
    <numFmt numFmtId="169" formatCode="&quot;R$&quot;\ #,##0.00"/>
    <numFmt numFmtId="170" formatCode="0.000%"/>
    <numFmt numFmtId="171" formatCode="[$-416]d\-mmm\-yy;@"/>
  </numFmts>
  <fonts count="45" x14ac:knownFonts="1">
    <font>
      <sz val="11"/>
      <color theme="1"/>
      <name val="Calibri"/>
      <family val="2"/>
      <scheme val="minor"/>
    </font>
    <font>
      <sz val="11"/>
      <color theme="1"/>
      <name val="Calibri"/>
      <family val="2"/>
      <scheme val="minor"/>
    </font>
    <font>
      <b/>
      <sz val="10.5"/>
      <color rgb="FF000000"/>
      <name val="Arial"/>
      <family val="2"/>
    </font>
    <font>
      <sz val="9"/>
      <color rgb="FF000000"/>
      <name val="Arial"/>
      <family val="2"/>
    </font>
    <font>
      <b/>
      <sz val="10"/>
      <color theme="0"/>
      <name val="Arial"/>
      <family val="2"/>
    </font>
    <font>
      <sz val="10"/>
      <color theme="1"/>
      <name val="Arial"/>
      <family val="2"/>
    </font>
    <font>
      <b/>
      <sz val="10"/>
      <name val="Arial"/>
      <family val="2"/>
    </font>
    <font>
      <b/>
      <sz val="10"/>
      <color theme="1"/>
      <name val="Arial"/>
      <family val="2"/>
    </font>
    <font>
      <sz val="10"/>
      <name val="Arial"/>
      <family val="2"/>
    </font>
    <font>
      <sz val="10"/>
      <color theme="1"/>
      <name val="Times New Roman"/>
      <family val="2"/>
    </font>
    <font>
      <sz val="10"/>
      <color rgb="FF000000"/>
      <name val="Arial"/>
      <family val="2"/>
    </font>
    <font>
      <b/>
      <sz val="10"/>
      <color rgb="FF000000"/>
      <name val="Arial"/>
      <family val="2"/>
    </font>
    <font>
      <b/>
      <sz val="11"/>
      <color theme="0"/>
      <name val="Calibri"/>
      <family val="2"/>
      <scheme val="minor"/>
    </font>
    <font>
      <b/>
      <sz val="11"/>
      <color theme="1"/>
      <name val="Calibri"/>
      <family val="2"/>
      <scheme val="minor"/>
    </font>
    <font>
      <sz val="11"/>
      <color indexed="8"/>
      <name val="Calibri"/>
      <family val="2"/>
    </font>
    <font>
      <b/>
      <sz val="12"/>
      <color theme="0"/>
      <name val="Arial"/>
      <family val="2"/>
    </font>
    <font>
      <sz val="12"/>
      <color theme="1"/>
      <name val="Calibri"/>
      <family val="2"/>
      <scheme val="minor"/>
    </font>
    <font>
      <sz val="10"/>
      <name val="Calibri"/>
      <family val="2"/>
      <scheme val="minor"/>
    </font>
    <font>
      <b/>
      <sz val="10"/>
      <color rgb="FFFF0000"/>
      <name val="Calibri"/>
      <family val="2"/>
      <scheme val="minor"/>
    </font>
    <font>
      <b/>
      <sz val="10"/>
      <color theme="0"/>
      <name val="Calibri"/>
      <family val="2"/>
      <scheme val="minor"/>
    </font>
    <font>
      <b/>
      <sz val="9"/>
      <color theme="0"/>
      <name val="Arial"/>
      <family val="2"/>
    </font>
    <font>
      <b/>
      <sz val="12"/>
      <color theme="0"/>
      <name val="Calibri"/>
      <family val="2"/>
      <scheme val="minor"/>
    </font>
    <font>
      <sz val="9"/>
      <color theme="1"/>
      <name val="Arial"/>
      <family val="2"/>
    </font>
    <font>
      <sz val="10"/>
      <color rgb="FF000000"/>
      <name val="Calibri"/>
      <family val="2"/>
    </font>
    <font>
      <sz val="10"/>
      <color theme="1"/>
      <name val="Calibri"/>
      <family val="2"/>
      <scheme val="minor"/>
    </font>
    <font>
      <b/>
      <u/>
      <sz val="12"/>
      <color theme="1"/>
      <name val="Calibri"/>
      <family val="2"/>
      <scheme val="minor"/>
    </font>
    <font>
      <b/>
      <sz val="12"/>
      <color theme="1"/>
      <name val="Calibri"/>
      <family val="2"/>
      <scheme val="minor"/>
    </font>
    <font>
      <sz val="12"/>
      <color rgb="FFFFFFFF"/>
      <name val="Calibri"/>
      <family val="2"/>
      <scheme val="minor"/>
    </font>
    <font>
      <u/>
      <sz val="12"/>
      <color theme="1"/>
      <name val="Calibri"/>
      <family val="2"/>
      <scheme val="minor"/>
    </font>
    <font>
      <sz val="12"/>
      <name val="Calibri"/>
      <family val="2"/>
      <scheme val="minor"/>
    </font>
    <font>
      <sz val="12"/>
      <color theme="1"/>
      <name val="Arial"/>
      <family val="2"/>
    </font>
    <font>
      <sz val="10"/>
      <color theme="1"/>
      <name val="Times New Roman"/>
      <family val="1"/>
    </font>
    <font>
      <sz val="12"/>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theme="1"/>
      <name val="Times New Roman"/>
      <family val="1"/>
    </font>
    <font>
      <i/>
      <sz val="11"/>
      <color rgb="FF000000"/>
      <name val="Times New Roman"/>
      <family val="1"/>
    </font>
    <font>
      <b/>
      <sz val="11"/>
      <color rgb="FFFF0000"/>
      <name val="Times New Roman"/>
      <family val="1"/>
    </font>
    <font>
      <b/>
      <sz val="11"/>
      <name val="Times New Roman"/>
      <family val="1"/>
    </font>
    <font>
      <b/>
      <sz val="11"/>
      <color rgb="FF000000"/>
      <name val="Calibri"/>
      <family val="2"/>
    </font>
    <font>
      <sz val="11"/>
      <color rgb="FF000000"/>
      <name val="Calibri"/>
      <family val="2"/>
    </font>
    <font>
      <b/>
      <sz val="11"/>
      <name val="Calibri"/>
      <family val="2"/>
      <scheme val="minor"/>
    </font>
    <font>
      <sz val="10"/>
      <color rgb="FFFF0000"/>
      <name val="Arial"/>
      <family val="2"/>
    </font>
    <font>
      <b/>
      <sz val="10"/>
      <color rgb="FFFF0000"/>
      <name val="Arial"/>
      <family val="2"/>
    </font>
  </fonts>
  <fills count="1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3F698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D9D9D9"/>
        <bgColor indexed="64"/>
      </patternFill>
    </fill>
    <fill>
      <patternFill patternType="solid">
        <fgColor rgb="FFFFFFFF"/>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rgb="FFF2F2F2"/>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34998626667073579"/>
        <bgColor indexed="64"/>
      </patternFill>
    </fill>
    <fill>
      <patternFill patternType="solid">
        <fgColor rgb="FFFF00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diagonal/>
    </border>
  </borders>
  <cellStyleXfs count="18">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8" fillId="0" borderId="0"/>
    <xf numFmtId="167" fontId="8" fillId="0" borderId="0" applyFill="0" applyBorder="0" applyAlignment="0" applyProtection="0"/>
    <xf numFmtId="167" fontId="8" fillId="0" borderId="0" applyFill="0" applyBorder="0" applyAlignment="0" applyProtection="0"/>
    <xf numFmtId="0" fontId="8" fillId="0" borderId="0"/>
    <xf numFmtId="9" fontId="8" fillId="0" borderId="0" applyFill="0" applyBorder="0" applyAlignment="0" applyProtection="0"/>
    <xf numFmtId="168" fontId="8" fillId="0" borderId="0" applyFill="0" applyBorder="0" applyAlignment="0" applyProtection="0"/>
    <xf numFmtId="0" fontId="9" fillId="0" borderId="0"/>
    <xf numFmtId="0" fontId="1" fillId="0" borderId="0"/>
    <xf numFmtId="167" fontId="1" fillId="0" borderId="0" applyFont="0" applyFill="0" applyBorder="0" applyAlignment="0" applyProtection="0"/>
    <xf numFmtId="0" fontId="1" fillId="0" borderId="0"/>
    <xf numFmtId="44" fontId="14" fillId="0" borderId="0" applyFont="0" applyFill="0" applyBorder="0" applyAlignment="0" applyProtection="0"/>
    <xf numFmtId="0" fontId="9" fillId="0" borderId="0"/>
    <xf numFmtId="43" fontId="1" fillId="0" borderId="0" applyFont="0" applyFill="0" applyBorder="0" applyAlignment="0" applyProtection="0"/>
    <xf numFmtId="44" fontId="14" fillId="0" borderId="0" applyFont="0" applyFill="0" applyBorder="0" applyAlignment="0" applyProtection="0"/>
  </cellStyleXfs>
  <cellXfs count="559">
    <xf numFmtId="0" fontId="0" fillId="0" borderId="0" xfId="0"/>
    <xf numFmtId="0" fontId="5" fillId="0" borderId="0" xfId="0" applyFont="1"/>
    <xf numFmtId="0" fontId="7" fillId="2" borderId="1" xfId="0" applyFont="1" applyFill="1" applyBorder="1" applyAlignment="1">
      <alignment horizontal="center" vertical="center"/>
    </xf>
    <xf numFmtId="0" fontId="7" fillId="2" borderId="1" xfId="0" applyFont="1" applyFill="1" applyBorder="1" applyAlignment="1">
      <alignment vertical="center" wrapText="1"/>
    </xf>
    <xf numFmtId="0" fontId="5" fillId="0" borderId="1" xfId="0" applyFont="1" applyBorder="1" applyAlignment="1">
      <alignment horizontal="center" vertical="center"/>
    </xf>
    <xf numFmtId="0" fontId="5" fillId="0" borderId="1" xfId="0" applyFont="1" applyBorder="1" applyAlignment="1">
      <alignment vertical="center" wrapText="1"/>
    </xf>
    <xf numFmtId="0" fontId="7" fillId="5" borderId="1" xfId="0" applyFont="1" applyFill="1" applyBorder="1" applyAlignment="1">
      <alignment horizontal="center"/>
    </xf>
    <xf numFmtId="0" fontId="7" fillId="5" borderId="1" xfId="0" applyFont="1" applyFill="1" applyBorder="1" applyAlignment="1">
      <alignment horizontal="center" vertical="center"/>
    </xf>
    <xf numFmtId="0" fontId="7" fillId="0" borderId="1" xfId="0" applyFont="1" applyBorder="1" applyAlignment="1">
      <alignment horizontal="center"/>
    </xf>
    <xf numFmtId="43" fontId="5" fillId="2" borderId="1" xfId="1" applyFont="1" applyFill="1" applyBorder="1" applyAlignment="1">
      <alignment horizontal="center" vertical="center"/>
    </xf>
    <xf numFmtId="165" fontId="5" fillId="2" borderId="1" xfId="1" applyNumberFormat="1" applyFont="1" applyFill="1" applyBorder="1" applyAlignment="1">
      <alignment horizontal="center" vertical="center"/>
    </xf>
    <xf numFmtId="43" fontId="7" fillId="5" borderId="1" xfId="1" applyFont="1" applyFill="1" applyBorder="1" applyAlignment="1">
      <alignment horizontal="center" vertical="center"/>
    </xf>
    <xf numFmtId="0" fontId="5" fillId="0" borderId="0" xfId="0" applyFont="1" applyAlignment="1">
      <alignment vertical="center"/>
    </xf>
    <xf numFmtId="0" fontId="7" fillId="2" borderId="1" xfId="0" applyFont="1" applyFill="1" applyBorder="1" applyAlignment="1">
      <alignment horizontal="center" vertical="center" wrapText="1"/>
    </xf>
    <xf numFmtId="0" fontId="5" fillId="0" borderId="1" xfId="0" applyFont="1" applyBorder="1" applyAlignment="1">
      <alignment vertical="center"/>
    </xf>
    <xf numFmtId="10" fontId="5" fillId="0" borderId="1" xfId="3" applyNumberFormat="1" applyFont="1" applyBorder="1" applyAlignment="1">
      <alignment vertical="center"/>
    </xf>
    <xf numFmtId="43" fontId="5" fillId="2" borderId="1" xfId="1" applyFont="1" applyFill="1" applyBorder="1" applyAlignment="1">
      <alignment vertical="center"/>
    </xf>
    <xf numFmtId="10" fontId="7" fillId="5" borderId="1" xfId="3" applyNumberFormat="1" applyFont="1" applyFill="1" applyBorder="1" applyAlignment="1">
      <alignment vertical="center"/>
    </xf>
    <xf numFmtId="43" fontId="7" fillId="5" borderId="1" xfId="1" applyFont="1" applyFill="1" applyBorder="1" applyAlignment="1">
      <alignment vertical="center"/>
    </xf>
    <xf numFmtId="10" fontId="5" fillId="0" borderId="1" xfId="0" applyNumberFormat="1" applyFont="1" applyBorder="1" applyAlignment="1">
      <alignment vertical="center"/>
    </xf>
    <xf numFmtId="43" fontId="5" fillId="2" borderId="1" xfId="1" applyFont="1" applyFill="1" applyBorder="1"/>
    <xf numFmtId="10" fontId="7" fillId="5" borderId="1" xfId="0" applyNumberFormat="1" applyFont="1" applyFill="1" applyBorder="1" applyAlignment="1">
      <alignment vertical="center"/>
    </xf>
    <xf numFmtId="43" fontId="7" fillId="5" borderId="1" xfId="1" applyFont="1" applyFill="1" applyBorder="1"/>
    <xf numFmtId="0" fontId="7" fillId="2" borderId="1" xfId="0" applyFont="1" applyFill="1" applyBorder="1" applyAlignment="1">
      <alignment horizontal="center"/>
    </xf>
    <xf numFmtId="0" fontId="5" fillId="3" borderId="1" xfId="0" applyFont="1" applyFill="1" applyBorder="1" applyAlignment="1">
      <alignment horizontal="center"/>
    </xf>
    <xf numFmtId="43" fontId="7" fillId="2" borderId="1" xfId="1" applyFont="1" applyFill="1" applyBorder="1" applyAlignment="1">
      <alignment vertical="center"/>
    </xf>
    <xf numFmtId="0" fontId="7" fillId="0" borderId="1" xfId="0" applyFont="1" applyBorder="1" applyAlignment="1">
      <alignment horizontal="center" vertical="center"/>
    </xf>
    <xf numFmtId="166" fontId="5" fillId="0" borderId="1" xfId="0" applyNumberFormat="1" applyFont="1" applyBorder="1" applyAlignment="1">
      <alignment vertical="center"/>
    </xf>
    <xf numFmtId="10" fontId="5" fillId="0" borderId="1" xfId="0" applyNumberFormat="1" applyFont="1" applyBorder="1" applyAlignment="1">
      <alignment horizontal="right" vertical="center"/>
    </xf>
    <xf numFmtId="43" fontId="5" fillId="2" borderId="1" xfId="1" applyNumberFormat="1" applyFont="1" applyFill="1" applyBorder="1"/>
    <xf numFmtId="0" fontId="7" fillId="0" borderId="3" xfId="0" applyFont="1" applyBorder="1" applyAlignment="1">
      <alignment horizontal="center" vertical="center"/>
    </xf>
    <xf numFmtId="0" fontId="5" fillId="0" borderId="4" xfId="0" applyFont="1" applyBorder="1" applyAlignment="1">
      <alignment vertical="center" wrapText="1"/>
    </xf>
    <xf numFmtId="43" fontId="5" fillId="0" borderId="1" xfId="1" applyFont="1" applyBorder="1" applyAlignment="1">
      <alignment vertical="center"/>
    </xf>
    <xf numFmtId="0" fontId="5" fillId="2" borderId="1" xfId="0" applyFont="1" applyFill="1" applyBorder="1"/>
    <xf numFmtId="10" fontId="5" fillId="2" borderId="1" xfId="0" applyNumberFormat="1" applyFont="1" applyFill="1" applyBorder="1" applyAlignment="1">
      <alignment vertical="center"/>
    </xf>
    <xf numFmtId="43" fontId="5" fillId="2" borderId="1" xfId="1" applyFont="1" applyFill="1" applyBorder="1" applyAlignment="1">
      <alignment horizontal="center"/>
    </xf>
    <xf numFmtId="10" fontId="5" fillId="3" borderId="1" xfId="0" applyNumberFormat="1" applyFont="1" applyFill="1" applyBorder="1" applyAlignment="1">
      <alignment vertical="center"/>
    </xf>
    <xf numFmtId="43" fontId="5" fillId="3" borderId="1" xfId="1" applyFont="1" applyFill="1" applyBorder="1" applyAlignment="1">
      <alignment horizontal="center" vertical="center"/>
    </xf>
    <xf numFmtId="43" fontId="7" fillId="6" borderId="1" xfId="1" applyFont="1" applyFill="1" applyBorder="1" applyAlignment="1">
      <alignment vertical="center"/>
    </xf>
    <xf numFmtId="0" fontId="7" fillId="2" borderId="1" xfId="0" applyFont="1" applyFill="1" applyBorder="1" applyAlignment="1">
      <alignment horizontal="center" vertical="center" wrapText="1"/>
    </xf>
    <xf numFmtId="0" fontId="7" fillId="5" borderId="1" xfId="0" applyFont="1" applyFill="1" applyBorder="1" applyAlignment="1">
      <alignment horizontal="center"/>
    </xf>
    <xf numFmtId="0" fontId="7" fillId="2" borderId="1" xfId="0" applyFont="1" applyFill="1" applyBorder="1" applyAlignment="1">
      <alignment horizontal="center"/>
    </xf>
    <xf numFmtId="0" fontId="7" fillId="5"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0" xfId="0" applyFont="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7" fillId="5" borderId="1" xfId="0" applyFont="1" applyFill="1" applyBorder="1" applyAlignment="1">
      <alignment horizontal="center"/>
    </xf>
    <xf numFmtId="0" fontId="7" fillId="2" borderId="1" xfId="0" applyFont="1" applyFill="1" applyBorder="1" applyAlignment="1">
      <alignment horizontal="center" vertical="center"/>
    </xf>
    <xf numFmtId="0" fontId="7" fillId="2" borderId="1" xfId="0" applyFont="1" applyFill="1" applyBorder="1" applyAlignment="1">
      <alignment horizontal="center"/>
    </xf>
    <xf numFmtId="0" fontId="7" fillId="5"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5" fillId="0" borderId="0" xfId="0" applyFont="1" applyAlignment="1">
      <alignment vertical="center" wrapText="1"/>
    </xf>
    <xf numFmtId="0" fontId="11" fillId="11" borderId="1" xfId="0" applyFont="1" applyFill="1" applyBorder="1" applyAlignment="1">
      <alignment horizontal="center" vertical="center" wrapText="1"/>
    </xf>
    <xf numFmtId="0" fontId="10" fillId="0" borderId="1" xfId="0" applyFont="1" applyBorder="1" applyAlignment="1">
      <alignment horizontal="justify" vertical="center" wrapText="1"/>
    </xf>
    <xf numFmtId="8" fontId="10" fillId="0" borderId="1" xfId="0" applyNumberFormat="1" applyFont="1" applyBorder="1" applyAlignment="1">
      <alignment horizontal="center" vertical="center" wrapText="1"/>
    </xf>
    <xf numFmtId="8" fontId="11" fillId="11" borderId="1" xfId="0" applyNumberFormat="1" applyFont="1" applyFill="1" applyBorder="1" applyAlignment="1">
      <alignment horizontal="center" vertical="center" wrapText="1"/>
    </xf>
    <xf numFmtId="0" fontId="5" fillId="0" borderId="0" xfId="0" applyFont="1" applyBorder="1" applyAlignment="1">
      <alignment vertical="center" wrapText="1"/>
    </xf>
    <xf numFmtId="0" fontId="11" fillId="0" borderId="0" xfId="0" applyFont="1" applyFill="1" applyBorder="1" applyAlignment="1">
      <alignment horizontal="center" vertical="center" wrapText="1"/>
    </xf>
    <xf numFmtId="8" fontId="11" fillId="0" borderId="0" xfId="0" applyNumberFormat="1" applyFont="1" applyFill="1" applyBorder="1" applyAlignment="1">
      <alignment horizontal="center" vertical="center" wrapText="1"/>
    </xf>
    <xf numFmtId="0" fontId="10" fillId="10" borderId="1" xfId="0" applyFont="1" applyFill="1" applyBorder="1" applyAlignment="1">
      <alignment horizontal="justify" vertical="center" wrapText="1"/>
    </xf>
    <xf numFmtId="0" fontId="10" fillId="10" borderId="1" xfId="0" applyFont="1" applyFill="1" applyBorder="1" applyAlignment="1">
      <alignment horizontal="center" vertical="center" wrapText="1"/>
    </xf>
    <xf numFmtId="8" fontId="10" fillId="10"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10" fillId="10" borderId="1" xfId="0" applyFont="1" applyFill="1" applyBorder="1" applyAlignment="1">
      <alignment vertical="center" wrapText="1"/>
    </xf>
    <xf numFmtId="0" fontId="5" fillId="0" borderId="0" xfId="0" applyFont="1" applyAlignment="1">
      <alignment horizontal="center" vertical="center" wrapText="1"/>
    </xf>
    <xf numFmtId="44" fontId="5" fillId="0" borderId="0" xfId="14" applyFont="1" applyAlignment="1">
      <alignment vertical="center" wrapText="1"/>
    </xf>
    <xf numFmtId="167" fontId="5" fillId="0" borderId="0" xfId="14" applyNumberFormat="1" applyFont="1" applyAlignment="1">
      <alignment vertical="center" wrapText="1"/>
    </xf>
    <xf numFmtId="8" fontId="11" fillId="7" borderId="1" xfId="0" applyNumberFormat="1" applyFont="1" applyFill="1" applyBorder="1" applyAlignment="1">
      <alignment horizontal="center" vertical="center" wrapText="1"/>
    </xf>
    <xf numFmtId="0" fontId="0" fillId="0" borderId="0" xfId="0" applyFont="1"/>
    <xf numFmtId="44" fontId="0" fillId="0" borderId="0" xfId="0" applyNumberFormat="1" applyFont="1" applyAlignment="1">
      <alignment horizontal="right" vertical="center"/>
    </xf>
    <xf numFmtId="0" fontId="0" fillId="0" borderId="0" xfId="0" applyFont="1" applyAlignment="1">
      <alignment horizontal="center" vertical="center"/>
    </xf>
    <xf numFmtId="44" fontId="0" fillId="0" borderId="0" xfId="0" applyNumberFormat="1" applyFont="1" applyAlignment="1">
      <alignment horizontal="right"/>
    </xf>
    <xf numFmtId="44" fontId="0" fillId="0" borderId="0" xfId="0" applyNumberFormat="1" applyFont="1"/>
    <xf numFmtId="0" fontId="0" fillId="0" borderId="0" xfId="0" applyFont="1" applyAlignment="1">
      <alignment horizontal="center"/>
    </xf>
    <xf numFmtId="169" fontId="0" fillId="0" borderId="1" xfId="0" applyNumberFormat="1" applyFont="1" applyBorder="1" applyAlignment="1">
      <alignment horizontal="right" vertical="center"/>
    </xf>
    <xf numFmtId="9" fontId="0" fillId="0" borderId="1" xfId="0" applyNumberFormat="1" applyFont="1" applyBorder="1" applyAlignment="1">
      <alignment horizontal="center" vertical="center"/>
    </xf>
    <xf numFmtId="0" fontId="0" fillId="0" borderId="1" xfId="0" applyFont="1" applyBorder="1" applyAlignment="1">
      <alignment horizontal="center" vertical="center"/>
    </xf>
    <xf numFmtId="169" fontId="0" fillId="0" borderId="1" xfId="0" applyNumberFormat="1" applyFont="1" applyBorder="1" applyAlignment="1">
      <alignment horizontal="center" vertical="center"/>
    </xf>
    <xf numFmtId="1" fontId="16"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0" fillId="0" borderId="1" xfId="0" applyFont="1" applyBorder="1" applyAlignment="1">
      <alignment horizontal="left" vertical="center"/>
    </xf>
    <xf numFmtId="169" fontId="0" fillId="0" borderId="1" xfId="0" applyNumberFormat="1" applyFont="1" applyBorder="1"/>
    <xf numFmtId="0" fontId="0" fillId="0" borderId="1" xfId="0" applyFont="1" applyBorder="1"/>
    <xf numFmtId="0" fontId="0" fillId="0" borderId="1" xfId="0" applyFont="1" applyFill="1" applyBorder="1" applyAlignment="1">
      <alignment vertical="center"/>
    </xf>
    <xf numFmtId="0" fontId="0" fillId="0" borderId="1" xfId="0" applyFont="1" applyFill="1" applyBorder="1" applyAlignment="1">
      <alignment horizontal="left" vertical="center"/>
    </xf>
    <xf numFmtId="0" fontId="0" fillId="0" borderId="1" xfId="0" applyFont="1" applyBorder="1" applyAlignment="1">
      <alignment vertical="center"/>
    </xf>
    <xf numFmtId="0" fontId="0" fillId="0" borderId="1" xfId="0" applyFont="1" applyBorder="1" applyAlignment="1">
      <alignment horizontal="left"/>
    </xf>
    <xf numFmtId="0" fontId="0" fillId="3" borderId="1" xfId="0" applyFont="1" applyFill="1" applyBorder="1" applyAlignment="1">
      <alignment horizontal="left" vertical="center" wrapText="1"/>
    </xf>
    <xf numFmtId="0" fontId="0" fillId="0" borderId="1" xfId="0" applyFont="1" applyBorder="1" applyAlignment="1">
      <alignment wrapText="1"/>
    </xf>
    <xf numFmtId="0" fontId="0" fillId="3" borderId="0" xfId="0" applyFont="1" applyFill="1"/>
    <xf numFmtId="0" fontId="0" fillId="3" borderId="1" xfId="0" applyFont="1" applyFill="1" applyBorder="1" applyAlignment="1">
      <alignment vertical="center"/>
    </xf>
    <xf numFmtId="169" fontId="0" fillId="3" borderId="1" xfId="0" applyNumberFormat="1" applyFont="1" applyFill="1" applyBorder="1"/>
    <xf numFmtId="0" fontId="0" fillId="3" borderId="1" xfId="0" applyFont="1" applyFill="1" applyBorder="1"/>
    <xf numFmtId="0" fontId="17" fillId="0" borderId="0" xfId="0" applyFont="1" applyFill="1" applyAlignment="1">
      <alignment vertical="center" wrapText="1"/>
    </xf>
    <xf numFmtId="0" fontId="21" fillId="4" borderId="1" xfId="0" applyFont="1" applyFill="1" applyBorder="1" applyAlignment="1">
      <alignment horizontal="center" vertical="center"/>
    </xf>
    <xf numFmtId="1" fontId="21" fillId="4" borderId="1" xfId="0" applyNumberFormat="1" applyFont="1" applyFill="1" applyBorder="1" applyAlignment="1">
      <alignment horizontal="center" vertical="center"/>
    </xf>
    <xf numFmtId="44" fontId="21" fillId="4" borderId="1" xfId="0" applyNumberFormat="1" applyFont="1" applyFill="1" applyBorder="1" applyAlignment="1">
      <alignment horizontal="center" vertical="center" wrapText="1"/>
    </xf>
    <xf numFmtId="44" fontId="12" fillId="4" borderId="1" xfId="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44" fontId="20" fillId="4" borderId="1" xfId="0" applyNumberFormat="1" applyFont="1" applyFill="1" applyBorder="1" applyAlignment="1">
      <alignment horizontal="center" vertical="center" wrapText="1"/>
    </xf>
    <xf numFmtId="44" fontId="13" fillId="7" borderId="1" xfId="0" applyNumberFormat="1" applyFont="1" applyFill="1" applyBorder="1" applyAlignment="1">
      <alignment horizontal="right" vertical="center"/>
    </xf>
    <xf numFmtId="44" fontId="13" fillId="7" borderId="6" xfId="0" applyNumberFormat="1" applyFont="1" applyFill="1" applyBorder="1" applyAlignment="1">
      <alignment horizontal="right"/>
    </xf>
    <xf numFmtId="0" fontId="5" fillId="0" borderId="0" xfId="0" applyFont="1" applyBorder="1" applyAlignment="1">
      <alignment horizontal="center"/>
    </xf>
    <xf numFmtId="0" fontId="5" fillId="0" borderId="0" xfId="0" applyFont="1" applyBorder="1" applyAlignment="1"/>
    <xf numFmtId="0" fontId="5" fillId="0" borderId="0" xfId="0" applyFont="1" applyBorder="1"/>
    <xf numFmtId="44" fontId="5" fillId="0" borderId="0" xfId="0" applyNumberFormat="1" applyFont="1" applyAlignment="1">
      <alignment horizontal="center" vertical="center"/>
    </xf>
    <xf numFmtId="8" fontId="5" fillId="2" borderId="1" xfId="1" applyNumberFormat="1" applyFont="1" applyFill="1" applyBorder="1" applyAlignment="1">
      <alignment vertical="center"/>
    </xf>
    <xf numFmtId="0" fontId="7" fillId="11" borderId="21" xfId="0" applyFont="1" applyFill="1" applyBorder="1" applyAlignment="1">
      <alignment horizontal="center" vertical="center" wrapText="1"/>
    </xf>
    <xf numFmtId="0" fontId="7" fillId="11" borderId="25" xfId="0" applyFont="1" applyFill="1" applyBorder="1" applyAlignment="1">
      <alignment horizontal="center" vertical="center"/>
    </xf>
    <xf numFmtId="0" fontId="4" fillId="6" borderId="20" xfId="0" applyFont="1" applyFill="1" applyBorder="1" applyAlignment="1">
      <alignment horizontal="center" vertical="center" wrapText="1"/>
    </xf>
    <xf numFmtId="164" fontId="4" fillId="6" borderId="8" xfId="0" applyNumberFormat="1" applyFont="1" applyFill="1" applyBorder="1" applyAlignment="1">
      <alignment vertical="center" wrapText="1"/>
    </xf>
    <xf numFmtId="44" fontId="4" fillId="6" borderId="13" xfId="0" applyNumberFormat="1" applyFont="1" applyFill="1" applyBorder="1" applyAlignment="1">
      <alignment vertical="center" wrapText="1"/>
    </xf>
    <xf numFmtId="0" fontId="5" fillId="0" borderId="0" xfId="0" applyFont="1" applyAlignment="1">
      <alignment horizontal="left"/>
    </xf>
    <xf numFmtId="43" fontId="7" fillId="2" borderId="1" xfId="1" applyFont="1" applyFill="1" applyBorder="1" applyAlignment="1">
      <alignment horizontal="center" vertical="center"/>
    </xf>
    <xf numFmtId="43" fontId="7" fillId="11" borderId="1" xfId="1" applyFont="1" applyFill="1" applyBorder="1" applyAlignment="1">
      <alignment vertical="center"/>
    </xf>
    <xf numFmtId="0" fontId="7" fillId="11" borderId="1" xfId="0" applyFont="1" applyFill="1" applyBorder="1" applyAlignment="1">
      <alignment horizontal="center" vertical="center"/>
    </xf>
    <xf numFmtId="10" fontId="7" fillId="11" borderId="1" xfId="0" applyNumberFormat="1" applyFont="1" applyFill="1" applyBorder="1" applyAlignment="1">
      <alignment vertical="center"/>
    </xf>
    <xf numFmtId="10" fontId="7" fillId="2" borderId="1" xfId="0" applyNumberFormat="1" applyFont="1" applyFill="1" applyBorder="1" applyAlignment="1">
      <alignment vertical="center"/>
    </xf>
    <xf numFmtId="8" fontId="23" fillId="0" borderId="1" xfId="0" applyNumberFormat="1" applyFont="1" applyBorder="1" applyAlignment="1">
      <alignment horizontal="center" vertical="center" wrapText="1"/>
    </xf>
    <xf numFmtId="8" fontId="23" fillId="10" borderId="1" xfId="0" applyNumberFormat="1" applyFont="1" applyFill="1" applyBorder="1" applyAlignment="1">
      <alignment horizontal="center" vertical="center" wrapText="1"/>
    </xf>
    <xf numFmtId="8" fontId="23" fillId="10" borderId="1" xfId="0" applyNumberFormat="1" applyFont="1" applyFill="1" applyBorder="1" applyAlignment="1">
      <alignment vertical="center" wrapText="1"/>
    </xf>
    <xf numFmtId="8" fontId="23" fillId="0" borderId="1" xfId="0" applyNumberFormat="1" applyFont="1" applyBorder="1" applyAlignment="1">
      <alignment vertical="center" wrapText="1"/>
    </xf>
    <xf numFmtId="43" fontId="4" fillId="6" borderId="1" xfId="1" applyFont="1" applyFill="1" applyBorder="1" applyAlignment="1">
      <alignment vertical="center"/>
    </xf>
    <xf numFmtId="0" fontId="5" fillId="0" borderId="1" xfId="0" applyNumberFormat="1" applyFont="1" applyFill="1" applyBorder="1" applyAlignment="1">
      <alignment vertical="center" wrapText="1"/>
    </xf>
    <xf numFmtId="164" fontId="5" fillId="0" borderId="1" xfId="2" applyFont="1" applyFill="1" applyBorder="1" applyAlignment="1">
      <alignment vertical="center" wrapText="1"/>
    </xf>
    <xf numFmtId="0" fontId="5" fillId="0" borderId="1" xfId="0" applyFont="1" applyFill="1" applyBorder="1" applyAlignment="1">
      <alignment horizontal="center" vertical="center" wrapText="1"/>
    </xf>
    <xf numFmtId="0" fontId="7" fillId="0" borderId="16" xfId="0" applyFont="1" applyBorder="1" applyAlignment="1">
      <alignment horizontal="center" vertical="center" wrapText="1"/>
    </xf>
    <xf numFmtId="0" fontId="5" fillId="0" borderId="7" xfId="0" applyNumberFormat="1" applyFont="1" applyFill="1" applyBorder="1" applyAlignment="1">
      <alignment vertical="center" wrapText="1"/>
    </xf>
    <xf numFmtId="164" fontId="5" fillId="0" borderId="7" xfId="2" applyFont="1" applyFill="1" applyBorder="1" applyAlignment="1">
      <alignment vertical="center" wrapText="1"/>
    </xf>
    <xf numFmtId="0" fontId="5" fillId="0" borderId="7" xfId="0" applyFont="1" applyFill="1" applyBorder="1" applyAlignment="1">
      <alignment horizontal="center" vertical="center" wrapText="1"/>
    </xf>
    <xf numFmtId="164" fontId="5" fillId="0" borderId="8" xfId="2" applyFont="1" applyFill="1" applyBorder="1" applyAlignment="1">
      <alignment vertical="center" wrapText="1"/>
    </xf>
    <xf numFmtId="164" fontId="5" fillId="0" borderId="9" xfId="2" applyFont="1" applyFill="1" applyBorder="1" applyAlignment="1">
      <alignment vertical="center" wrapText="1"/>
    </xf>
    <xf numFmtId="0" fontId="7" fillId="0" borderId="17" xfId="0" applyFont="1" applyBorder="1" applyAlignment="1">
      <alignment horizontal="center" vertical="center" wrapText="1"/>
    </xf>
    <xf numFmtId="164" fontId="5" fillId="0" borderId="18" xfId="2" applyFont="1" applyFill="1" applyBorder="1" applyAlignment="1">
      <alignment vertical="center" wrapText="1"/>
    </xf>
    <xf numFmtId="0" fontId="5" fillId="0" borderId="18" xfId="0" applyFont="1" applyFill="1" applyBorder="1" applyAlignment="1">
      <alignment horizontal="center" vertical="center" wrapText="1"/>
    </xf>
    <xf numFmtId="164" fontId="5" fillId="0" borderId="13" xfId="2" applyFont="1" applyFill="1" applyBorder="1" applyAlignment="1">
      <alignment vertical="center" wrapText="1"/>
    </xf>
    <xf numFmtId="44" fontId="7" fillId="5" borderId="1" xfId="1" applyNumberFormat="1" applyFont="1" applyFill="1" applyBorder="1" applyAlignment="1">
      <alignment vertical="center"/>
    </xf>
    <xf numFmtId="44" fontId="4" fillId="4" borderId="1" xfId="1" applyNumberFormat="1" applyFont="1" applyFill="1" applyBorder="1" applyAlignment="1">
      <alignment vertical="center"/>
    </xf>
    <xf numFmtId="0" fontId="24" fillId="3" borderId="0" xfId="15" applyFont="1" applyFill="1"/>
    <xf numFmtId="0" fontId="16" fillId="3" borderId="0" xfId="15" applyFont="1" applyFill="1" applyAlignment="1">
      <alignment horizontal="center"/>
    </xf>
    <xf numFmtId="0" fontId="16" fillId="3" borderId="0" xfId="15" applyFont="1" applyFill="1"/>
    <xf numFmtId="0" fontId="27" fillId="12" borderId="37" xfId="15" applyFont="1" applyFill="1" applyBorder="1" applyAlignment="1">
      <alignment horizontal="center" vertical="center" wrapText="1"/>
    </xf>
    <xf numFmtId="0" fontId="27" fillId="12" borderId="30" xfId="15" applyFont="1" applyFill="1" applyBorder="1" applyAlignment="1">
      <alignment horizontal="center" vertical="center" wrapText="1"/>
    </xf>
    <xf numFmtId="0" fontId="26" fillId="3" borderId="35" xfId="15" applyFont="1" applyFill="1" applyBorder="1" applyAlignment="1">
      <alignment horizontal="center" vertical="center" wrapText="1"/>
    </xf>
    <xf numFmtId="0" fontId="26" fillId="3" borderId="34" xfId="15" applyFont="1" applyFill="1" applyBorder="1" applyAlignment="1">
      <alignment vertical="center" wrapText="1"/>
    </xf>
    <xf numFmtId="10" fontId="26" fillId="3" borderId="34" xfId="15" applyNumberFormat="1" applyFont="1" applyFill="1" applyBorder="1" applyAlignment="1">
      <alignment horizontal="center" vertical="center" wrapText="1"/>
    </xf>
    <xf numFmtId="0" fontId="16" fillId="3" borderId="35" xfId="15" applyFont="1" applyFill="1" applyBorder="1" applyAlignment="1">
      <alignment horizontal="center" vertical="center" wrapText="1"/>
    </xf>
    <xf numFmtId="0" fontId="16" fillId="3" borderId="34" xfId="15" applyFont="1" applyFill="1" applyBorder="1" applyAlignment="1">
      <alignment vertical="center" wrapText="1"/>
    </xf>
    <xf numFmtId="10" fontId="16" fillId="3" borderId="34" xfId="15" applyNumberFormat="1" applyFont="1" applyFill="1" applyBorder="1" applyAlignment="1">
      <alignment horizontal="center" vertical="center" wrapText="1"/>
    </xf>
    <xf numFmtId="10" fontId="26" fillId="3" borderId="30" xfId="15" applyNumberFormat="1" applyFont="1" applyFill="1" applyBorder="1" applyAlignment="1">
      <alignment horizontal="center" vertical="center" wrapText="1"/>
    </xf>
    <xf numFmtId="0" fontId="16" fillId="3" borderId="0" xfId="15" applyFont="1" applyFill="1" applyBorder="1" applyAlignment="1">
      <alignment horizontal="center" vertical="center" wrapText="1"/>
    </xf>
    <xf numFmtId="0" fontId="16" fillId="3" borderId="0" xfId="15" applyFont="1" applyFill="1" applyBorder="1" applyAlignment="1">
      <alignment vertical="center" wrapText="1"/>
    </xf>
    <xf numFmtId="10" fontId="16" fillId="3" borderId="0" xfId="15" applyNumberFormat="1" applyFont="1" applyFill="1" applyBorder="1" applyAlignment="1">
      <alignment horizontal="center" vertical="center" wrapText="1"/>
    </xf>
    <xf numFmtId="10" fontId="26" fillId="3" borderId="0" xfId="15" applyNumberFormat="1" applyFont="1" applyFill="1" applyBorder="1" applyAlignment="1">
      <alignment horizontal="center" vertical="center" wrapText="1"/>
    </xf>
    <xf numFmtId="0" fontId="26" fillId="3" borderId="0" xfId="15" applyFont="1" applyFill="1" applyBorder="1" applyAlignment="1">
      <alignment horizontal="right" vertical="center" wrapText="1"/>
    </xf>
    <xf numFmtId="0" fontId="25" fillId="3" borderId="0" xfId="15" applyFont="1" applyFill="1" applyAlignment="1">
      <alignment horizontal="center"/>
    </xf>
    <xf numFmtId="0" fontId="16" fillId="0" borderId="0" xfId="15" applyFont="1" applyAlignment="1">
      <alignment vertical="center"/>
    </xf>
    <xf numFmtId="164" fontId="5" fillId="0" borderId="0" xfId="2" applyFont="1"/>
    <xf numFmtId="169" fontId="13" fillId="7" borderId="1" xfId="0" applyNumberFormat="1" applyFont="1" applyFill="1" applyBorder="1" applyAlignment="1">
      <alignment horizontal="right" vertical="center"/>
    </xf>
    <xf numFmtId="0" fontId="34" fillId="13" borderId="34" xfId="0" applyFont="1" applyFill="1" applyBorder="1" applyAlignment="1">
      <alignment horizontal="center" vertical="center" wrapText="1"/>
    </xf>
    <xf numFmtId="0" fontId="32" fillId="0" borderId="0" xfId="0" applyFont="1" applyAlignment="1">
      <alignment vertical="center" wrapText="1"/>
    </xf>
    <xf numFmtId="0" fontId="35" fillId="10" borderId="34" xfId="0" applyFont="1" applyFill="1" applyBorder="1" applyAlignment="1">
      <alignment horizontal="center" vertical="center"/>
    </xf>
    <xf numFmtId="0" fontId="34" fillId="13" borderId="36" xfId="0" applyFont="1" applyFill="1" applyBorder="1" applyAlignment="1">
      <alignment horizontal="center" vertical="center" wrapText="1"/>
    </xf>
    <xf numFmtId="0" fontId="35" fillId="10" borderId="35" xfId="0" applyFont="1" applyFill="1" applyBorder="1" applyAlignment="1">
      <alignment horizontal="center" vertical="center"/>
    </xf>
    <xf numFmtId="0" fontId="35" fillId="10" borderId="34" xfId="0" applyFont="1" applyFill="1" applyBorder="1" applyAlignment="1">
      <alignment vertical="center" wrapText="1"/>
    </xf>
    <xf numFmtId="164" fontId="34" fillId="9" borderId="34" xfId="2" applyFont="1" applyFill="1" applyBorder="1" applyAlignment="1">
      <alignment horizontal="center" vertical="center"/>
    </xf>
    <xf numFmtId="164" fontId="35" fillId="10" borderId="34" xfId="2" applyFont="1" applyFill="1" applyBorder="1" applyAlignment="1">
      <alignment horizontal="center" vertical="center"/>
    </xf>
    <xf numFmtId="0" fontId="34" fillId="10" borderId="35" xfId="0" applyFont="1" applyFill="1" applyBorder="1" applyAlignment="1">
      <alignment horizontal="center" vertical="center"/>
    </xf>
    <xf numFmtId="0" fontId="34" fillId="0" borderId="35" xfId="0" applyFont="1" applyBorder="1" applyAlignment="1">
      <alignment horizontal="center" vertical="center"/>
    </xf>
    <xf numFmtId="0" fontId="34" fillId="0" borderId="34" xfId="0" applyFont="1" applyBorder="1" applyAlignment="1">
      <alignment horizontal="center" vertical="center"/>
    </xf>
    <xf numFmtId="0" fontId="35" fillId="0" borderId="35" xfId="0" applyFont="1" applyBorder="1" applyAlignment="1">
      <alignment horizontal="center" vertical="center"/>
    </xf>
    <xf numFmtId="0" fontId="35" fillId="0" borderId="34" xfId="0" applyFont="1" applyBorder="1" applyAlignment="1">
      <alignment vertical="center" wrapText="1"/>
    </xf>
    <xf numFmtId="0" fontId="36" fillId="0" borderId="0" xfId="0" applyFont="1" applyAlignment="1">
      <alignment horizontal="justify" vertical="center"/>
    </xf>
    <xf numFmtId="164" fontId="35" fillId="10" borderId="34" xfId="2" applyFont="1" applyFill="1" applyBorder="1" applyAlignment="1">
      <alignment horizontal="right" vertical="center"/>
    </xf>
    <xf numFmtId="164" fontId="34" fillId="13" borderId="34" xfId="2" applyFont="1" applyFill="1" applyBorder="1" applyAlignment="1">
      <alignment horizontal="right" vertical="center"/>
    </xf>
    <xf numFmtId="0" fontId="40" fillId="9" borderId="34" xfId="0" applyFont="1" applyFill="1" applyBorder="1" applyAlignment="1">
      <alignment horizontal="center" vertical="center" wrapText="1"/>
    </xf>
    <xf numFmtId="0" fontId="40" fillId="9" borderId="35" xfId="0" applyFont="1" applyFill="1" applyBorder="1" applyAlignment="1">
      <alignment horizontal="center" vertical="center"/>
    </xf>
    <xf numFmtId="0" fontId="34" fillId="9" borderId="34" xfId="0" applyFont="1" applyFill="1" applyBorder="1" applyAlignment="1">
      <alignment horizontal="center" vertical="center" wrapText="1"/>
    </xf>
    <xf numFmtId="0" fontId="41" fillId="10" borderId="35" xfId="0" applyFont="1" applyFill="1" applyBorder="1" applyAlignment="1">
      <alignment vertical="center" wrapText="1"/>
    </xf>
    <xf numFmtId="8" fontId="41" fillId="10" borderId="34" xfId="0" applyNumberFormat="1" applyFont="1" applyFill="1" applyBorder="1" applyAlignment="1">
      <alignment horizontal="center" vertical="center"/>
    </xf>
    <xf numFmtId="4" fontId="35" fillId="10" borderId="34" xfId="0" applyNumberFormat="1" applyFont="1" applyFill="1" applyBorder="1" applyAlignment="1">
      <alignment horizontal="center" vertical="center"/>
    </xf>
    <xf numFmtId="164" fontId="34" fillId="9" borderId="34" xfId="0" applyNumberFormat="1" applyFont="1" applyFill="1" applyBorder="1" applyAlignment="1">
      <alignment horizontal="center" vertical="center" wrapText="1"/>
    </xf>
    <xf numFmtId="0" fontId="40" fillId="9" borderId="26" xfId="0" applyFont="1" applyFill="1" applyBorder="1" applyAlignment="1">
      <alignment horizontal="center" vertical="center"/>
    </xf>
    <xf numFmtId="0" fontId="40" fillId="9" borderId="37" xfId="0" applyFont="1" applyFill="1" applyBorder="1" applyAlignment="1">
      <alignment horizontal="center" vertical="center"/>
    </xf>
    <xf numFmtId="0" fontId="5" fillId="0" borderId="40" xfId="0" applyFont="1" applyBorder="1" applyAlignment="1">
      <alignment horizontal="center" vertical="center"/>
    </xf>
    <xf numFmtId="8" fontId="31" fillId="10" borderId="37" xfId="0" applyNumberFormat="1" applyFont="1" applyFill="1" applyBorder="1" applyAlignment="1">
      <alignment horizontal="center" vertical="center"/>
    </xf>
    <xf numFmtId="8" fontId="40" fillId="9" borderId="37" xfId="0" applyNumberFormat="1" applyFont="1" applyFill="1" applyBorder="1" applyAlignment="1">
      <alignment horizontal="center" vertical="center" wrapText="1"/>
    </xf>
    <xf numFmtId="0" fontId="5" fillId="0" borderId="30" xfId="0" applyFont="1" applyBorder="1"/>
    <xf numFmtId="43" fontId="41" fillId="10" borderId="34" xfId="1" applyFont="1" applyFill="1" applyBorder="1" applyAlignment="1">
      <alignment horizontal="center" vertical="center"/>
    </xf>
    <xf numFmtId="10" fontId="31" fillId="10" borderId="34" xfId="3" applyNumberFormat="1" applyFont="1" applyFill="1" applyBorder="1" applyAlignment="1">
      <alignment horizontal="center" vertical="center"/>
    </xf>
    <xf numFmtId="164" fontId="31" fillId="17" borderId="34" xfId="2" applyFont="1" applyFill="1" applyBorder="1" applyAlignment="1">
      <alignment horizontal="center" vertical="center"/>
    </xf>
    <xf numFmtId="10" fontId="31" fillId="17" borderId="26" xfId="3" applyNumberFormat="1" applyFont="1" applyFill="1" applyBorder="1" applyAlignment="1">
      <alignment horizontal="center" vertical="center"/>
    </xf>
    <xf numFmtId="0" fontId="36" fillId="16" borderId="35" xfId="0" applyFont="1" applyFill="1" applyBorder="1" applyAlignment="1">
      <alignment horizontal="center" vertical="center"/>
    </xf>
    <xf numFmtId="0" fontId="35" fillId="16" borderId="34" xfId="0" applyFont="1" applyFill="1" applyBorder="1" applyAlignment="1">
      <alignment vertical="center" wrapText="1"/>
    </xf>
    <xf numFmtId="0" fontId="36" fillId="16" borderId="34" xfId="0" applyFont="1" applyFill="1" applyBorder="1" applyAlignment="1">
      <alignment horizontal="center" vertical="center"/>
    </xf>
    <xf numFmtId="164" fontId="35" fillId="16" borderId="34" xfId="2" applyFont="1" applyFill="1" applyBorder="1" applyAlignment="1">
      <alignment horizontal="center" vertical="center"/>
    </xf>
    <xf numFmtId="0" fontId="35" fillId="16" borderId="35" xfId="0" applyFont="1" applyFill="1" applyBorder="1" applyAlignment="1">
      <alignment horizontal="center" vertical="center"/>
    </xf>
    <xf numFmtId="0" fontId="35" fillId="16" borderId="34" xfId="0" applyFont="1" applyFill="1" applyBorder="1" applyAlignment="1">
      <alignment horizontal="center" vertical="center"/>
    </xf>
    <xf numFmtId="164" fontId="35" fillId="3" borderId="34" xfId="2" applyFont="1" applyFill="1" applyBorder="1" applyAlignment="1">
      <alignment horizontal="center" vertical="center"/>
    </xf>
    <xf numFmtId="43" fontId="44" fillId="2" borderId="1" xfId="1" applyFont="1" applyFill="1" applyBorder="1" applyAlignment="1">
      <alignment horizontal="center" vertical="center"/>
    </xf>
    <xf numFmtId="165" fontId="43" fillId="2" borderId="1" xfId="1" applyNumberFormat="1" applyFont="1" applyFill="1" applyBorder="1" applyAlignment="1">
      <alignment horizontal="center" vertical="center"/>
    </xf>
    <xf numFmtId="43" fontId="44" fillId="5" borderId="1" xfId="1" applyFont="1" applyFill="1" applyBorder="1" applyAlignment="1">
      <alignment horizontal="center" vertical="center"/>
    </xf>
    <xf numFmtId="43" fontId="43" fillId="2" borderId="1" xfId="1" applyFont="1" applyFill="1" applyBorder="1" applyAlignment="1">
      <alignment vertical="center"/>
    </xf>
    <xf numFmtId="43" fontId="44" fillId="5" borderId="1" xfId="1" applyFont="1" applyFill="1" applyBorder="1" applyAlignment="1">
      <alignment vertical="center"/>
    </xf>
    <xf numFmtId="43" fontId="43" fillId="2" borderId="1" xfId="1" applyFont="1" applyFill="1" applyBorder="1"/>
    <xf numFmtId="43" fontId="44" fillId="2" borderId="1" xfId="1" applyFont="1" applyFill="1" applyBorder="1" applyAlignment="1">
      <alignment vertical="center"/>
    </xf>
    <xf numFmtId="44" fontId="44" fillId="5" borderId="1" xfId="1" applyNumberFormat="1" applyFont="1" applyFill="1" applyBorder="1" applyAlignment="1">
      <alignment vertical="center"/>
    </xf>
    <xf numFmtId="43" fontId="43" fillId="3" borderId="1" xfId="1" applyFont="1" applyFill="1" applyBorder="1" applyAlignment="1">
      <alignment horizontal="center" vertical="center"/>
    </xf>
    <xf numFmtId="44" fontId="44" fillId="4" borderId="1" xfId="1" applyNumberFormat="1" applyFont="1" applyFill="1" applyBorder="1" applyAlignment="1">
      <alignment vertical="center"/>
    </xf>
    <xf numFmtId="43" fontId="6" fillId="5" borderId="1" xfId="1" applyFont="1" applyFill="1" applyBorder="1" applyAlignment="1">
      <alignment horizontal="center" vertical="center"/>
    </xf>
    <xf numFmtId="43" fontId="8" fillId="2" borderId="1" xfId="1" applyFont="1" applyFill="1" applyBorder="1" applyAlignment="1">
      <alignment vertical="center"/>
    </xf>
    <xf numFmtId="43" fontId="6" fillId="5" borderId="1" xfId="1" applyFont="1" applyFill="1" applyBorder="1" applyAlignment="1">
      <alignment vertical="center"/>
    </xf>
    <xf numFmtId="0" fontId="7" fillId="5" borderId="1" xfId="0" applyFont="1" applyFill="1" applyBorder="1" applyAlignment="1">
      <alignment horizontal="center"/>
    </xf>
    <xf numFmtId="0" fontId="7" fillId="5"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5" borderId="1" xfId="0" applyFont="1" applyFill="1" applyBorder="1" applyAlignment="1">
      <alignment horizontal="center"/>
    </xf>
    <xf numFmtId="0" fontId="7" fillId="5"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5" fillId="0" borderId="0" xfId="0" applyFont="1" applyFill="1"/>
    <xf numFmtId="0" fontId="4" fillId="0" borderId="0" xfId="0" applyFont="1" applyFill="1" applyAlignment="1">
      <alignment horizontal="center"/>
    </xf>
    <xf numFmtId="0" fontId="6" fillId="0" borderId="0" xfId="0" applyFont="1" applyFill="1" applyBorder="1" applyAlignment="1">
      <alignment horizontal="center"/>
    </xf>
    <xf numFmtId="0" fontId="7" fillId="0" borderId="0" xfId="0" applyFont="1" applyFill="1" applyBorder="1" applyAlignment="1">
      <alignment horizontal="center" vertical="center" wrapText="1"/>
    </xf>
    <xf numFmtId="0" fontId="5" fillId="0" borderId="0" xfId="0" applyFont="1" applyFill="1" applyBorder="1" applyAlignment="1">
      <alignment horizontal="right" vertical="center"/>
    </xf>
    <xf numFmtId="164" fontId="5" fillId="0" borderId="0" xfId="2" applyFont="1" applyFill="1" applyBorder="1" applyAlignment="1">
      <alignment horizontal="right" vertical="center"/>
    </xf>
    <xf numFmtId="0" fontId="5" fillId="0" borderId="0" xfId="0" applyFont="1" applyFill="1" applyBorder="1" applyAlignment="1">
      <alignment horizontal="left" wrapText="1"/>
    </xf>
    <xf numFmtId="14" fontId="5" fillId="0" borderId="0" xfId="0" applyNumberFormat="1" applyFont="1" applyFill="1" applyBorder="1" applyAlignment="1">
      <alignment horizontal="right" vertical="center"/>
    </xf>
    <xf numFmtId="14" fontId="43" fillId="0" borderId="0" xfId="0" applyNumberFormat="1" applyFont="1" applyFill="1"/>
    <xf numFmtId="0" fontId="43" fillId="0" borderId="0" xfId="0" applyFont="1" applyFill="1"/>
    <xf numFmtId="0" fontId="4" fillId="0" borderId="0" xfId="0" applyFont="1" applyFill="1" applyAlignment="1">
      <alignment horizontal="center" vertical="center"/>
    </xf>
    <xf numFmtId="0" fontId="7" fillId="0" borderId="1" xfId="0" applyFont="1" applyFill="1" applyBorder="1" applyAlignment="1">
      <alignment horizontal="center" vertical="center"/>
    </xf>
    <xf numFmtId="0" fontId="5" fillId="0" borderId="0" xfId="0" applyFont="1" applyFill="1" applyBorder="1" applyAlignment="1">
      <alignment horizontal="left" vertical="top" wrapText="1"/>
    </xf>
    <xf numFmtId="0" fontId="7" fillId="0" borderId="0" xfId="0" applyFont="1" applyFill="1" applyBorder="1" applyAlignment="1">
      <alignment horizontal="center"/>
    </xf>
    <xf numFmtId="0" fontId="7" fillId="0" borderId="0" xfId="0" applyFont="1" applyFill="1" applyBorder="1" applyAlignment="1">
      <alignment horizontal="center" vertical="top" wrapText="1"/>
    </xf>
    <xf numFmtId="0" fontId="7" fillId="0" borderId="1" xfId="0" applyFont="1" applyFill="1" applyBorder="1" applyAlignment="1">
      <alignment horizontal="center"/>
    </xf>
    <xf numFmtId="43" fontId="43" fillId="0" borderId="1" xfId="1" applyFont="1" applyFill="1" applyBorder="1"/>
    <xf numFmtId="43" fontId="5" fillId="0" borderId="1" xfId="1" applyFont="1" applyFill="1" applyBorder="1" applyAlignment="1">
      <alignment horizontal="center"/>
    </xf>
    <xf numFmtId="43" fontId="43" fillId="0" borderId="1" xfId="1" applyFont="1" applyFill="1" applyBorder="1" applyAlignment="1">
      <alignment horizontal="center" vertical="center"/>
    </xf>
    <xf numFmtId="0" fontId="5" fillId="0" borderId="0" xfId="0" applyFont="1" applyFill="1" applyAlignment="1">
      <alignment horizontal="left" vertical="top" wrapText="1"/>
    </xf>
    <xf numFmtId="0" fontId="7" fillId="3" borderId="1" xfId="0" applyFont="1" applyFill="1" applyBorder="1" applyAlignment="1">
      <alignment wrapText="1"/>
    </xf>
    <xf numFmtId="0" fontId="7" fillId="0" borderId="0" xfId="0" applyFont="1" applyFill="1" applyBorder="1" applyAlignment="1">
      <alignment horizontal="center" vertical="center"/>
    </xf>
    <xf numFmtId="43" fontId="7" fillId="0" borderId="0" xfId="1" applyFont="1" applyFill="1" applyBorder="1" applyAlignment="1">
      <alignment horizontal="center" vertical="center"/>
    </xf>
    <xf numFmtId="165" fontId="5" fillId="0" borderId="0" xfId="1" applyNumberFormat="1" applyFont="1" applyFill="1" applyBorder="1" applyAlignment="1">
      <alignment horizontal="center" vertical="center"/>
    </xf>
    <xf numFmtId="43" fontId="5" fillId="0" borderId="0" xfId="1" applyFont="1" applyFill="1" applyBorder="1" applyAlignment="1">
      <alignment vertical="center"/>
    </xf>
    <xf numFmtId="43" fontId="7" fillId="0" borderId="0" xfId="1" applyFont="1" applyFill="1" applyBorder="1" applyAlignment="1">
      <alignment vertical="center"/>
    </xf>
    <xf numFmtId="0" fontId="5" fillId="0" borderId="0" xfId="0" applyFont="1" applyFill="1" applyBorder="1"/>
    <xf numFmtId="0" fontId="4" fillId="0" borderId="0" xfId="0" applyFont="1" applyFill="1" applyBorder="1" applyAlignment="1">
      <alignment horizontal="center" vertical="center"/>
    </xf>
    <xf numFmtId="8" fontId="5" fillId="0" borderId="0" xfId="1" applyNumberFormat="1" applyFont="1" applyFill="1" applyBorder="1" applyAlignment="1">
      <alignment vertical="center"/>
    </xf>
    <xf numFmtId="44" fontId="7" fillId="0" borderId="0" xfId="1" applyNumberFormat="1" applyFont="1" applyFill="1" applyBorder="1" applyAlignment="1">
      <alignment vertical="center"/>
    </xf>
    <xf numFmtId="44" fontId="4" fillId="0" borderId="0" xfId="1" applyNumberFormat="1" applyFont="1" applyFill="1" applyBorder="1" applyAlignment="1">
      <alignment vertical="center"/>
    </xf>
    <xf numFmtId="0" fontId="5" fillId="0" borderId="0" xfId="0" applyFont="1" applyFill="1" applyAlignment="1">
      <alignment horizontal="left" vertical="center" wrapText="1"/>
    </xf>
    <xf numFmtId="10" fontId="5" fillId="0" borderId="1" xfId="0" applyNumberFormat="1" applyFont="1" applyBorder="1" applyAlignment="1">
      <alignment horizontal="center" vertical="center"/>
    </xf>
    <xf numFmtId="166" fontId="5" fillId="0" borderId="1" xfId="0" applyNumberFormat="1" applyFont="1" applyBorder="1" applyAlignment="1">
      <alignment horizontal="center" vertical="center"/>
    </xf>
    <xf numFmtId="10" fontId="7" fillId="5" borderId="1" xfId="3" applyNumberFormat="1" applyFont="1" applyFill="1" applyBorder="1" applyAlignment="1">
      <alignment horizontal="center" vertical="center"/>
    </xf>
    <xf numFmtId="10" fontId="44" fillId="5" borderId="1" xfId="3" applyNumberFormat="1" applyFont="1" applyFill="1" applyBorder="1" applyAlignment="1">
      <alignment horizontal="center" vertical="center"/>
    </xf>
    <xf numFmtId="43" fontId="43" fillId="2" borderId="1" xfId="1" applyFont="1" applyFill="1" applyBorder="1" applyAlignment="1">
      <alignment horizontal="center" vertical="center"/>
    </xf>
    <xf numFmtId="43" fontId="8" fillId="2" borderId="1" xfId="1" applyFont="1" applyFill="1" applyBorder="1" applyAlignment="1">
      <alignment horizontal="center" vertical="center"/>
    </xf>
    <xf numFmtId="43" fontId="5" fillId="2" borderId="1" xfId="1" applyNumberFormat="1" applyFont="1" applyFill="1" applyBorder="1" applyAlignment="1">
      <alignment horizontal="center" vertical="center"/>
    </xf>
    <xf numFmtId="43" fontId="43" fillId="2" borderId="1" xfId="1" applyNumberFormat="1" applyFont="1" applyFill="1" applyBorder="1" applyAlignment="1">
      <alignment horizontal="center" vertical="center"/>
    </xf>
    <xf numFmtId="0" fontId="5" fillId="0" borderId="0" xfId="0" applyFont="1" applyFill="1" applyAlignment="1">
      <alignment horizontal="center"/>
    </xf>
    <xf numFmtId="44" fontId="5" fillId="0" borderId="0" xfId="0" applyNumberFormat="1" applyFont="1" applyFill="1"/>
    <xf numFmtId="0" fontId="4" fillId="3"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164" fontId="5" fillId="3" borderId="0" xfId="2" applyFont="1" applyFill="1" applyBorder="1" applyAlignment="1">
      <alignment vertical="center" wrapText="1"/>
    </xf>
    <xf numFmtId="164" fontId="4" fillId="3" borderId="0" xfId="0" applyNumberFormat="1" applyFont="1" applyFill="1" applyBorder="1" applyAlignment="1">
      <alignment vertical="center" wrapText="1"/>
    </xf>
    <xf numFmtId="44" fontId="4" fillId="3" borderId="0" xfId="0" applyNumberFormat="1" applyFont="1" applyFill="1" applyBorder="1" applyAlignment="1">
      <alignment vertical="center" wrapText="1"/>
    </xf>
    <xf numFmtId="43" fontId="5" fillId="0" borderId="0" xfId="1" applyFont="1" applyFill="1" applyBorder="1" applyAlignment="1">
      <alignment horizontal="center" vertical="center"/>
    </xf>
    <xf numFmtId="10" fontId="7" fillId="5" borderId="1" xfId="0" applyNumberFormat="1" applyFont="1" applyFill="1" applyBorder="1" applyAlignment="1">
      <alignment horizontal="center" vertical="center"/>
    </xf>
    <xf numFmtId="10" fontId="5" fillId="0" borderId="1" xfId="3" applyNumberFormat="1" applyFont="1" applyBorder="1" applyAlignment="1">
      <alignment horizontal="center" vertical="center"/>
    </xf>
    <xf numFmtId="0" fontId="13" fillId="0" borderId="0" xfId="0" applyFont="1" applyBorder="1" applyAlignment="1">
      <alignment vertical="center" wrapText="1"/>
    </xf>
    <xf numFmtId="0" fontId="4" fillId="6" borderId="21" xfId="0" applyFont="1" applyFill="1" applyBorder="1" applyAlignment="1">
      <alignment horizontal="center" vertical="center" wrapText="1"/>
    </xf>
    <xf numFmtId="0" fontId="5" fillId="0" borderId="0" xfId="0" applyNumberFormat="1" applyFont="1" applyFill="1" applyBorder="1" applyAlignment="1">
      <alignment vertical="center" wrapText="1"/>
    </xf>
    <xf numFmtId="164" fontId="5" fillId="0" borderId="0" xfId="2" applyFont="1" applyFill="1" applyBorder="1" applyAlignment="1">
      <alignment vertical="center" wrapText="1"/>
    </xf>
    <xf numFmtId="0" fontId="5" fillId="0" borderId="0" xfId="0" applyFont="1" applyFill="1" applyBorder="1" applyAlignment="1">
      <alignment horizontal="center" vertical="center" wrapText="1"/>
    </xf>
    <xf numFmtId="164" fontId="4" fillId="0" borderId="0" xfId="0" applyNumberFormat="1" applyFont="1" applyFill="1" applyBorder="1" applyAlignment="1">
      <alignment vertical="center" wrapText="1"/>
    </xf>
    <xf numFmtId="44" fontId="4" fillId="0" borderId="0" xfId="0" applyNumberFormat="1" applyFont="1" applyFill="1" applyBorder="1" applyAlignment="1">
      <alignment vertical="center" wrapText="1"/>
    </xf>
    <xf numFmtId="10" fontId="5" fillId="0" borderId="1" xfId="0" applyNumberFormat="1" applyFont="1" applyFill="1" applyBorder="1" applyAlignment="1">
      <alignment horizontal="center" vertical="center"/>
    </xf>
    <xf numFmtId="43" fontId="8" fillId="2" borderId="1" xfId="1" applyNumberFormat="1" applyFont="1" applyFill="1" applyBorder="1" applyAlignment="1">
      <alignment horizontal="center" vertical="center"/>
    </xf>
    <xf numFmtId="43" fontId="8" fillId="0" borderId="1" xfId="1" applyFont="1" applyBorder="1" applyAlignment="1">
      <alignment vertical="center"/>
    </xf>
    <xf numFmtId="44" fontId="6" fillId="5" borderId="1" xfId="1" applyNumberFormat="1" applyFont="1" applyFill="1" applyBorder="1" applyAlignment="1">
      <alignment vertical="center"/>
    </xf>
    <xf numFmtId="43" fontId="43" fillId="0" borderId="0" xfId="0" applyNumberFormat="1" applyFont="1" applyFill="1"/>
    <xf numFmtId="44" fontId="43" fillId="0" borderId="0" xfId="0" applyNumberFormat="1" applyFont="1" applyFill="1"/>
    <xf numFmtId="43" fontId="8" fillId="0" borderId="1" xfId="1" applyFont="1" applyFill="1" applyBorder="1"/>
    <xf numFmtId="43" fontId="8" fillId="0" borderId="1" xfId="1" applyFont="1" applyFill="1" applyBorder="1" applyAlignment="1">
      <alignment horizontal="center"/>
    </xf>
    <xf numFmtId="43" fontId="8" fillId="0" borderId="1" xfId="1" applyFont="1" applyFill="1" applyBorder="1" applyAlignment="1">
      <alignment horizontal="center" vertical="center"/>
    </xf>
    <xf numFmtId="10" fontId="43" fillId="0" borderId="1" xfId="0" applyNumberFormat="1" applyFont="1" applyBorder="1" applyAlignment="1">
      <alignment vertical="center"/>
    </xf>
    <xf numFmtId="10" fontId="44" fillId="5" borderId="1" xfId="0" applyNumberFormat="1" applyFont="1" applyFill="1" applyBorder="1" applyAlignment="1">
      <alignment vertical="center"/>
    </xf>
    <xf numFmtId="43" fontId="44" fillId="5" borderId="1" xfId="1" applyFont="1" applyFill="1" applyBorder="1"/>
    <xf numFmtId="10" fontId="6" fillId="5" borderId="1" xfId="3" applyNumberFormat="1" applyFont="1" applyFill="1" applyBorder="1" applyAlignment="1">
      <alignment horizontal="center" vertical="center"/>
    </xf>
    <xf numFmtId="170" fontId="43" fillId="0" borderId="1" xfId="0" applyNumberFormat="1" applyFont="1" applyBorder="1" applyAlignment="1">
      <alignment horizontal="center" vertical="center"/>
    </xf>
    <xf numFmtId="43" fontId="8" fillId="0" borderId="0" xfId="1" applyFont="1" applyFill="1" applyBorder="1" applyAlignment="1">
      <alignment vertical="center"/>
    </xf>
    <xf numFmtId="0" fontId="8" fillId="0" borderId="0" xfId="0" applyFont="1" applyFill="1"/>
    <xf numFmtId="43" fontId="6" fillId="0" borderId="0" xfId="1" applyFont="1" applyFill="1" applyBorder="1" applyAlignment="1">
      <alignment vertical="center"/>
    </xf>
    <xf numFmtId="165" fontId="5" fillId="2" borderId="1" xfId="1" quotePrefix="1" applyNumberFormat="1" applyFont="1" applyFill="1" applyBorder="1" applyAlignment="1">
      <alignment horizontal="center" vertical="center"/>
    </xf>
    <xf numFmtId="14" fontId="43" fillId="0" borderId="0" xfId="0" applyNumberFormat="1" applyFont="1" applyFill="1" applyAlignment="1">
      <alignment horizontal="center" vertical="center"/>
    </xf>
    <xf numFmtId="0" fontId="5" fillId="0" borderId="0" xfId="0" applyFont="1" applyAlignment="1">
      <alignment wrapText="1"/>
    </xf>
    <xf numFmtId="0" fontId="5" fillId="0" borderId="0" xfId="0" applyFont="1" applyAlignment="1">
      <alignment horizontal="left" wrapText="1"/>
    </xf>
    <xf numFmtId="10" fontId="5" fillId="0" borderId="0" xfId="0" applyNumberFormat="1" applyFont="1"/>
    <xf numFmtId="0" fontId="7" fillId="11" borderId="2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7" fillId="5"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5" fillId="0" borderId="1" xfId="0" applyFont="1" applyBorder="1" applyAlignment="1">
      <alignment vertical="center" wrapText="1"/>
    </xf>
    <xf numFmtId="0" fontId="34" fillId="0" borderId="32" xfId="0" applyFont="1" applyBorder="1" applyAlignment="1">
      <alignment horizontal="center" vertical="center"/>
    </xf>
    <xf numFmtId="164" fontId="35" fillId="0" borderId="32" xfId="2" applyFont="1" applyBorder="1" applyAlignment="1">
      <alignment horizontal="right" vertical="center"/>
    </xf>
    <xf numFmtId="164" fontId="35" fillId="10" borderId="32" xfId="2" applyFont="1" applyFill="1" applyBorder="1" applyAlignment="1">
      <alignment horizontal="right" vertical="center"/>
    </xf>
    <xf numFmtId="164" fontId="34" fillId="13" borderId="32" xfId="2" applyFont="1" applyFill="1" applyBorder="1" applyAlignment="1">
      <alignment horizontal="right" vertical="center"/>
    </xf>
    <xf numFmtId="0" fontId="34" fillId="0" borderId="16" xfId="0" applyFont="1" applyBorder="1" applyAlignment="1">
      <alignment horizontal="center" vertical="center"/>
    </xf>
    <xf numFmtId="0" fontId="34" fillId="0" borderId="8" xfId="0" applyFont="1" applyBorder="1" applyAlignment="1">
      <alignment horizontal="center" vertical="center" wrapText="1"/>
    </xf>
    <xf numFmtId="164" fontId="35" fillId="10" borderId="10" xfId="2" applyFont="1" applyFill="1" applyBorder="1" applyAlignment="1">
      <alignment horizontal="right" vertical="center"/>
    </xf>
    <xf numFmtId="164" fontId="35" fillId="0" borderId="9" xfId="2" applyFont="1" applyBorder="1" applyAlignment="1">
      <alignment horizontal="right" vertical="center"/>
    </xf>
    <xf numFmtId="164" fontId="35" fillId="10" borderId="9" xfId="2" applyFont="1" applyFill="1" applyBorder="1" applyAlignment="1">
      <alignment horizontal="right" vertical="center"/>
    </xf>
    <xf numFmtId="164" fontId="34" fillId="13" borderId="17" xfId="2" applyFont="1" applyFill="1" applyBorder="1" applyAlignment="1">
      <alignment horizontal="right" vertical="center"/>
    </xf>
    <xf numFmtId="164" fontId="34" fillId="13" borderId="13" xfId="2" applyFont="1" applyFill="1" applyBorder="1" applyAlignment="1">
      <alignment horizontal="right" vertical="center"/>
    </xf>
    <xf numFmtId="0" fontId="0" fillId="0" borderId="26" xfId="0" applyBorder="1" applyAlignment="1">
      <alignment vertical="center" wrapText="1"/>
    </xf>
    <xf numFmtId="0" fontId="5" fillId="0" borderId="0" xfId="0" applyFont="1" applyFill="1" applyAlignment="1">
      <alignment vertical="center"/>
    </xf>
    <xf numFmtId="0" fontId="6" fillId="0" borderId="0" xfId="0" applyFont="1" applyFill="1" applyBorder="1" applyAlignment="1">
      <alignment horizontal="center" vertical="center"/>
    </xf>
    <xf numFmtId="44" fontId="5" fillId="0" borderId="0" xfId="0" applyNumberFormat="1" applyFont="1" applyFill="1" applyAlignment="1">
      <alignment vertical="center"/>
    </xf>
    <xf numFmtId="0" fontId="5" fillId="0" borderId="0" xfId="0" applyFont="1" applyFill="1" applyBorder="1" applyAlignment="1">
      <alignment horizontal="left" vertical="center" wrapText="1"/>
    </xf>
    <xf numFmtId="14" fontId="43" fillId="0" borderId="0" xfId="0" applyNumberFormat="1" applyFont="1" applyFill="1" applyAlignment="1">
      <alignment vertical="center"/>
    </xf>
    <xf numFmtId="0" fontId="43" fillId="0" borderId="0" xfId="0" applyFont="1" applyFill="1" applyAlignment="1">
      <alignment vertical="center"/>
    </xf>
    <xf numFmtId="0" fontId="5" fillId="3" borderId="1" xfId="0" applyFont="1" applyFill="1" applyBorder="1" applyAlignment="1">
      <alignment horizontal="center" vertical="center"/>
    </xf>
    <xf numFmtId="43" fontId="5" fillId="2" borderId="1" xfId="1" applyNumberFormat="1" applyFont="1" applyFill="1" applyBorder="1" applyAlignment="1">
      <alignment vertical="center"/>
    </xf>
    <xf numFmtId="0" fontId="5" fillId="0" borderId="0" xfId="0" applyFont="1" applyFill="1" applyBorder="1" applyAlignment="1">
      <alignment vertical="center"/>
    </xf>
    <xf numFmtId="0" fontId="5" fillId="2" borderId="1" xfId="0" applyFont="1" applyFill="1" applyBorder="1" applyAlignment="1">
      <alignment vertical="center"/>
    </xf>
    <xf numFmtId="0" fontId="8" fillId="0" borderId="0" xfId="0" applyFont="1" applyFill="1" applyAlignment="1">
      <alignment vertical="center"/>
    </xf>
    <xf numFmtId="171" fontId="0" fillId="0" borderId="0" xfId="0" applyNumberFormat="1" applyAlignment="1">
      <alignment vertical="center"/>
    </xf>
    <xf numFmtId="0" fontId="0" fillId="0" borderId="0" xfId="0" applyAlignment="1">
      <alignment vertical="center"/>
    </xf>
    <xf numFmtId="14" fontId="0" fillId="0" borderId="0" xfId="0" applyNumberFormat="1" applyAlignment="1">
      <alignment vertical="center"/>
    </xf>
    <xf numFmtId="164" fontId="0" fillId="0" borderId="0" xfId="2" applyFont="1" applyAlignment="1">
      <alignment vertical="center"/>
    </xf>
    <xf numFmtId="164" fontId="0" fillId="0" borderId="0" xfId="0" applyNumberFormat="1" applyAlignment="1">
      <alignment vertical="center"/>
    </xf>
    <xf numFmtId="0" fontId="0" fillId="3" borderId="0" xfId="0" applyFill="1" applyBorder="1" applyAlignment="1">
      <alignment vertical="center"/>
    </xf>
    <xf numFmtId="0" fontId="0" fillId="3" borderId="0" xfId="0" applyFill="1" applyBorder="1" applyAlignment="1">
      <alignment horizontal="center" vertical="center"/>
    </xf>
    <xf numFmtId="0" fontId="0" fillId="0" borderId="1" xfId="0" applyFill="1" applyBorder="1" applyAlignment="1">
      <alignment vertical="center"/>
    </xf>
    <xf numFmtId="0" fontId="0" fillId="0" borderId="18" xfId="0" applyFill="1" applyBorder="1" applyAlignment="1">
      <alignment vertical="center" wrapText="1"/>
    </xf>
    <xf numFmtId="0" fontId="0" fillId="0" borderId="0" xfId="0" applyFill="1" applyBorder="1" applyAlignment="1">
      <alignment vertical="center"/>
    </xf>
    <xf numFmtId="0" fontId="0" fillId="0" borderId="0" xfId="0" applyFill="1" applyBorder="1" applyAlignment="1">
      <alignment vertical="center" wrapText="1"/>
    </xf>
    <xf numFmtId="44" fontId="0" fillId="0" borderId="0" xfId="0" applyNumberFormat="1" applyAlignment="1">
      <alignment vertical="center"/>
    </xf>
    <xf numFmtId="0" fontId="6" fillId="5" borderId="1" xfId="0" applyFont="1" applyFill="1" applyBorder="1" applyAlignment="1">
      <alignment horizontal="center" vertical="center"/>
    </xf>
    <xf numFmtId="0" fontId="7" fillId="5"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5" borderId="1" xfId="0" applyFont="1" applyFill="1" applyBorder="1" applyAlignment="1">
      <alignment horizontal="center"/>
    </xf>
    <xf numFmtId="170" fontId="43" fillId="0" borderId="1" xfId="0" applyNumberFormat="1" applyFont="1" applyBorder="1" applyAlignment="1">
      <alignment horizontal="right" vertical="center"/>
    </xf>
    <xf numFmtId="10" fontId="8" fillId="0" borderId="1" xfId="0" applyNumberFormat="1" applyFont="1" applyBorder="1" applyAlignment="1">
      <alignment horizontal="right" vertical="center"/>
    </xf>
    <xf numFmtId="10" fontId="6" fillId="5" borderId="1" xfId="3" applyNumberFormat="1" applyFont="1" applyFill="1" applyBorder="1" applyAlignment="1">
      <alignment horizontal="right" vertical="center"/>
    </xf>
    <xf numFmtId="10" fontId="44" fillId="5" borderId="1" xfId="3" applyNumberFormat="1" applyFont="1" applyFill="1" applyBorder="1" applyAlignment="1">
      <alignment horizontal="right" vertical="center"/>
    </xf>
    <xf numFmtId="166" fontId="5" fillId="0" borderId="1" xfId="0" applyNumberFormat="1" applyFont="1" applyBorder="1" applyAlignment="1">
      <alignment horizontal="right" vertical="center"/>
    </xf>
    <xf numFmtId="10" fontId="5" fillId="0" borderId="1" xfId="3" applyNumberFormat="1" applyFont="1" applyBorder="1" applyAlignment="1">
      <alignment horizontal="right" vertical="center"/>
    </xf>
    <xf numFmtId="10" fontId="7" fillId="5" borderId="1" xfId="3" applyNumberFormat="1" applyFont="1" applyFill="1" applyBorder="1" applyAlignment="1">
      <alignment horizontal="right" vertical="center"/>
    </xf>
    <xf numFmtId="10" fontId="7" fillId="0" borderId="1" xfId="3" applyNumberFormat="1" applyFont="1" applyFill="1" applyBorder="1" applyAlignment="1">
      <alignment horizontal="right" vertical="center"/>
    </xf>
    <xf numFmtId="43" fontId="44" fillId="0" borderId="0" xfId="1" applyFont="1" applyFill="1" applyBorder="1" applyAlignment="1">
      <alignment horizontal="center" vertical="center"/>
    </xf>
    <xf numFmtId="165" fontId="5" fillId="0" borderId="0" xfId="1" quotePrefix="1" applyNumberFormat="1" applyFont="1" applyFill="1" applyBorder="1" applyAlignment="1">
      <alignment horizontal="center" vertical="center"/>
    </xf>
    <xf numFmtId="10" fontId="8" fillId="0" borderId="1" xfId="0" applyNumberFormat="1" applyFont="1" applyBorder="1" applyAlignment="1">
      <alignment vertical="center"/>
    </xf>
    <xf numFmtId="43" fontId="8" fillId="2" borderId="1" xfId="1" applyFont="1" applyFill="1" applyBorder="1"/>
    <xf numFmtId="43" fontId="6" fillId="5" borderId="1" xfId="1" applyFont="1" applyFill="1" applyBorder="1"/>
    <xf numFmtId="43" fontId="43" fillId="0" borderId="0" xfId="1" applyFont="1" applyFill="1" applyBorder="1" applyAlignment="1">
      <alignment vertical="center"/>
    </xf>
    <xf numFmtId="43" fontId="44" fillId="0" borderId="0" xfId="1" applyFont="1" applyFill="1" applyBorder="1" applyAlignment="1">
      <alignment vertical="center"/>
    </xf>
    <xf numFmtId="43" fontId="6" fillId="2" borderId="1" xfId="1" applyFont="1" applyFill="1" applyBorder="1" applyAlignment="1">
      <alignment vertical="center"/>
    </xf>
    <xf numFmtId="44" fontId="44" fillId="0" borderId="0" xfId="1" applyNumberFormat="1" applyFont="1" applyFill="1" applyBorder="1" applyAlignment="1">
      <alignment vertical="center"/>
    </xf>
    <xf numFmtId="164" fontId="0" fillId="0" borderId="0" xfId="2" applyFont="1"/>
    <xf numFmtId="44" fontId="0" fillId="0" borderId="0" xfId="0" applyNumberFormat="1"/>
    <xf numFmtId="0" fontId="0" fillId="0" borderId="26" xfId="0" applyBorder="1" applyAlignment="1">
      <alignment horizontal="center" vertical="center" wrapText="1"/>
    </xf>
    <xf numFmtId="0" fontId="0" fillId="0" borderId="30" xfId="0" applyBorder="1" applyAlignment="1">
      <alignment horizontal="center" vertical="center" wrapText="1"/>
    </xf>
    <xf numFmtId="0" fontId="38" fillId="0" borderId="22" xfId="0" applyFont="1" applyBorder="1" applyAlignment="1">
      <alignment horizontal="left" vertical="center" wrapText="1"/>
    </xf>
    <xf numFmtId="0" fontId="38" fillId="0" borderId="31" xfId="0" applyFont="1" applyBorder="1" applyAlignment="1">
      <alignment horizontal="left" vertical="center" wrapText="1"/>
    </xf>
    <xf numFmtId="0" fontId="38" fillId="0" borderId="36" xfId="0" applyFont="1" applyBorder="1" applyAlignment="1">
      <alignment horizontal="left" vertical="center" wrapText="1"/>
    </xf>
    <xf numFmtId="0" fontId="38" fillId="0" borderId="40" xfId="0" applyFont="1" applyBorder="1" applyAlignment="1">
      <alignment horizontal="left" vertical="center" wrapText="1"/>
    </xf>
    <xf numFmtId="0" fontId="38" fillId="0" borderId="0" xfId="0" applyFont="1" applyAlignment="1">
      <alignment horizontal="left" vertical="center" wrapText="1"/>
    </xf>
    <xf numFmtId="0" fontId="38" fillId="0" borderId="38" xfId="0" applyFont="1" applyBorder="1" applyAlignment="1">
      <alignment horizontal="left" vertical="center" wrapText="1"/>
    </xf>
    <xf numFmtId="0" fontId="38" fillId="0" borderId="33" xfId="0" applyFont="1" applyBorder="1" applyAlignment="1">
      <alignment horizontal="left" vertical="center" wrapText="1"/>
    </xf>
    <xf numFmtId="0" fontId="38" fillId="0" borderId="32" xfId="0" applyFont="1" applyBorder="1" applyAlignment="1">
      <alignment horizontal="left" vertical="center" wrapText="1"/>
    </xf>
    <xf numFmtId="0" fontId="38" fillId="0" borderId="34" xfId="0" applyFont="1" applyBorder="1" applyAlignment="1">
      <alignment horizontal="left" vertical="center" wrapText="1"/>
    </xf>
    <xf numFmtId="0" fontId="33" fillId="9" borderId="26" xfId="0" applyFont="1" applyFill="1" applyBorder="1" applyAlignment="1">
      <alignment horizontal="center" vertical="center" wrapText="1"/>
    </xf>
    <xf numFmtId="0" fontId="33" fillId="9" borderId="25" xfId="0" applyFont="1" applyFill="1" applyBorder="1" applyAlignment="1">
      <alignment horizontal="center" vertical="center" wrapText="1"/>
    </xf>
    <xf numFmtId="0" fontId="33" fillId="9" borderId="30" xfId="0" applyFont="1" applyFill="1" applyBorder="1" applyAlignment="1">
      <alignment horizontal="center" vertical="center" wrapText="1"/>
    </xf>
    <xf numFmtId="0" fontId="34" fillId="13" borderId="26" xfId="0" applyFont="1" applyFill="1" applyBorder="1" applyAlignment="1">
      <alignment horizontal="center" vertical="center"/>
    </xf>
    <xf numFmtId="0" fontId="34" fillId="13" borderId="25" xfId="0" applyFont="1" applyFill="1" applyBorder="1" applyAlignment="1">
      <alignment horizontal="center" vertical="center"/>
    </xf>
    <xf numFmtId="0" fontId="34" fillId="13" borderId="30" xfId="0" applyFont="1" applyFill="1" applyBorder="1" applyAlignment="1">
      <alignment horizontal="center" vertical="center"/>
    </xf>
    <xf numFmtId="0" fontId="35" fillId="10" borderId="26" xfId="0" applyFont="1" applyFill="1" applyBorder="1" applyAlignment="1">
      <alignment vertical="center" wrapText="1"/>
    </xf>
    <xf numFmtId="0" fontId="35" fillId="10" borderId="25" xfId="0" applyFont="1" applyFill="1" applyBorder="1" applyAlignment="1">
      <alignment vertical="center" wrapText="1"/>
    </xf>
    <xf numFmtId="0" fontId="35" fillId="10" borderId="30" xfId="0" applyFont="1" applyFill="1" applyBorder="1" applyAlignment="1">
      <alignment vertical="center" wrapText="1"/>
    </xf>
    <xf numFmtId="0" fontId="34" fillId="0" borderId="26" xfId="0" applyFont="1" applyBorder="1" applyAlignment="1">
      <alignment vertical="center"/>
    </xf>
    <xf numFmtId="0" fontId="34" fillId="0" borderId="25" xfId="0" applyFont="1" applyBorder="1" applyAlignment="1">
      <alignment vertical="center"/>
    </xf>
    <xf numFmtId="0" fontId="34" fillId="0" borderId="30" xfId="0" applyFont="1" applyBorder="1" applyAlignment="1">
      <alignment vertical="center"/>
    </xf>
    <xf numFmtId="0" fontId="0" fillId="0" borderId="0" xfId="0" applyAlignment="1">
      <alignment horizontal="center"/>
    </xf>
    <xf numFmtId="0" fontId="13" fillId="0" borderId="26"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0" xfId="0" applyFont="1" applyBorder="1" applyAlignment="1">
      <alignment horizontal="center" vertical="center" wrapText="1"/>
    </xf>
    <xf numFmtId="0" fontId="4" fillId="6" borderId="26"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7" fillId="11" borderId="19" xfId="0" applyFont="1" applyFill="1" applyBorder="1" applyAlignment="1">
      <alignment horizontal="center" vertical="center" wrapText="1"/>
    </xf>
    <xf numFmtId="0" fontId="7" fillId="11" borderId="20"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13" fillId="0" borderId="26" xfId="0" quotePrefix="1" applyFont="1" applyBorder="1" applyAlignment="1">
      <alignment horizontal="center" vertical="center" wrapText="1"/>
    </xf>
    <xf numFmtId="0" fontId="2" fillId="0" borderId="22" xfId="0" applyFont="1" applyBorder="1" applyAlignment="1">
      <alignment horizontal="center" vertical="center"/>
    </xf>
    <xf numFmtId="0" fontId="2" fillId="0" borderId="31" xfId="0" applyFont="1" applyBorder="1" applyAlignment="1">
      <alignment horizontal="center" vertical="center"/>
    </xf>
    <xf numFmtId="0" fontId="3" fillId="0" borderId="40" xfId="0" applyFont="1" applyBorder="1" applyAlignment="1">
      <alignment horizontal="left" vertical="center"/>
    </xf>
    <xf numFmtId="0" fontId="3" fillId="0" borderId="0" xfId="0" applyFont="1" applyBorder="1" applyAlignment="1">
      <alignment horizontal="left" vertical="center"/>
    </xf>
    <xf numFmtId="0" fontId="2" fillId="0" borderId="40" xfId="0" applyFont="1" applyBorder="1" applyAlignment="1">
      <alignment horizontal="center" vertical="center"/>
    </xf>
    <xf numFmtId="0" fontId="2" fillId="0" borderId="0" xfId="0" applyFont="1" applyBorder="1" applyAlignment="1">
      <alignment horizontal="center" vertical="center"/>
    </xf>
    <xf numFmtId="0" fontId="13" fillId="0" borderId="26" xfId="0" applyFont="1" applyBorder="1" applyAlignment="1">
      <alignment horizontal="center" vertical="center"/>
    </xf>
    <xf numFmtId="0" fontId="13" fillId="0" borderId="25" xfId="0" applyFont="1" applyBorder="1" applyAlignment="1">
      <alignment horizontal="center" vertical="center"/>
    </xf>
    <xf numFmtId="0" fontId="13" fillId="0" borderId="30" xfId="0" applyFont="1" applyBorder="1" applyAlignment="1">
      <alignment horizontal="center" vertical="center"/>
    </xf>
    <xf numFmtId="0" fontId="7"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5" fillId="0" borderId="1" xfId="0" applyFont="1" applyBorder="1" applyAlignment="1">
      <alignment horizontal="left" vertical="center"/>
    </xf>
    <xf numFmtId="0" fontId="4" fillId="4" borderId="0" xfId="0" applyFont="1" applyFill="1" applyAlignment="1">
      <alignment horizontal="center" vertical="center"/>
    </xf>
    <xf numFmtId="0" fontId="6" fillId="5" borderId="3"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4"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5" fillId="0" borderId="3" xfId="0" applyFont="1" applyBorder="1" applyAlignment="1">
      <alignment horizontal="right" vertical="center"/>
    </xf>
    <xf numFmtId="0" fontId="5" fillId="0" borderId="4" xfId="0" applyFont="1" applyBorder="1" applyAlignment="1">
      <alignment horizontal="right" vertical="center"/>
    </xf>
    <xf numFmtId="164" fontId="5" fillId="0" borderId="3" xfId="2" applyFont="1" applyBorder="1" applyAlignment="1">
      <alignment horizontal="right" vertical="center"/>
    </xf>
    <xf numFmtId="164" fontId="5" fillId="0" borderId="4" xfId="2" applyFont="1" applyBorder="1" applyAlignment="1">
      <alignment horizontal="right" vertical="center"/>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14" fontId="5" fillId="0" borderId="3" xfId="0" applyNumberFormat="1" applyFont="1" applyBorder="1" applyAlignment="1">
      <alignment horizontal="right" vertical="center"/>
    </xf>
    <xf numFmtId="14" fontId="5" fillId="0" borderId="4" xfId="0" applyNumberFormat="1" applyFont="1" applyBorder="1" applyAlignment="1">
      <alignment horizontal="right" vertical="center"/>
    </xf>
    <xf numFmtId="0" fontId="6" fillId="5" borderId="1" xfId="0" applyFont="1" applyFill="1" applyBorder="1" applyAlignment="1">
      <alignment horizontal="center" vertical="center"/>
    </xf>
    <xf numFmtId="0" fontId="7" fillId="5" borderId="1" xfId="0" applyFont="1" applyFill="1" applyBorder="1" applyAlignment="1">
      <alignment horizontal="center" vertical="center"/>
    </xf>
    <xf numFmtId="0" fontId="5" fillId="0" borderId="2" xfId="0" applyFont="1" applyBorder="1" applyAlignment="1">
      <alignment horizontal="left" vertical="center" wrapText="1"/>
    </xf>
    <xf numFmtId="0" fontId="5" fillId="0" borderId="0" xfId="0" applyFont="1" applyBorder="1" applyAlignment="1">
      <alignment horizontal="left" vertical="center" wrapText="1"/>
    </xf>
    <xf numFmtId="0" fontId="4" fillId="4"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7" fillId="2" borderId="1" xfId="0" applyFont="1" applyFill="1" applyBorder="1" applyAlignment="1">
      <alignment horizontal="center" vertical="center"/>
    </xf>
    <xf numFmtId="0" fontId="5" fillId="0" borderId="1" xfId="0" applyFont="1" applyBorder="1" applyAlignment="1">
      <alignment horizontal="left" vertical="center" wrapText="1"/>
    </xf>
    <xf numFmtId="0" fontId="7" fillId="3"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5" fillId="0" borderId="0" xfId="0" applyFont="1" applyAlignment="1">
      <alignment horizontal="left" vertical="center" wrapText="1"/>
    </xf>
    <xf numFmtId="0" fontId="7" fillId="3" borderId="1" xfId="0" applyFont="1" applyFill="1" applyBorder="1" applyAlignment="1">
      <alignment horizontal="left" vertical="center" wrapText="1"/>
    </xf>
    <xf numFmtId="0" fontId="7"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4" xfId="0" applyFont="1" applyFill="1" applyBorder="1" applyAlignment="1">
      <alignment horizontal="center"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7" fillId="5" borderId="5" xfId="0" applyFont="1" applyFill="1" applyBorder="1" applyAlignment="1">
      <alignment horizontal="center" vertical="center"/>
    </xf>
    <xf numFmtId="0" fontId="7" fillId="11" borderId="1" xfId="0" applyFont="1" applyFill="1" applyBorder="1" applyAlignment="1">
      <alignment horizontal="center" vertical="center" wrapText="1"/>
    </xf>
    <xf numFmtId="0" fontId="7" fillId="11" borderId="3" xfId="0" applyFont="1" applyFill="1" applyBorder="1" applyAlignment="1">
      <alignment horizontal="center" vertical="center"/>
    </xf>
    <xf numFmtId="0" fontId="7" fillId="11" borderId="4" xfId="0" applyFont="1" applyFill="1" applyBorder="1" applyAlignment="1">
      <alignment horizontal="center" vertical="center"/>
    </xf>
    <xf numFmtId="0" fontId="7" fillId="11"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5" fillId="0" borderId="1" xfId="0" applyFont="1" applyBorder="1" applyAlignment="1">
      <alignment horizontal="right" vertical="center"/>
    </xf>
    <xf numFmtId="0" fontId="22" fillId="0" borderId="3" xfId="0" applyFont="1" applyBorder="1" applyAlignment="1">
      <alignment horizontal="left" vertical="center" wrapText="1"/>
    </xf>
    <xf numFmtId="0" fontId="22" fillId="0" borderId="4" xfId="0" applyFont="1" applyBorder="1" applyAlignment="1">
      <alignment horizontal="left" vertical="center"/>
    </xf>
    <xf numFmtId="14" fontId="5" fillId="0" borderId="1" xfId="0" applyNumberFormat="1" applyFont="1" applyBorder="1" applyAlignment="1">
      <alignment horizontal="right" vertical="center"/>
    </xf>
    <xf numFmtId="164" fontId="7" fillId="0" borderId="1" xfId="2" applyFont="1" applyBorder="1" applyAlignment="1">
      <alignment horizontal="right" vertical="center"/>
    </xf>
    <xf numFmtId="0" fontId="7" fillId="3" borderId="1" xfId="0" applyFont="1" applyFill="1" applyBorder="1" applyAlignment="1">
      <alignment horizontal="center" wrapText="1"/>
    </xf>
    <xf numFmtId="0" fontId="7" fillId="3" borderId="3" xfId="0" applyFont="1" applyFill="1" applyBorder="1" applyAlignment="1">
      <alignment horizontal="center" wrapText="1"/>
    </xf>
    <xf numFmtId="0" fontId="7" fillId="3" borderId="4" xfId="0" applyFont="1" applyFill="1" applyBorder="1" applyAlignment="1">
      <alignment horizontal="center" wrapText="1"/>
    </xf>
    <xf numFmtId="0" fontId="7" fillId="5" borderId="1" xfId="0" applyFont="1" applyFill="1" applyBorder="1" applyAlignment="1">
      <alignment horizontal="center"/>
    </xf>
    <xf numFmtId="0" fontId="5" fillId="0" borderId="0" xfId="0" applyFont="1" applyBorder="1" applyAlignment="1">
      <alignment horizontal="left" vertical="top" wrapText="1"/>
    </xf>
    <xf numFmtId="0" fontId="5" fillId="0" borderId="0" xfId="0" applyFont="1" applyAlignment="1">
      <alignment horizontal="left" vertical="top" wrapText="1"/>
    </xf>
    <xf numFmtId="0" fontId="7" fillId="2" borderId="3" xfId="0" applyFont="1" applyFill="1" applyBorder="1" applyAlignment="1">
      <alignment horizontal="center"/>
    </xf>
    <xf numFmtId="0" fontId="7" fillId="2" borderId="5" xfId="0" applyFont="1" applyFill="1" applyBorder="1" applyAlignment="1">
      <alignment horizontal="center"/>
    </xf>
    <xf numFmtId="0" fontId="7" fillId="2" borderId="4" xfId="0" applyFont="1" applyFill="1" applyBorder="1" applyAlignment="1">
      <alignment horizontal="center"/>
    </xf>
    <xf numFmtId="0" fontId="7" fillId="3" borderId="1" xfId="0" applyFont="1" applyFill="1" applyBorder="1" applyAlignment="1">
      <alignment horizontal="left" wrapText="1"/>
    </xf>
    <xf numFmtId="0" fontId="7" fillId="5" borderId="1" xfId="0" applyFont="1" applyFill="1" applyBorder="1" applyAlignment="1">
      <alignment horizontal="center" vertical="top" wrapText="1"/>
    </xf>
    <xf numFmtId="0" fontId="7" fillId="5" borderId="3" xfId="0" applyFont="1" applyFill="1" applyBorder="1" applyAlignment="1">
      <alignment horizontal="center"/>
    </xf>
    <xf numFmtId="0" fontId="7" fillId="5" borderId="4" xfId="0" applyFont="1" applyFill="1" applyBorder="1" applyAlignment="1">
      <alignment horizontal="center"/>
    </xf>
    <xf numFmtId="0" fontId="7" fillId="2" borderId="1" xfId="0" applyFont="1" applyFill="1" applyBorder="1" applyAlignment="1">
      <alignment horizontal="center"/>
    </xf>
    <xf numFmtId="0" fontId="5" fillId="0" borderId="1" xfId="0" applyFont="1" applyBorder="1" applyAlignment="1">
      <alignment horizontal="left" vertical="top" wrapText="1"/>
    </xf>
    <xf numFmtId="0" fontId="7" fillId="5" borderId="5" xfId="0" applyFont="1" applyFill="1" applyBorder="1" applyAlignment="1">
      <alignment horizontal="center"/>
    </xf>
    <xf numFmtId="0" fontId="4" fillId="4" borderId="0" xfId="0" applyFont="1" applyFill="1" applyAlignment="1">
      <alignment horizontal="center"/>
    </xf>
    <xf numFmtId="0" fontId="6" fillId="5" borderId="1" xfId="0" applyFont="1" applyFill="1" applyBorder="1" applyAlignment="1">
      <alignment horizontal="center"/>
    </xf>
    <xf numFmtId="164" fontId="5" fillId="0" borderId="1" xfId="2" applyFont="1" applyBorder="1" applyAlignment="1">
      <alignment horizontal="right" vertical="center"/>
    </xf>
    <xf numFmtId="0" fontId="5" fillId="0" borderId="3" xfId="0" applyFont="1" applyBorder="1" applyAlignment="1">
      <alignment horizontal="left" wrapText="1"/>
    </xf>
    <xf numFmtId="0" fontId="5" fillId="0" borderId="4" xfId="0" applyFont="1" applyBorder="1" applyAlignment="1">
      <alignment horizontal="left"/>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xf>
    <xf numFmtId="0" fontId="5" fillId="0" borderId="4" xfId="0" applyFont="1" applyBorder="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22" fillId="0" borderId="4" xfId="0" applyFont="1" applyBorder="1" applyAlignment="1">
      <alignment horizontal="left"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15" fillId="4" borderId="1" xfId="0" applyFont="1" applyFill="1" applyBorder="1" applyAlignment="1">
      <alignment horizontal="center" vertical="center" wrapText="1"/>
    </xf>
    <xf numFmtId="0" fontId="11" fillId="11" borderId="1"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13" fillId="7" borderId="23" xfId="0" applyFont="1" applyFill="1" applyBorder="1" applyAlignment="1">
      <alignment horizontal="center"/>
    </xf>
    <xf numFmtId="0" fontId="13" fillId="7" borderId="2" xfId="0" applyFont="1" applyFill="1" applyBorder="1" applyAlignment="1">
      <alignment horizontal="center"/>
    </xf>
    <xf numFmtId="0" fontId="13" fillId="7" borderId="24" xfId="0" applyFont="1" applyFill="1" applyBorder="1" applyAlignment="1">
      <alignment horizontal="center"/>
    </xf>
    <xf numFmtId="0" fontId="13" fillId="7" borderId="3" xfId="0" applyFont="1" applyFill="1" applyBorder="1" applyAlignment="1">
      <alignment horizontal="right" indent="2"/>
    </xf>
    <xf numFmtId="0" fontId="13" fillId="7" borderId="5" xfId="0" applyFont="1" applyFill="1" applyBorder="1" applyAlignment="1">
      <alignment horizontal="right" indent="2"/>
    </xf>
    <xf numFmtId="0" fontId="13" fillId="7" borderId="4" xfId="0" applyFont="1" applyFill="1" applyBorder="1" applyAlignment="1">
      <alignment horizontal="right" indent="2"/>
    </xf>
    <xf numFmtId="0" fontId="33" fillId="14" borderId="26" xfId="0" applyFont="1" applyFill="1" applyBorder="1" applyAlignment="1">
      <alignment horizontal="center"/>
    </xf>
    <xf numFmtId="0" fontId="33" fillId="14" borderId="25" xfId="0" applyFont="1" applyFill="1" applyBorder="1" applyAlignment="1">
      <alignment horizontal="center"/>
    </xf>
    <xf numFmtId="0" fontId="33" fillId="14" borderId="30" xfId="0" applyFont="1" applyFill="1" applyBorder="1" applyAlignment="1">
      <alignment horizontal="center"/>
    </xf>
    <xf numFmtId="0" fontId="5" fillId="0" borderId="26" xfId="0" applyFont="1" applyBorder="1" applyAlignment="1">
      <alignment horizontal="center" wrapText="1"/>
    </xf>
    <xf numFmtId="0" fontId="5" fillId="0" borderId="25" xfId="0" applyFont="1" applyBorder="1" applyAlignment="1">
      <alignment horizontal="center"/>
    </xf>
    <xf numFmtId="0" fontId="5" fillId="0" borderId="30" xfId="0" applyFont="1" applyBorder="1" applyAlignment="1">
      <alignment horizontal="center"/>
    </xf>
    <xf numFmtId="0" fontId="33" fillId="13" borderId="39" xfId="0" applyFont="1" applyFill="1" applyBorder="1" applyAlignment="1">
      <alignment horizontal="center" vertical="center"/>
    </xf>
    <xf numFmtId="0" fontId="33" fillId="13" borderId="35" xfId="0" applyFont="1" applyFill="1" applyBorder="1" applyAlignment="1">
      <alignment horizontal="center" vertical="center"/>
    </xf>
    <xf numFmtId="0" fontId="34" fillId="13" borderId="39" xfId="0" applyFont="1" applyFill="1" applyBorder="1" applyAlignment="1">
      <alignment horizontal="center" vertical="center"/>
    </xf>
    <xf numFmtId="0" fontId="34" fillId="13" borderId="35" xfId="0" applyFont="1" applyFill="1" applyBorder="1" applyAlignment="1">
      <alignment horizontal="center" vertical="center"/>
    </xf>
    <xf numFmtId="0" fontId="34" fillId="13" borderId="39" xfId="0" applyFont="1" applyFill="1" applyBorder="1" applyAlignment="1">
      <alignment horizontal="center" vertical="center" wrapText="1"/>
    </xf>
    <xf numFmtId="0" fontId="34" fillId="13" borderId="35" xfId="0" applyFont="1" applyFill="1" applyBorder="1" applyAlignment="1">
      <alignment horizontal="center" vertical="center" wrapText="1"/>
    </xf>
    <xf numFmtId="0" fontId="35" fillId="16" borderId="26" xfId="0" applyFont="1" applyFill="1" applyBorder="1" applyAlignment="1">
      <alignment vertical="center" wrapText="1"/>
    </xf>
    <xf numFmtId="0" fontId="35" fillId="16" borderId="25" xfId="0" applyFont="1" applyFill="1" applyBorder="1" applyAlignment="1">
      <alignment vertical="center" wrapText="1"/>
    </xf>
    <xf numFmtId="0" fontId="35" fillId="16" borderId="30" xfId="0" applyFont="1" applyFill="1" applyBorder="1" applyAlignment="1">
      <alignment vertical="center" wrapText="1"/>
    </xf>
    <xf numFmtId="0" fontId="34" fillId="9" borderId="26" xfId="0" applyFont="1" applyFill="1" applyBorder="1" applyAlignment="1">
      <alignment horizontal="right" vertical="center"/>
    </xf>
    <xf numFmtId="0" fontId="34" fillId="9" borderId="25" xfId="0" applyFont="1" applyFill="1" applyBorder="1" applyAlignment="1">
      <alignment horizontal="right" vertical="center"/>
    </xf>
    <xf numFmtId="0" fontId="34" fillId="9" borderId="30" xfId="0" applyFont="1" applyFill="1" applyBorder="1" applyAlignment="1">
      <alignment horizontal="right" vertical="center"/>
    </xf>
    <xf numFmtId="0" fontId="34" fillId="9" borderId="26" xfId="0" applyFont="1" applyFill="1" applyBorder="1" applyAlignment="1">
      <alignment horizontal="center" vertical="center"/>
    </xf>
    <xf numFmtId="0" fontId="34" fillId="9" borderId="25" xfId="0" applyFont="1" applyFill="1" applyBorder="1" applyAlignment="1">
      <alignment horizontal="center" vertical="center"/>
    </xf>
    <xf numFmtId="0" fontId="34" fillId="9" borderId="30" xfId="0" applyFont="1" applyFill="1" applyBorder="1" applyAlignment="1">
      <alignment horizontal="center" vertical="center"/>
    </xf>
    <xf numFmtId="0" fontId="33" fillId="15" borderId="26" xfId="0" applyFont="1" applyFill="1" applyBorder="1" applyAlignment="1">
      <alignment horizontal="center" vertical="center"/>
    </xf>
    <xf numFmtId="0" fontId="33" fillId="15" borderId="25" xfId="0" applyFont="1" applyFill="1" applyBorder="1" applyAlignment="1">
      <alignment horizontal="center" vertical="center"/>
    </xf>
    <xf numFmtId="0" fontId="33" fillId="15" borderId="30" xfId="0" applyFont="1" applyFill="1" applyBorder="1" applyAlignment="1">
      <alignment horizontal="center" vertical="center"/>
    </xf>
    <xf numFmtId="0" fontId="36" fillId="0" borderId="26" xfId="0" applyFont="1" applyBorder="1" applyAlignment="1">
      <alignment vertical="center" wrapText="1"/>
    </xf>
    <xf numFmtId="0" fontId="36" fillId="0" borderId="25" xfId="0" applyFont="1" applyBorder="1" applyAlignment="1">
      <alignment vertical="center" wrapText="1"/>
    </xf>
    <xf numFmtId="0" fontId="36" fillId="0" borderId="30" xfId="0" applyFont="1" applyBorder="1" applyAlignment="1">
      <alignment vertical="center" wrapText="1"/>
    </xf>
    <xf numFmtId="0" fontId="31" fillId="0" borderId="26" xfId="0" applyFont="1" applyBorder="1"/>
    <xf numFmtId="0" fontId="31" fillId="0" borderId="25" xfId="0" applyFont="1" applyBorder="1"/>
    <xf numFmtId="0" fontId="31" fillId="0" borderId="30" xfId="0" applyFont="1" applyBorder="1"/>
    <xf numFmtId="0" fontId="31" fillId="0" borderId="22" xfId="0" applyFont="1" applyBorder="1"/>
    <xf numFmtId="0" fontId="31" fillId="0" borderId="31" xfId="0" applyFont="1" applyBorder="1"/>
    <xf numFmtId="0" fontId="42" fillId="16" borderId="26" xfId="0" applyFont="1" applyFill="1" applyBorder="1" applyAlignment="1">
      <alignment horizontal="center"/>
    </xf>
    <xf numFmtId="0" fontId="42" fillId="16" borderId="25" xfId="0" applyFont="1" applyFill="1" applyBorder="1" applyAlignment="1">
      <alignment horizontal="center"/>
    </xf>
    <xf numFmtId="0" fontId="42" fillId="16" borderId="30" xfId="0" applyFont="1" applyFill="1" applyBorder="1" applyAlignment="1">
      <alignment horizontal="center"/>
    </xf>
    <xf numFmtId="0" fontId="33" fillId="9" borderId="39" xfId="0" applyFont="1" applyFill="1" applyBorder="1" applyAlignment="1">
      <alignment horizontal="center" vertical="center"/>
    </xf>
    <xf numFmtId="0" fontId="33" fillId="9" borderId="35" xfId="0" applyFont="1" applyFill="1" applyBorder="1" applyAlignment="1">
      <alignment horizontal="center" vertical="center"/>
    </xf>
    <xf numFmtId="0" fontId="34" fillId="9" borderId="39" xfId="0" applyFont="1" applyFill="1" applyBorder="1" applyAlignment="1">
      <alignment horizontal="center" vertical="center"/>
    </xf>
    <xf numFmtId="0" fontId="34" fillId="9" borderId="35" xfId="0" applyFont="1" applyFill="1" applyBorder="1" applyAlignment="1">
      <alignment horizontal="center" vertical="center"/>
    </xf>
    <xf numFmtId="0" fontId="34" fillId="9" borderId="39" xfId="0" applyFont="1" applyFill="1" applyBorder="1" applyAlignment="1">
      <alignment horizontal="center" vertical="center" wrapText="1"/>
    </xf>
    <xf numFmtId="0" fontId="34" fillId="9" borderId="35" xfId="0" applyFont="1" applyFill="1" applyBorder="1" applyAlignment="1">
      <alignment horizontal="center" vertical="center" wrapText="1"/>
    </xf>
    <xf numFmtId="0" fontId="40" fillId="9" borderId="39" xfId="0" applyFont="1" applyFill="1" applyBorder="1" applyAlignment="1">
      <alignment horizontal="center" vertical="center" wrapText="1"/>
    </xf>
    <xf numFmtId="0" fontId="40" fillId="9" borderId="35" xfId="0" applyFont="1" applyFill="1" applyBorder="1" applyAlignment="1">
      <alignment horizontal="center" vertical="center" wrapText="1"/>
    </xf>
    <xf numFmtId="0" fontId="40" fillId="9" borderId="39" xfId="0" applyFont="1" applyFill="1" applyBorder="1" applyAlignment="1">
      <alignment horizontal="center" vertical="center"/>
    </xf>
    <xf numFmtId="0" fontId="40" fillId="9" borderId="35" xfId="0" applyFont="1" applyFill="1" applyBorder="1" applyAlignment="1">
      <alignment horizontal="center" vertical="center"/>
    </xf>
    <xf numFmtId="0" fontId="26" fillId="3" borderId="26" xfId="15" applyFont="1" applyFill="1" applyBorder="1" applyAlignment="1">
      <alignment horizontal="right" vertical="center" wrapText="1"/>
    </xf>
    <xf numFmtId="0" fontId="26" fillId="3" borderId="30" xfId="15" applyFont="1" applyFill="1" applyBorder="1" applyAlignment="1">
      <alignment horizontal="right" vertical="center" wrapText="1"/>
    </xf>
    <xf numFmtId="0" fontId="16" fillId="3" borderId="0" xfId="15" applyFont="1" applyFill="1" applyAlignment="1">
      <alignment horizontal="center" wrapText="1"/>
    </xf>
    <xf numFmtId="0" fontId="25" fillId="3" borderId="0" xfId="15" applyFont="1" applyFill="1" applyAlignment="1">
      <alignment horizontal="center"/>
    </xf>
    <xf numFmtId="0" fontId="26" fillId="3" borderId="26" xfId="15" applyFont="1" applyFill="1" applyBorder="1" applyAlignment="1">
      <alignment horizontal="center"/>
    </xf>
    <xf numFmtId="0" fontId="26" fillId="3" borderId="25" xfId="15" applyFont="1" applyFill="1" applyBorder="1" applyAlignment="1">
      <alignment horizontal="center"/>
    </xf>
    <xf numFmtId="0" fontId="26" fillId="3" borderId="30" xfId="15" applyFont="1" applyFill="1" applyBorder="1" applyAlignment="1">
      <alignment horizontal="center"/>
    </xf>
    <xf numFmtId="0" fontId="30" fillId="3" borderId="0" xfId="15" applyFont="1" applyFill="1" applyAlignment="1">
      <alignment horizontal="left" vertical="top" wrapText="1"/>
    </xf>
  </cellXfs>
  <cellStyles count="18">
    <cellStyle name="Moeda" xfId="2" builtinId="4"/>
    <cellStyle name="Moeda 2" xfId="6" xr:uid="{00000000-0005-0000-0000-000001000000}"/>
    <cellStyle name="Moeda 2 3" xfId="12" xr:uid="{00000000-0005-0000-0000-000002000000}"/>
    <cellStyle name="Moeda 3" xfId="5" xr:uid="{00000000-0005-0000-0000-000003000000}"/>
    <cellStyle name="Moeda 4" xfId="14" xr:uid="{00000000-0005-0000-0000-000004000000}"/>
    <cellStyle name="Moeda 4 2" xfId="17" xr:uid="{00000000-0005-0000-0000-000005000000}"/>
    <cellStyle name="Normal" xfId="0" builtinId="0"/>
    <cellStyle name="Normal 2" xfId="7" xr:uid="{00000000-0005-0000-0000-000007000000}"/>
    <cellStyle name="Normal 3" xfId="11" xr:uid="{00000000-0005-0000-0000-000008000000}"/>
    <cellStyle name="Normal 3 2" xfId="15" xr:uid="{00000000-0005-0000-0000-000009000000}"/>
    <cellStyle name="Normal 4" xfId="10" xr:uid="{00000000-0005-0000-0000-00000A000000}"/>
    <cellStyle name="Normal 5" xfId="13" xr:uid="{00000000-0005-0000-0000-00000B000000}"/>
    <cellStyle name="Normal 6" xfId="4" xr:uid="{00000000-0005-0000-0000-00000C000000}"/>
    <cellStyle name="Porcentagem" xfId="3" builtinId="5"/>
    <cellStyle name="Porcentagem 2" xfId="8" xr:uid="{00000000-0005-0000-0000-00000E000000}"/>
    <cellStyle name="Vírgula" xfId="1" builtinId="3"/>
    <cellStyle name="Vírgula 2" xfId="9" xr:uid="{00000000-0005-0000-0000-000010000000}"/>
    <cellStyle name="Vírgula 3" xfId="16" xr:uid="{00000000-0005-0000-0000-000011000000}"/>
  </cellStyles>
  <dxfs count="0"/>
  <tableStyles count="0" defaultTableStyle="TableStyleMedium2" defaultPivotStyle="PivotStyleLight16"/>
  <colors>
    <mruColors>
      <color rgb="FF3F6981"/>
      <color rgb="FF526E60"/>
      <color rgb="FF53546D"/>
      <color rgb="FF3F8168"/>
      <color rgb="FF1FA1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2028825</xdr:colOff>
      <xdr:row>12</xdr:row>
      <xdr:rowOff>885825</xdr:rowOff>
    </xdr:from>
    <xdr:to>
      <xdr:col>1</xdr:col>
      <xdr:colOff>3390900</xdr:colOff>
      <xdr:row>12</xdr:row>
      <xdr:rowOff>1228725</xdr:rowOff>
    </xdr:to>
    <xdr:pic>
      <xdr:nvPicPr>
        <xdr:cNvPr id="2" name="Imagem 3">
          <a:extLst>
            <a:ext uri="{FF2B5EF4-FFF2-40B4-BE49-F238E27FC236}">
              <a16:creationId xmlns:a16="http://schemas.microsoft.com/office/drawing/2014/main" id="{161E5325-7118-4A09-8980-8F4A039EE92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4765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1562100</xdr:colOff>
      <xdr:row>14</xdr:row>
      <xdr:rowOff>38100</xdr:rowOff>
    </xdr:from>
    <xdr:to>
      <xdr:col>2</xdr:col>
      <xdr:colOff>560070</xdr:colOff>
      <xdr:row>21</xdr:row>
      <xdr:rowOff>38100</xdr:rowOff>
    </xdr:to>
    <xdr:pic>
      <xdr:nvPicPr>
        <xdr:cNvPr id="3" name="Imagem 2">
          <a:extLst>
            <a:ext uri="{FF2B5EF4-FFF2-40B4-BE49-F238E27FC236}">
              <a16:creationId xmlns:a16="http://schemas.microsoft.com/office/drawing/2014/main" id="{02005813-F103-4F22-BFA6-C06D0DFC24E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0" y="6972300"/>
          <a:ext cx="3752850" cy="12801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1181100</xdr:colOff>
      <xdr:row>22</xdr:row>
      <xdr:rowOff>114300</xdr:rowOff>
    </xdr:from>
    <xdr:to>
      <xdr:col>4</xdr:col>
      <xdr:colOff>755650</xdr:colOff>
      <xdr:row>30</xdr:row>
      <xdr:rowOff>73660</xdr:rowOff>
    </xdr:to>
    <xdr:pic>
      <xdr:nvPicPr>
        <xdr:cNvPr id="2" name="Imagem 1">
          <a:extLst>
            <a:ext uri="{FF2B5EF4-FFF2-40B4-BE49-F238E27FC236}">
              <a16:creationId xmlns:a16="http://schemas.microsoft.com/office/drawing/2014/main" id="{A7A0E407-07F1-4CED-8E55-60E5F99F2E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9400" y="5613400"/>
          <a:ext cx="3752850" cy="12801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2613660</xdr:colOff>
      <xdr:row>16</xdr:row>
      <xdr:rowOff>45720</xdr:rowOff>
    </xdr:from>
    <xdr:to>
      <xdr:col>3</xdr:col>
      <xdr:colOff>529590</xdr:colOff>
      <xdr:row>23</xdr:row>
      <xdr:rowOff>152400</xdr:rowOff>
    </xdr:to>
    <xdr:pic>
      <xdr:nvPicPr>
        <xdr:cNvPr id="2" name="Imagem 1">
          <a:extLst>
            <a:ext uri="{FF2B5EF4-FFF2-40B4-BE49-F238E27FC236}">
              <a16:creationId xmlns:a16="http://schemas.microsoft.com/office/drawing/2014/main" id="{1F7D582D-30FA-42D9-B372-D07CD0BCD8B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140" y="4960620"/>
          <a:ext cx="3752850" cy="12801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1325880</xdr:colOff>
      <xdr:row>16</xdr:row>
      <xdr:rowOff>53340</xdr:rowOff>
    </xdr:from>
    <xdr:to>
      <xdr:col>5</xdr:col>
      <xdr:colOff>537210</xdr:colOff>
      <xdr:row>23</xdr:row>
      <xdr:rowOff>53340</xdr:rowOff>
    </xdr:to>
    <xdr:pic>
      <xdr:nvPicPr>
        <xdr:cNvPr id="2" name="Imagem 1">
          <a:extLst>
            <a:ext uri="{FF2B5EF4-FFF2-40B4-BE49-F238E27FC236}">
              <a16:creationId xmlns:a16="http://schemas.microsoft.com/office/drawing/2014/main" id="{3E487C81-3124-4117-A2C3-8331ECF638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5547360"/>
          <a:ext cx="3752850" cy="128016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276225</xdr:colOff>
      <xdr:row>22</xdr:row>
      <xdr:rowOff>133350</xdr:rowOff>
    </xdr:from>
    <xdr:to>
      <xdr:col>5</xdr:col>
      <xdr:colOff>431165</xdr:colOff>
      <xdr:row>26</xdr:row>
      <xdr:rowOff>57150</xdr:rowOff>
    </xdr:to>
    <xdr:sp macro="" textlink="">
      <xdr:nvSpPr>
        <xdr:cNvPr id="2" name="Chave esquerda 3">
          <a:extLst>
            <a:ext uri="{FF2B5EF4-FFF2-40B4-BE49-F238E27FC236}">
              <a16:creationId xmlns:a16="http://schemas.microsoft.com/office/drawing/2014/main" id="{56D98F4C-58C2-457E-8B3D-CD6CFBF6A6CE}"/>
            </a:ext>
          </a:extLst>
        </xdr:cNvPr>
        <xdr:cNvSpPr/>
      </xdr:nvSpPr>
      <xdr:spPr>
        <a:xfrm>
          <a:off x="3648075" y="7162800"/>
          <a:ext cx="15494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0</xdr:col>
      <xdr:colOff>276225</xdr:colOff>
      <xdr:row>22</xdr:row>
      <xdr:rowOff>123825</xdr:rowOff>
    </xdr:from>
    <xdr:to>
      <xdr:col>1</xdr:col>
      <xdr:colOff>50165</xdr:colOff>
      <xdr:row>26</xdr:row>
      <xdr:rowOff>47625</xdr:rowOff>
    </xdr:to>
    <xdr:sp macro="" textlink="">
      <xdr:nvSpPr>
        <xdr:cNvPr id="3" name="Chave esquerda 5">
          <a:extLst>
            <a:ext uri="{FF2B5EF4-FFF2-40B4-BE49-F238E27FC236}">
              <a16:creationId xmlns:a16="http://schemas.microsoft.com/office/drawing/2014/main" id="{588E91FF-2BD5-4275-A52F-8A558D7E3BF8}"/>
            </a:ext>
          </a:extLst>
        </xdr:cNvPr>
        <xdr:cNvSpPr/>
      </xdr:nvSpPr>
      <xdr:spPr>
        <a:xfrm>
          <a:off x="276225" y="7153275"/>
          <a:ext cx="19304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9</xdr:col>
      <xdr:colOff>304800</xdr:colOff>
      <xdr:row>22</xdr:row>
      <xdr:rowOff>142875</xdr:rowOff>
    </xdr:from>
    <xdr:to>
      <xdr:col>9</xdr:col>
      <xdr:colOff>459740</xdr:colOff>
      <xdr:row>26</xdr:row>
      <xdr:rowOff>66675</xdr:rowOff>
    </xdr:to>
    <xdr:sp macro="" textlink="">
      <xdr:nvSpPr>
        <xdr:cNvPr id="4" name="Chave esquerda 7">
          <a:extLst>
            <a:ext uri="{FF2B5EF4-FFF2-40B4-BE49-F238E27FC236}">
              <a16:creationId xmlns:a16="http://schemas.microsoft.com/office/drawing/2014/main" id="{6732C547-DA58-474A-8206-69B1EF7C582A}"/>
            </a:ext>
          </a:extLst>
        </xdr:cNvPr>
        <xdr:cNvSpPr/>
      </xdr:nvSpPr>
      <xdr:spPr>
        <a:xfrm>
          <a:off x="6610350" y="7172325"/>
          <a:ext cx="15494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10</xdr:col>
      <xdr:colOff>431163</xdr:colOff>
      <xdr:row>22</xdr:row>
      <xdr:rowOff>142875</xdr:rowOff>
    </xdr:from>
    <xdr:to>
      <xdr:col>12</xdr:col>
      <xdr:colOff>76199</xdr:colOff>
      <xdr:row>26</xdr:row>
      <xdr:rowOff>66675</xdr:rowOff>
    </xdr:to>
    <xdr:sp macro="" textlink="">
      <xdr:nvSpPr>
        <xdr:cNvPr id="5" name="Chave esquerda 7">
          <a:extLst>
            <a:ext uri="{FF2B5EF4-FFF2-40B4-BE49-F238E27FC236}">
              <a16:creationId xmlns:a16="http://schemas.microsoft.com/office/drawing/2014/main" id="{44C1D6E0-56AA-4C66-B536-FEB1EC655699}"/>
            </a:ext>
          </a:extLst>
        </xdr:cNvPr>
        <xdr:cNvSpPr/>
      </xdr:nvSpPr>
      <xdr:spPr>
        <a:xfrm flipH="1">
          <a:off x="7422513" y="7172325"/>
          <a:ext cx="245111"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5</xdr:col>
      <xdr:colOff>1628775</xdr:colOff>
      <xdr:row>23</xdr:row>
      <xdr:rowOff>9525</xdr:rowOff>
    </xdr:from>
    <xdr:to>
      <xdr:col>6</xdr:col>
      <xdr:colOff>149861</xdr:colOff>
      <xdr:row>26</xdr:row>
      <xdr:rowOff>95250</xdr:rowOff>
    </xdr:to>
    <xdr:sp macro="" textlink="">
      <xdr:nvSpPr>
        <xdr:cNvPr id="6" name="Chave esquerda 7">
          <a:extLst>
            <a:ext uri="{FF2B5EF4-FFF2-40B4-BE49-F238E27FC236}">
              <a16:creationId xmlns:a16="http://schemas.microsoft.com/office/drawing/2014/main" id="{3347CD8B-F2F8-4882-BDE7-5B0038CB1A97}"/>
            </a:ext>
          </a:extLst>
        </xdr:cNvPr>
        <xdr:cNvSpPr/>
      </xdr:nvSpPr>
      <xdr:spPr>
        <a:xfrm flipH="1">
          <a:off x="5000625" y="7200900"/>
          <a:ext cx="273686"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1</xdr:col>
      <xdr:colOff>1371600</xdr:colOff>
      <xdr:row>22</xdr:row>
      <xdr:rowOff>123825</xdr:rowOff>
    </xdr:from>
    <xdr:to>
      <xdr:col>1</xdr:col>
      <xdr:colOff>1569086</xdr:colOff>
      <xdr:row>26</xdr:row>
      <xdr:rowOff>47625</xdr:rowOff>
    </xdr:to>
    <xdr:sp macro="" textlink="">
      <xdr:nvSpPr>
        <xdr:cNvPr id="7" name="Chave esquerda 7">
          <a:extLst>
            <a:ext uri="{FF2B5EF4-FFF2-40B4-BE49-F238E27FC236}">
              <a16:creationId xmlns:a16="http://schemas.microsoft.com/office/drawing/2014/main" id="{5010AF71-721F-42D1-BF48-22CEDE579368}"/>
            </a:ext>
          </a:extLst>
        </xdr:cNvPr>
        <xdr:cNvSpPr/>
      </xdr:nvSpPr>
      <xdr:spPr>
        <a:xfrm flipH="1">
          <a:off x="1790700" y="7153275"/>
          <a:ext cx="197486"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wsDr>
</file>

<file path=xl/theme/theme1.xml><?xml version="1.0" encoding="utf-8"?>
<a:theme xmlns:a="http://schemas.openxmlformats.org/drawingml/2006/main" name="Tema do Office">
  <a:themeElements>
    <a:clrScheme name="Azul Quente">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2399C-65D9-4DE9-85C8-9FE0120F4B49}">
  <dimension ref="A1:J19"/>
  <sheetViews>
    <sheetView tabSelected="1" view="pageBreakPreview" zoomScaleNormal="100" zoomScaleSheetLayoutView="100" workbookViewId="0">
      <selection activeCell="A11" sqref="A11:D13"/>
    </sheetView>
  </sheetViews>
  <sheetFormatPr defaultRowHeight="15" x14ac:dyDescent="0.25"/>
  <cols>
    <col min="1" max="1" width="9.140625" style="331"/>
    <col min="2" max="2" width="69.28515625" style="331" customWidth="1"/>
    <col min="3" max="3" width="15.140625" style="331" customWidth="1"/>
    <col min="4" max="4" width="17.42578125" style="331" bestFit="1" customWidth="1"/>
    <col min="5" max="5" width="24.28515625" style="331" bestFit="1" customWidth="1"/>
    <col min="6" max="6" width="27.7109375" style="331" customWidth="1"/>
    <col min="7" max="7" width="24.140625" style="331" bestFit="1" customWidth="1"/>
    <col min="8" max="8" width="26.85546875" style="331" bestFit="1" customWidth="1"/>
    <col min="9" max="9" width="15.5703125" style="331" bestFit="1" customWidth="1"/>
    <col min="10" max="10" width="17.42578125" style="331" bestFit="1" customWidth="1"/>
    <col min="11" max="16384" width="9.140625" style="331"/>
  </cols>
  <sheetData>
    <row r="1" spans="1:10" ht="33.75" customHeight="1" thickBot="1" x14ac:dyDescent="0.3">
      <c r="A1" s="377" t="s">
        <v>532</v>
      </c>
      <c r="B1" s="378"/>
      <c r="C1" s="378"/>
      <c r="D1" s="379"/>
      <c r="E1" s="330"/>
      <c r="F1" s="330"/>
      <c r="G1" s="330"/>
      <c r="H1" s="330"/>
    </row>
    <row r="2" spans="1:10" ht="15.75" thickBot="1" x14ac:dyDescent="0.3">
      <c r="A2" s="380" t="s">
        <v>533</v>
      </c>
      <c r="B2" s="381"/>
      <c r="C2" s="381"/>
      <c r="D2" s="382"/>
    </row>
    <row r="3" spans="1:10" ht="154.5" customHeight="1" thickBot="1" x14ac:dyDescent="0.3">
      <c r="A3" s="168" t="s">
        <v>384</v>
      </c>
      <c r="B3" s="383" t="s">
        <v>534</v>
      </c>
      <c r="C3" s="384"/>
      <c r="D3" s="385"/>
      <c r="E3" s="318" t="s">
        <v>598</v>
      </c>
      <c r="F3" s="318" t="s">
        <v>583</v>
      </c>
      <c r="G3" s="318" t="s">
        <v>582</v>
      </c>
      <c r="H3" s="318" t="s">
        <v>588</v>
      </c>
      <c r="I3" s="366" t="s">
        <v>584</v>
      </c>
      <c r="J3" s="367"/>
    </row>
    <row r="4" spans="1:10" ht="15.75" thickBot="1" x14ac:dyDescent="0.3">
      <c r="A4" s="169" t="s">
        <v>535</v>
      </c>
      <c r="B4" s="170" t="s">
        <v>383</v>
      </c>
      <c r="C4" s="170" t="s">
        <v>536</v>
      </c>
      <c r="D4" s="307" t="s">
        <v>537</v>
      </c>
      <c r="E4" s="311" t="s">
        <v>536</v>
      </c>
      <c r="F4" s="311" t="s">
        <v>536</v>
      </c>
      <c r="G4" s="311" t="s">
        <v>536</v>
      </c>
      <c r="H4" s="311" t="s">
        <v>536</v>
      </c>
      <c r="I4" s="311" t="s">
        <v>536</v>
      </c>
      <c r="J4" s="312" t="s">
        <v>585</v>
      </c>
    </row>
    <row r="5" spans="1:10" ht="15.75" thickBot="1" x14ac:dyDescent="0.3">
      <c r="A5" s="171" t="s">
        <v>399</v>
      </c>
      <c r="B5" s="172" t="s">
        <v>538</v>
      </c>
      <c r="C5" s="174">
        <f>D5/12</f>
        <v>160865.08499735233</v>
      </c>
      <c r="D5" s="308">
        <f>'TABELA 2 Resumo Post de Trab'!E23</f>
        <v>1930381.0199682279</v>
      </c>
      <c r="E5" s="313">
        <f>'TABELA 2 Resumo Post de Trab'!K22</f>
        <v>162461.30546806083</v>
      </c>
      <c r="F5" s="313">
        <f>'TABELA 2 Resumo Post de Trab'!K42</f>
        <v>171836.07149004671</v>
      </c>
      <c r="G5" s="313">
        <f>'TABELA 2 Resumo Post de Trab'!K62</f>
        <v>172476.88764987956</v>
      </c>
      <c r="H5" s="314">
        <f>'TABELA 2 Resumo Post de Trab'!K82</f>
        <v>170617.80545525005</v>
      </c>
      <c r="I5" s="313">
        <f>'TABELA 2 Resumo Post de Trab'!K102</f>
        <v>171123.67317029127</v>
      </c>
      <c r="J5" s="314">
        <f>'TABELA 2 Resumo Post de Trab'!K103</f>
        <v>2053484.0780434953</v>
      </c>
    </row>
    <row r="6" spans="1:10" ht="15.75" thickBot="1" x14ac:dyDescent="0.3">
      <c r="A6" s="171" t="s">
        <v>398</v>
      </c>
      <c r="B6" s="172" t="s">
        <v>539</v>
      </c>
      <c r="C6" s="174">
        <f t="shared" ref="C6:C8" si="0">D6/12</f>
        <v>5916.666666666667</v>
      </c>
      <c r="D6" s="309">
        <v>71000</v>
      </c>
      <c r="E6" s="313">
        <f>C6</f>
        <v>5916.666666666667</v>
      </c>
      <c r="F6" s="313">
        <f t="shared" ref="F6:I8" si="1">E6</f>
        <v>5916.666666666667</v>
      </c>
      <c r="G6" s="313">
        <f t="shared" si="1"/>
        <v>5916.666666666667</v>
      </c>
      <c r="H6" s="315">
        <f t="shared" si="1"/>
        <v>5916.666666666667</v>
      </c>
      <c r="I6" s="313">
        <f t="shared" si="1"/>
        <v>5916.666666666667</v>
      </c>
      <c r="J6" s="315">
        <f>I6*12</f>
        <v>71000</v>
      </c>
    </row>
    <row r="7" spans="1:10" ht="15.75" thickBot="1" x14ac:dyDescent="0.3">
      <c r="A7" s="171" t="s">
        <v>397</v>
      </c>
      <c r="B7" s="172" t="s">
        <v>540</v>
      </c>
      <c r="C7" s="174">
        <f t="shared" si="0"/>
        <v>44999.997499999998</v>
      </c>
      <c r="D7" s="309">
        <v>539999.97</v>
      </c>
      <c r="E7" s="313">
        <f>C7</f>
        <v>44999.997499999998</v>
      </c>
      <c r="F7" s="313">
        <f t="shared" si="1"/>
        <v>44999.997499999998</v>
      </c>
      <c r="G7" s="313">
        <f t="shared" si="1"/>
        <v>44999.997499999998</v>
      </c>
      <c r="H7" s="315">
        <f t="shared" si="1"/>
        <v>44999.997499999998</v>
      </c>
      <c r="I7" s="313">
        <f t="shared" si="1"/>
        <v>44999.997499999998</v>
      </c>
      <c r="J7" s="315">
        <f>I7*12</f>
        <v>539999.97</v>
      </c>
    </row>
    <row r="8" spans="1:10" ht="15.75" thickBot="1" x14ac:dyDescent="0.3">
      <c r="A8" s="171" t="s">
        <v>396</v>
      </c>
      <c r="B8" s="172" t="s">
        <v>541</v>
      </c>
      <c r="C8" s="174">
        <f t="shared" si="0"/>
        <v>14161.85</v>
      </c>
      <c r="D8" s="309">
        <v>169942.2</v>
      </c>
      <c r="E8" s="313">
        <f>C8</f>
        <v>14161.85</v>
      </c>
      <c r="F8" s="313">
        <f t="shared" si="1"/>
        <v>14161.85</v>
      </c>
      <c r="G8" s="313">
        <f t="shared" si="1"/>
        <v>14161.85</v>
      </c>
      <c r="H8" s="315">
        <f t="shared" si="1"/>
        <v>14161.85</v>
      </c>
      <c r="I8" s="313">
        <f t="shared" si="1"/>
        <v>14161.85</v>
      </c>
      <c r="J8" s="315">
        <f>I8*12</f>
        <v>169942.2</v>
      </c>
    </row>
    <row r="9" spans="1:10" ht="15.75" thickBot="1" x14ac:dyDescent="0.3">
      <c r="A9" s="380" t="s">
        <v>542</v>
      </c>
      <c r="B9" s="382"/>
      <c r="C9" s="175">
        <f t="shared" ref="C9:J9" si="2">SUM(C5:C8)</f>
        <v>225943.59916401899</v>
      </c>
      <c r="D9" s="310">
        <f t="shared" si="2"/>
        <v>2711323.1899682283</v>
      </c>
      <c r="E9" s="316">
        <f t="shared" si="2"/>
        <v>227539.81963472749</v>
      </c>
      <c r="F9" s="316">
        <f t="shared" si="2"/>
        <v>236914.58565671337</v>
      </c>
      <c r="G9" s="316">
        <f>SUM(G5:G8)</f>
        <v>237555.40181654622</v>
      </c>
      <c r="H9" s="317">
        <f t="shared" si="2"/>
        <v>235696.31962191671</v>
      </c>
      <c r="I9" s="316">
        <f t="shared" si="2"/>
        <v>236202.18733695793</v>
      </c>
      <c r="J9" s="317">
        <f t="shared" si="2"/>
        <v>2834426.2480434952</v>
      </c>
    </row>
    <row r="10" spans="1:10" ht="15.75" thickBot="1" x14ac:dyDescent="0.3">
      <c r="A10" s="386" t="s">
        <v>543</v>
      </c>
      <c r="B10" s="387"/>
      <c r="C10" s="387"/>
      <c r="D10" s="388"/>
      <c r="E10" s="341"/>
      <c r="J10" s="341"/>
    </row>
    <row r="11" spans="1:10" x14ac:dyDescent="0.25">
      <c r="A11" s="368" t="s">
        <v>544</v>
      </c>
      <c r="B11" s="369"/>
      <c r="C11" s="369"/>
      <c r="D11" s="370"/>
      <c r="E11" s="341"/>
      <c r="J11" s="341"/>
    </row>
    <row r="12" spans="1:10" ht="15" customHeight="1" x14ac:dyDescent="0.25">
      <c r="A12" s="371"/>
      <c r="B12" s="372"/>
      <c r="C12" s="372"/>
      <c r="D12" s="373"/>
      <c r="E12" s="341"/>
      <c r="J12" s="341"/>
    </row>
    <row r="13" spans="1:10" ht="260.25" customHeight="1" thickBot="1" x14ac:dyDescent="0.3">
      <c r="A13" s="374"/>
      <c r="B13" s="375"/>
      <c r="C13" s="375"/>
      <c r="D13" s="376"/>
    </row>
    <row r="14" spans="1:10" x14ac:dyDescent="0.25">
      <c r="A14" s="173"/>
      <c r="F14" s="332"/>
    </row>
    <row r="16" spans="1:10" x14ac:dyDescent="0.25">
      <c r="F16" s="333"/>
      <c r="G16" s="333"/>
      <c r="H16" s="333"/>
      <c r="I16" s="333"/>
      <c r="J16" s="334"/>
    </row>
    <row r="17" spans="6:10" x14ac:dyDescent="0.25">
      <c r="F17" s="333"/>
      <c r="G17" s="333"/>
      <c r="H17" s="333"/>
      <c r="I17" s="333"/>
      <c r="J17" s="334"/>
    </row>
    <row r="18" spans="6:10" x14ac:dyDescent="0.25">
      <c r="F18" s="333"/>
      <c r="G18" s="333"/>
      <c r="H18" s="333"/>
      <c r="I18" s="333"/>
      <c r="J18" s="334"/>
    </row>
    <row r="19" spans="6:10" x14ac:dyDescent="0.25">
      <c r="F19" s="333"/>
      <c r="G19" s="333"/>
      <c r="H19" s="333"/>
      <c r="I19" s="333"/>
      <c r="J19" s="334"/>
    </row>
  </sheetData>
  <mergeCells count="7">
    <mergeCell ref="I3:J3"/>
    <mergeCell ref="A11:D13"/>
    <mergeCell ref="A1:D1"/>
    <mergeCell ref="A2:D2"/>
    <mergeCell ref="B3:D3"/>
    <mergeCell ref="A9:B9"/>
    <mergeCell ref="A10:D10"/>
  </mergeCells>
  <pageMargins left="0.511811024" right="0.511811024" top="0.78740157499999996" bottom="0.78740157499999996" header="0.31496062000000002" footer="0.31496062000000002"/>
  <pageSetup paperSize="9" scale="8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pageSetUpPr fitToPage="1"/>
  </sheetPr>
  <dimension ref="A1:H140"/>
  <sheetViews>
    <sheetView showGridLines="0" topLeftCell="A19" zoomScaleNormal="100" workbookViewId="0">
      <selection activeCell="F137" sqref="F137"/>
    </sheetView>
  </sheetViews>
  <sheetFormatPr defaultColWidth="8.7109375" defaultRowHeight="12.75" x14ac:dyDescent="0.2"/>
  <cols>
    <col min="1" max="1" width="5" style="1" bestFit="1" customWidth="1"/>
    <col min="2" max="2" width="45.7109375" style="12" bestFit="1" customWidth="1"/>
    <col min="3" max="3" width="14.140625" style="12" bestFit="1" customWidth="1"/>
    <col min="4" max="4" width="10" style="1" bestFit="1" customWidth="1"/>
    <col min="5" max="5" width="14.140625" style="221" bestFit="1" customWidth="1"/>
    <col min="6" max="6" width="20.28515625" style="221" bestFit="1" customWidth="1"/>
    <col min="7" max="7" width="14.140625" style="221" bestFit="1" customWidth="1"/>
    <col min="8" max="8" width="18.28515625" style="221" bestFit="1" customWidth="1"/>
    <col min="9" max="16384" width="8.7109375" style="1"/>
  </cols>
  <sheetData>
    <row r="1" spans="1:8" x14ac:dyDescent="0.2">
      <c r="A1" s="476" t="s">
        <v>92</v>
      </c>
      <c r="B1" s="476"/>
      <c r="C1" s="476"/>
      <c r="D1" s="476"/>
      <c r="E1" s="222"/>
    </row>
    <row r="3" spans="1:8" x14ac:dyDescent="0.2">
      <c r="A3" s="477" t="s">
        <v>0</v>
      </c>
      <c r="B3" s="477"/>
      <c r="C3" s="477"/>
      <c r="D3" s="477"/>
      <c r="E3" s="223"/>
    </row>
    <row r="4" spans="1:8" ht="25.5" x14ac:dyDescent="0.2">
      <c r="A4" s="43">
        <v>1</v>
      </c>
      <c r="B4" s="3" t="s">
        <v>1</v>
      </c>
      <c r="C4" s="454" t="s">
        <v>144</v>
      </c>
      <c r="D4" s="454"/>
      <c r="E4" s="224"/>
    </row>
    <row r="5" spans="1:8" x14ac:dyDescent="0.2">
      <c r="A5" s="4">
        <v>2</v>
      </c>
      <c r="B5" s="5" t="s">
        <v>2</v>
      </c>
      <c r="C5" s="455"/>
      <c r="D5" s="455"/>
      <c r="E5" s="225"/>
    </row>
    <row r="6" spans="1:8" x14ac:dyDescent="0.2">
      <c r="A6" s="4">
        <v>3</v>
      </c>
      <c r="B6" s="5" t="s">
        <v>95</v>
      </c>
      <c r="C6" s="459">
        <v>1901.53</v>
      </c>
      <c r="D6" s="459"/>
      <c r="E6" s="226"/>
      <c r="F6" s="262"/>
    </row>
    <row r="7" spans="1:8" ht="25.5" x14ac:dyDescent="0.2">
      <c r="A7" s="4">
        <v>4</v>
      </c>
      <c r="B7" s="5" t="s">
        <v>96</v>
      </c>
      <c r="C7" s="482" t="s">
        <v>458</v>
      </c>
      <c r="D7" s="483"/>
      <c r="E7" s="227"/>
    </row>
    <row r="8" spans="1:8" x14ac:dyDescent="0.2">
      <c r="A8" s="4">
        <v>5</v>
      </c>
      <c r="B8" s="5" t="s">
        <v>3</v>
      </c>
      <c r="C8" s="458" t="s">
        <v>451</v>
      </c>
      <c r="D8" s="455"/>
      <c r="E8" s="228"/>
      <c r="F8" s="229">
        <v>44562</v>
      </c>
    </row>
    <row r="9" spans="1:8" x14ac:dyDescent="0.2">
      <c r="A9" s="4">
        <v>6</v>
      </c>
      <c r="B9" s="5" t="s">
        <v>97</v>
      </c>
      <c r="C9" s="458" t="s">
        <v>452</v>
      </c>
      <c r="D9" s="455"/>
      <c r="E9" s="228"/>
      <c r="F9" s="230" t="s">
        <v>566</v>
      </c>
    </row>
    <row r="10" spans="1:8" x14ac:dyDescent="0.2">
      <c r="F10" s="221" t="s">
        <v>567</v>
      </c>
      <c r="H10" s="221" t="s">
        <v>568</v>
      </c>
    </row>
    <row r="11" spans="1:8" ht="127.5" x14ac:dyDescent="0.2">
      <c r="A11" s="415" t="s">
        <v>75</v>
      </c>
      <c r="B11" s="415"/>
      <c r="C11" s="415"/>
      <c r="D11" s="415"/>
      <c r="E11" s="231"/>
      <c r="F11" s="252" t="s">
        <v>575</v>
      </c>
      <c r="H11" s="252" t="s">
        <v>569</v>
      </c>
    </row>
    <row r="12" spans="1:8" x14ac:dyDescent="0.2">
      <c r="A12" s="40">
        <v>1</v>
      </c>
      <c r="B12" s="477" t="s">
        <v>4</v>
      </c>
      <c r="C12" s="477"/>
      <c r="D12" s="42" t="s">
        <v>5</v>
      </c>
      <c r="E12" s="242"/>
      <c r="F12" s="218" t="s">
        <v>5</v>
      </c>
      <c r="H12" s="218" t="s">
        <v>5</v>
      </c>
    </row>
    <row r="13" spans="1:8" x14ac:dyDescent="0.2">
      <c r="A13" s="8" t="s">
        <v>6</v>
      </c>
      <c r="B13" s="414" t="s">
        <v>7</v>
      </c>
      <c r="C13" s="414"/>
      <c r="D13" s="114">
        <v>2413.65</v>
      </c>
      <c r="E13" s="243"/>
      <c r="F13" s="200">
        <f>D13*1.1</f>
        <v>2655.0150000000003</v>
      </c>
      <c r="H13" s="114">
        <f>F13</f>
        <v>2655.0150000000003</v>
      </c>
    </row>
    <row r="14" spans="1:8" x14ac:dyDescent="0.2">
      <c r="A14" s="8" t="s">
        <v>8</v>
      </c>
      <c r="B14" s="414" t="s">
        <v>401</v>
      </c>
      <c r="C14" s="414"/>
      <c r="D14" s="10" t="s">
        <v>118</v>
      </c>
      <c r="E14" s="244"/>
      <c r="F14" s="10" t="s">
        <v>118</v>
      </c>
      <c r="H14" s="10" t="s">
        <v>118</v>
      </c>
    </row>
    <row r="15" spans="1:8" x14ac:dyDescent="0.2">
      <c r="A15" s="8" t="s">
        <v>9</v>
      </c>
      <c r="B15" s="414" t="s">
        <v>459</v>
      </c>
      <c r="C15" s="414"/>
      <c r="D15" s="10">
        <f>0.2*1287.96</f>
        <v>257.59200000000004</v>
      </c>
      <c r="E15" s="244"/>
      <c r="F15" s="201">
        <f>20%*1416.75</f>
        <v>283.35000000000002</v>
      </c>
      <c r="H15" s="10">
        <f>20%*1416.75</f>
        <v>283.35000000000002</v>
      </c>
    </row>
    <row r="16" spans="1:8" x14ac:dyDescent="0.2">
      <c r="A16" s="8" t="s">
        <v>11</v>
      </c>
      <c r="B16" s="414" t="s">
        <v>12</v>
      </c>
      <c r="C16" s="414"/>
      <c r="D16" s="10" t="s">
        <v>118</v>
      </c>
      <c r="E16" s="244"/>
      <c r="F16" s="10" t="s">
        <v>118</v>
      </c>
      <c r="H16" s="10" t="s">
        <v>118</v>
      </c>
    </row>
    <row r="17" spans="1:8" x14ac:dyDescent="0.2">
      <c r="A17" s="8" t="s">
        <v>13</v>
      </c>
      <c r="B17" s="414" t="s">
        <v>14</v>
      </c>
      <c r="C17" s="414"/>
      <c r="D17" s="10" t="s">
        <v>118</v>
      </c>
      <c r="E17" s="244"/>
      <c r="F17" s="10" t="s">
        <v>118</v>
      </c>
      <c r="H17" s="10" t="s">
        <v>118</v>
      </c>
    </row>
    <row r="18" spans="1:8" x14ac:dyDescent="0.2">
      <c r="A18" s="8" t="s">
        <v>15</v>
      </c>
      <c r="B18" s="414" t="s">
        <v>16</v>
      </c>
      <c r="C18" s="414"/>
      <c r="D18" s="10" t="s">
        <v>118</v>
      </c>
      <c r="E18" s="244"/>
      <c r="F18" s="10" t="s">
        <v>118</v>
      </c>
      <c r="H18" s="10" t="s">
        <v>118</v>
      </c>
    </row>
    <row r="19" spans="1:8" x14ac:dyDescent="0.2">
      <c r="A19" s="463" t="s">
        <v>17</v>
      </c>
      <c r="B19" s="463"/>
      <c r="C19" s="463"/>
      <c r="D19" s="11">
        <f>SUM(D13:D18)</f>
        <v>2671.2420000000002</v>
      </c>
      <c r="E19" s="243"/>
      <c r="F19" s="202">
        <f>SUM(F13:F18)</f>
        <v>2938.3650000000002</v>
      </c>
      <c r="H19" s="11">
        <f>SUM(H13:H18)</f>
        <v>2938.3650000000002</v>
      </c>
    </row>
    <row r="20" spans="1:8" x14ac:dyDescent="0.2">
      <c r="A20" s="481" t="s">
        <v>18</v>
      </c>
      <c r="B20" s="481"/>
      <c r="C20" s="481"/>
      <c r="D20" s="481"/>
      <c r="E20" s="233"/>
    </row>
    <row r="22" spans="1:8" x14ac:dyDescent="0.2">
      <c r="A22" s="415" t="s">
        <v>19</v>
      </c>
      <c r="B22" s="415"/>
      <c r="C22" s="415"/>
      <c r="D22" s="415"/>
      <c r="E22" s="231"/>
    </row>
    <row r="23" spans="1:8" x14ac:dyDescent="0.2">
      <c r="A23" s="463" t="s">
        <v>24</v>
      </c>
      <c r="B23" s="463"/>
      <c r="C23" s="463"/>
      <c r="D23" s="463"/>
      <c r="E23" s="234"/>
    </row>
    <row r="24" spans="1:8" ht="25.5" x14ac:dyDescent="0.2">
      <c r="A24" s="39" t="s">
        <v>20</v>
      </c>
      <c r="B24" s="39" t="s">
        <v>21</v>
      </c>
      <c r="C24" s="43" t="s">
        <v>28</v>
      </c>
      <c r="D24" s="39" t="s">
        <v>5</v>
      </c>
      <c r="E24" s="219" t="s">
        <v>28</v>
      </c>
      <c r="F24" s="220" t="s">
        <v>5</v>
      </c>
      <c r="G24" s="219" t="s">
        <v>28</v>
      </c>
      <c r="H24" s="220" t="s">
        <v>5</v>
      </c>
    </row>
    <row r="25" spans="1:8" x14ac:dyDescent="0.2">
      <c r="A25" s="8" t="s">
        <v>6</v>
      </c>
      <c r="B25" s="14" t="s">
        <v>22</v>
      </c>
      <c r="C25" s="15">
        <v>9.0899999999999995E-2</v>
      </c>
      <c r="D25" s="16">
        <f>C25*$D$19</f>
        <v>242.81589780000002</v>
      </c>
      <c r="E25" s="270">
        <v>9.0899999999999995E-2</v>
      </c>
      <c r="F25" s="203">
        <f>E25*F$19</f>
        <v>267.09737849999999</v>
      </c>
      <c r="G25" s="270">
        <v>9.0899999999999995E-2</v>
      </c>
      <c r="H25" s="211">
        <f>G25*H$19</f>
        <v>267.09737849999999</v>
      </c>
    </row>
    <row r="26" spans="1:8" x14ac:dyDescent="0.2">
      <c r="A26" s="8" t="s">
        <v>8</v>
      </c>
      <c r="B26" s="14" t="s">
        <v>23</v>
      </c>
      <c r="C26" s="15">
        <v>0.1212</v>
      </c>
      <c r="D26" s="16">
        <f>C26*$D$19</f>
        <v>323.75453040000002</v>
      </c>
      <c r="E26" s="270">
        <v>0.1212</v>
      </c>
      <c r="F26" s="203">
        <f>E26*F$19</f>
        <v>356.12983800000006</v>
      </c>
      <c r="G26" s="270">
        <v>0.1212</v>
      </c>
      <c r="H26" s="211">
        <f>G26*H$19</f>
        <v>356.12983800000006</v>
      </c>
    </row>
    <row r="27" spans="1:8" x14ac:dyDescent="0.2">
      <c r="A27" s="463" t="s">
        <v>17</v>
      </c>
      <c r="B27" s="463"/>
      <c r="C27" s="17">
        <f t="shared" ref="C27:H27" si="0">SUM(C25:C26)</f>
        <v>0.21210000000000001</v>
      </c>
      <c r="D27" s="18">
        <f t="shared" si="0"/>
        <v>566.57042820000004</v>
      </c>
      <c r="E27" s="17">
        <f t="shared" si="0"/>
        <v>0.21210000000000001</v>
      </c>
      <c r="F27" s="204">
        <f t="shared" si="0"/>
        <v>623.22721650000005</v>
      </c>
      <c r="G27" s="17">
        <f t="shared" si="0"/>
        <v>0.21210000000000001</v>
      </c>
      <c r="H27" s="212">
        <f t="shared" si="0"/>
        <v>623.22721650000005</v>
      </c>
    </row>
    <row r="28" spans="1:8" x14ac:dyDescent="0.2">
      <c r="A28" s="464" t="s">
        <v>98</v>
      </c>
      <c r="B28" s="464"/>
      <c r="C28" s="464"/>
      <c r="D28" s="464"/>
      <c r="E28" s="233"/>
    </row>
    <row r="29" spans="1:8" x14ac:dyDescent="0.2">
      <c r="A29" s="464" t="s">
        <v>99</v>
      </c>
      <c r="B29" s="464"/>
      <c r="C29" s="464"/>
      <c r="D29" s="464"/>
      <c r="E29" s="233"/>
    </row>
    <row r="30" spans="1:8" x14ac:dyDescent="0.2">
      <c r="A30" s="464" t="s">
        <v>100</v>
      </c>
      <c r="B30" s="464"/>
      <c r="C30" s="464"/>
      <c r="D30" s="464"/>
      <c r="E30" s="233"/>
    </row>
    <row r="32" spans="1:8" x14ac:dyDescent="0.2">
      <c r="A32" s="470" t="s">
        <v>25</v>
      </c>
      <c r="B32" s="470"/>
      <c r="C32" s="470"/>
      <c r="D32" s="470"/>
      <c r="E32" s="235"/>
    </row>
    <row r="33" spans="1:8" x14ac:dyDescent="0.2">
      <c r="A33" s="40" t="s">
        <v>26</v>
      </c>
      <c r="B33" s="42" t="s">
        <v>27</v>
      </c>
      <c r="C33" s="42" t="s">
        <v>28</v>
      </c>
      <c r="D33" s="40" t="s">
        <v>5</v>
      </c>
      <c r="E33" s="218" t="s">
        <v>28</v>
      </c>
      <c r="F33" s="217" t="s">
        <v>5</v>
      </c>
      <c r="G33" s="218" t="s">
        <v>28</v>
      </c>
      <c r="H33" s="217" t="s">
        <v>5</v>
      </c>
    </row>
    <row r="34" spans="1:8" x14ac:dyDescent="0.2">
      <c r="A34" s="8" t="s">
        <v>6</v>
      </c>
      <c r="B34" s="14" t="s">
        <v>29</v>
      </c>
      <c r="C34" s="19">
        <v>0</v>
      </c>
      <c r="D34" s="20">
        <f t="shared" ref="D34:D40" si="1">C34*($D$19+$D$27)</f>
        <v>0</v>
      </c>
      <c r="E34" s="19">
        <v>0</v>
      </c>
      <c r="F34" s="20">
        <f>E34*(F$19+F$27)</f>
        <v>0</v>
      </c>
      <c r="G34" s="19">
        <v>0</v>
      </c>
      <c r="H34" s="20">
        <f>G34*(H$19+H$27)</f>
        <v>0</v>
      </c>
    </row>
    <row r="35" spans="1:8" x14ac:dyDescent="0.2">
      <c r="A35" s="8" t="s">
        <v>8</v>
      </c>
      <c r="B35" s="14" t="s">
        <v>30</v>
      </c>
      <c r="C35" s="19">
        <v>2.5000000000000001E-2</v>
      </c>
      <c r="D35" s="20">
        <f t="shared" si="1"/>
        <v>80.945310705000011</v>
      </c>
      <c r="E35" s="19">
        <v>2.5000000000000001E-2</v>
      </c>
      <c r="F35" s="205">
        <f t="shared" ref="F35:F41" si="2">$E35*(F$19+F$27)</f>
        <v>89.039805412500016</v>
      </c>
      <c r="G35" s="19">
        <v>2.5000000000000001E-2</v>
      </c>
      <c r="H35" s="20">
        <f t="shared" ref="H35:H41" si="3">$G35*(H$19+H$27)</f>
        <v>89.039805412500016</v>
      </c>
    </row>
    <row r="36" spans="1:8" x14ac:dyDescent="0.2">
      <c r="A36" s="8" t="s">
        <v>9</v>
      </c>
      <c r="B36" s="14" t="s">
        <v>101</v>
      </c>
      <c r="C36" s="19">
        <v>3.39E-2</v>
      </c>
      <c r="D36" s="20">
        <f t="shared" si="1"/>
        <v>109.76184131598001</v>
      </c>
      <c r="E36" s="287">
        <v>1.4999999999999999E-2</v>
      </c>
      <c r="F36" s="205">
        <f t="shared" si="2"/>
        <v>53.423883247500001</v>
      </c>
      <c r="G36" s="19">
        <v>1.4999999999999999E-2</v>
      </c>
      <c r="H36" s="20">
        <f t="shared" si="3"/>
        <v>53.423883247500001</v>
      </c>
    </row>
    <row r="37" spans="1:8" x14ac:dyDescent="0.2">
      <c r="A37" s="8" t="s">
        <v>11</v>
      </c>
      <c r="B37" s="14" t="s">
        <v>31</v>
      </c>
      <c r="C37" s="19">
        <v>1.4999999999999999E-2</v>
      </c>
      <c r="D37" s="20">
        <f t="shared" si="1"/>
        <v>48.567186423000003</v>
      </c>
      <c r="E37" s="19">
        <v>1.4999999999999999E-2</v>
      </c>
      <c r="F37" s="205">
        <f t="shared" si="2"/>
        <v>53.423883247500001</v>
      </c>
      <c r="G37" s="19">
        <v>1.4999999999999999E-2</v>
      </c>
      <c r="H37" s="20">
        <f t="shared" si="3"/>
        <v>53.423883247500001</v>
      </c>
    </row>
    <row r="38" spans="1:8" x14ac:dyDescent="0.2">
      <c r="A38" s="8" t="s">
        <v>13</v>
      </c>
      <c r="B38" s="14" t="s">
        <v>32</v>
      </c>
      <c r="C38" s="19">
        <v>0.01</v>
      </c>
      <c r="D38" s="20">
        <f t="shared" si="1"/>
        <v>32.378124282000002</v>
      </c>
      <c r="E38" s="19">
        <v>0.01</v>
      </c>
      <c r="F38" s="205">
        <f t="shared" si="2"/>
        <v>35.615922165000001</v>
      </c>
      <c r="G38" s="19">
        <v>0.01</v>
      </c>
      <c r="H38" s="20">
        <f t="shared" si="3"/>
        <v>35.615922165000001</v>
      </c>
    </row>
    <row r="39" spans="1:8" x14ac:dyDescent="0.2">
      <c r="A39" s="8" t="s">
        <v>15</v>
      </c>
      <c r="B39" s="14" t="s">
        <v>33</v>
      </c>
      <c r="C39" s="19">
        <v>6.0000000000000001E-3</v>
      </c>
      <c r="D39" s="20">
        <f t="shared" si="1"/>
        <v>19.426874569200002</v>
      </c>
      <c r="E39" s="19">
        <v>6.0000000000000001E-3</v>
      </c>
      <c r="F39" s="205">
        <f t="shared" si="2"/>
        <v>21.369553299000003</v>
      </c>
      <c r="G39" s="19">
        <v>6.0000000000000001E-3</v>
      </c>
      <c r="H39" s="20">
        <f t="shared" si="3"/>
        <v>21.369553299000003</v>
      </c>
    </row>
    <row r="40" spans="1:8" x14ac:dyDescent="0.2">
      <c r="A40" s="8" t="s">
        <v>34</v>
      </c>
      <c r="B40" s="14" t="s">
        <v>35</v>
      </c>
      <c r="C40" s="19">
        <v>2E-3</v>
      </c>
      <c r="D40" s="20">
        <f t="shared" si="1"/>
        <v>6.4756248564000005</v>
      </c>
      <c r="E40" s="19">
        <v>2E-3</v>
      </c>
      <c r="F40" s="205">
        <f t="shared" si="2"/>
        <v>7.1231844330000005</v>
      </c>
      <c r="G40" s="19">
        <v>2E-3</v>
      </c>
      <c r="H40" s="20">
        <f t="shared" si="3"/>
        <v>7.1231844330000005</v>
      </c>
    </row>
    <row r="41" spans="1:8" x14ac:dyDescent="0.2">
      <c r="A41" s="8" t="s">
        <v>36</v>
      </c>
      <c r="B41" s="14" t="s">
        <v>37</v>
      </c>
      <c r="C41" s="19">
        <v>0.08</v>
      </c>
      <c r="D41" s="20">
        <f>C41*($D$19+$D$27)</f>
        <v>259.02499425600001</v>
      </c>
      <c r="E41" s="19">
        <v>0.08</v>
      </c>
      <c r="F41" s="205">
        <f t="shared" si="2"/>
        <v>284.92737732000001</v>
      </c>
      <c r="G41" s="19">
        <v>0.08</v>
      </c>
      <c r="H41" s="20">
        <f t="shared" si="3"/>
        <v>284.92737732000001</v>
      </c>
    </row>
    <row r="42" spans="1:8" x14ac:dyDescent="0.2">
      <c r="A42" s="471" t="s">
        <v>17</v>
      </c>
      <c r="B42" s="472"/>
      <c r="C42" s="21">
        <f t="shared" ref="C42:H42" si="4">SUM(C34:C41)</f>
        <v>0.1719</v>
      </c>
      <c r="D42" s="22">
        <f t="shared" si="4"/>
        <v>556.57995640757997</v>
      </c>
      <c r="E42" s="288">
        <f t="shared" si="4"/>
        <v>0.15300000000000002</v>
      </c>
      <c r="F42" s="289">
        <f t="shared" si="4"/>
        <v>544.92360912449999</v>
      </c>
      <c r="G42" s="21">
        <f t="shared" si="4"/>
        <v>0.15300000000000002</v>
      </c>
      <c r="H42" s="22">
        <f t="shared" si="4"/>
        <v>544.92360912449999</v>
      </c>
    </row>
    <row r="43" spans="1:8" x14ac:dyDescent="0.2">
      <c r="A43" s="464" t="s">
        <v>104</v>
      </c>
      <c r="B43" s="464"/>
      <c r="C43" s="464"/>
      <c r="D43" s="464"/>
      <c r="E43" s="233"/>
    </row>
    <row r="44" spans="1:8" x14ac:dyDescent="0.2">
      <c r="A44" s="464" t="s">
        <v>102</v>
      </c>
      <c r="B44" s="464"/>
      <c r="C44" s="464"/>
      <c r="D44" s="464"/>
      <c r="E44" s="233"/>
    </row>
    <row r="45" spans="1:8" x14ac:dyDescent="0.2">
      <c r="A45" s="464" t="s">
        <v>103</v>
      </c>
      <c r="B45" s="464"/>
      <c r="C45" s="464"/>
      <c r="D45" s="464"/>
      <c r="E45" s="233"/>
    </row>
    <row r="46" spans="1:8" x14ac:dyDescent="0.2">
      <c r="A46" s="464" t="s">
        <v>108</v>
      </c>
      <c r="B46" s="464"/>
      <c r="C46" s="464"/>
      <c r="D46" s="464"/>
      <c r="E46" s="233"/>
    </row>
    <row r="47" spans="1:8" x14ac:dyDescent="0.2">
      <c r="A47" s="464" t="s">
        <v>113</v>
      </c>
      <c r="B47" s="464"/>
      <c r="C47" s="464"/>
      <c r="D47" s="464"/>
      <c r="E47" s="233"/>
    </row>
    <row r="49" spans="1:8" x14ac:dyDescent="0.2">
      <c r="A49" s="470" t="s">
        <v>38</v>
      </c>
      <c r="B49" s="470"/>
      <c r="C49" s="470"/>
      <c r="D49" s="470"/>
      <c r="E49" s="235"/>
    </row>
    <row r="50" spans="1:8" x14ac:dyDescent="0.2">
      <c r="A50" s="41" t="s">
        <v>39</v>
      </c>
      <c r="B50" s="43" t="s">
        <v>40</v>
      </c>
      <c r="C50" s="41" t="s">
        <v>89</v>
      </c>
      <c r="D50" s="43" t="s">
        <v>5</v>
      </c>
      <c r="E50" s="242"/>
      <c r="F50" s="219" t="s">
        <v>5</v>
      </c>
      <c r="H50" s="219" t="s">
        <v>5</v>
      </c>
    </row>
    <row r="51" spans="1:8" x14ac:dyDescent="0.2">
      <c r="A51" s="8" t="s">
        <v>6</v>
      </c>
      <c r="B51" s="14" t="s">
        <v>135</v>
      </c>
      <c r="C51" s="24">
        <v>22</v>
      </c>
      <c r="D51" s="16">
        <f>(18.6*C51)-0.06*D13</f>
        <v>264.38100000000009</v>
      </c>
      <c r="E51" s="245"/>
      <c r="F51" s="203">
        <f>(18.6*$C51)-0.06*F$13</f>
        <v>249.89910000000003</v>
      </c>
      <c r="H51" s="16">
        <f>(18.6*$C51)-0.06*H$13</f>
        <v>249.89910000000003</v>
      </c>
    </row>
    <row r="52" spans="1:8" x14ac:dyDescent="0.2">
      <c r="A52" s="8" t="s">
        <v>8</v>
      </c>
      <c r="B52" s="14" t="s">
        <v>456</v>
      </c>
      <c r="C52" s="24">
        <v>22</v>
      </c>
      <c r="D52" s="16">
        <f>35*C52</f>
        <v>770</v>
      </c>
      <c r="E52" s="245"/>
      <c r="F52" s="203">
        <f>38*$C52</f>
        <v>836</v>
      </c>
      <c r="H52" s="16">
        <f>38*$C52</f>
        <v>836</v>
      </c>
    </row>
    <row r="53" spans="1:8" x14ac:dyDescent="0.2">
      <c r="A53" s="8" t="s">
        <v>9</v>
      </c>
      <c r="B53" s="14" t="s">
        <v>42</v>
      </c>
      <c r="C53" s="24"/>
      <c r="D53" s="16">
        <v>160.07</v>
      </c>
      <c r="E53" s="245"/>
      <c r="F53" s="203">
        <v>169.67</v>
      </c>
      <c r="H53" s="16">
        <v>169.67</v>
      </c>
    </row>
    <row r="54" spans="1:8" x14ac:dyDescent="0.2">
      <c r="A54" s="8" t="s">
        <v>11</v>
      </c>
      <c r="B54" s="14" t="s">
        <v>90</v>
      </c>
      <c r="C54" s="24"/>
      <c r="D54" s="16">
        <v>10.63</v>
      </c>
      <c r="E54" s="245"/>
      <c r="F54" s="203">
        <v>11.27</v>
      </c>
      <c r="H54" s="16">
        <v>11.27</v>
      </c>
    </row>
    <row r="55" spans="1:8" x14ac:dyDescent="0.2">
      <c r="A55" s="8" t="s">
        <v>13</v>
      </c>
      <c r="B55" s="14" t="s">
        <v>453</v>
      </c>
      <c r="C55" s="24"/>
      <c r="D55" s="16">
        <v>2.2999999999999998</v>
      </c>
      <c r="E55" s="245"/>
      <c r="F55" s="203">
        <v>2.5</v>
      </c>
      <c r="H55" s="16">
        <v>2.5</v>
      </c>
    </row>
    <row r="56" spans="1:8" x14ac:dyDescent="0.2">
      <c r="A56" s="463" t="s">
        <v>17</v>
      </c>
      <c r="B56" s="463"/>
      <c r="C56" s="463"/>
      <c r="D56" s="18">
        <f>SUM(D51:D55)</f>
        <v>1207.3810000000001</v>
      </c>
      <c r="E56" s="246"/>
      <c r="F56" s="206">
        <f>SUM(F51:F55)</f>
        <v>1269.3391000000001</v>
      </c>
      <c r="H56" s="25">
        <f>SUM(H51:H55)</f>
        <v>1269.3391000000001</v>
      </c>
    </row>
    <row r="57" spans="1:8" x14ac:dyDescent="0.2">
      <c r="A57" s="464" t="s">
        <v>45</v>
      </c>
      <c r="B57" s="464"/>
      <c r="C57" s="464"/>
      <c r="D57" s="464"/>
      <c r="E57" s="233"/>
    </row>
    <row r="58" spans="1:8" x14ac:dyDescent="0.2">
      <c r="A58" s="464" t="s">
        <v>105</v>
      </c>
      <c r="B58" s="464"/>
      <c r="C58" s="464"/>
      <c r="D58" s="464"/>
      <c r="E58" s="233"/>
    </row>
    <row r="60" spans="1:8" x14ac:dyDescent="0.2">
      <c r="A60" s="415" t="s">
        <v>43</v>
      </c>
      <c r="B60" s="415"/>
      <c r="C60" s="415"/>
      <c r="D60" s="415"/>
      <c r="E60" s="231"/>
    </row>
    <row r="61" spans="1:8" x14ac:dyDescent="0.2">
      <c r="A61" s="42">
        <v>2</v>
      </c>
      <c r="B61" s="430" t="s">
        <v>44</v>
      </c>
      <c r="C61" s="430"/>
      <c r="D61" s="42" t="s">
        <v>5</v>
      </c>
      <c r="E61" s="242"/>
      <c r="F61" s="218" t="s">
        <v>5</v>
      </c>
      <c r="H61" s="218" t="s">
        <v>5</v>
      </c>
    </row>
    <row r="62" spans="1:8" x14ac:dyDescent="0.2">
      <c r="A62" s="26" t="s">
        <v>20</v>
      </c>
      <c r="B62" s="438" t="s">
        <v>21</v>
      </c>
      <c r="C62" s="438"/>
      <c r="D62" s="16">
        <f>D27</f>
        <v>566.57042820000004</v>
      </c>
      <c r="E62" s="245"/>
      <c r="F62" s="203">
        <f>F27</f>
        <v>623.22721650000005</v>
      </c>
      <c r="H62" s="16">
        <f>H27</f>
        <v>623.22721650000005</v>
      </c>
    </row>
    <row r="63" spans="1:8" x14ac:dyDescent="0.2">
      <c r="A63" s="26" t="s">
        <v>26</v>
      </c>
      <c r="B63" s="414" t="s">
        <v>27</v>
      </c>
      <c r="C63" s="414"/>
      <c r="D63" s="16">
        <f>D42</f>
        <v>556.57995640757997</v>
      </c>
      <c r="E63" s="245"/>
      <c r="F63" s="203">
        <f>F42</f>
        <v>544.92360912449999</v>
      </c>
      <c r="H63" s="16">
        <f>H42</f>
        <v>544.92360912449999</v>
      </c>
    </row>
    <row r="64" spans="1:8" x14ac:dyDescent="0.2">
      <c r="A64" s="26" t="s">
        <v>39</v>
      </c>
      <c r="B64" s="414" t="s">
        <v>40</v>
      </c>
      <c r="C64" s="414"/>
      <c r="D64" s="16">
        <f>D56</f>
        <v>1207.3810000000001</v>
      </c>
      <c r="E64" s="245"/>
      <c r="F64" s="203">
        <f>F56</f>
        <v>1269.3391000000001</v>
      </c>
      <c r="H64" s="16">
        <f>H56</f>
        <v>1269.3391000000001</v>
      </c>
    </row>
    <row r="65" spans="1:8" x14ac:dyDescent="0.2">
      <c r="A65" s="471" t="s">
        <v>17</v>
      </c>
      <c r="B65" s="475"/>
      <c r="C65" s="472"/>
      <c r="D65" s="18">
        <f>SUM(D62:D64)</f>
        <v>2330.5313846075801</v>
      </c>
      <c r="E65" s="246"/>
      <c r="F65" s="204">
        <f>SUM(F62:F64)</f>
        <v>2437.4899256245003</v>
      </c>
      <c r="H65" s="18">
        <f>SUM(H62:H64)</f>
        <v>2437.4899256245003</v>
      </c>
    </row>
    <row r="67" spans="1:8" x14ac:dyDescent="0.2">
      <c r="A67" s="415" t="s">
        <v>76</v>
      </c>
      <c r="B67" s="415"/>
      <c r="C67" s="415"/>
      <c r="D67" s="415"/>
      <c r="E67" s="231"/>
    </row>
    <row r="68" spans="1:8" x14ac:dyDescent="0.2">
      <c r="A68" s="42">
        <v>3</v>
      </c>
      <c r="B68" s="42" t="s">
        <v>46</v>
      </c>
      <c r="C68" s="42" t="s">
        <v>28</v>
      </c>
      <c r="D68" s="42" t="s">
        <v>5</v>
      </c>
      <c r="E68" s="218" t="s">
        <v>28</v>
      </c>
      <c r="F68" s="232" t="s">
        <v>5</v>
      </c>
      <c r="G68" s="232" t="s">
        <v>28</v>
      </c>
      <c r="H68" s="232" t="s">
        <v>5</v>
      </c>
    </row>
    <row r="69" spans="1:8" x14ac:dyDescent="0.2">
      <c r="A69" s="26" t="s">
        <v>6</v>
      </c>
      <c r="B69" s="5" t="s">
        <v>47</v>
      </c>
      <c r="C69" s="19">
        <v>4.1999999999999997E-3</v>
      </c>
      <c r="D69" s="20">
        <f t="shared" ref="D69:D74" si="5">C69*($D$19+$D$27)</f>
        <v>13.598812198440001</v>
      </c>
      <c r="E69" s="28">
        <v>4.1999999999999997E-3</v>
      </c>
      <c r="F69" s="257">
        <f t="shared" ref="F69:F75" si="6">$E69*(F$19+F$27)</f>
        <v>14.9586873093</v>
      </c>
      <c r="G69" s="28">
        <v>4.1999999999999997E-3</v>
      </c>
      <c r="H69" s="9">
        <f t="shared" ref="H69:H75" si="7">$G69*(H$19+H$27)</f>
        <v>14.9586873093</v>
      </c>
    </row>
    <row r="70" spans="1:8" x14ac:dyDescent="0.2">
      <c r="A70" s="26" t="s">
        <v>8</v>
      </c>
      <c r="B70" s="5" t="s">
        <v>48</v>
      </c>
      <c r="C70" s="19">
        <v>2.9999999999999997E-4</v>
      </c>
      <c r="D70" s="20">
        <f t="shared" si="5"/>
        <v>0.97134372846000006</v>
      </c>
      <c r="E70" s="28">
        <v>2.9999999999999997E-4</v>
      </c>
      <c r="F70" s="257">
        <f t="shared" si="6"/>
        <v>1.0684776649499999</v>
      </c>
      <c r="G70" s="28">
        <v>2.9999999999999997E-4</v>
      </c>
      <c r="H70" s="9">
        <f t="shared" si="7"/>
        <v>1.0684776649499999</v>
      </c>
    </row>
    <row r="71" spans="1:8" ht="25.5" x14ac:dyDescent="0.2">
      <c r="A71" s="26" t="s">
        <v>9</v>
      </c>
      <c r="B71" s="5" t="s">
        <v>49</v>
      </c>
      <c r="C71" s="27">
        <v>9.9999999999999995E-7</v>
      </c>
      <c r="D71" s="20">
        <f t="shared" si="5"/>
        <v>3.2378124282000003E-3</v>
      </c>
      <c r="E71" s="351">
        <v>9.9999999999999995E-7</v>
      </c>
      <c r="F71" s="260">
        <f t="shared" si="6"/>
        <v>3.5615922164999999E-3</v>
      </c>
      <c r="G71" s="351">
        <v>9.9999999999999995E-7</v>
      </c>
      <c r="H71" s="258">
        <f t="shared" si="7"/>
        <v>3.5615922164999999E-3</v>
      </c>
    </row>
    <row r="72" spans="1:8" x14ac:dyDescent="0.2">
      <c r="A72" s="26" t="s">
        <v>11</v>
      </c>
      <c r="B72" s="5" t="s">
        <v>50</v>
      </c>
      <c r="C72" s="28">
        <v>1.9400000000000001E-2</v>
      </c>
      <c r="D72" s="29">
        <f>C72*($D$19+$D$27)</f>
        <v>62.813561107080005</v>
      </c>
      <c r="E72" s="348">
        <v>1.9400000000000001E-2</v>
      </c>
      <c r="F72" s="260">
        <f t="shared" si="6"/>
        <v>69.094889000100011</v>
      </c>
      <c r="G72" s="347">
        <v>1.9400000000000001E-3</v>
      </c>
      <c r="H72" s="260">
        <f t="shared" si="7"/>
        <v>6.9094889000100004</v>
      </c>
    </row>
    <row r="73" spans="1:8" ht="25.5" x14ac:dyDescent="0.2">
      <c r="A73" s="26" t="s">
        <v>13</v>
      </c>
      <c r="B73" s="5" t="s">
        <v>51</v>
      </c>
      <c r="C73" s="19">
        <v>7.1000000000000004E-3</v>
      </c>
      <c r="D73" s="20">
        <f>C73*($D$19+$D$27)</f>
        <v>22.988468240220005</v>
      </c>
      <c r="E73" s="28">
        <v>7.1000000000000004E-3</v>
      </c>
      <c r="F73" s="257">
        <f t="shared" si="6"/>
        <v>25.287304737150002</v>
      </c>
      <c r="G73" s="28">
        <v>7.1000000000000004E-3</v>
      </c>
      <c r="H73" s="258">
        <f t="shared" si="7"/>
        <v>25.287304737150002</v>
      </c>
    </row>
    <row r="74" spans="1:8" ht="25.5" x14ac:dyDescent="0.2">
      <c r="A74" s="26" t="s">
        <v>15</v>
      </c>
      <c r="B74" s="5" t="s">
        <v>52</v>
      </c>
      <c r="C74" s="19">
        <v>1E-4</v>
      </c>
      <c r="D74" s="20">
        <f t="shared" si="5"/>
        <v>0.32378124282000004</v>
      </c>
      <c r="E74" s="28">
        <v>1E-4</v>
      </c>
      <c r="F74" s="257">
        <f t="shared" si="6"/>
        <v>0.35615922165000002</v>
      </c>
      <c r="G74" s="28">
        <v>1E-4</v>
      </c>
      <c r="H74" s="258">
        <f t="shared" si="7"/>
        <v>0.35615922165000002</v>
      </c>
    </row>
    <row r="75" spans="1:8" x14ac:dyDescent="0.2">
      <c r="A75" s="30" t="s">
        <v>34</v>
      </c>
      <c r="B75" s="31" t="s">
        <v>128</v>
      </c>
      <c r="C75" s="19">
        <v>3.49E-2</v>
      </c>
      <c r="D75" s="20">
        <f>C75*($D$19+$D$27)</f>
        <v>112.99965374418001</v>
      </c>
      <c r="E75" s="28">
        <v>3.49E-2</v>
      </c>
      <c r="F75" s="257">
        <f t="shared" si="6"/>
        <v>124.29956835585001</v>
      </c>
      <c r="G75" s="28">
        <v>3.49E-2</v>
      </c>
      <c r="H75" s="258">
        <f t="shared" si="7"/>
        <v>124.29956835585001</v>
      </c>
    </row>
    <row r="76" spans="1:8" x14ac:dyDescent="0.2">
      <c r="A76" s="471" t="s">
        <v>17</v>
      </c>
      <c r="B76" s="472"/>
      <c r="C76" s="17">
        <f t="shared" ref="C76:H76" si="8">SUM(C69:C75)</f>
        <v>6.6001000000000004E-2</v>
      </c>
      <c r="D76" s="18">
        <f t="shared" si="8"/>
        <v>213.69885807362823</v>
      </c>
      <c r="E76" s="350">
        <f t="shared" si="8"/>
        <v>6.6001000000000004E-2</v>
      </c>
      <c r="F76" s="202">
        <f t="shared" si="8"/>
        <v>235.06864788121652</v>
      </c>
      <c r="G76" s="350">
        <f t="shared" si="8"/>
        <v>4.8541000000000001E-2</v>
      </c>
      <c r="H76" s="202">
        <f t="shared" si="8"/>
        <v>172.8832477811265</v>
      </c>
    </row>
    <row r="77" spans="1:8" x14ac:dyDescent="0.2">
      <c r="A77" s="464" t="s">
        <v>106</v>
      </c>
      <c r="B77" s="464"/>
      <c r="C77" s="464"/>
      <c r="D77" s="464"/>
      <c r="E77" s="233"/>
    </row>
    <row r="78" spans="1:8" x14ac:dyDescent="0.2">
      <c r="A78" s="464" t="s">
        <v>114</v>
      </c>
      <c r="B78" s="464"/>
      <c r="C78" s="464"/>
      <c r="D78" s="464"/>
      <c r="E78" s="233"/>
    </row>
    <row r="80" spans="1:8" x14ac:dyDescent="0.2">
      <c r="A80" s="415" t="s">
        <v>53</v>
      </c>
      <c r="B80" s="415"/>
      <c r="C80" s="415"/>
      <c r="D80" s="415"/>
      <c r="E80" s="231"/>
    </row>
    <row r="81" spans="1:8" x14ac:dyDescent="0.2">
      <c r="A81" s="474" t="s">
        <v>107</v>
      </c>
      <c r="B81" s="474"/>
      <c r="C81" s="474"/>
      <c r="D81" s="474"/>
      <c r="E81" s="233"/>
    </row>
    <row r="83" spans="1:8" x14ac:dyDescent="0.2">
      <c r="A83" s="470" t="s">
        <v>109</v>
      </c>
      <c r="B83" s="470"/>
      <c r="C83" s="470"/>
      <c r="D83" s="470"/>
      <c r="E83" s="235"/>
    </row>
    <row r="84" spans="1:8" x14ac:dyDescent="0.2">
      <c r="A84" s="41" t="s">
        <v>54</v>
      </c>
      <c r="B84" s="43" t="s">
        <v>55</v>
      </c>
      <c r="C84" s="43" t="s">
        <v>28</v>
      </c>
      <c r="D84" s="43" t="s">
        <v>5</v>
      </c>
      <c r="E84" s="219" t="s">
        <v>28</v>
      </c>
      <c r="F84" s="219" t="s">
        <v>5</v>
      </c>
      <c r="G84" s="219" t="s">
        <v>28</v>
      </c>
      <c r="H84" s="219" t="s">
        <v>5</v>
      </c>
    </row>
    <row r="85" spans="1:8" x14ac:dyDescent="0.2">
      <c r="A85" s="26" t="s">
        <v>6</v>
      </c>
      <c r="B85" s="5" t="s">
        <v>56</v>
      </c>
      <c r="C85" s="19">
        <v>7.6E-3</v>
      </c>
      <c r="D85" s="20">
        <f t="shared" ref="D85:D90" si="9">C85*($D$19+$D$27)</f>
        <v>24.607374454320002</v>
      </c>
      <c r="E85" s="19">
        <v>7.6E-3</v>
      </c>
      <c r="F85" s="205">
        <f>E85*(F$19+F$27)</f>
        <v>27.0681008454</v>
      </c>
      <c r="G85" s="19">
        <v>7.6E-3</v>
      </c>
      <c r="H85" s="20">
        <f t="shared" ref="H85:H90" si="10">$G85*(H$19+H$27)</f>
        <v>27.0681008454</v>
      </c>
    </row>
    <row r="86" spans="1:8" x14ac:dyDescent="0.2">
      <c r="A86" s="26" t="s">
        <v>8</v>
      </c>
      <c r="B86" s="5" t="s">
        <v>57</v>
      </c>
      <c r="C86" s="19">
        <v>8.2000000000000007E-3</v>
      </c>
      <c r="D86" s="20">
        <f t="shared" si="9"/>
        <v>26.550061911240004</v>
      </c>
      <c r="E86" s="19">
        <v>8.2000000000000007E-3</v>
      </c>
      <c r="F86" s="205">
        <f t="shared" ref="F86:F90" si="11">E86*(F$19+F$27)</f>
        <v>29.205056175300005</v>
      </c>
      <c r="G86" s="19">
        <v>8.2000000000000007E-3</v>
      </c>
      <c r="H86" s="20">
        <f t="shared" si="10"/>
        <v>29.205056175300005</v>
      </c>
    </row>
    <row r="87" spans="1:8" x14ac:dyDescent="0.2">
      <c r="A87" s="26" t="s">
        <v>9</v>
      </c>
      <c r="B87" s="5" t="s">
        <v>58</v>
      </c>
      <c r="C87" s="19">
        <v>2.0000000000000001E-4</v>
      </c>
      <c r="D87" s="20">
        <f t="shared" si="9"/>
        <v>0.64756248564000007</v>
      </c>
      <c r="E87" s="19">
        <v>2.0000000000000001E-4</v>
      </c>
      <c r="F87" s="205">
        <f t="shared" si="11"/>
        <v>0.71231844330000005</v>
      </c>
      <c r="G87" s="19">
        <v>2.0000000000000001E-4</v>
      </c>
      <c r="H87" s="20">
        <f t="shared" si="10"/>
        <v>0.71231844330000005</v>
      </c>
    </row>
    <row r="88" spans="1:8" ht="25.5" x14ac:dyDescent="0.2">
      <c r="A88" s="26" t="s">
        <v>11</v>
      </c>
      <c r="B88" s="5" t="s">
        <v>59</v>
      </c>
      <c r="C88" s="19">
        <v>2.9999999999999997E-4</v>
      </c>
      <c r="D88" s="20">
        <f t="shared" si="9"/>
        <v>0.97134372846000006</v>
      </c>
      <c r="E88" s="19">
        <v>2.9999999999999997E-4</v>
      </c>
      <c r="F88" s="205">
        <f t="shared" si="11"/>
        <v>1.0684776649499999</v>
      </c>
      <c r="G88" s="19">
        <v>2.9999999999999997E-4</v>
      </c>
      <c r="H88" s="20">
        <f t="shared" si="10"/>
        <v>1.0684776649499999</v>
      </c>
    </row>
    <row r="89" spans="1:8" x14ac:dyDescent="0.2">
      <c r="A89" s="26" t="s">
        <v>13</v>
      </c>
      <c r="B89" s="5" t="s">
        <v>60</v>
      </c>
      <c r="C89" s="19">
        <v>2.8999999999999998E-3</v>
      </c>
      <c r="D89" s="20">
        <f t="shared" si="9"/>
        <v>9.3896560417800004</v>
      </c>
      <c r="E89" s="19">
        <v>2.8999999999999998E-3</v>
      </c>
      <c r="F89" s="205">
        <f t="shared" si="11"/>
        <v>10.32861742785</v>
      </c>
      <c r="G89" s="19">
        <v>2.8999999999999998E-3</v>
      </c>
      <c r="H89" s="20">
        <f t="shared" si="10"/>
        <v>10.32861742785</v>
      </c>
    </row>
    <row r="90" spans="1:8" ht="25.5" x14ac:dyDescent="0.2">
      <c r="A90" s="26" t="s">
        <v>15</v>
      </c>
      <c r="B90" s="5" t="s">
        <v>134</v>
      </c>
      <c r="C90" s="19">
        <v>1.66E-2</v>
      </c>
      <c r="D90" s="20">
        <f t="shared" si="9"/>
        <v>53.747686308120009</v>
      </c>
      <c r="E90" s="19">
        <v>1.66E-2</v>
      </c>
      <c r="F90" s="205">
        <f t="shared" si="11"/>
        <v>59.122430793900001</v>
      </c>
      <c r="G90" s="19">
        <v>1.66E-2</v>
      </c>
      <c r="H90" s="20">
        <f t="shared" si="10"/>
        <v>59.122430793900001</v>
      </c>
    </row>
    <row r="91" spans="1:8" x14ac:dyDescent="0.2">
      <c r="A91" s="471" t="s">
        <v>17</v>
      </c>
      <c r="B91" s="472"/>
      <c r="C91" s="17">
        <f t="shared" ref="C91:H91" si="12">SUM(C85:C90)</f>
        <v>3.5799999999999998E-2</v>
      </c>
      <c r="D91" s="18">
        <f t="shared" si="12"/>
        <v>115.91368492956002</v>
      </c>
      <c r="E91" s="17">
        <f t="shared" si="12"/>
        <v>3.5799999999999998E-2</v>
      </c>
      <c r="F91" s="207">
        <f t="shared" si="12"/>
        <v>127.50500135070001</v>
      </c>
      <c r="G91" s="17">
        <f t="shared" si="12"/>
        <v>3.5799999999999998E-2</v>
      </c>
      <c r="H91" s="137">
        <f t="shared" si="12"/>
        <v>127.50500135070001</v>
      </c>
    </row>
    <row r="92" spans="1:8" x14ac:dyDescent="0.2">
      <c r="A92" s="464" t="s">
        <v>115</v>
      </c>
      <c r="B92" s="464"/>
      <c r="C92" s="464"/>
      <c r="D92" s="464"/>
      <c r="E92" s="233"/>
    </row>
    <row r="94" spans="1:8" x14ac:dyDescent="0.2">
      <c r="A94" s="473" t="s">
        <v>110</v>
      </c>
      <c r="B94" s="473"/>
      <c r="C94" s="473"/>
      <c r="D94" s="473"/>
      <c r="E94" s="234"/>
    </row>
    <row r="95" spans="1:8" x14ac:dyDescent="0.2">
      <c r="A95" s="41" t="s">
        <v>61</v>
      </c>
      <c r="B95" s="43" t="s">
        <v>62</v>
      </c>
      <c r="C95" s="43" t="s">
        <v>5</v>
      </c>
      <c r="D95" s="41"/>
      <c r="E95" s="234"/>
      <c r="F95" s="234"/>
      <c r="G95" s="247"/>
      <c r="H95" s="234"/>
    </row>
    <row r="96" spans="1:8" ht="25.5" x14ac:dyDescent="0.2">
      <c r="A96" s="26" t="s">
        <v>6</v>
      </c>
      <c r="B96" s="5" t="s">
        <v>63</v>
      </c>
      <c r="C96" s="32"/>
      <c r="D96" s="33"/>
      <c r="E96" s="247"/>
      <c r="F96" s="247"/>
      <c r="G96" s="247"/>
      <c r="H96" s="247"/>
    </row>
    <row r="97" spans="1:8" x14ac:dyDescent="0.2">
      <c r="A97" s="466" t="s">
        <v>17</v>
      </c>
      <c r="B97" s="468"/>
      <c r="C97" s="16">
        <f>SUM(C96)</f>
        <v>0</v>
      </c>
      <c r="D97" s="33"/>
      <c r="E97" s="247"/>
      <c r="F97" s="247"/>
      <c r="G97" s="247"/>
      <c r="H97" s="247"/>
    </row>
    <row r="99" spans="1:8" x14ac:dyDescent="0.2">
      <c r="A99" s="415" t="s">
        <v>111</v>
      </c>
      <c r="B99" s="415"/>
      <c r="C99" s="415"/>
      <c r="D99" s="415"/>
      <c r="E99" s="231"/>
    </row>
    <row r="100" spans="1:8" x14ac:dyDescent="0.2">
      <c r="A100" s="40">
        <v>4</v>
      </c>
      <c r="B100" s="430" t="s">
        <v>64</v>
      </c>
      <c r="C100" s="430"/>
      <c r="D100" s="42" t="s">
        <v>5</v>
      </c>
      <c r="E100" s="242"/>
      <c r="F100" s="218" t="s">
        <v>5</v>
      </c>
      <c r="H100" s="218" t="s">
        <v>5</v>
      </c>
    </row>
    <row r="101" spans="1:8" x14ac:dyDescent="0.2">
      <c r="A101" s="8" t="s">
        <v>54</v>
      </c>
      <c r="B101" s="414" t="s">
        <v>55</v>
      </c>
      <c r="C101" s="414"/>
      <c r="D101" s="16">
        <f>D91</f>
        <v>115.91368492956002</v>
      </c>
      <c r="E101" s="245"/>
      <c r="F101" s="16">
        <f>F91</f>
        <v>127.50500135070001</v>
      </c>
      <c r="H101" s="16">
        <f>H91</f>
        <v>127.50500135070001</v>
      </c>
    </row>
    <row r="102" spans="1:8" x14ac:dyDescent="0.2">
      <c r="A102" s="8" t="s">
        <v>61</v>
      </c>
      <c r="B102" s="14" t="s">
        <v>65</v>
      </c>
      <c r="C102" s="14"/>
      <c r="D102" s="32">
        <f>C97</f>
        <v>0</v>
      </c>
      <c r="E102" s="245"/>
      <c r="F102" s="32">
        <f>D97</f>
        <v>0</v>
      </c>
      <c r="H102" s="32">
        <f>G97</f>
        <v>0</v>
      </c>
    </row>
    <row r="103" spans="1:8" x14ac:dyDescent="0.2">
      <c r="A103" s="463" t="s">
        <v>17</v>
      </c>
      <c r="B103" s="463"/>
      <c r="C103" s="463"/>
      <c r="D103" s="18">
        <f>SUM(D101:D102)</f>
        <v>115.91368492956002</v>
      </c>
      <c r="E103" s="246"/>
      <c r="F103" s="18">
        <f>SUM(F101:F102)</f>
        <v>127.50500135070001</v>
      </c>
      <c r="H103" s="18">
        <f>SUM(H101:H102)</f>
        <v>127.50500135070001</v>
      </c>
    </row>
    <row r="104" spans="1:8" x14ac:dyDescent="0.2">
      <c r="E104" s="247"/>
    </row>
    <row r="105" spans="1:8" x14ac:dyDescent="0.2">
      <c r="A105" s="415" t="s">
        <v>66</v>
      </c>
      <c r="B105" s="415"/>
      <c r="C105" s="415"/>
      <c r="D105" s="415"/>
      <c r="E105" s="248"/>
    </row>
    <row r="106" spans="1:8" x14ac:dyDescent="0.2">
      <c r="A106" s="41">
        <v>5</v>
      </c>
      <c r="B106" s="437" t="s">
        <v>67</v>
      </c>
      <c r="C106" s="437"/>
      <c r="D106" s="43" t="s">
        <v>5</v>
      </c>
      <c r="E106" s="242"/>
      <c r="F106" s="219" t="s">
        <v>5</v>
      </c>
      <c r="H106" s="219" t="s">
        <v>5</v>
      </c>
    </row>
    <row r="107" spans="1:8" x14ac:dyDescent="0.2">
      <c r="A107" s="8" t="s">
        <v>6</v>
      </c>
      <c r="B107" s="414" t="s">
        <v>68</v>
      </c>
      <c r="C107" s="414"/>
      <c r="D107" s="107">
        <f>'TABELA 4 Uniformes e EPIS'!$E29</f>
        <v>61.65</v>
      </c>
      <c r="E107" s="249"/>
      <c r="F107" s="107">
        <f>'TABELA 4 Uniformes e EPIS'!$E29</f>
        <v>61.65</v>
      </c>
      <c r="H107" s="107">
        <f>'TABELA 4 Uniformes e EPIS'!$E29</f>
        <v>61.65</v>
      </c>
    </row>
    <row r="108" spans="1:8" x14ac:dyDescent="0.2">
      <c r="A108" s="8" t="s">
        <v>8</v>
      </c>
      <c r="B108" s="414" t="s">
        <v>386</v>
      </c>
      <c r="C108" s="414"/>
      <c r="D108" s="107">
        <f>'TABELA 4 Uniformes e EPIS'!$E48+'TABELA 4 Uniformes e EPIS'!$E96+'TABELA 5 - Ferramentas'!$I145</f>
        <v>149.64880434782606</v>
      </c>
      <c r="E108" s="249"/>
      <c r="F108" s="107">
        <f>'TABELA 4 Uniformes e EPIS'!$E48+'TABELA 4 Uniformes e EPIS'!$E96+'TABELA 5 - Ferramentas'!$I145</f>
        <v>149.64880434782606</v>
      </c>
      <c r="H108" s="107">
        <f>'TABELA 4 Uniformes e EPIS'!$E48+'TABELA 4 Uniformes e EPIS'!$E96+'TABELA 5 - Ferramentas'!$I145</f>
        <v>149.64880434782606</v>
      </c>
    </row>
    <row r="109" spans="1:8" x14ac:dyDescent="0.2">
      <c r="A109" s="8" t="s">
        <v>9</v>
      </c>
      <c r="B109" s="414" t="s">
        <v>69</v>
      </c>
      <c r="C109" s="414"/>
      <c r="D109" s="16">
        <v>0</v>
      </c>
      <c r="E109" s="245"/>
      <c r="F109" s="16">
        <v>0</v>
      </c>
      <c r="H109" s="16">
        <v>0</v>
      </c>
    </row>
    <row r="110" spans="1:8" x14ac:dyDescent="0.2">
      <c r="A110" s="8" t="s">
        <v>11</v>
      </c>
      <c r="B110" s="414" t="s">
        <v>16</v>
      </c>
      <c r="C110" s="414"/>
      <c r="D110" s="16">
        <v>0</v>
      </c>
      <c r="E110" s="245"/>
      <c r="F110" s="16">
        <v>0</v>
      </c>
      <c r="H110" s="16">
        <v>0</v>
      </c>
    </row>
    <row r="111" spans="1:8" x14ac:dyDescent="0.2">
      <c r="A111" s="463" t="s">
        <v>17</v>
      </c>
      <c r="B111" s="463"/>
      <c r="C111" s="463"/>
      <c r="D111" s="18">
        <f>SUM(D107:D110)</f>
        <v>211.29880434782606</v>
      </c>
      <c r="E111" s="250"/>
      <c r="F111" s="18">
        <f>SUM(F107:F110)</f>
        <v>211.29880434782606</v>
      </c>
      <c r="H111" s="18">
        <f>SUM(H107:H110)</f>
        <v>211.29880434782606</v>
      </c>
    </row>
    <row r="112" spans="1:8" x14ac:dyDescent="0.2">
      <c r="A112" s="464" t="s">
        <v>78</v>
      </c>
      <c r="B112" s="464"/>
      <c r="C112" s="464"/>
      <c r="D112" s="464"/>
      <c r="E112" s="233"/>
    </row>
    <row r="114" spans="1:8" x14ac:dyDescent="0.2">
      <c r="A114" s="415" t="s">
        <v>70</v>
      </c>
      <c r="B114" s="415"/>
      <c r="C114" s="415"/>
      <c r="D114" s="415"/>
      <c r="E114" s="231"/>
    </row>
    <row r="115" spans="1:8" ht="12.75" customHeight="1" x14ac:dyDescent="0.2">
      <c r="A115" s="469" t="s">
        <v>116</v>
      </c>
      <c r="B115" s="469"/>
      <c r="C115" s="460" t="s">
        <v>117</v>
      </c>
      <c r="D115" s="460"/>
      <c r="E115" s="461" t="s">
        <v>117</v>
      </c>
      <c r="F115" s="462"/>
      <c r="G115" s="460" t="s">
        <v>117</v>
      </c>
      <c r="H115" s="460"/>
    </row>
    <row r="116" spans="1:8" x14ac:dyDescent="0.2">
      <c r="A116" s="40">
        <v>6</v>
      </c>
      <c r="B116" s="42" t="s">
        <v>71</v>
      </c>
      <c r="C116" s="42" t="s">
        <v>28</v>
      </c>
      <c r="D116" s="40" t="s">
        <v>5</v>
      </c>
      <c r="E116" s="218" t="s">
        <v>28</v>
      </c>
      <c r="F116" s="217" t="s">
        <v>5</v>
      </c>
      <c r="G116" s="218" t="s">
        <v>28</v>
      </c>
      <c r="H116" s="217" t="s">
        <v>5</v>
      </c>
    </row>
    <row r="117" spans="1:8" x14ac:dyDescent="0.2">
      <c r="A117" s="8" t="s">
        <v>6</v>
      </c>
      <c r="B117" s="14" t="s">
        <v>72</v>
      </c>
      <c r="C117" s="19">
        <v>0.06</v>
      </c>
      <c r="D117" s="20">
        <f>C117*D135</f>
        <v>332.5610839175157</v>
      </c>
      <c r="E117" s="19">
        <v>0.06</v>
      </c>
      <c r="F117" s="205">
        <f>$E117*F$135</f>
        <v>356.98364275225458</v>
      </c>
      <c r="G117" s="19">
        <v>0.06</v>
      </c>
      <c r="H117" s="205">
        <f>$G117*H$135</f>
        <v>353.25251874624917</v>
      </c>
    </row>
    <row r="118" spans="1:8" x14ac:dyDescent="0.2">
      <c r="A118" s="8" t="s">
        <v>8</v>
      </c>
      <c r="B118" s="14" t="s">
        <v>73</v>
      </c>
      <c r="C118" s="19">
        <v>0.05</v>
      </c>
      <c r="D118" s="20">
        <f>C118*D135</f>
        <v>277.13423659792977</v>
      </c>
      <c r="E118" s="19">
        <v>0.05</v>
      </c>
      <c r="F118" s="205">
        <f>$E118*F$135</f>
        <v>297.48636896021219</v>
      </c>
      <c r="G118" s="19">
        <v>0.05</v>
      </c>
      <c r="H118" s="205">
        <f>$G118*H$135</f>
        <v>294.37709895520766</v>
      </c>
    </row>
    <row r="119" spans="1:8" x14ac:dyDescent="0.2">
      <c r="A119" s="8" t="s">
        <v>9</v>
      </c>
      <c r="B119" s="14" t="s">
        <v>125</v>
      </c>
      <c r="C119" s="34">
        <f>SUM(C120:C122)</f>
        <v>5.6499999999999995E-2</v>
      </c>
      <c r="D119" s="20">
        <f>(D135+D118+D117)*(C119/IF(C115="Lucro presumido",91.45%,85.75%))</f>
        <v>380.10877306154538</v>
      </c>
      <c r="E119" s="34">
        <f>SUM(E120:E122)</f>
        <v>5.6499999999999995E-2</v>
      </c>
      <c r="F119" s="205">
        <f>(F$135+F$118+F$117)*($E119/IF($E115="Lucro presumido",91.45%,85.75%))</f>
        <v>408.02313022066056</v>
      </c>
      <c r="G119" s="34">
        <f>SUM(G120:G122)</f>
        <v>5.6499999999999995E-2</v>
      </c>
      <c r="H119" s="205">
        <f>(H$135+H$118+H$117)*($G119/IF($G115="Lucro presumido",91.45%,85.75%))</f>
        <v>403.75855136087142</v>
      </c>
    </row>
    <row r="120" spans="1:8" x14ac:dyDescent="0.2">
      <c r="A120" s="8" t="s">
        <v>120</v>
      </c>
      <c r="B120" s="14" t="s">
        <v>119</v>
      </c>
      <c r="C120" s="34">
        <f>IF(C115="Lucro presumido",0.65%,1.65%)</f>
        <v>6.5000000000000006E-3</v>
      </c>
      <c r="D120" s="35" t="s">
        <v>118</v>
      </c>
      <c r="E120" s="34">
        <f>IF(E115="Lucro presumido",0.65%,1.65%)</f>
        <v>6.5000000000000006E-3</v>
      </c>
      <c r="F120" s="35" t="s">
        <v>118</v>
      </c>
      <c r="G120" s="34">
        <f>IF(G115="Lucro presumido",0.65%,1.65%)</f>
        <v>6.5000000000000006E-3</v>
      </c>
      <c r="H120" s="35" t="s">
        <v>118</v>
      </c>
    </row>
    <row r="121" spans="1:8" x14ac:dyDescent="0.2">
      <c r="A121" s="8" t="s">
        <v>122</v>
      </c>
      <c r="B121" s="14" t="s">
        <v>121</v>
      </c>
      <c r="C121" s="34">
        <f>IF(C115="Lucro presumido",3%,7.6%)</f>
        <v>0.03</v>
      </c>
      <c r="D121" s="35" t="s">
        <v>118</v>
      </c>
      <c r="E121" s="34">
        <f>IF(E115="Lucro presumido",3%,7.6%)</f>
        <v>0.03</v>
      </c>
      <c r="F121" s="35" t="s">
        <v>118</v>
      </c>
      <c r="G121" s="34">
        <f>IF(G115="Lucro presumido",3%,7.6%)</f>
        <v>0.03</v>
      </c>
      <c r="H121" s="35" t="s">
        <v>118</v>
      </c>
    </row>
    <row r="122" spans="1:8" x14ac:dyDescent="0.2">
      <c r="A122" s="8" t="s">
        <v>124</v>
      </c>
      <c r="B122" s="14" t="s">
        <v>123</v>
      </c>
      <c r="C122" s="34">
        <v>0.02</v>
      </c>
      <c r="D122" s="35" t="s">
        <v>118</v>
      </c>
      <c r="E122" s="34">
        <v>0.02</v>
      </c>
      <c r="F122" s="35" t="s">
        <v>118</v>
      </c>
      <c r="G122" s="34">
        <v>0.02</v>
      </c>
      <c r="H122" s="35" t="s">
        <v>118</v>
      </c>
    </row>
    <row r="123" spans="1:8" ht="25.5" x14ac:dyDescent="0.2">
      <c r="A123" s="26" t="s">
        <v>11</v>
      </c>
      <c r="B123" s="5" t="s">
        <v>127</v>
      </c>
      <c r="C123" s="36">
        <v>4.4999999999999998E-2</v>
      </c>
      <c r="D123" s="37">
        <f>(D135+D118+D117)*(C123/IF(C115="Lucro presumido",91.45%,85.75%))</f>
        <v>302.74150066848756</v>
      </c>
      <c r="E123" s="36">
        <v>4.4999999999999998E-2</v>
      </c>
      <c r="F123" s="208">
        <f>(F$135+F$118+F$117)*($E123/IF($E115="Lucro presumido",91.45%,85.75%))</f>
        <v>324.97417451203057</v>
      </c>
      <c r="G123" s="36">
        <v>4.4999999999999998E-2</v>
      </c>
      <c r="H123" s="208">
        <f>(H$135+H$118+H$117)*($G123/IF($G115="Lucro presumido",91.45%,85.75%))</f>
        <v>321.57760727857021</v>
      </c>
    </row>
    <row r="124" spans="1:8" x14ac:dyDescent="0.2">
      <c r="A124" s="463" t="s">
        <v>17</v>
      </c>
      <c r="B124" s="463"/>
      <c r="C124" s="21">
        <f>SUM(C117:C119)+(C123)</f>
        <v>0.21149999999999997</v>
      </c>
      <c r="D124" s="22">
        <f>SUM(D117:D123)</f>
        <v>1292.5455942454785</v>
      </c>
      <c r="E124" s="21">
        <f>SUM(E117:E119)+(E123)</f>
        <v>0.21149999999999997</v>
      </c>
      <c r="F124" s="207">
        <f>SUM(F117:F123)</f>
        <v>1387.4673164451578</v>
      </c>
      <c r="G124" s="21">
        <f>SUM(G117:G119)+(G123)</f>
        <v>0.21149999999999997</v>
      </c>
      <c r="H124" s="207">
        <f>SUM(H117:H123)</f>
        <v>1372.9657763408984</v>
      </c>
    </row>
    <row r="125" spans="1:8" x14ac:dyDescent="0.2">
      <c r="A125" s="464" t="s">
        <v>79</v>
      </c>
      <c r="B125" s="464"/>
      <c r="C125" s="464"/>
      <c r="D125" s="464"/>
      <c r="E125" s="233"/>
    </row>
    <row r="126" spans="1:8" x14ac:dyDescent="0.2">
      <c r="A126" s="464" t="s">
        <v>126</v>
      </c>
      <c r="B126" s="464"/>
      <c r="C126" s="464"/>
      <c r="D126" s="464"/>
      <c r="E126" s="233"/>
    </row>
    <row r="128" spans="1:8" x14ac:dyDescent="0.2">
      <c r="A128" s="415" t="s">
        <v>112</v>
      </c>
      <c r="B128" s="415"/>
      <c r="C128" s="415"/>
      <c r="D128" s="415"/>
      <c r="E128" s="231"/>
    </row>
    <row r="129" spans="1:8" x14ac:dyDescent="0.2">
      <c r="A129" s="466" t="s">
        <v>80</v>
      </c>
      <c r="B129" s="467"/>
      <c r="C129" s="468"/>
      <c r="D129" s="43" t="s">
        <v>74</v>
      </c>
      <c r="E129" s="242"/>
      <c r="F129" s="219" t="s">
        <v>74</v>
      </c>
      <c r="H129" s="219" t="s">
        <v>74</v>
      </c>
    </row>
    <row r="130" spans="1:8" x14ac:dyDescent="0.2">
      <c r="A130" s="26" t="s">
        <v>6</v>
      </c>
      <c r="B130" s="438" t="s">
        <v>75</v>
      </c>
      <c r="C130" s="438"/>
      <c r="D130" s="16">
        <f>D19</f>
        <v>2671.2420000000002</v>
      </c>
      <c r="E130" s="292"/>
      <c r="F130" s="203">
        <f>F19</f>
        <v>2938.3650000000002</v>
      </c>
      <c r="G130" s="293"/>
      <c r="H130" s="211">
        <f>H19</f>
        <v>2938.3650000000002</v>
      </c>
    </row>
    <row r="131" spans="1:8" x14ac:dyDescent="0.2">
      <c r="A131" s="26" t="s">
        <v>8</v>
      </c>
      <c r="B131" s="438" t="s">
        <v>19</v>
      </c>
      <c r="C131" s="438"/>
      <c r="D131" s="16">
        <f>D65</f>
        <v>2330.5313846075801</v>
      </c>
      <c r="E131" s="292"/>
      <c r="F131" s="203">
        <f>F65</f>
        <v>2437.4899256245003</v>
      </c>
      <c r="G131" s="293"/>
      <c r="H131" s="211">
        <f>H65</f>
        <v>2437.4899256245003</v>
      </c>
    </row>
    <row r="132" spans="1:8" x14ac:dyDescent="0.2">
      <c r="A132" s="26" t="s">
        <v>9</v>
      </c>
      <c r="B132" s="438" t="s">
        <v>76</v>
      </c>
      <c r="C132" s="438"/>
      <c r="D132" s="16">
        <f>D76</f>
        <v>213.69885807362823</v>
      </c>
      <c r="E132" s="292"/>
      <c r="F132" s="203">
        <f>F76</f>
        <v>235.06864788121652</v>
      </c>
      <c r="G132" s="293"/>
      <c r="H132" s="203">
        <f>H76</f>
        <v>172.8832477811265</v>
      </c>
    </row>
    <row r="133" spans="1:8" x14ac:dyDescent="0.2">
      <c r="A133" s="26" t="s">
        <v>11</v>
      </c>
      <c r="B133" s="438" t="s">
        <v>53</v>
      </c>
      <c r="C133" s="438"/>
      <c r="D133" s="16">
        <f>D103</f>
        <v>115.91368492956002</v>
      </c>
      <c r="E133" s="292"/>
      <c r="F133" s="203">
        <f>F103</f>
        <v>127.50500135070001</v>
      </c>
      <c r="G133" s="293"/>
      <c r="H133" s="211">
        <f>H103</f>
        <v>127.50500135070001</v>
      </c>
    </row>
    <row r="134" spans="1:8" x14ac:dyDescent="0.2">
      <c r="A134" s="26" t="s">
        <v>13</v>
      </c>
      <c r="B134" s="438" t="s">
        <v>66</v>
      </c>
      <c r="C134" s="438"/>
      <c r="D134" s="16">
        <f>D111</f>
        <v>211.29880434782606</v>
      </c>
      <c r="E134" s="292"/>
      <c r="F134" s="211">
        <f>F111</f>
        <v>211.29880434782606</v>
      </c>
      <c r="G134" s="293"/>
      <c r="H134" s="211">
        <f>H111</f>
        <v>211.29880434782606</v>
      </c>
    </row>
    <row r="135" spans="1:8" x14ac:dyDescent="0.2">
      <c r="A135" s="463" t="s">
        <v>77</v>
      </c>
      <c r="B135" s="463"/>
      <c r="C135" s="463"/>
      <c r="D135" s="18">
        <f>SUM(D130:D134)</f>
        <v>5542.684731958595</v>
      </c>
      <c r="E135" s="294"/>
      <c r="F135" s="204">
        <f>SUM(F130:F134)</f>
        <v>5949.7273792042433</v>
      </c>
      <c r="G135" s="293"/>
      <c r="H135" s="204">
        <f>SUM(H130:H134)</f>
        <v>5887.5419791041531</v>
      </c>
    </row>
    <row r="136" spans="1:8" x14ac:dyDescent="0.2">
      <c r="A136" s="8" t="s">
        <v>15</v>
      </c>
      <c r="B136" s="414" t="s">
        <v>70</v>
      </c>
      <c r="C136" s="414"/>
      <c r="D136" s="16">
        <f>D124</f>
        <v>1292.5455942454785</v>
      </c>
      <c r="E136" s="292"/>
      <c r="F136" s="203">
        <f>F124</f>
        <v>1387.4673164451578</v>
      </c>
      <c r="G136" s="293"/>
      <c r="H136" s="203">
        <f>H124</f>
        <v>1372.9657763408984</v>
      </c>
    </row>
    <row r="137" spans="1:8" x14ac:dyDescent="0.2">
      <c r="A137" s="415" t="s">
        <v>436</v>
      </c>
      <c r="B137" s="415"/>
      <c r="C137" s="415"/>
      <c r="D137" s="38">
        <f>SUM(D135:D136)</f>
        <v>6835.2303262040732</v>
      </c>
      <c r="E137" s="251"/>
      <c r="F137" s="209">
        <f>SUM(F135:F136)</f>
        <v>7337.1946956494012</v>
      </c>
      <c r="H137" s="209">
        <f>SUM(H135:H136)</f>
        <v>7260.5077554450518</v>
      </c>
    </row>
    <row r="140" spans="1:8" x14ac:dyDescent="0.2">
      <c r="A140" s="465" t="s">
        <v>469</v>
      </c>
      <c r="B140" s="465"/>
      <c r="C140" s="465"/>
      <c r="D140" s="465"/>
      <c r="E140" s="240"/>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8:D58"/>
    <mergeCell ref="A30:D30"/>
    <mergeCell ref="A32:D32"/>
    <mergeCell ref="A42:B42"/>
    <mergeCell ref="A43:D43"/>
    <mergeCell ref="A44:D44"/>
    <mergeCell ref="A45:D45"/>
    <mergeCell ref="A46:D46"/>
    <mergeCell ref="A47:D47"/>
    <mergeCell ref="A49:D49"/>
    <mergeCell ref="A56:C56"/>
    <mergeCell ref="A57:D57"/>
    <mergeCell ref="A81:D81"/>
    <mergeCell ref="A60:D60"/>
    <mergeCell ref="B61:C61"/>
    <mergeCell ref="B62:C62"/>
    <mergeCell ref="B63:C63"/>
    <mergeCell ref="B64:C64"/>
    <mergeCell ref="A65:C65"/>
    <mergeCell ref="A67:D67"/>
    <mergeCell ref="A76:B76"/>
    <mergeCell ref="A77:D77"/>
    <mergeCell ref="A78:D78"/>
    <mergeCell ref="A80:D80"/>
    <mergeCell ref="B107:C107"/>
    <mergeCell ref="A83:D83"/>
    <mergeCell ref="A91:B91"/>
    <mergeCell ref="A92:D92"/>
    <mergeCell ref="A94:D94"/>
    <mergeCell ref="A97:B97"/>
    <mergeCell ref="A99:D99"/>
    <mergeCell ref="B100:C100"/>
    <mergeCell ref="B101:C101"/>
    <mergeCell ref="A103:C103"/>
    <mergeCell ref="A105:D105"/>
    <mergeCell ref="B106:C106"/>
    <mergeCell ref="A114:D114"/>
    <mergeCell ref="A115:B115"/>
    <mergeCell ref="C115:D115"/>
    <mergeCell ref="A124:B124"/>
    <mergeCell ref="A125:D125"/>
    <mergeCell ref="B108:C108"/>
    <mergeCell ref="B109:C109"/>
    <mergeCell ref="B110:C110"/>
    <mergeCell ref="A111:C111"/>
    <mergeCell ref="A112:D112"/>
    <mergeCell ref="A140:D140"/>
    <mergeCell ref="A129:C129"/>
    <mergeCell ref="B130:C130"/>
    <mergeCell ref="B131:C131"/>
    <mergeCell ref="B132:C132"/>
    <mergeCell ref="B133:C133"/>
    <mergeCell ref="B134:C134"/>
    <mergeCell ref="G115:H115"/>
    <mergeCell ref="E115:F115"/>
    <mergeCell ref="A135:C135"/>
    <mergeCell ref="B136:C136"/>
    <mergeCell ref="A137:C137"/>
    <mergeCell ref="A128:D128"/>
    <mergeCell ref="A126:D126"/>
  </mergeCells>
  <dataValidations disablePrompts="1" count="1">
    <dataValidation type="list" allowBlank="1" showInputMessage="1" showErrorMessage="1" sqref="G115 C115:E115" xr:uid="{00000000-0002-0000-0800-000000000000}">
      <formula1>"Lucro presumido,Lucro real"</formula1>
    </dataValidation>
  </dataValidations>
  <pageMargins left="0.511811024" right="0.511811024" top="0.78740157499999996" bottom="0.78740157499999996" header="0.31496062000000002" footer="0.31496062000000002"/>
  <pageSetup paperSize="9" scale="5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A1:H140"/>
  <sheetViews>
    <sheetView showGridLines="0" topLeftCell="A13" zoomScaleNormal="100" workbookViewId="0">
      <selection activeCell="F137" sqref="F137"/>
    </sheetView>
  </sheetViews>
  <sheetFormatPr defaultColWidth="8.7109375" defaultRowHeight="12.75" x14ac:dyDescent="0.2"/>
  <cols>
    <col min="1" max="1" width="5" style="1" bestFit="1" customWidth="1"/>
    <col min="2" max="2" width="45.7109375" style="12" bestFit="1" customWidth="1"/>
    <col min="3" max="3" width="14.140625" style="12" bestFit="1" customWidth="1"/>
    <col min="4" max="4" width="9.85546875" style="1" bestFit="1" customWidth="1"/>
    <col min="5" max="5" width="14.140625" style="221" bestFit="1" customWidth="1"/>
    <col min="6" max="6" width="20.28515625" style="221" bestFit="1" customWidth="1"/>
    <col min="7" max="7" width="14.140625" style="221" bestFit="1" customWidth="1"/>
    <col min="8" max="8" width="18.28515625" style="221" bestFit="1" customWidth="1"/>
    <col min="9" max="16384" width="8.7109375" style="1"/>
  </cols>
  <sheetData>
    <row r="1" spans="1:8" x14ac:dyDescent="0.2">
      <c r="A1" s="476" t="s">
        <v>92</v>
      </c>
      <c r="B1" s="476"/>
      <c r="C1" s="476"/>
      <c r="D1" s="476"/>
      <c r="E1" s="222"/>
    </row>
    <row r="3" spans="1:8" x14ac:dyDescent="0.2">
      <c r="A3" s="477" t="s">
        <v>0</v>
      </c>
      <c r="B3" s="477"/>
      <c r="C3" s="477"/>
      <c r="D3" s="477"/>
      <c r="E3" s="223"/>
    </row>
    <row r="4" spans="1:8" ht="25.5" x14ac:dyDescent="0.2">
      <c r="A4" s="43">
        <v>1</v>
      </c>
      <c r="B4" s="3" t="s">
        <v>1</v>
      </c>
      <c r="C4" s="454" t="s">
        <v>146</v>
      </c>
      <c r="D4" s="454"/>
      <c r="E4" s="224"/>
    </row>
    <row r="5" spans="1:8" x14ac:dyDescent="0.2">
      <c r="A5" s="4">
        <v>2</v>
      </c>
      <c r="B5" s="5" t="s">
        <v>2</v>
      </c>
      <c r="C5" s="455"/>
      <c r="D5" s="455"/>
      <c r="E5" s="225"/>
    </row>
    <row r="6" spans="1:8" x14ac:dyDescent="0.2">
      <c r="A6" s="4">
        <v>3</v>
      </c>
      <c r="B6" s="5" t="s">
        <v>95</v>
      </c>
      <c r="C6" s="459">
        <v>1901.53</v>
      </c>
      <c r="D6" s="459"/>
      <c r="E6" s="226"/>
      <c r="F6" s="262"/>
    </row>
    <row r="7" spans="1:8" ht="25.5" x14ac:dyDescent="0.2">
      <c r="A7" s="4">
        <v>4</v>
      </c>
      <c r="B7" s="5" t="s">
        <v>96</v>
      </c>
      <c r="C7" s="482" t="s">
        <v>458</v>
      </c>
      <c r="D7" s="484"/>
      <c r="E7" s="227"/>
    </row>
    <row r="8" spans="1:8" x14ac:dyDescent="0.2">
      <c r="A8" s="4">
        <v>5</v>
      </c>
      <c r="B8" s="5" t="s">
        <v>3</v>
      </c>
      <c r="C8" s="427" t="s">
        <v>451</v>
      </c>
      <c r="D8" s="428"/>
      <c r="E8" s="228"/>
      <c r="F8" s="229">
        <v>44562</v>
      </c>
    </row>
    <row r="9" spans="1:8" x14ac:dyDescent="0.2">
      <c r="A9" s="4">
        <v>6</v>
      </c>
      <c r="B9" s="5" t="s">
        <v>97</v>
      </c>
      <c r="C9" s="427" t="s">
        <v>452</v>
      </c>
      <c r="D9" s="428"/>
      <c r="E9" s="228"/>
      <c r="F9" s="230" t="s">
        <v>566</v>
      </c>
    </row>
    <row r="10" spans="1:8" x14ac:dyDescent="0.2">
      <c r="F10" s="221" t="s">
        <v>567</v>
      </c>
      <c r="H10" s="221" t="s">
        <v>568</v>
      </c>
    </row>
    <row r="11" spans="1:8" ht="127.5" x14ac:dyDescent="0.2">
      <c r="A11" s="415" t="s">
        <v>75</v>
      </c>
      <c r="B11" s="415"/>
      <c r="C11" s="415"/>
      <c r="D11" s="415"/>
      <c r="E11" s="231"/>
      <c r="F11" s="252" t="s">
        <v>575</v>
      </c>
      <c r="H11" s="252" t="s">
        <v>569</v>
      </c>
    </row>
    <row r="12" spans="1:8" x14ac:dyDescent="0.2">
      <c r="A12" s="40">
        <v>1</v>
      </c>
      <c r="B12" s="477" t="s">
        <v>4</v>
      </c>
      <c r="C12" s="477"/>
      <c r="D12" s="42" t="s">
        <v>5</v>
      </c>
      <c r="E12" s="242"/>
      <c r="F12" s="218" t="s">
        <v>5</v>
      </c>
      <c r="H12" s="218" t="s">
        <v>5</v>
      </c>
    </row>
    <row r="13" spans="1:8" x14ac:dyDescent="0.2">
      <c r="A13" s="8" t="s">
        <v>6</v>
      </c>
      <c r="B13" s="414" t="s">
        <v>7</v>
      </c>
      <c r="C13" s="414"/>
      <c r="D13" s="114">
        <v>2543.94</v>
      </c>
      <c r="E13" s="243"/>
      <c r="F13" s="200">
        <f>D13*1.1</f>
        <v>2798.3340000000003</v>
      </c>
      <c r="H13" s="114">
        <f>F13</f>
        <v>2798.3340000000003</v>
      </c>
    </row>
    <row r="14" spans="1:8" x14ac:dyDescent="0.2">
      <c r="A14" s="8" t="s">
        <v>8</v>
      </c>
      <c r="B14" s="414" t="s">
        <v>400</v>
      </c>
      <c r="C14" s="414"/>
      <c r="D14" s="10" t="s">
        <v>118</v>
      </c>
      <c r="E14" s="244"/>
      <c r="F14" s="10" t="s">
        <v>118</v>
      </c>
      <c r="H14" s="10" t="s">
        <v>118</v>
      </c>
    </row>
    <row r="15" spans="1:8" x14ac:dyDescent="0.2">
      <c r="A15" s="8" t="s">
        <v>9</v>
      </c>
      <c r="B15" s="414" t="s">
        <v>10</v>
      </c>
      <c r="C15" s="414"/>
      <c r="D15" s="10" t="s">
        <v>118</v>
      </c>
      <c r="E15" s="244"/>
      <c r="F15" s="10" t="s">
        <v>118</v>
      </c>
      <c r="H15" s="10" t="s">
        <v>118</v>
      </c>
    </row>
    <row r="16" spans="1:8" x14ac:dyDescent="0.2">
      <c r="A16" s="8" t="s">
        <v>11</v>
      </c>
      <c r="B16" s="414" t="s">
        <v>12</v>
      </c>
      <c r="C16" s="414"/>
      <c r="D16" s="10" t="s">
        <v>118</v>
      </c>
      <c r="E16" s="244"/>
      <c r="F16" s="10" t="s">
        <v>118</v>
      </c>
      <c r="H16" s="10" t="s">
        <v>118</v>
      </c>
    </row>
    <row r="17" spans="1:8" x14ac:dyDescent="0.2">
      <c r="A17" s="8" t="s">
        <v>13</v>
      </c>
      <c r="B17" s="414" t="s">
        <v>14</v>
      </c>
      <c r="C17" s="414"/>
      <c r="D17" s="10" t="s">
        <v>118</v>
      </c>
      <c r="E17" s="244"/>
      <c r="F17" s="10" t="s">
        <v>118</v>
      </c>
      <c r="H17" s="10" t="s">
        <v>118</v>
      </c>
    </row>
    <row r="18" spans="1:8" x14ac:dyDescent="0.2">
      <c r="A18" s="8" t="s">
        <v>15</v>
      </c>
      <c r="B18" s="414" t="s">
        <v>16</v>
      </c>
      <c r="C18" s="414"/>
      <c r="D18" s="10" t="s">
        <v>118</v>
      </c>
      <c r="E18" s="244"/>
      <c r="F18" s="10" t="s">
        <v>118</v>
      </c>
      <c r="H18" s="10" t="s">
        <v>118</v>
      </c>
    </row>
    <row r="19" spans="1:8" x14ac:dyDescent="0.2">
      <c r="A19" s="463" t="s">
        <v>17</v>
      </c>
      <c r="B19" s="463"/>
      <c r="C19" s="463"/>
      <c r="D19" s="11">
        <f>SUM(D13:D18)</f>
        <v>2543.94</v>
      </c>
      <c r="E19" s="243"/>
      <c r="F19" s="202">
        <f>SUM(F13:F18)</f>
        <v>2798.3340000000003</v>
      </c>
      <c r="H19" s="11">
        <f>SUM(H13:H18)</f>
        <v>2798.3340000000003</v>
      </c>
    </row>
    <row r="20" spans="1:8" x14ac:dyDescent="0.2">
      <c r="A20" s="481" t="s">
        <v>18</v>
      </c>
      <c r="B20" s="481"/>
      <c r="C20" s="481"/>
      <c r="D20" s="481"/>
      <c r="E20" s="233"/>
    </row>
    <row r="22" spans="1:8" x14ac:dyDescent="0.2">
      <c r="A22" s="415" t="s">
        <v>19</v>
      </c>
      <c r="B22" s="415"/>
      <c r="C22" s="415"/>
      <c r="D22" s="415"/>
      <c r="E22" s="231"/>
    </row>
    <row r="23" spans="1:8" x14ac:dyDescent="0.2">
      <c r="A23" s="463" t="s">
        <v>24</v>
      </c>
      <c r="B23" s="463"/>
      <c r="C23" s="463"/>
      <c r="D23" s="463"/>
      <c r="E23" s="234"/>
    </row>
    <row r="24" spans="1:8" ht="25.5" x14ac:dyDescent="0.2">
      <c r="A24" s="39" t="s">
        <v>20</v>
      </c>
      <c r="B24" s="39" t="s">
        <v>21</v>
      </c>
      <c r="C24" s="43" t="s">
        <v>28</v>
      </c>
      <c r="D24" s="39" t="s">
        <v>5</v>
      </c>
      <c r="E24" s="219" t="s">
        <v>28</v>
      </c>
      <c r="F24" s="220" t="s">
        <v>5</v>
      </c>
      <c r="G24" s="219" t="s">
        <v>28</v>
      </c>
      <c r="H24" s="220" t="s">
        <v>5</v>
      </c>
    </row>
    <row r="25" spans="1:8" x14ac:dyDescent="0.2">
      <c r="A25" s="8" t="s">
        <v>6</v>
      </c>
      <c r="B25" s="14" t="s">
        <v>22</v>
      </c>
      <c r="C25" s="15">
        <v>9.0899999999999995E-2</v>
      </c>
      <c r="D25" s="16">
        <f>C25*$D$19</f>
        <v>231.244146</v>
      </c>
      <c r="E25" s="352">
        <v>9.0899999999999995E-2</v>
      </c>
      <c r="F25" s="203">
        <f>E25*F$19</f>
        <v>254.36856060000002</v>
      </c>
      <c r="G25" s="352">
        <v>9.0899999999999995E-2</v>
      </c>
      <c r="H25" s="211">
        <f>G25*H$19</f>
        <v>254.36856060000002</v>
      </c>
    </row>
    <row r="26" spans="1:8" x14ac:dyDescent="0.2">
      <c r="A26" s="8" t="s">
        <v>8</v>
      </c>
      <c r="B26" s="14" t="s">
        <v>23</v>
      </c>
      <c r="C26" s="15">
        <v>0.1212</v>
      </c>
      <c r="D26" s="16">
        <f>C26*$D$19</f>
        <v>308.32552800000002</v>
      </c>
      <c r="E26" s="352">
        <v>0.1212</v>
      </c>
      <c r="F26" s="203">
        <f>E26*F$19</f>
        <v>339.15808080000005</v>
      </c>
      <c r="G26" s="352">
        <v>0.1212</v>
      </c>
      <c r="H26" s="211">
        <f>G26*H$19</f>
        <v>339.15808080000005</v>
      </c>
    </row>
    <row r="27" spans="1:8" x14ac:dyDescent="0.2">
      <c r="A27" s="463" t="s">
        <v>17</v>
      </c>
      <c r="B27" s="463"/>
      <c r="C27" s="17">
        <f t="shared" ref="C27:H27" si="0">SUM(C25:C26)</f>
        <v>0.21210000000000001</v>
      </c>
      <c r="D27" s="18">
        <f t="shared" si="0"/>
        <v>539.56967400000008</v>
      </c>
      <c r="E27" s="353">
        <f t="shared" si="0"/>
        <v>0.21210000000000001</v>
      </c>
      <c r="F27" s="204">
        <f t="shared" si="0"/>
        <v>593.52664140000002</v>
      </c>
      <c r="G27" s="353">
        <f t="shared" si="0"/>
        <v>0.21210000000000001</v>
      </c>
      <c r="H27" s="212">
        <f t="shared" si="0"/>
        <v>593.52664140000002</v>
      </c>
    </row>
    <row r="28" spans="1:8" x14ac:dyDescent="0.2">
      <c r="A28" s="464" t="s">
        <v>98</v>
      </c>
      <c r="B28" s="464"/>
      <c r="C28" s="464"/>
      <c r="D28" s="464"/>
      <c r="E28" s="233"/>
    </row>
    <row r="29" spans="1:8" x14ac:dyDescent="0.2">
      <c r="A29" s="464" t="s">
        <v>99</v>
      </c>
      <c r="B29" s="464"/>
      <c r="C29" s="464"/>
      <c r="D29" s="464"/>
      <c r="E29" s="233"/>
    </row>
    <row r="30" spans="1:8" x14ac:dyDescent="0.2">
      <c r="A30" s="464" t="s">
        <v>100</v>
      </c>
      <c r="B30" s="464"/>
      <c r="C30" s="464"/>
      <c r="D30" s="464"/>
      <c r="E30" s="233"/>
    </row>
    <row r="32" spans="1:8" x14ac:dyDescent="0.2">
      <c r="A32" s="470" t="s">
        <v>25</v>
      </c>
      <c r="B32" s="470"/>
      <c r="C32" s="470"/>
      <c r="D32" s="470"/>
      <c r="E32" s="235"/>
    </row>
    <row r="33" spans="1:8" x14ac:dyDescent="0.2">
      <c r="A33" s="40" t="s">
        <v>26</v>
      </c>
      <c r="B33" s="42" t="s">
        <v>27</v>
      </c>
      <c r="C33" s="42" t="s">
        <v>28</v>
      </c>
      <c r="D33" s="40" t="s">
        <v>5</v>
      </c>
      <c r="E33" s="218" t="s">
        <v>28</v>
      </c>
      <c r="F33" s="217" t="s">
        <v>5</v>
      </c>
      <c r="G33" s="218" t="s">
        <v>28</v>
      </c>
      <c r="H33" s="217" t="s">
        <v>5</v>
      </c>
    </row>
    <row r="34" spans="1:8" x14ac:dyDescent="0.2">
      <c r="A34" s="8" t="s">
        <v>6</v>
      </c>
      <c r="B34" s="14" t="s">
        <v>29</v>
      </c>
      <c r="C34" s="19">
        <v>0</v>
      </c>
      <c r="D34" s="20">
        <f t="shared" ref="D34:D40" si="1">C34*($D$19+$D$27)</f>
        <v>0</v>
      </c>
      <c r="E34" s="19">
        <v>0</v>
      </c>
      <c r="F34" s="20">
        <f>E34*(F$19+F$27)</f>
        <v>0</v>
      </c>
      <c r="G34" s="19">
        <v>0</v>
      </c>
      <c r="H34" s="20">
        <f>G34*(H$19+H$27)</f>
        <v>0</v>
      </c>
    </row>
    <row r="35" spans="1:8" x14ac:dyDescent="0.2">
      <c r="A35" s="8" t="s">
        <v>8</v>
      </c>
      <c r="B35" s="14" t="s">
        <v>30</v>
      </c>
      <c r="C35" s="19">
        <v>2.5000000000000001E-2</v>
      </c>
      <c r="D35" s="20">
        <f t="shared" si="1"/>
        <v>77.08774185</v>
      </c>
      <c r="E35" s="19">
        <v>2.5000000000000001E-2</v>
      </c>
      <c r="F35" s="205">
        <f t="shared" ref="F35:F41" si="2">$E35*(F$19+F$27)</f>
        <v>84.796516035000025</v>
      </c>
      <c r="G35" s="19">
        <v>2.5000000000000001E-2</v>
      </c>
      <c r="H35" s="20">
        <f t="shared" ref="H35:H41" si="3">$G35*(H$19+H$27)</f>
        <v>84.796516035000025</v>
      </c>
    </row>
    <row r="36" spans="1:8" x14ac:dyDescent="0.2">
      <c r="A36" s="8" t="s">
        <v>9</v>
      </c>
      <c r="B36" s="14" t="s">
        <v>101</v>
      </c>
      <c r="C36" s="19">
        <v>3.39E-2</v>
      </c>
      <c r="D36" s="20">
        <f t="shared" si="1"/>
        <v>104.5309779486</v>
      </c>
      <c r="E36" s="287">
        <v>1.4999999999999999E-2</v>
      </c>
      <c r="F36" s="205">
        <f t="shared" si="2"/>
        <v>50.877909621000008</v>
      </c>
      <c r="G36" s="19">
        <v>1.4999999999999999E-2</v>
      </c>
      <c r="H36" s="20">
        <f t="shared" si="3"/>
        <v>50.877909621000008</v>
      </c>
    </row>
    <row r="37" spans="1:8" x14ac:dyDescent="0.2">
      <c r="A37" s="8" t="s">
        <v>11</v>
      </c>
      <c r="B37" s="14" t="s">
        <v>31</v>
      </c>
      <c r="C37" s="19">
        <v>1.4999999999999999E-2</v>
      </c>
      <c r="D37" s="20">
        <f t="shared" si="1"/>
        <v>46.252645109999996</v>
      </c>
      <c r="E37" s="19">
        <v>1.4999999999999999E-2</v>
      </c>
      <c r="F37" s="205">
        <f t="shared" si="2"/>
        <v>50.877909621000008</v>
      </c>
      <c r="G37" s="19">
        <v>1.4999999999999999E-2</v>
      </c>
      <c r="H37" s="20">
        <f t="shared" si="3"/>
        <v>50.877909621000008</v>
      </c>
    </row>
    <row r="38" spans="1:8" x14ac:dyDescent="0.2">
      <c r="A38" s="8" t="s">
        <v>13</v>
      </c>
      <c r="B38" s="14" t="s">
        <v>32</v>
      </c>
      <c r="C38" s="19">
        <v>0.01</v>
      </c>
      <c r="D38" s="20">
        <f t="shared" si="1"/>
        <v>30.835096740000001</v>
      </c>
      <c r="E38" s="19">
        <v>0.01</v>
      </c>
      <c r="F38" s="205">
        <f t="shared" si="2"/>
        <v>33.918606414000003</v>
      </c>
      <c r="G38" s="19">
        <v>0.01</v>
      </c>
      <c r="H38" s="20">
        <f t="shared" si="3"/>
        <v>33.918606414000003</v>
      </c>
    </row>
    <row r="39" spans="1:8" x14ac:dyDescent="0.2">
      <c r="A39" s="8" t="s">
        <v>15</v>
      </c>
      <c r="B39" s="14" t="s">
        <v>33</v>
      </c>
      <c r="C39" s="19">
        <v>6.0000000000000001E-3</v>
      </c>
      <c r="D39" s="20">
        <f t="shared" si="1"/>
        <v>18.501058044000001</v>
      </c>
      <c r="E39" s="19">
        <v>6.0000000000000001E-3</v>
      </c>
      <c r="F39" s="205">
        <f t="shared" si="2"/>
        <v>20.351163848400002</v>
      </c>
      <c r="G39" s="19">
        <v>6.0000000000000001E-3</v>
      </c>
      <c r="H39" s="20">
        <f t="shared" si="3"/>
        <v>20.351163848400002</v>
      </c>
    </row>
    <row r="40" spans="1:8" x14ac:dyDescent="0.2">
      <c r="A40" s="8" t="s">
        <v>34</v>
      </c>
      <c r="B40" s="14" t="s">
        <v>35</v>
      </c>
      <c r="C40" s="19">
        <v>2E-3</v>
      </c>
      <c r="D40" s="20">
        <f t="shared" si="1"/>
        <v>6.1670193480000002</v>
      </c>
      <c r="E40" s="19">
        <v>2E-3</v>
      </c>
      <c r="F40" s="205">
        <f t="shared" si="2"/>
        <v>6.7837212828000011</v>
      </c>
      <c r="G40" s="19">
        <v>2E-3</v>
      </c>
      <c r="H40" s="20">
        <f t="shared" si="3"/>
        <v>6.7837212828000011</v>
      </c>
    </row>
    <row r="41" spans="1:8" x14ac:dyDescent="0.2">
      <c r="A41" s="8" t="s">
        <v>36</v>
      </c>
      <c r="B41" s="14" t="s">
        <v>37</v>
      </c>
      <c r="C41" s="19">
        <v>0.08</v>
      </c>
      <c r="D41" s="20">
        <f>C41*($D$19+$D$27)</f>
        <v>246.68077392000001</v>
      </c>
      <c r="E41" s="19">
        <v>0.08</v>
      </c>
      <c r="F41" s="205">
        <f t="shared" si="2"/>
        <v>271.34885131200002</v>
      </c>
      <c r="G41" s="19">
        <v>0.08</v>
      </c>
      <c r="H41" s="20">
        <f t="shared" si="3"/>
        <v>271.34885131200002</v>
      </c>
    </row>
    <row r="42" spans="1:8" x14ac:dyDescent="0.2">
      <c r="A42" s="471" t="s">
        <v>17</v>
      </c>
      <c r="B42" s="472"/>
      <c r="C42" s="21">
        <f t="shared" ref="C42:H42" si="4">SUM(C34:C41)</f>
        <v>0.1719</v>
      </c>
      <c r="D42" s="22">
        <f t="shared" si="4"/>
        <v>530.05531296059996</v>
      </c>
      <c r="E42" s="288">
        <f t="shared" si="4"/>
        <v>0.15300000000000002</v>
      </c>
      <c r="F42" s="289">
        <f t="shared" si="4"/>
        <v>518.95467813420009</v>
      </c>
      <c r="G42" s="21">
        <f t="shared" si="4"/>
        <v>0.15300000000000002</v>
      </c>
      <c r="H42" s="22">
        <f t="shared" si="4"/>
        <v>518.95467813420009</v>
      </c>
    </row>
    <row r="43" spans="1:8" x14ac:dyDescent="0.2">
      <c r="A43" s="464" t="s">
        <v>104</v>
      </c>
      <c r="B43" s="464"/>
      <c r="C43" s="464"/>
      <c r="D43" s="464"/>
      <c r="E43" s="233"/>
    </row>
    <row r="44" spans="1:8" x14ac:dyDescent="0.2">
      <c r="A44" s="464" t="s">
        <v>102</v>
      </c>
      <c r="B44" s="464"/>
      <c r="C44" s="464"/>
      <c r="D44" s="464"/>
      <c r="E44" s="233"/>
    </row>
    <row r="45" spans="1:8" x14ac:dyDescent="0.2">
      <c r="A45" s="464" t="s">
        <v>103</v>
      </c>
      <c r="B45" s="464"/>
      <c r="C45" s="464"/>
      <c r="D45" s="464"/>
      <c r="E45" s="233"/>
    </row>
    <row r="46" spans="1:8" x14ac:dyDescent="0.2">
      <c r="A46" s="464" t="s">
        <v>108</v>
      </c>
      <c r="B46" s="464"/>
      <c r="C46" s="464"/>
      <c r="D46" s="464"/>
      <c r="E46" s="233"/>
    </row>
    <row r="47" spans="1:8" x14ac:dyDescent="0.2">
      <c r="A47" s="464" t="s">
        <v>113</v>
      </c>
      <c r="B47" s="464"/>
      <c r="C47" s="464"/>
      <c r="D47" s="464"/>
      <c r="E47" s="233"/>
    </row>
    <row r="49" spans="1:8" x14ac:dyDescent="0.2">
      <c r="A49" s="470" t="s">
        <v>38</v>
      </c>
      <c r="B49" s="470"/>
      <c r="C49" s="470"/>
      <c r="D49" s="470"/>
      <c r="E49" s="235"/>
    </row>
    <row r="50" spans="1:8" x14ac:dyDescent="0.2">
      <c r="A50" s="41" t="s">
        <v>39</v>
      </c>
      <c r="B50" s="43" t="s">
        <v>40</v>
      </c>
      <c r="C50" s="41" t="s">
        <v>89</v>
      </c>
      <c r="D50" s="43" t="s">
        <v>5</v>
      </c>
      <c r="E50" s="242"/>
      <c r="F50" s="219" t="s">
        <v>5</v>
      </c>
      <c r="H50" s="219" t="s">
        <v>5</v>
      </c>
    </row>
    <row r="51" spans="1:8" x14ac:dyDescent="0.2">
      <c r="A51" s="8" t="s">
        <v>6</v>
      </c>
      <c r="B51" s="14" t="s">
        <v>135</v>
      </c>
      <c r="C51" s="24">
        <v>22</v>
      </c>
      <c r="D51" s="16">
        <f>(18.6*C51)-0.06*D13</f>
        <v>256.56360000000006</v>
      </c>
      <c r="E51" s="245"/>
      <c r="F51" s="203">
        <f>(18.6*$C51)-0.06*F$13</f>
        <v>241.29996000000003</v>
      </c>
      <c r="H51" s="16">
        <f>(18.6*$C51)-0.06*H$13</f>
        <v>241.29996000000003</v>
      </c>
    </row>
    <row r="52" spans="1:8" x14ac:dyDescent="0.2">
      <c r="A52" s="8" t="s">
        <v>8</v>
      </c>
      <c r="B52" s="14" t="s">
        <v>456</v>
      </c>
      <c r="C52" s="24">
        <v>22</v>
      </c>
      <c r="D52" s="16">
        <f>35*C52</f>
        <v>770</v>
      </c>
      <c r="E52" s="245"/>
      <c r="F52" s="203">
        <f>38*$C52</f>
        <v>836</v>
      </c>
      <c r="H52" s="16">
        <f>38*$C52</f>
        <v>836</v>
      </c>
    </row>
    <row r="53" spans="1:8" x14ac:dyDescent="0.2">
      <c r="A53" s="8" t="s">
        <v>9</v>
      </c>
      <c r="B53" s="14" t="s">
        <v>42</v>
      </c>
      <c r="C53" s="24"/>
      <c r="D53" s="16">
        <v>160.07</v>
      </c>
      <c r="E53" s="245"/>
      <c r="F53" s="203">
        <v>169.67</v>
      </c>
      <c r="H53" s="16">
        <v>169.67</v>
      </c>
    </row>
    <row r="54" spans="1:8" x14ac:dyDescent="0.2">
      <c r="A54" s="8" t="s">
        <v>11</v>
      </c>
      <c r="B54" s="14" t="s">
        <v>90</v>
      </c>
      <c r="C54" s="24"/>
      <c r="D54" s="16">
        <v>10.63</v>
      </c>
      <c r="E54" s="245"/>
      <c r="F54" s="203">
        <v>11.27</v>
      </c>
      <c r="H54" s="16">
        <v>11.27</v>
      </c>
    </row>
    <row r="55" spans="1:8" x14ac:dyDescent="0.2">
      <c r="A55" s="8" t="s">
        <v>13</v>
      </c>
      <c r="B55" s="14" t="s">
        <v>453</v>
      </c>
      <c r="C55" s="24"/>
      <c r="D55" s="16">
        <v>2.2999999999999998</v>
      </c>
      <c r="E55" s="245"/>
      <c r="F55" s="203">
        <v>2.5</v>
      </c>
      <c r="H55" s="16">
        <v>2.5</v>
      </c>
    </row>
    <row r="56" spans="1:8" x14ac:dyDescent="0.2">
      <c r="A56" s="463" t="s">
        <v>17</v>
      </c>
      <c r="B56" s="463"/>
      <c r="C56" s="463"/>
      <c r="D56" s="18">
        <f>SUM(D51:D55)</f>
        <v>1199.5636</v>
      </c>
      <c r="E56" s="246"/>
      <c r="F56" s="206">
        <f>SUM(F51:F55)</f>
        <v>1260.7399600000001</v>
      </c>
      <c r="H56" s="25">
        <f>SUM(H51:H55)</f>
        <v>1260.7399600000001</v>
      </c>
    </row>
    <row r="57" spans="1:8" x14ac:dyDescent="0.2">
      <c r="A57" s="464" t="s">
        <v>45</v>
      </c>
      <c r="B57" s="464"/>
      <c r="C57" s="464"/>
      <c r="D57" s="464"/>
      <c r="E57" s="233"/>
    </row>
    <row r="58" spans="1:8" x14ac:dyDescent="0.2">
      <c r="A58" s="464" t="s">
        <v>105</v>
      </c>
      <c r="B58" s="464"/>
      <c r="C58" s="464"/>
      <c r="D58" s="464"/>
      <c r="E58" s="233"/>
    </row>
    <row r="60" spans="1:8" x14ac:dyDescent="0.2">
      <c r="A60" s="415" t="s">
        <v>43</v>
      </c>
      <c r="B60" s="415"/>
      <c r="C60" s="415"/>
      <c r="D60" s="415"/>
      <c r="E60" s="231"/>
    </row>
    <row r="61" spans="1:8" x14ac:dyDescent="0.2">
      <c r="A61" s="42">
        <v>2</v>
      </c>
      <c r="B61" s="430" t="s">
        <v>44</v>
      </c>
      <c r="C61" s="430"/>
      <c r="D61" s="42" t="s">
        <v>5</v>
      </c>
      <c r="E61" s="242"/>
      <c r="F61" s="218" t="s">
        <v>5</v>
      </c>
      <c r="H61" s="218" t="s">
        <v>5</v>
      </c>
    </row>
    <row r="62" spans="1:8" x14ac:dyDescent="0.2">
      <c r="A62" s="26" t="s">
        <v>20</v>
      </c>
      <c r="B62" s="438" t="s">
        <v>21</v>
      </c>
      <c r="C62" s="438"/>
      <c r="D62" s="16">
        <f>D27</f>
        <v>539.56967400000008</v>
      </c>
      <c r="E62" s="245"/>
      <c r="F62" s="203">
        <f>F27</f>
        <v>593.52664140000002</v>
      </c>
      <c r="H62" s="16">
        <f>H27</f>
        <v>593.52664140000002</v>
      </c>
    </row>
    <row r="63" spans="1:8" x14ac:dyDescent="0.2">
      <c r="A63" s="26" t="s">
        <v>26</v>
      </c>
      <c r="B63" s="414" t="s">
        <v>27</v>
      </c>
      <c r="C63" s="414"/>
      <c r="D63" s="16">
        <f>D42</f>
        <v>530.05531296059996</v>
      </c>
      <c r="E63" s="245"/>
      <c r="F63" s="203">
        <f>F42</f>
        <v>518.95467813420009</v>
      </c>
      <c r="H63" s="16">
        <f>H42</f>
        <v>518.95467813420009</v>
      </c>
    </row>
    <row r="64" spans="1:8" x14ac:dyDescent="0.2">
      <c r="A64" s="26" t="s">
        <v>39</v>
      </c>
      <c r="B64" s="414" t="s">
        <v>40</v>
      </c>
      <c r="C64" s="414"/>
      <c r="D64" s="16">
        <f>D56</f>
        <v>1199.5636</v>
      </c>
      <c r="E64" s="245"/>
      <c r="F64" s="203">
        <f>F56</f>
        <v>1260.7399600000001</v>
      </c>
      <c r="H64" s="16">
        <f>H56</f>
        <v>1260.7399600000001</v>
      </c>
    </row>
    <row r="65" spans="1:8" x14ac:dyDescent="0.2">
      <c r="A65" s="471" t="s">
        <v>17</v>
      </c>
      <c r="B65" s="475"/>
      <c r="C65" s="472"/>
      <c r="D65" s="18">
        <f>SUM(D62:D64)</f>
        <v>2269.1885869605999</v>
      </c>
      <c r="E65" s="246"/>
      <c r="F65" s="204">
        <f>SUM(F62:F64)</f>
        <v>2373.2212795342002</v>
      </c>
      <c r="H65" s="18">
        <f>SUM(H62:H64)</f>
        <v>2373.2212795342002</v>
      </c>
    </row>
    <row r="67" spans="1:8" x14ac:dyDescent="0.2">
      <c r="A67" s="415" t="s">
        <v>76</v>
      </c>
      <c r="B67" s="415"/>
      <c r="C67" s="415"/>
      <c r="D67" s="415"/>
      <c r="E67" s="231"/>
    </row>
    <row r="68" spans="1:8" x14ac:dyDescent="0.2">
      <c r="A68" s="42">
        <v>3</v>
      </c>
      <c r="B68" s="42" t="s">
        <v>46</v>
      </c>
      <c r="C68" s="42" t="s">
        <v>28</v>
      </c>
      <c r="D68" s="42" t="s">
        <v>5</v>
      </c>
      <c r="E68" s="218" t="s">
        <v>28</v>
      </c>
      <c r="F68" s="232" t="s">
        <v>5</v>
      </c>
      <c r="G68" s="232" t="s">
        <v>28</v>
      </c>
      <c r="H68" s="232" t="s">
        <v>5</v>
      </c>
    </row>
    <row r="69" spans="1:8" x14ac:dyDescent="0.2">
      <c r="A69" s="26" t="s">
        <v>6</v>
      </c>
      <c r="B69" s="5" t="s">
        <v>47</v>
      </c>
      <c r="C69" s="19">
        <v>4.1999999999999997E-3</v>
      </c>
      <c r="D69" s="20">
        <f t="shared" ref="D69:D74" si="5">C69*($D$19+$D$27)</f>
        <v>12.950740630799999</v>
      </c>
      <c r="E69" s="28">
        <v>4.1999999999999997E-3</v>
      </c>
      <c r="F69" s="257">
        <f t="shared" ref="F69:F75" si="6">$E69*(F$19+F$27)</f>
        <v>14.245814693880002</v>
      </c>
      <c r="G69" s="28">
        <v>4.1999999999999997E-3</v>
      </c>
      <c r="H69" s="9">
        <f t="shared" ref="H69:H75" si="7">$G69*(H$19+H$27)</f>
        <v>14.245814693880002</v>
      </c>
    </row>
    <row r="70" spans="1:8" x14ac:dyDescent="0.2">
      <c r="A70" s="26" t="s">
        <v>8</v>
      </c>
      <c r="B70" s="5" t="s">
        <v>48</v>
      </c>
      <c r="C70" s="19">
        <v>2.9999999999999997E-4</v>
      </c>
      <c r="D70" s="20">
        <f t="shared" si="5"/>
        <v>0.92505290219999992</v>
      </c>
      <c r="E70" s="28">
        <v>2.9999999999999997E-4</v>
      </c>
      <c r="F70" s="257">
        <f t="shared" si="6"/>
        <v>1.0175581924200001</v>
      </c>
      <c r="G70" s="28">
        <v>2.9999999999999997E-4</v>
      </c>
      <c r="H70" s="9">
        <f t="shared" si="7"/>
        <v>1.0175581924200001</v>
      </c>
    </row>
    <row r="71" spans="1:8" ht="25.5" x14ac:dyDescent="0.2">
      <c r="A71" s="26" t="s">
        <v>9</v>
      </c>
      <c r="B71" s="5" t="s">
        <v>49</v>
      </c>
      <c r="C71" s="27">
        <v>9.9999999999999995E-7</v>
      </c>
      <c r="D71" s="20">
        <f t="shared" si="5"/>
        <v>3.0835096739999998E-3</v>
      </c>
      <c r="E71" s="351">
        <v>9.9999999999999995E-7</v>
      </c>
      <c r="F71" s="260">
        <f t="shared" si="6"/>
        <v>3.3918606414000004E-3</v>
      </c>
      <c r="G71" s="351">
        <v>9.9999999999999995E-7</v>
      </c>
      <c r="H71" s="258">
        <f t="shared" si="7"/>
        <v>3.3918606414000004E-3</v>
      </c>
    </row>
    <row r="72" spans="1:8" x14ac:dyDescent="0.2">
      <c r="A72" s="26" t="s">
        <v>11</v>
      </c>
      <c r="B72" s="5" t="s">
        <v>50</v>
      </c>
      <c r="C72" s="28">
        <v>1.9400000000000001E-2</v>
      </c>
      <c r="D72" s="29">
        <f>C72*($D$19+$D$27)</f>
        <v>59.8200876756</v>
      </c>
      <c r="E72" s="348">
        <v>1.9400000000000001E-2</v>
      </c>
      <c r="F72" s="260">
        <f t="shared" si="6"/>
        <v>65.802096443160011</v>
      </c>
      <c r="G72" s="347">
        <v>1.9400000000000001E-3</v>
      </c>
      <c r="H72" s="260">
        <f t="shared" si="7"/>
        <v>6.5802096443160014</v>
      </c>
    </row>
    <row r="73" spans="1:8" ht="25.5" x14ac:dyDescent="0.2">
      <c r="A73" s="26" t="s">
        <v>13</v>
      </c>
      <c r="B73" s="5" t="s">
        <v>51</v>
      </c>
      <c r="C73" s="19">
        <v>7.1000000000000004E-3</v>
      </c>
      <c r="D73" s="20">
        <f>C73*($D$19+$D$27)</f>
        <v>21.892918685400002</v>
      </c>
      <c r="E73" s="28">
        <v>7.1000000000000004E-3</v>
      </c>
      <c r="F73" s="257">
        <f t="shared" si="6"/>
        <v>24.082210553940005</v>
      </c>
      <c r="G73" s="28">
        <v>7.1000000000000004E-3</v>
      </c>
      <c r="H73" s="258">
        <f t="shared" si="7"/>
        <v>24.082210553940005</v>
      </c>
    </row>
    <row r="74" spans="1:8" ht="25.5" x14ac:dyDescent="0.2">
      <c r="A74" s="26" t="s">
        <v>15</v>
      </c>
      <c r="B74" s="5" t="s">
        <v>52</v>
      </c>
      <c r="C74" s="19">
        <v>1E-4</v>
      </c>
      <c r="D74" s="20">
        <f t="shared" si="5"/>
        <v>0.30835096740000001</v>
      </c>
      <c r="E74" s="28">
        <v>1E-4</v>
      </c>
      <c r="F74" s="257">
        <f t="shared" si="6"/>
        <v>0.33918606414000008</v>
      </c>
      <c r="G74" s="28">
        <v>1E-4</v>
      </c>
      <c r="H74" s="258">
        <f t="shared" si="7"/>
        <v>0.33918606414000008</v>
      </c>
    </row>
    <row r="75" spans="1:8" x14ac:dyDescent="0.2">
      <c r="A75" s="30" t="s">
        <v>34</v>
      </c>
      <c r="B75" s="31" t="s">
        <v>128</v>
      </c>
      <c r="C75" s="19">
        <v>3.49E-2</v>
      </c>
      <c r="D75" s="20">
        <f>C75*($D$19+$D$27)</f>
        <v>107.6144876226</v>
      </c>
      <c r="E75" s="28">
        <v>3.49E-2</v>
      </c>
      <c r="F75" s="257">
        <f t="shared" si="6"/>
        <v>118.37593638486003</v>
      </c>
      <c r="G75" s="28">
        <v>3.49E-2</v>
      </c>
      <c r="H75" s="258">
        <f t="shared" si="7"/>
        <v>118.37593638486003</v>
      </c>
    </row>
    <row r="76" spans="1:8" x14ac:dyDescent="0.2">
      <c r="A76" s="471" t="s">
        <v>17</v>
      </c>
      <c r="B76" s="472"/>
      <c r="C76" s="17">
        <f t="shared" ref="C76:H76" si="8">SUM(C69:C75)</f>
        <v>6.6001000000000004E-2</v>
      </c>
      <c r="D76" s="18">
        <f t="shared" si="8"/>
        <v>203.51472199367402</v>
      </c>
      <c r="E76" s="350">
        <f t="shared" si="8"/>
        <v>6.6001000000000004E-2</v>
      </c>
      <c r="F76" s="202">
        <f t="shared" si="8"/>
        <v>223.86619419304145</v>
      </c>
      <c r="G76" s="350">
        <f t="shared" si="8"/>
        <v>4.8541000000000001E-2</v>
      </c>
      <c r="H76" s="202">
        <f t="shared" si="8"/>
        <v>164.64430739419743</v>
      </c>
    </row>
    <row r="77" spans="1:8" x14ac:dyDescent="0.2">
      <c r="A77" s="464" t="s">
        <v>106</v>
      </c>
      <c r="B77" s="464"/>
      <c r="C77" s="464"/>
      <c r="D77" s="464"/>
      <c r="E77" s="233"/>
    </row>
    <row r="78" spans="1:8" x14ac:dyDescent="0.2">
      <c r="A78" s="464" t="s">
        <v>114</v>
      </c>
      <c r="B78" s="464"/>
      <c r="C78" s="464"/>
      <c r="D78" s="464"/>
      <c r="E78" s="233"/>
    </row>
    <row r="80" spans="1:8" x14ac:dyDescent="0.2">
      <c r="A80" s="415" t="s">
        <v>53</v>
      </c>
      <c r="B80" s="415"/>
      <c r="C80" s="415"/>
      <c r="D80" s="415"/>
      <c r="E80" s="231"/>
    </row>
    <row r="81" spans="1:8" x14ac:dyDescent="0.2">
      <c r="A81" s="474" t="s">
        <v>107</v>
      </c>
      <c r="B81" s="474"/>
      <c r="C81" s="474"/>
      <c r="D81" s="474"/>
      <c r="E81" s="233"/>
    </row>
    <row r="83" spans="1:8" x14ac:dyDescent="0.2">
      <c r="A83" s="470" t="s">
        <v>109</v>
      </c>
      <c r="B83" s="470"/>
      <c r="C83" s="470"/>
      <c r="D83" s="470"/>
      <c r="E83" s="235"/>
    </row>
    <row r="84" spans="1:8" x14ac:dyDescent="0.2">
      <c r="A84" s="41" t="s">
        <v>54</v>
      </c>
      <c r="B84" s="43" t="s">
        <v>55</v>
      </c>
      <c r="C84" s="43" t="s">
        <v>28</v>
      </c>
      <c r="D84" s="43" t="s">
        <v>5</v>
      </c>
      <c r="E84" s="219" t="s">
        <v>28</v>
      </c>
      <c r="F84" s="219" t="s">
        <v>5</v>
      </c>
      <c r="G84" s="219" t="s">
        <v>28</v>
      </c>
      <c r="H84" s="219" t="s">
        <v>5</v>
      </c>
    </row>
    <row r="85" spans="1:8" x14ac:dyDescent="0.2">
      <c r="A85" s="26" t="s">
        <v>6</v>
      </c>
      <c r="B85" s="5" t="s">
        <v>56</v>
      </c>
      <c r="C85" s="19">
        <v>7.6E-3</v>
      </c>
      <c r="D85" s="20">
        <f t="shared" ref="D85:D90" si="9">C85*($D$19+$D$27)</f>
        <v>23.434673522400001</v>
      </c>
      <c r="E85" s="19">
        <v>7.6E-3</v>
      </c>
      <c r="F85" s="205">
        <f>E85*(F$19+F$27)</f>
        <v>25.778140874640005</v>
      </c>
      <c r="G85" s="19">
        <v>7.6E-3</v>
      </c>
      <c r="H85" s="20">
        <f t="shared" ref="H85:H90" si="10">$G85*(H$19+H$27)</f>
        <v>25.778140874640005</v>
      </c>
    </row>
    <row r="86" spans="1:8" x14ac:dyDescent="0.2">
      <c r="A86" s="26" t="s">
        <v>8</v>
      </c>
      <c r="B86" s="5" t="s">
        <v>57</v>
      </c>
      <c r="C86" s="19">
        <v>8.2000000000000007E-3</v>
      </c>
      <c r="D86" s="20">
        <f t="shared" si="9"/>
        <v>25.284779326800003</v>
      </c>
      <c r="E86" s="19">
        <v>8.2000000000000007E-3</v>
      </c>
      <c r="F86" s="205">
        <f t="shared" ref="F86:F90" si="11">E86*(F$19+F$27)</f>
        <v>27.813257259480007</v>
      </c>
      <c r="G86" s="19">
        <v>8.2000000000000007E-3</v>
      </c>
      <c r="H86" s="20">
        <f t="shared" si="10"/>
        <v>27.813257259480007</v>
      </c>
    </row>
    <row r="87" spans="1:8" x14ac:dyDescent="0.2">
      <c r="A87" s="26" t="s">
        <v>9</v>
      </c>
      <c r="B87" s="5" t="s">
        <v>58</v>
      </c>
      <c r="C87" s="19">
        <v>2.0000000000000001E-4</v>
      </c>
      <c r="D87" s="20">
        <f t="shared" si="9"/>
        <v>0.61670193480000002</v>
      </c>
      <c r="E87" s="19">
        <v>2.0000000000000001E-4</v>
      </c>
      <c r="F87" s="205">
        <f t="shared" si="11"/>
        <v>0.67837212828000015</v>
      </c>
      <c r="G87" s="19">
        <v>2.0000000000000001E-4</v>
      </c>
      <c r="H87" s="20">
        <f t="shared" si="10"/>
        <v>0.67837212828000015</v>
      </c>
    </row>
    <row r="88" spans="1:8" ht="25.5" x14ac:dyDescent="0.2">
      <c r="A88" s="26" t="s">
        <v>11</v>
      </c>
      <c r="B88" s="5" t="s">
        <v>59</v>
      </c>
      <c r="C88" s="19">
        <v>2.9999999999999997E-4</v>
      </c>
      <c r="D88" s="20">
        <f t="shared" si="9"/>
        <v>0.92505290219999992</v>
      </c>
      <c r="E88" s="19">
        <v>2.9999999999999997E-4</v>
      </c>
      <c r="F88" s="205">
        <f t="shared" si="11"/>
        <v>1.0175581924200001</v>
      </c>
      <c r="G88" s="19">
        <v>2.9999999999999997E-4</v>
      </c>
      <c r="H88" s="20">
        <f t="shared" si="10"/>
        <v>1.0175581924200001</v>
      </c>
    </row>
    <row r="89" spans="1:8" x14ac:dyDescent="0.2">
      <c r="A89" s="26" t="s">
        <v>13</v>
      </c>
      <c r="B89" s="5" t="s">
        <v>60</v>
      </c>
      <c r="C89" s="19">
        <v>2.8999999999999998E-3</v>
      </c>
      <c r="D89" s="20">
        <f t="shared" si="9"/>
        <v>8.9421780545999994</v>
      </c>
      <c r="E89" s="19">
        <v>2.8999999999999998E-3</v>
      </c>
      <c r="F89" s="205">
        <f t="shared" si="11"/>
        <v>9.8363958600600014</v>
      </c>
      <c r="G89" s="19">
        <v>2.8999999999999998E-3</v>
      </c>
      <c r="H89" s="20">
        <f t="shared" si="10"/>
        <v>9.8363958600600014</v>
      </c>
    </row>
    <row r="90" spans="1:8" ht="25.5" x14ac:dyDescent="0.2">
      <c r="A90" s="26" t="s">
        <v>15</v>
      </c>
      <c r="B90" s="5" t="s">
        <v>134</v>
      </c>
      <c r="C90" s="19">
        <v>1.66E-2</v>
      </c>
      <c r="D90" s="20">
        <f t="shared" si="9"/>
        <v>51.186260588399996</v>
      </c>
      <c r="E90" s="19">
        <v>1.66E-2</v>
      </c>
      <c r="F90" s="205">
        <f t="shared" si="11"/>
        <v>56.304886647240011</v>
      </c>
      <c r="G90" s="19">
        <v>1.66E-2</v>
      </c>
      <c r="H90" s="20">
        <f t="shared" si="10"/>
        <v>56.304886647240011</v>
      </c>
    </row>
    <row r="91" spans="1:8" x14ac:dyDescent="0.2">
      <c r="A91" s="471" t="s">
        <v>17</v>
      </c>
      <c r="B91" s="472"/>
      <c r="C91" s="17">
        <f t="shared" ref="C91:H91" si="12">SUM(C85:C90)</f>
        <v>3.5799999999999998E-2</v>
      </c>
      <c r="D91" s="18">
        <f t="shared" si="12"/>
        <v>110.38964632919999</v>
      </c>
      <c r="E91" s="17">
        <f t="shared" si="12"/>
        <v>3.5799999999999998E-2</v>
      </c>
      <c r="F91" s="207">
        <f t="shared" si="12"/>
        <v>121.42861096212002</v>
      </c>
      <c r="G91" s="17">
        <f t="shared" si="12"/>
        <v>3.5799999999999998E-2</v>
      </c>
      <c r="H91" s="137">
        <f t="shared" si="12"/>
        <v>121.42861096212002</v>
      </c>
    </row>
    <row r="92" spans="1:8" x14ac:dyDescent="0.2">
      <c r="A92" s="464" t="s">
        <v>115</v>
      </c>
      <c r="B92" s="464"/>
      <c r="C92" s="464"/>
      <c r="D92" s="464"/>
      <c r="E92" s="233"/>
    </row>
    <row r="94" spans="1:8" x14ac:dyDescent="0.2">
      <c r="A94" s="473" t="s">
        <v>110</v>
      </c>
      <c r="B94" s="473"/>
      <c r="C94" s="473"/>
      <c r="D94" s="473"/>
      <c r="E94" s="234"/>
    </row>
    <row r="95" spans="1:8" x14ac:dyDescent="0.2">
      <c r="A95" s="41" t="s">
        <v>61</v>
      </c>
      <c r="B95" s="43" t="s">
        <v>62</v>
      </c>
      <c r="C95" s="43" t="s">
        <v>5</v>
      </c>
      <c r="D95" s="41"/>
      <c r="E95" s="234"/>
      <c r="F95" s="234"/>
      <c r="G95" s="247"/>
      <c r="H95" s="234"/>
    </row>
    <row r="96" spans="1:8" ht="25.5" x14ac:dyDescent="0.2">
      <c r="A96" s="26" t="s">
        <v>6</v>
      </c>
      <c r="B96" s="5" t="s">
        <v>63</v>
      </c>
      <c r="C96" s="32"/>
      <c r="D96" s="33"/>
      <c r="E96" s="247"/>
      <c r="F96" s="247"/>
      <c r="G96" s="247"/>
      <c r="H96" s="247"/>
    </row>
    <row r="97" spans="1:8" x14ac:dyDescent="0.2">
      <c r="A97" s="466" t="s">
        <v>17</v>
      </c>
      <c r="B97" s="468"/>
      <c r="C97" s="16">
        <f>SUM(C96)</f>
        <v>0</v>
      </c>
      <c r="D97" s="33"/>
      <c r="E97" s="247"/>
      <c r="F97" s="247"/>
      <c r="G97" s="247"/>
      <c r="H97" s="247"/>
    </row>
    <row r="99" spans="1:8" x14ac:dyDescent="0.2">
      <c r="A99" s="415" t="s">
        <v>111</v>
      </c>
      <c r="B99" s="415"/>
      <c r="C99" s="415"/>
      <c r="D99" s="415"/>
      <c r="E99" s="231"/>
    </row>
    <row r="100" spans="1:8" x14ac:dyDescent="0.2">
      <c r="A100" s="40">
        <v>4</v>
      </c>
      <c r="B100" s="430" t="s">
        <v>64</v>
      </c>
      <c r="C100" s="430"/>
      <c r="D100" s="42" t="s">
        <v>5</v>
      </c>
      <c r="E100" s="242"/>
      <c r="F100" s="218" t="s">
        <v>5</v>
      </c>
      <c r="H100" s="218" t="s">
        <v>5</v>
      </c>
    </row>
    <row r="101" spans="1:8" x14ac:dyDescent="0.2">
      <c r="A101" s="8" t="s">
        <v>54</v>
      </c>
      <c r="B101" s="414" t="s">
        <v>55</v>
      </c>
      <c r="C101" s="414"/>
      <c r="D101" s="16">
        <f>D91</f>
        <v>110.38964632919999</v>
      </c>
      <c r="E101" s="245"/>
      <c r="F101" s="16">
        <f>F91</f>
        <v>121.42861096212002</v>
      </c>
      <c r="H101" s="16">
        <f>H91</f>
        <v>121.42861096212002</v>
      </c>
    </row>
    <row r="102" spans="1:8" x14ac:dyDescent="0.2">
      <c r="A102" s="8" t="s">
        <v>61</v>
      </c>
      <c r="B102" s="14" t="s">
        <v>65</v>
      </c>
      <c r="C102" s="14"/>
      <c r="D102" s="32">
        <f>C97</f>
        <v>0</v>
      </c>
      <c r="E102" s="245"/>
      <c r="F102" s="32">
        <f>D97</f>
        <v>0</v>
      </c>
      <c r="H102" s="32">
        <f>G97</f>
        <v>0</v>
      </c>
    </row>
    <row r="103" spans="1:8" x14ac:dyDescent="0.2">
      <c r="A103" s="463" t="s">
        <v>17</v>
      </c>
      <c r="B103" s="463"/>
      <c r="C103" s="463"/>
      <c r="D103" s="18">
        <f>SUM(D101:D102)</f>
        <v>110.38964632919999</v>
      </c>
      <c r="E103" s="246"/>
      <c r="F103" s="18">
        <f>SUM(F101:F102)</f>
        <v>121.42861096212002</v>
      </c>
      <c r="H103" s="18">
        <f>SUM(H101:H102)</f>
        <v>121.42861096212002</v>
      </c>
    </row>
    <row r="104" spans="1:8" x14ac:dyDescent="0.2">
      <c r="E104" s="247"/>
    </row>
    <row r="105" spans="1:8" x14ac:dyDescent="0.2">
      <c r="A105" s="415" t="s">
        <v>66</v>
      </c>
      <c r="B105" s="415"/>
      <c r="C105" s="415"/>
      <c r="D105" s="415"/>
      <c r="E105" s="248"/>
    </row>
    <row r="106" spans="1:8" x14ac:dyDescent="0.2">
      <c r="A106" s="41">
        <v>5</v>
      </c>
      <c r="B106" s="437" t="s">
        <v>67</v>
      </c>
      <c r="C106" s="437"/>
      <c r="D106" s="43" t="s">
        <v>5</v>
      </c>
      <c r="E106" s="242"/>
      <c r="F106" s="219" t="s">
        <v>5</v>
      </c>
      <c r="H106" s="219" t="s">
        <v>5</v>
      </c>
    </row>
    <row r="107" spans="1:8" x14ac:dyDescent="0.2">
      <c r="A107" s="8" t="s">
        <v>6</v>
      </c>
      <c r="B107" s="414" t="s">
        <v>68</v>
      </c>
      <c r="C107" s="414"/>
      <c r="D107" s="107">
        <f>'TABELA 4 Uniformes e EPIS'!$E29</f>
        <v>61.65</v>
      </c>
      <c r="E107" s="249"/>
      <c r="F107" s="107">
        <f>'TABELA 4 Uniformes e EPIS'!$E29</f>
        <v>61.65</v>
      </c>
      <c r="H107" s="107">
        <f>'TABELA 4 Uniformes e EPIS'!$E29</f>
        <v>61.65</v>
      </c>
    </row>
    <row r="108" spans="1:8" x14ac:dyDescent="0.2">
      <c r="A108" s="8" t="s">
        <v>8</v>
      </c>
      <c r="B108" s="414" t="s">
        <v>386</v>
      </c>
      <c r="C108" s="414"/>
      <c r="D108" s="107">
        <f>'TABELA 4 Uniformes e EPIS'!$E48+'TABELA 4 Uniformes e EPIS'!$E126+'TABELA 5 - Ferramentas'!$I145</f>
        <v>41.765471014492746</v>
      </c>
      <c r="E108" s="249"/>
      <c r="F108" s="107">
        <f>'TABELA 4 Uniformes e EPIS'!$E48+'TABELA 4 Uniformes e EPIS'!$E126+'TABELA 5 - Ferramentas'!$I145</f>
        <v>41.765471014492746</v>
      </c>
      <c r="H108" s="107">
        <f>'TABELA 4 Uniformes e EPIS'!$E48+'TABELA 4 Uniformes e EPIS'!$E126+'TABELA 5 - Ferramentas'!$I145</f>
        <v>41.765471014492746</v>
      </c>
    </row>
    <row r="109" spans="1:8" x14ac:dyDescent="0.2">
      <c r="A109" s="8" t="s">
        <v>9</v>
      </c>
      <c r="B109" s="414" t="s">
        <v>69</v>
      </c>
      <c r="C109" s="414"/>
      <c r="D109" s="16">
        <v>0</v>
      </c>
      <c r="E109" s="245"/>
      <c r="F109" s="16">
        <v>0</v>
      </c>
      <c r="H109" s="16">
        <v>0</v>
      </c>
    </row>
    <row r="110" spans="1:8" x14ac:dyDescent="0.2">
      <c r="A110" s="8" t="s">
        <v>11</v>
      </c>
      <c r="B110" s="414" t="s">
        <v>16</v>
      </c>
      <c r="C110" s="414"/>
      <c r="D110" s="16">
        <v>0</v>
      </c>
      <c r="E110" s="245"/>
      <c r="F110" s="16">
        <v>0</v>
      </c>
      <c r="H110" s="16">
        <v>0</v>
      </c>
    </row>
    <row r="111" spans="1:8" x14ac:dyDescent="0.2">
      <c r="A111" s="463" t="s">
        <v>17</v>
      </c>
      <c r="B111" s="463"/>
      <c r="C111" s="463"/>
      <c r="D111" s="18">
        <f>SUM(D107:D110)</f>
        <v>103.41547101449274</v>
      </c>
      <c r="E111" s="250"/>
      <c r="F111" s="18">
        <f>SUM(F107:F110)</f>
        <v>103.41547101449274</v>
      </c>
      <c r="H111" s="18">
        <f>SUM(H107:H110)</f>
        <v>103.41547101449274</v>
      </c>
    </row>
    <row r="112" spans="1:8" x14ac:dyDescent="0.2">
      <c r="A112" s="464" t="s">
        <v>78</v>
      </c>
      <c r="B112" s="464"/>
      <c r="C112" s="464"/>
      <c r="D112" s="464"/>
      <c r="E112" s="233"/>
    </row>
    <row r="114" spans="1:8" x14ac:dyDescent="0.2">
      <c r="A114" s="415" t="s">
        <v>70</v>
      </c>
      <c r="B114" s="415"/>
      <c r="C114" s="415"/>
      <c r="D114" s="415"/>
      <c r="E114" s="231"/>
    </row>
    <row r="115" spans="1:8" ht="12.75" customHeight="1" x14ac:dyDescent="0.2">
      <c r="A115" s="469" t="s">
        <v>116</v>
      </c>
      <c r="B115" s="469"/>
      <c r="C115" s="460" t="s">
        <v>117</v>
      </c>
      <c r="D115" s="460"/>
      <c r="E115" s="461" t="s">
        <v>117</v>
      </c>
      <c r="F115" s="462"/>
      <c r="G115" s="460" t="s">
        <v>117</v>
      </c>
      <c r="H115" s="460"/>
    </row>
    <row r="116" spans="1:8" x14ac:dyDescent="0.2">
      <c r="A116" s="40">
        <v>6</v>
      </c>
      <c r="B116" s="42" t="s">
        <v>71</v>
      </c>
      <c r="C116" s="42" t="s">
        <v>28</v>
      </c>
      <c r="D116" s="40" t="s">
        <v>5</v>
      </c>
      <c r="E116" s="218" t="s">
        <v>28</v>
      </c>
      <c r="F116" s="217" t="s">
        <v>5</v>
      </c>
      <c r="G116" s="218" t="s">
        <v>28</v>
      </c>
      <c r="H116" s="217" t="s">
        <v>5</v>
      </c>
    </row>
    <row r="117" spans="1:8" x14ac:dyDescent="0.2">
      <c r="A117" s="8" t="s">
        <v>6</v>
      </c>
      <c r="B117" s="14" t="s">
        <v>72</v>
      </c>
      <c r="C117" s="19">
        <v>0.06</v>
      </c>
      <c r="D117" s="20">
        <f>C117*D135</f>
        <v>313.82690557787805</v>
      </c>
      <c r="E117" s="19">
        <v>0.06</v>
      </c>
      <c r="F117" s="205">
        <f>$E117*F$135</f>
        <v>337.21593334223132</v>
      </c>
      <c r="G117" s="19">
        <v>0.06</v>
      </c>
      <c r="H117" s="205">
        <f>$G117*H$135</f>
        <v>333.66262013430065</v>
      </c>
    </row>
    <row r="118" spans="1:8" x14ac:dyDescent="0.2">
      <c r="A118" s="8" t="s">
        <v>8</v>
      </c>
      <c r="B118" s="14" t="s">
        <v>73</v>
      </c>
      <c r="C118" s="19">
        <v>0.05</v>
      </c>
      <c r="D118" s="20">
        <f>C118*D135</f>
        <v>261.52242131489839</v>
      </c>
      <c r="E118" s="19">
        <v>0.05</v>
      </c>
      <c r="F118" s="205">
        <f>$E118*F$135</f>
        <v>281.01327778519277</v>
      </c>
      <c r="G118" s="19">
        <v>0.05</v>
      </c>
      <c r="H118" s="205">
        <f>$G118*H$135</f>
        <v>278.05218344525059</v>
      </c>
    </row>
    <row r="119" spans="1:8" x14ac:dyDescent="0.2">
      <c r="A119" s="8" t="s">
        <v>9</v>
      </c>
      <c r="B119" s="14" t="s">
        <v>125</v>
      </c>
      <c r="C119" s="34">
        <f>SUM(C120:C122)</f>
        <v>5.6499999999999995E-2</v>
      </c>
      <c r="D119" s="20">
        <f>(D135+D118+D117)*(C119/IF(C115="Lucro presumido",91.45%,85.75%))</f>
        <v>358.69608863343581</v>
      </c>
      <c r="E119" s="34">
        <f>SUM(E120:E122)</f>
        <v>5.6499999999999995E-2</v>
      </c>
      <c r="F119" s="205">
        <f>(F$135+F$118+F$117)*($E119/IF($E115="Lucro presumido",91.45%,85.75%))</f>
        <v>385.42914633785375</v>
      </c>
      <c r="G119" s="34">
        <f>SUM(G120:G122)</f>
        <v>5.6499999999999995E-2</v>
      </c>
      <c r="H119" s="205">
        <f>(H$135+H$118+H$117)*($G119/IF($G115="Lucro presumido",91.45%,85.75%))</f>
        <v>381.36780065104176</v>
      </c>
    </row>
    <row r="120" spans="1:8" x14ac:dyDescent="0.2">
      <c r="A120" s="8" t="s">
        <v>120</v>
      </c>
      <c r="B120" s="14" t="s">
        <v>119</v>
      </c>
      <c r="C120" s="34">
        <f>IF(C115="Lucro presumido",0.65%,1.65%)</f>
        <v>6.5000000000000006E-3</v>
      </c>
      <c r="D120" s="35" t="s">
        <v>118</v>
      </c>
      <c r="E120" s="34">
        <f>IF(E115="Lucro presumido",0.65%,1.65%)</f>
        <v>6.5000000000000006E-3</v>
      </c>
      <c r="F120" s="35" t="s">
        <v>118</v>
      </c>
      <c r="G120" s="34">
        <f>IF(G115="Lucro presumido",0.65%,1.65%)</f>
        <v>6.5000000000000006E-3</v>
      </c>
      <c r="H120" s="35" t="s">
        <v>118</v>
      </c>
    </row>
    <row r="121" spans="1:8" x14ac:dyDescent="0.2">
      <c r="A121" s="8" t="s">
        <v>122</v>
      </c>
      <c r="B121" s="14" t="s">
        <v>121</v>
      </c>
      <c r="C121" s="34">
        <f>IF(C115="Lucro presumido",3%,7.6%)</f>
        <v>0.03</v>
      </c>
      <c r="D121" s="35" t="s">
        <v>118</v>
      </c>
      <c r="E121" s="34">
        <f>IF(E115="Lucro presumido",3%,7.6%)</f>
        <v>0.03</v>
      </c>
      <c r="F121" s="35" t="s">
        <v>118</v>
      </c>
      <c r="G121" s="34">
        <f>IF(G115="Lucro presumido",3%,7.6%)</f>
        <v>0.03</v>
      </c>
      <c r="H121" s="35" t="s">
        <v>118</v>
      </c>
    </row>
    <row r="122" spans="1:8" x14ac:dyDescent="0.2">
      <c r="A122" s="8" t="s">
        <v>124</v>
      </c>
      <c r="B122" s="14" t="s">
        <v>123</v>
      </c>
      <c r="C122" s="34">
        <v>0.02</v>
      </c>
      <c r="D122" s="35" t="s">
        <v>118</v>
      </c>
      <c r="E122" s="34">
        <v>0.02</v>
      </c>
      <c r="F122" s="35" t="s">
        <v>118</v>
      </c>
      <c r="G122" s="34">
        <v>0.02</v>
      </c>
      <c r="H122" s="35" t="s">
        <v>118</v>
      </c>
    </row>
    <row r="123" spans="1:8" ht="25.5" x14ac:dyDescent="0.2">
      <c r="A123" s="26" t="s">
        <v>11</v>
      </c>
      <c r="B123" s="5" t="s">
        <v>127</v>
      </c>
      <c r="C123" s="36">
        <v>4.4999999999999998E-2</v>
      </c>
      <c r="D123" s="37">
        <f>(D135+D118+D117)*(C123/IF(C115="Lucro presumido",91.45%,85.75%))</f>
        <v>285.68715023901973</v>
      </c>
      <c r="E123" s="36">
        <v>4.4999999999999998E-2</v>
      </c>
      <c r="F123" s="208">
        <f>(F$135+F$118+F$117)*($E123/IF($E115="Lucro presumido",91.45%,85.75%))</f>
        <v>306.97896610979507</v>
      </c>
      <c r="G123" s="36">
        <v>4.4999999999999998E-2</v>
      </c>
      <c r="H123" s="208">
        <f>(H$135+H$118+H$117)*($G123/IF($G115="Lucro presumido",91.45%,85.75%))</f>
        <v>303.74426600525459</v>
      </c>
    </row>
    <row r="124" spans="1:8" x14ac:dyDescent="0.2">
      <c r="A124" s="463" t="s">
        <v>17</v>
      </c>
      <c r="B124" s="463"/>
      <c r="C124" s="21">
        <f>SUM(C117:C119)+(C123)</f>
        <v>0.21149999999999997</v>
      </c>
      <c r="D124" s="22">
        <f>SUM(D117:D123)</f>
        <v>1219.7325657652318</v>
      </c>
      <c r="E124" s="21">
        <f>SUM(E117:E119)+(E123)</f>
        <v>0.21149999999999997</v>
      </c>
      <c r="F124" s="207">
        <f>SUM(F117:F123)</f>
        <v>1310.637323575073</v>
      </c>
      <c r="G124" s="21">
        <f>SUM(G117:G119)+(G123)</f>
        <v>0.21149999999999997</v>
      </c>
      <c r="H124" s="207">
        <f>SUM(H117:H123)</f>
        <v>1296.8268702358475</v>
      </c>
    </row>
    <row r="125" spans="1:8" x14ac:dyDescent="0.2">
      <c r="A125" s="464" t="s">
        <v>79</v>
      </c>
      <c r="B125" s="464"/>
      <c r="C125" s="464"/>
      <c r="D125" s="464"/>
      <c r="E125" s="233"/>
    </row>
    <row r="126" spans="1:8" x14ac:dyDescent="0.2">
      <c r="A126" s="464" t="s">
        <v>126</v>
      </c>
      <c r="B126" s="464"/>
      <c r="C126" s="464"/>
      <c r="D126" s="464"/>
      <c r="E126" s="233"/>
    </row>
    <row r="128" spans="1:8" x14ac:dyDescent="0.2">
      <c r="A128" s="415" t="s">
        <v>112</v>
      </c>
      <c r="B128" s="415"/>
      <c r="C128" s="415"/>
      <c r="D128" s="415"/>
      <c r="E128" s="231"/>
    </row>
    <row r="129" spans="1:8" x14ac:dyDescent="0.2">
      <c r="A129" s="466" t="s">
        <v>80</v>
      </c>
      <c r="B129" s="467"/>
      <c r="C129" s="468"/>
      <c r="D129" s="43" t="s">
        <v>74</v>
      </c>
      <c r="E129" s="242"/>
      <c r="F129" s="219" t="s">
        <v>74</v>
      </c>
      <c r="H129" s="219" t="s">
        <v>74</v>
      </c>
    </row>
    <row r="130" spans="1:8" x14ac:dyDescent="0.2">
      <c r="A130" s="26" t="s">
        <v>6</v>
      </c>
      <c r="B130" s="438" t="s">
        <v>75</v>
      </c>
      <c r="C130" s="438"/>
      <c r="D130" s="16">
        <f>D19</f>
        <v>2543.94</v>
      </c>
      <c r="E130" s="292"/>
      <c r="F130" s="203">
        <f>F19</f>
        <v>2798.3340000000003</v>
      </c>
      <c r="G130" s="293"/>
      <c r="H130" s="211">
        <f>H19</f>
        <v>2798.3340000000003</v>
      </c>
    </row>
    <row r="131" spans="1:8" x14ac:dyDescent="0.2">
      <c r="A131" s="26" t="s">
        <v>8</v>
      </c>
      <c r="B131" s="438" t="s">
        <v>19</v>
      </c>
      <c r="C131" s="438"/>
      <c r="D131" s="16">
        <f>D65</f>
        <v>2269.1885869605999</v>
      </c>
      <c r="E131" s="292"/>
      <c r="F131" s="203">
        <f>F65</f>
        <v>2373.2212795342002</v>
      </c>
      <c r="G131" s="293"/>
      <c r="H131" s="211">
        <f>H65</f>
        <v>2373.2212795342002</v>
      </c>
    </row>
    <row r="132" spans="1:8" x14ac:dyDescent="0.2">
      <c r="A132" s="26" t="s">
        <v>9</v>
      </c>
      <c r="B132" s="438" t="s">
        <v>76</v>
      </c>
      <c r="C132" s="438"/>
      <c r="D132" s="16">
        <f>D76</f>
        <v>203.51472199367402</v>
      </c>
      <c r="E132" s="292"/>
      <c r="F132" s="203">
        <f>F76</f>
        <v>223.86619419304145</v>
      </c>
      <c r="G132" s="293"/>
      <c r="H132" s="203">
        <f>H76</f>
        <v>164.64430739419743</v>
      </c>
    </row>
    <row r="133" spans="1:8" x14ac:dyDescent="0.2">
      <c r="A133" s="26" t="s">
        <v>11</v>
      </c>
      <c r="B133" s="438" t="s">
        <v>53</v>
      </c>
      <c r="C133" s="438"/>
      <c r="D133" s="16">
        <f>D103</f>
        <v>110.38964632919999</v>
      </c>
      <c r="E133" s="292"/>
      <c r="F133" s="203">
        <f>F103</f>
        <v>121.42861096212002</v>
      </c>
      <c r="G133" s="293"/>
      <c r="H133" s="211">
        <f>H103</f>
        <v>121.42861096212002</v>
      </c>
    </row>
    <row r="134" spans="1:8" x14ac:dyDescent="0.2">
      <c r="A134" s="26" t="s">
        <v>13</v>
      </c>
      <c r="B134" s="438" t="s">
        <v>66</v>
      </c>
      <c r="C134" s="438"/>
      <c r="D134" s="16">
        <f>D111</f>
        <v>103.41547101449274</v>
      </c>
      <c r="E134" s="292"/>
      <c r="F134" s="211">
        <f>F111</f>
        <v>103.41547101449274</v>
      </c>
      <c r="G134" s="293"/>
      <c r="H134" s="211">
        <f>H111</f>
        <v>103.41547101449274</v>
      </c>
    </row>
    <row r="135" spans="1:8" x14ac:dyDescent="0.2">
      <c r="A135" s="463" t="s">
        <v>77</v>
      </c>
      <c r="B135" s="463"/>
      <c r="C135" s="463"/>
      <c r="D135" s="18">
        <f>SUM(D130:D134)</f>
        <v>5230.4484262979677</v>
      </c>
      <c r="E135" s="294"/>
      <c r="F135" s="204">
        <f>SUM(F130:F134)</f>
        <v>5620.2655557038552</v>
      </c>
      <c r="G135" s="293"/>
      <c r="H135" s="204">
        <f>SUM(H130:H134)</f>
        <v>5561.0436689050111</v>
      </c>
    </row>
    <row r="136" spans="1:8" x14ac:dyDescent="0.2">
      <c r="A136" s="8" t="s">
        <v>15</v>
      </c>
      <c r="B136" s="414" t="s">
        <v>70</v>
      </c>
      <c r="C136" s="414"/>
      <c r="D136" s="16">
        <f>D124</f>
        <v>1219.7325657652318</v>
      </c>
      <c r="E136" s="292"/>
      <c r="F136" s="203">
        <f>F124</f>
        <v>1310.637323575073</v>
      </c>
      <c r="G136" s="293"/>
      <c r="H136" s="203">
        <f>H124</f>
        <v>1296.8268702358475</v>
      </c>
    </row>
    <row r="137" spans="1:8" x14ac:dyDescent="0.2">
      <c r="A137" s="415" t="s">
        <v>439</v>
      </c>
      <c r="B137" s="415"/>
      <c r="C137" s="415"/>
      <c r="D137" s="38">
        <f>SUM(D135:D136)</f>
        <v>6450.1809920631995</v>
      </c>
      <c r="E137" s="251"/>
      <c r="F137" s="209">
        <f>SUM(F135:F136)</f>
        <v>6930.9028792789286</v>
      </c>
      <c r="H137" s="209">
        <f>SUM(H135:H136)</f>
        <v>6857.8705391408585</v>
      </c>
    </row>
    <row r="140" spans="1:8" x14ac:dyDescent="0.2">
      <c r="A140" s="465" t="s">
        <v>469</v>
      </c>
      <c r="B140" s="465"/>
      <c r="C140" s="465"/>
      <c r="D140" s="465"/>
      <c r="E140" s="240"/>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8:D58"/>
    <mergeCell ref="A30:D30"/>
    <mergeCell ref="A32:D32"/>
    <mergeCell ref="A42:B42"/>
    <mergeCell ref="A43:D43"/>
    <mergeCell ref="A44:D44"/>
    <mergeCell ref="A45:D45"/>
    <mergeCell ref="A46:D46"/>
    <mergeCell ref="A47:D47"/>
    <mergeCell ref="A49:D49"/>
    <mergeCell ref="A56:C56"/>
    <mergeCell ref="A57:D57"/>
    <mergeCell ref="A81:D81"/>
    <mergeCell ref="A60:D60"/>
    <mergeCell ref="B61:C61"/>
    <mergeCell ref="B62:C62"/>
    <mergeCell ref="B63:C63"/>
    <mergeCell ref="B64:C64"/>
    <mergeCell ref="A65:C65"/>
    <mergeCell ref="A67:D67"/>
    <mergeCell ref="A76:B76"/>
    <mergeCell ref="A77:D77"/>
    <mergeCell ref="A78:D78"/>
    <mergeCell ref="A80:D80"/>
    <mergeCell ref="B107:C107"/>
    <mergeCell ref="A83:D83"/>
    <mergeCell ref="A91:B91"/>
    <mergeCell ref="A92:D92"/>
    <mergeCell ref="A94:D94"/>
    <mergeCell ref="A97:B97"/>
    <mergeCell ref="A99:D99"/>
    <mergeCell ref="B100:C100"/>
    <mergeCell ref="B101:C101"/>
    <mergeCell ref="A103:C103"/>
    <mergeCell ref="A105:D105"/>
    <mergeCell ref="B106:C106"/>
    <mergeCell ref="A114:D114"/>
    <mergeCell ref="A115:B115"/>
    <mergeCell ref="C115:D115"/>
    <mergeCell ref="A124:B124"/>
    <mergeCell ref="A125:D125"/>
    <mergeCell ref="B108:C108"/>
    <mergeCell ref="B109:C109"/>
    <mergeCell ref="B110:C110"/>
    <mergeCell ref="A111:C111"/>
    <mergeCell ref="A112:D112"/>
    <mergeCell ref="A140:D140"/>
    <mergeCell ref="A129:C129"/>
    <mergeCell ref="B130:C130"/>
    <mergeCell ref="B131:C131"/>
    <mergeCell ref="B132:C132"/>
    <mergeCell ref="B133:C133"/>
    <mergeCell ref="B134:C134"/>
    <mergeCell ref="G115:H115"/>
    <mergeCell ref="E115:F115"/>
    <mergeCell ref="A135:C135"/>
    <mergeCell ref="B136:C136"/>
    <mergeCell ref="A137:C137"/>
    <mergeCell ref="A128:D128"/>
    <mergeCell ref="A126:D126"/>
  </mergeCells>
  <dataValidations disablePrompts="1" count="1">
    <dataValidation type="list" allowBlank="1" showInputMessage="1" showErrorMessage="1" sqref="G115 C115:E115" xr:uid="{00000000-0002-0000-0900-000000000000}">
      <formula1>"Lucro presumido,Lucro real"</formula1>
    </dataValidation>
  </dataValidations>
  <pageMargins left="0.511811024" right="0.511811024" top="0.78740157499999996" bottom="0.78740157499999996" header="0.31496062000000002" footer="0.31496062000000002"/>
  <pageSetup paperSize="9" scale="5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pageSetUpPr fitToPage="1"/>
  </sheetPr>
  <dimension ref="A1:H140"/>
  <sheetViews>
    <sheetView showGridLines="0" topLeftCell="A13" zoomScaleNormal="100" workbookViewId="0">
      <selection activeCell="F137" sqref="F137"/>
    </sheetView>
  </sheetViews>
  <sheetFormatPr defaultColWidth="8.7109375" defaultRowHeight="12.75" x14ac:dyDescent="0.2"/>
  <cols>
    <col min="1" max="1" width="5" style="1" bestFit="1" customWidth="1"/>
    <col min="2" max="2" width="45.7109375" style="12" bestFit="1" customWidth="1"/>
    <col min="3" max="3" width="14.140625" style="12" bestFit="1" customWidth="1"/>
    <col min="4" max="4" width="9.85546875" style="1" bestFit="1" customWidth="1"/>
    <col min="5" max="5" width="14.140625" style="221" bestFit="1" customWidth="1"/>
    <col min="6" max="6" width="20.28515625" style="221" bestFit="1" customWidth="1"/>
    <col min="7" max="7" width="14.140625" style="221" bestFit="1" customWidth="1"/>
    <col min="8" max="8" width="18.28515625" style="221" bestFit="1" customWidth="1"/>
    <col min="9" max="16384" width="8.7109375" style="1"/>
  </cols>
  <sheetData>
    <row r="1" spans="1:8" x14ac:dyDescent="0.2">
      <c r="A1" s="476" t="s">
        <v>92</v>
      </c>
      <c r="B1" s="476"/>
      <c r="C1" s="476"/>
      <c r="D1" s="476"/>
      <c r="E1" s="222"/>
    </row>
    <row r="3" spans="1:8" x14ac:dyDescent="0.2">
      <c r="A3" s="477" t="s">
        <v>0</v>
      </c>
      <c r="B3" s="477"/>
      <c r="C3" s="477"/>
      <c r="D3" s="477"/>
      <c r="E3" s="223"/>
    </row>
    <row r="4" spans="1:8" ht="25.5" x14ac:dyDescent="0.2">
      <c r="A4" s="43">
        <v>1</v>
      </c>
      <c r="B4" s="3" t="s">
        <v>1</v>
      </c>
      <c r="C4" s="454" t="s">
        <v>147</v>
      </c>
      <c r="D4" s="454"/>
      <c r="E4" s="224"/>
    </row>
    <row r="5" spans="1:8" x14ac:dyDescent="0.2">
      <c r="A5" s="4">
        <v>2</v>
      </c>
      <c r="B5" s="5" t="s">
        <v>2</v>
      </c>
      <c r="C5" s="455"/>
      <c r="D5" s="455"/>
      <c r="E5" s="225"/>
    </row>
    <row r="6" spans="1:8" x14ac:dyDescent="0.2">
      <c r="A6" s="4">
        <v>3</v>
      </c>
      <c r="B6" s="5" t="s">
        <v>95</v>
      </c>
      <c r="C6" s="459">
        <v>1901.53</v>
      </c>
      <c r="D6" s="459"/>
      <c r="E6" s="226"/>
      <c r="F6" s="262"/>
    </row>
    <row r="7" spans="1:8" ht="25.5" x14ac:dyDescent="0.2">
      <c r="A7" s="4">
        <v>4</v>
      </c>
      <c r="B7" s="5" t="s">
        <v>96</v>
      </c>
      <c r="C7" s="482" t="s">
        <v>458</v>
      </c>
      <c r="D7" s="484"/>
      <c r="E7" s="227"/>
    </row>
    <row r="8" spans="1:8" x14ac:dyDescent="0.2">
      <c r="A8" s="4">
        <v>5</v>
      </c>
      <c r="B8" s="5" t="s">
        <v>3</v>
      </c>
      <c r="C8" s="427" t="s">
        <v>451</v>
      </c>
      <c r="D8" s="428"/>
      <c r="E8" s="228"/>
      <c r="F8" s="229">
        <v>44562</v>
      </c>
    </row>
    <row r="9" spans="1:8" x14ac:dyDescent="0.2">
      <c r="A9" s="4">
        <v>6</v>
      </c>
      <c r="B9" s="5" t="s">
        <v>97</v>
      </c>
      <c r="C9" s="427" t="s">
        <v>452</v>
      </c>
      <c r="D9" s="428"/>
      <c r="E9" s="228"/>
      <c r="F9" s="230" t="s">
        <v>566</v>
      </c>
    </row>
    <row r="10" spans="1:8" x14ac:dyDescent="0.2">
      <c r="F10" s="221" t="s">
        <v>567</v>
      </c>
      <c r="H10" s="221" t="s">
        <v>568</v>
      </c>
    </row>
    <row r="11" spans="1:8" ht="127.5" x14ac:dyDescent="0.2">
      <c r="A11" s="415" t="s">
        <v>75</v>
      </c>
      <c r="B11" s="415"/>
      <c r="C11" s="415"/>
      <c r="D11" s="415"/>
      <c r="E11" s="231"/>
      <c r="F11" s="252" t="s">
        <v>575</v>
      </c>
      <c r="H11" s="252" t="s">
        <v>569</v>
      </c>
    </row>
    <row r="12" spans="1:8" x14ac:dyDescent="0.2">
      <c r="A12" s="40">
        <v>1</v>
      </c>
      <c r="B12" s="477" t="s">
        <v>4</v>
      </c>
      <c r="C12" s="477"/>
      <c r="D12" s="42" t="s">
        <v>5</v>
      </c>
      <c r="E12" s="242"/>
      <c r="F12" s="218" t="s">
        <v>5</v>
      </c>
      <c r="H12" s="218" t="s">
        <v>5</v>
      </c>
    </row>
    <row r="13" spans="1:8" x14ac:dyDescent="0.2">
      <c r="A13" s="8" t="s">
        <v>6</v>
      </c>
      <c r="B13" s="414" t="s">
        <v>7</v>
      </c>
      <c r="C13" s="414"/>
      <c r="D13" s="114">
        <v>2543.94</v>
      </c>
      <c r="E13" s="243"/>
      <c r="F13" s="200">
        <f>D13*1.1</f>
        <v>2798.3340000000003</v>
      </c>
      <c r="H13" s="114">
        <f>F13</f>
        <v>2798.3340000000003</v>
      </c>
    </row>
    <row r="14" spans="1:8" x14ac:dyDescent="0.2">
      <c r="A14" s="8" t="s">
        <v>8</v>
      </c>
      <c r="B14" s="414" t="s">
        <v>400</v>
      </c>
      <c r="C14" s="414"/>
      <c r="D14" s="10" t="s">
        <v>118</v>
      </c>
      <c r="E14" s="244"/>
      <c r="F14" s="10" t="s">
        <v>118</v>
      </c>
      <c r="H14" s="10" t="s">
        <v>118</v>
      </c>
    </row>
    <row r="15" spans="1:8" x14ac:dyDescent="0.2">
      <c r="A15" s="8" t="s">
        <v>9</v>
      </c>
      <c r="B15" s="414" t="s">
        <v>10</v>
      </c>
      <c r="C15" s="414"/>
      <c r="D15" s="10" t="s">
        <v>118</v>
      </c>
      <c r="E15" s="244"/>
      <c r="F15" s="10" t="s">
        <v>118</v>
      </c>
      <c r="H15" s="10" t="s">
        <v>118</v>
      </c>
    </row>
    <row r="16" spans="1:8" x14ac:dyDescent="0.2">
      <c r="A16" s="8" t="s">
        <v>11</v>
      </c>
      <c r="B16" s="414" t="s">
        <v>12</v>
      </c>
      <c r="C16" s="414"/>
      <c r="D16" s="10" t="s">
        <v>118</v>
      </c>
      <c r="E16" s="244"/>
      <c r="F16" s="10" t="s">
        <v>118</v>
      </c>
      <c r="H16" s="10" t="s">
        <v>118</v>
      </c>
    </row>
    <row r="17" spans="1:8" x14ac:dyDescent="0.2">
      <c r="A17" s="8" t="s">
        <v>13</v>
      </c>
      <c r="B17" s="414" t="s">
        <v>14</v>
      </c>
      <c r="C17" s="414"/>
      <c r="D17" s="10" t="s">
        <v>118</v>
      </c>
      <c r="E17" s="244"/>
      <c r="F17" s="10" t="s">
        <v>118</v>
      </c>
      <c r="H17" s="10" t="s">
        <v>118</v>
      </c>
    </row>
    <row r="18" spans="1:8" x14ac:dyDescent="0.2">
      <c r="A18" s="8" t="s">
        <v>15</v>
      </c>
      <c r="B18" s="414" t="s">
        <v>16</v>
      </c>
      <c r="C18" s="414"/>
      <c r="D18" s="10" t="s">
        <v>118</v>
      </c>
      <c r="E18" s="244"/>
      <c r="F18" s="10" t="s">
        <v>118</v>
      </c>
      <c r="H18" s="10" t="s">
        <v>118</v>
      </c>
    </row>
    <row r="19" spans="1:8" x14ac:dyDescent="0.2">
      <c r="A19" s="463" t="s">
        <v>17</v>
      </c>
      <c r="B19" s="463"/>
      <c r="C19" s="463"/>
      <c r="D19" s="11">
        <f>SUM(D13:D18)</f>
        <v>2543.94</v>
      </c>
      <c r="E19" s="243"/>
      <c r="F19" s="202">
        <f>SUM(F13:F18)</f>
        <v>2798.3340000000003</v>
      </c>
      <c r="H19" s="11">
        <f>SUM(H13:H18)</f>
        <v>2798.3340000000003</v>
      </c>
    </row>
    <row r="20" spans="1:8" x14ac:dyDescent="0.2">
      <c r="A20" s="481" t="s">
        <v>18</v>
      </c>
      <c r="B20" s="481"/>
      <c r="C20" s="481"/>
      <c r="D20" s="481"/>
      <c r="E20" s="233"/>
    </row>
    <row r="22" spans="1:8" x14ac:dyDescent="0.2">
      <c r="A22" s="415" t="s">
        <v>19</v>
      </c>
      <c r="B22" s="415"/>
      <c r="C22" s="415"/>
      <c r="D22" s="415"/>
      <c r="E22" s="231"/>
    </row>
    <row r="23" spans="1:8" x14ac:dyDescent="0.2">
      <c r="A23" s="463" t="s">
        <v>24</v>
      </c>
      <c r="B23" s="463"/>
      <c r="C23" s="463"/>
      <c r="D23" s="463"/>
      <c r="E23" s="234"/>
    </row>
    <row r="24" spans="1:8" ht="25.5" x14ac:dyDescent="0.2">
      <c r="A24" s="39" t="s">
        <v>20</v>
      </c>
      <c r="B24" s="39" t="s">
        <v>21</v>
      </c>
      <c r="C24" s="43" t="s">
        <v>28</v>
      </c>
      <c r="D24" s="39" t="s">
        <v>5</v>
      </c>
      <c r="E24" s="219" t="s">
        <v>28</v>
      </c>
      <c r="F24" s="220" t="s">
        <v>5</v>
      </c>
      <c r="G24" s="219" t="s">
        <v>28</v>
      </c>
      <c r="H24" s="220" t="s">
        <v>5</v>
      </c>
    </row>
    <row r="25" spans="1:8" x14ac:dyDescent="0.2">
      <c r="A25" s="8" t="s">
        <v>6</v>
      </c>
      <c r="B25" s="14" t="s">
        <v>22</v>
      </c>
      <c r="C25" s="15">
        <v>9.0899999999999995E-2</v>
      </c>
      <c r="D25" s="16">
        <f>C25*$D$19</f>
        <v>231.244146</v>
      </c>
      <c r="E25" s="15">
        <v>9.0899999999999995E-2</v>
      </c>
      <c r="F25" s="203">
        <f>E25*F$19</f>
        <v>254.36856060000002</v>
      </c>
      <c r="G25" s="15">
        <v>9.0899999999999995E-2</v>
      </c>
      <c r="H25" s="211">
        <f>G25*H$19</f>
        <v>254.36856060000002</v>
      </c>
    </row>
    <row r="26" spans="1:8" x14ac:dyDescent="0.2">
      <c r="A26" s="8" t="s">
        <v>8</v>
      </c>
      <c r="B26" s="14" t="s">
        <v>23</v>
      </c>
      <c r="C26" s="15">
        <v>0.1212</v>
      </c>
      <c r="D26" s="16">
        <f>C26*$D$19</f>
        <v>308.32552800000002</v>
      </c>
      <c r="E26" s="15">
        <v>0.1212</v>
      </c>
      <c r="F26" s="203">
        <f>E26*F$19</f>
        <v>339.15808080000005</v>
      </c>
      <c r="G26" s="15">
        <v>0.1212</v>
      </c>
      <c r="H26" s="211">
        <f>G26*H$19</f>
        <v>339.15808080000005</v>
      </c>
    </row>
    <row r="27" spans="1:8" x14ac:dyDescent="0.2">
      <c r="A27" s="463" t="s">
        <v>17</v>
      </c>
      <c r="B27" s="463"/>
      <c r="C27" s="17">
        <f t="shared" ref="C27:H27" si="0">SUM(C25:C26)</f>
        <v>0.21210000000000001</v>
      </c>
      <c r="D27" s="18">
        <f t="shared" si="0"/>
        <v>539.56967400000008</v>
      </c>
      <c r="E27" s="17">
        <f t="shared" si="0"/>
        <v>0.21210000000000001</v>
      </c>
      <c r="F27" s="204">
        <f t="shared" si="0"/>
        <v>593.52664140000002</v>
      </c>
      <c r="G27" s="17">
        <f t="shared" si="0"/>
        <v>0.21210000000000001</v>
      </c>
      <c r="H27" s="212">
        <f t="shared" si="0"/>
        <v>593.52664140000002</v>
      </c>
    </row>
    <row r="28" spans="1:8" x14ac:dyDescent="0.2">
      <c r="A28" s="464" t="s">
        <v>98</v>
      </c>
      <c r="B28" s="464"/>
      <c r="C28" s="464"/>
      <c r="D28" s="464"/>
      <c r="E28" s="233"/>
    </row>
    <row r="29" spans="1:8" x14ac:dyDescent="0.2">
      <c r="A29" s="464" t="s">
        <v>99</v>
      </c>
      <c r="B29" s="464"/>
      <c r="C29" s="464"/>
      <c r="D29" s="464"/>
      <c r="E29" s="233"/>
    </row>
    <row r="30" spans="1:8" x14ac:dyDescent="0.2">
      <c r="A30" s="464" t="s">
        <v>100</v>
      </c>
      <c r="B30" s="464"/>
      <c r="C30" s="464"/>
      <c r="D30" s="464"/>
      <c r="E30" s="233"/>
    </row>
    <row r="32" spans="1:8" x14ac:dyDescent="0.2">
      <c r="A32" s="470" t="s">
        <v>25</v>
      </c>
      <c r="B32" s="470"/>
      <c r="C32" s="470"/>
      <c r="D32" s="470"/>
      <c r="E32" s="235"/>
    </row>
    <row r="33" spans="1:8" x14ac:dyDescent="0.2">
      <c r="A33" s="40" t="s">
        <v>26</v>
      </c>
      <c r="B33" s="42" t="s">
        <v>27</v>
      </c>
      <c r="C33" s="42" t="s">
        <v>28</v>
      </c>
      <c r="D33" s="40" t="s">
        <v>5</v>
      </c>
      <c r="E33" s="218" t="s">
        <v>28</v>
      </c>
      <c r="F33" s="217" t="s">
        <v>5</v>
      </c>
      <c r="G33" s="218" t="s">
        <v>28</v>
      </c>
      <c r="H33" s="217" t="s">
        <v>5</v>
      </c>
    </row>
    <row r="34" spans="1:8" x14ac:dyDescent="0.2">
      <c r="A34" s="8" t="s">
        <v>6</v>
      </c>
      <c r="B34" s="14" t="s">
        <v>29</v>
      </c>
      <c r="C34" s="19">
        <v>0</v>
      </c>
      <c r="D34" s="20">
        <f t="shared" ref="D34:D40" si="1">C34*($D$19+$D$27)</f>
        <v>0</v>
      </c>
      <c r="E34" s="19">
        <v>0</v>
      </c>
      <c r="F34" s="20">
        <f>E34*(F$19+F$27)</f>
        <v>0</v>
      </c>
      <c r="G34" s="19">
        <v>0</v>
      </c>
      <c r="H34" s="20">
        <f>G34*(H$19+H$27)</f>
        <v>0</v>
      </c>
    </row>
    <row r="35" spans="1:8" x14ac:dyDescent="0.2">
      <c r="A35" s="8" t="s">
        <v>8</v>
      </c>
      <c r="B35" s="14" t="s">
        <v>30</v>
      </c>
      <c r="C35" s="19">
        <v>2.5000000000000001E-2</v>
      </c>
      <c r="D35" s="20">
        <f t="shared" si="1"/>
        <v>77.08774185</v>
      </c>
      <c r="E35" s="19">
        <v>2.5000000000000001E-2</v>
      </c>
      <c r="F35" s="205">
        <f t="shared" ref="F35:F41" si="2">$E35*(F$19+F$27)</f>
        <v>84.796516035000025</v>
      </c>
      <c r="G35" s="19">
        <v>2.5000000000000001E-2</v>
      </c>
      <c r="H35" s="20">
        <f t="shared" ref="H35:H41" si="3">$G35*(H$19+H$27)</f>
        <v>84.796516035000025</v>
      </c>
    </row>
    <row r="36" spans="1:8" x14ac:dyDescent="0.2">
      <c r="A36" s="8" t="s">
        <v>9</v>
      </c>
      <c r="B36" s="14" t="s">
        <v>101</v>
      </c>
      <c r="C36" s="19">
        <v>3.39E-2</v>
      </c>
      <c r="D36" s="20">
        <f t="shared" si="1"/>
        <v>104.5309779486</v>
      </c>
      <c r="E36" s="287">
        <v>1.4999999999999999E-2</v>
      </c>
      <c r="F36" s="205">
        <f t="shared" si="2"/>
        <v>50.877909621000008</v>
      </c>
      <c r="G36" s="19">
        <v>1.4999999999999999E-2</v>
      </c>
      <c r="H36" s="20">
        <f t="shared" si="3"/>
        <v>50.877909621000008</v>
      </c>
    </row>
    <row r="37" spans="1:8" x14ac:dyDescent="0.2">
      <c r="A37" s="8" t="s">
        <v>11</v>
      </c>
      <c r="B37" s="14" t="s">
        <v>31</v>
      </c>
      <c r="C37" s="19">
        <v>1.4999999999999999E-2</v>
      </c>
      <c r="D37" s="20">
        <f t="shared" si="1"/>
        <v>46.252645109999996</v>
      </c>
      <c r="E37" s="19">
        <v>1.4999999999999999E-2</v>
      </c>
      <c r="F37" s="205">
        <f t="shared" si="2"/>
        <v>50.877909621000008</v>
      </c>
      <c r="G37" s="19">
        <v>1.4999999999999999E-2</v>
      </c>
      <c r="H37" s="20">
        <f t="shared" si="3"/>
        <v>50.877909621000008</v>
      </c>
    </row>
    <row r="38" spans="1:8" x14ac:dyDescent="0.2">
      <c r="A38" s="8" t="s">
        <v>13</v>
      </c>
      <c r="B38" s="14" t="s">
        <v>32</v>
      </c>
      <c r="C38" s="19">
        <v>0.01</v>
      </c>
      <c r="D38" s="20">
        <f t="shared" si="1"/>
        <v>30.835096740000001</v>
      </c>
      <c r="E38" s="19">
        <v>0.01</v>
      </c>
      <c r="F38" s="205">
        <f t="shared" si="2"/>
        <v>33.918606414000003</v>
      </c>
      <c r="G38" s="19">
        <v>0.01</v>
      </c>
      <c r="H38" s="20">
        <f t="shared" si="3"/>
        <v>33.918606414000003</v>
      </c>
    </row>
    <row r="39" spans="1:8" x14ac:dyDescent="0.2">
      <c r="A39" s="8" t="s">
        <v>15</v>
      </c>
      <c r="B39" s="14" t="s">
        <v>33</v>
      </c>
      <c r="C39" s="19">
        <v>6.0000000000000001E-3</v>
      </c>
      <c r="D39" s="20">
        <f t="shared" si="1"/>
        <v>18.501058044000001</v>
      </c>
      <c r="E39" s="19">
        <v>6.0000000000000001E-3</v>
      </c>
      <c r="F39" s="205">
        <f t="shared" si="2"/>
        <v>20.351163848400002</v>
      </c>
      <c r="G39" s="19">
        <v>6.0000000000000001E-3</v>
      </c>
      <c r="H39" s="20">
        <f t="shared" si="3"/>
        <v>20.351163848400002</v>
      </c>
    </row>
    <row r="40" spans="1:8" x14ac:dyDescent="0.2">
      <c r="A40" s="8" t="s">
        <v>34</v>
      </c>
      <c r="B40" s="14" t="s">
        <v>35</v>
      </c>
      <c r="C40" s="19">
        <v>2E-3</v>
      </c>
      <c r="D40" s="20">
        <f t="shared" si="1"/>
        <v>6.1670193480000002</v>
      </c>
      <c r="E40" s="19">
        <v>2E-3</v>
      </c>
      <c r="F40" s="205">
        <f t="shared" si="2"/>
        <v>6.7837212828000011</v>
      </c>
      <c r="G40" s="19">
        <v>2E-3</v>
      </c>
      <c r="H40" s="20">
        <f t="shared" si="3"/>
        <v>6.7837212828000011</v>
      </c>
    </row>
    <row r="41" spans="1:8" x14ac:dyDescent="0.2">
      <c r="A41" s="8" t="s">
        <v>36</v>
      </c>
      <c r="B41" s="14" t="s">
        <v>37</v>
      </c>
      <c r="C41" s="19">
        <v>0.08</v>
      </c>
      <c r="D41" s="20">
        <f>C41*($D$19+$D$27)</f>
        <v>246.68077392000001</v>
      </c>
      <c r="E41" s="19">
        <v>0.08</v>
      </c>
      <c r="F41" s="205">
        <f t="shared" si="2"/>
        <v>271.34885131200002</v>
      </c>
      <c r="G41" s="19">
        <v>0.08</v>
      </c>
      <c r="H41" s="20">
        <f t="shared" si="3"/>
        <v>271.34885131200002</v>
      </c>
    </row>
    <row r="42" spans="1:8" x14ac:dyDescent="0.2">
      <c r="A42" s="471" t="s">
        <v>17</v>
      </c>
      <c r="B42" s="472"/>
      <c r="C42" s="21">
        <f t="shared" ref="C42:H42" si="4">SUM(C34:C41)</f>
        <v>0.1719</v>
      </c>
      <c r="D42" s="22">
        <f t="shared" si="4"/>
        <v>530.05531296059996</v>
      </c>
      <c r="E42" s="288">
        <f t="shared" si="4"/>
        <v>0.15300000000000002</v>
      </c>
      <c r="F42" s="289">
        <f t="shared" si="4"/>
        <v>518.95467813420009</v>
      </c>
      <c r="G42" s="21">
        <f t="shared" si="4"/>
        <v>0.15300000000000002</v>
      </c>
      <c r="H42" s="22">
        <f t="shared" si="4"/>
        <v>518.95467813420009</v>
      </c>
    </row>
    <row r="43" spans="1:8" x14ac:dyDescent="0.2">
      <c r="A43" s="464" t="s">
        <v>104</v>
      </c>
      <c r="B43" s="464"/>
      <c r="C43" s="464"/>
      <c r="D43" s="464"/>
      <c r="E43" s="233"/>
    </row>
    <row r="44" spans="1:8" x14ac:dyDescent="0.2">
      <c r="A44" s="464" t="s">
        <v>102</v>
      </c>
      <c r="B44" s="464"/>
      <c r="C44" s="464"/>
      <c r="D44" s="464"/>
      <c r="E44" s="233"/>
    </row>
    <row r="45" spans="1:8" x14ac:dyDescent="0.2">
      <c r="A45" s="464" t="s">
        <v>103</v>
      </c>
      <c r="B45" s="464"/>
      <c r="C45" s="464"/>
      <c r="D45" s="464"/>
      <c r="E45" s="233"/>
    </row>
    <row r="46" spans="1:8" x14ac:dyDescent="0.2">
      <c r="A46" s="464" t="s">
        <v>108</v>
      </c>
      <c r="B46" s="464"/>
      <c r="C46" s="464"/>
      <c r="D46" s="464"/>
      <c r="E46" s="233"/>
    </row>
    <row r="47" spans="1:8" x14ac:dyDescent="0.2">
      <c r="A47" s="464" t="s">
        <v>113</v>
      </c>
      <c r="B47" s="464"/>
      <c r="C47" s="464"/>
      <c r="D47" s="464"/>
      <c r="E47" s="233"/>
    </row>
    <row r="49" spans="1:8" x14ac:dyDescent="0.2">
      <c r="A49" s="470" t="s">
        <v>38</v>
      </c>
      <c r="B49" s="470"/>
      <c r="C49" s="470"/>
      <c r="D49" s="470"/>
      <c r="E49" s="235"/>
    </row>
    <row r="50" spans="1:8" x14ac:dyDescent="0.2">
      <c r="A50" s="41" t="s">
        <v>39</v>
      </c>
      <c r="B50" s="43" t="s">
        <v>40</v>
      </c>
      <c r="C50" s="41" t="s">
        <v>89</v>
      </c>
      <c r="D50" s="43" t="s">
        <v>5</v>
      </c>
      <c r="E50" s="242"/>
      <c r="F50" s="219" t="s">
        <v>5</v>
      </c>
      <c r="H50" s="219" t="s">
        <v>5</v>
      </c>
    </row>
    <row r="51" spans="1:8" x14ac:dyDescent="0.2">
      <c r="A51" s="8" t="s">
        <v>6</v>
      </c>
      <c r="B51" s="14" t="s">
        <v>135</v>
      </c>
      <c r="C51" s="24">
        <v>22</v>
      </c>
      <c r="D51" s="16">
        <f>(18.6*C51)-0.06*D13</f>
        <v>256.56360000000006</v>
      </c>
      <c r="E51" s="245"/>
      <c r="F51" s="203">
        <f>(18.6*$C51)-0.06*F$13</f>
        <v>241.29996000000003</v>
      </c>
      <c r="H51" s="16">
        <f>(18.6*$C51)-0.06*H$13</f>
        <v>241.29996000000003</v>
      </c>
    </row>
    <row r="52" spans="1:8" x14ac:dyDescent="0.2">
      <c r="A52" s="8" t="s">
        <v>8</v>
      </c>
      <c r="B52" s="14" t="s">
        <v>456</v>
      </c>
      <c r="C52" s="24">
        <v>22</v>
      </c>
      <c r="D52" s="16">
        <f>35*C52</f>
        <v>770</v>
      </c>
      <c r="E52" s="245"/>
      <c r="F52" s="203">
        <f>38*$C52</f>
        <v>836</v>
      </c>
      <c r="H52" s="16">
        <f>38*$C52</f>
        <v>836</v>
      </c>
    </row>
    <row r="53" spans="1:8" x14ac:dyDescent="0.2">
      <c r="A53" s="8" t="s">
        <v>9</v>
      </c>
      <c r="B53" s="14" t="s">
        <v>42</v>
      </c>
      <c r="C53" s="24"/>
      <c r="D53" s="16">
        <v>160.07</v>
      </c>
      <c r="E53" s="245"/>
      <c r="F53" s="203">
        <v>169.67</v>
      </c>
      <c r="H53" s="16">
        <v>169.67</v>
      </c>
    </row>
    <row r="54" spans="1:8" x14ac:dyDescent="0.2">
      <c r="A54" s="8" t="s">
        <v>11</v>
      </c>
      <c r="B54" s="14" t="s">
        <v>90</v>
      </c>
      <c r="C54" s="24"/>
      <c r="D54" s="16">
        <v>10.63</v>
      </c>
      <c r="E54" s="245"/>
      <c r="F54" s="203">
        <v>11.27</v>
      </c>
      <c r="H54" s="16">
        <v>11.27</v>
      </c>
    </row>
    <row r="55" spans="1:8" x14ac:dyDescent="0.2">
      <c r="A55" s="8" t="s">
        <v>13</v>
      </c>
      <c r="B55" s="14" t="s">
        <v>453</v>
      </c>
      <c r="C55" s="24"/>
      <c r="D55" s="16">
        <v>2.2999999999999998</v>
      </c>
      <c r="E55" s="245"/>
      <c r="F55" s="203">
        <v>2.5</v>
      </c>
      <c r="H55" s="16">
        <v>2.5</v>
      </c>
    </row>
    <row r="56" spans="1:8" x14ac:dyDescent="0.2">
      <c r="A56" s="463" t="s">
        <v>17</v>
      </c>
      <c r="B56" s="463"/>
      <c r="C56" s="463"/>
      <c r="D56" s="18">
        <f>SUM(D51:D55)</f>
        <v>1199.5636</v>
      </c>
      <c r="E56" s="246"/>
      <c r="F56" s="206">
        <f>SUM(F51:F55)</f>
        <v>1260.7399600000001</v>
      </c>
      <c r="H56" s="25">
        <f>SUM(H51:H55)</f>
        <v>1260.7399600000001</v>
      </c>
    </row>
    <row r="57" spans="1:8" x14ac:dyDescent="0.2">
      <c r="A57" s="464" t="s">
        <v>45</v>
      </c>
      <c r="B57" s="464"/>
      <c r="C57" s="464"/>
      <c r="D57" s="464"/>
      <c r="E57" s="233"/>
    </row>
    <row r="58" spans="1:8" x14ac:dyDescent="0.2">
      <c r="A58" s="464" t="s">
        <v>105</v>
      </c>
      <c r="B58" s="464"/>
      <c r="C58" s="464"/>
      <c r="D58" s="464"/>
      <c r="E58" s="233"/>
    </row>
    <row r="60" spans="1:8" x14ac:dyDescent="0.2">
      <c r="A60" s="415" t="s">
        <v>43</v>
      </c>
      <c r="B60" s="415"/>
      <c r="C60" s="415"/>
      <c r="D60" s="415"/>
      <c r="E60" s="231"/>
    </row>
    <row r="61" spans="1:8" x14ac:dyDescent="0.2">
      <c r="A61" s="42">
        <v>2</v>
      </c>
      <c r="B61" s="430" t="s">
        <v>44</v>
      </c>
      <c r="C61" s="430"/>
      <c r="D61" s="42" t="s">
        <v>5</v>
      </c>
      <c r="E61" s="242"/>
      <c r="F61" s="218" t="s">
        <v>5</v>
      </c>
      <c r="H61" s="218" t="s">
        <v>5</v>
      </c>
    </row>
    <row r="62" spans="1:8" x14ac:dyDescent="0.2">
      <c r="A62" s="26" t="s">
        <v>20</v>
      </c>
      <c r="B62" s="438" t="s">
        <v>21</v>
      </c>
      <c r="C62" s="438"/>
      <c r="D62" s="16">
        <f>D27</f>
        <v>539.56967400000008</v>
      </c>
      <c r="E62" s="245"/>
      <c r="F62" s="203">
        <f>F27</f>
        <v>593.52664140000002</v>
      </c>
      <c r="H62" s="16">
        <f>H27</f>
        <v>593.52664140000002</v>
      </c>
    </row>
    <row r="63" spans="1:8" x14ac:dyDescent="0.2">
      <c r="A63" s="26" t="s">
        <v>26</v>
      </c>
      <c r="B63" s="414" t="s">
        <v>27</v>
      </c>
      <c r="C63" s="414"/>
      <c r="D63" s="16">
        <f>D42</f>
        <v>530.05531296059996</v>
      </c>
      <c r="E63" s="245"/>
      <c r="F63" s="203">
        <f>F42</f>
        <v>518.95467813420009</v>
      </c>
      <c r="H63" s="16">
        <f>H42</f>
        <v>518.95467813420009</v>
      </c>
    </row>
    <row r="64" spans="1:8" x14ac:dyDescent="0.2">
      <c r="A64" s="26" t="s">
        <v>39</v>
      </c>
      <c r="B64" s="414" t="s">
        <v>40</v>
      </c>
      <c r="C64" s="414"/>
      <c r="D64" s="16">
        <f>D56</f>
        <v>1199.5636</v>
      </c>
      <c r="E64" s="245"/>
      <c r="F64" s="203">
        <f>F56</f>
        <v>1260.7399600000001</v>
      </c>
      <c r="H64" s="16">
        <f>H56</f>
        <v>1260.7399600000001</v>
      </c>
    </row>
    <row r="65" spans="1:8" x14ac:dyDescent="0.2">
      <c r="A65" s="471" t="s">
        <v>17</v>
      </c>
      <c r="B65" s="475"/>
      <c r="C65" s="472"/>
      <c r="D65" s="18">
        <f>SUM(D62:D64)</f>
        <v>2269.1885869605999</v>
      </c>
      <c r="E65" s="246"/>
      <c r="F65" s="204">
        <f>SUM(F62:F64)</f>
        <v>2373.2212795342002</v>
      </c>
      <c r="H65" s="18">
        <f>SUM(H62:H64)</f>
        <v>2373.2212795342002</v>
      </c>
    </row>
    <row r="67" spans="1:8" x14ac:dyDescent="0.2">
      <c r="A67" s="415" t="s">
        <v>76</v>
      </c>
      <c r="B67" s="415"/>
      <c r="C67" s="415"/>
      <c r="D67" s="415"/>
      <c r="E67" s="231"/>
    </row>
    <row r="68" spans="1:8" x14ac:dyDescent="0.2">
      <c r="A68" s="42">
        <v>3</v>
      </c>
      <c r="B68" s="42" t="s">
        <v>46</v>
      </c>
      <c r="C68" s="42" t="s">
        <v>28</v>
      </c>
      <c r="D68" s="42" t="s">
        <v>5</v>
      </c>
      <c r="E68" s="218" t="s">
        <v>28</v>
      </c>
      <c r="F68" s="232" t="s">
        <v>5</v>
      </c>
      <c r="G68" s="232" t="s">
        <v>28</v>
      </c>
      <c r="H68" s="232" t="s">
        <v>5</v>
      </c>
    </row>
    <row r="69" spans="1:8" x14ac:dyDescent="0.2">
      <c r="A69" s="26" t="s">
        <v>6</v>
      </c>
      <c r="B69" s="5" t="s">
        <v>47</v>
      </c>
      <c r="C69" s="19">
        <v>4.1999999999999997E-3</v>
      </c>
      <c r="D69" s="20">
        <f t="shared" ref="D69:D74" si="5">C69*($D$19+$D$27)</f>
        <v>12.950740630799999</v>
      </c>
      <c r="E69" s="28">
        <v>4.1999999999999997E-3</v>
      </c>
      <c r="F69" s="257">
        <f t="shared" ref="F69:F75" si="6">$E69*(F$19+F$27)</f>
        <v>14.245814693880002</v>
      </c>
      <c r="G69" s="28">
        <v>4.1999999999999997E-3</v>
      </c>
      <c r="H69" s="9">
        <f t="shared" ref="H69:H75" si="7">$G69*(H$19+H$27)</f>
        <v>14.245814693880002</v>
      </c>
    </row>
    <row r="70" spans="1:8" x14ac:dyDescent="0.2">
      <c r="A70" s="26" t="s">
        <v>8</v>
      </c>
      <c r="B70" s="5" t="s">
        <v>48</v>
      </c>
      <c r="C70" s="19">
        <v>2.9999999999999997E-4</v>
      </c>
      <c r="D70" s="20">
        <f t="shared" si="5"/>
        <v>0.92505290219999992</v>
      </c>
      <c r="E70" s="28">
        <v>2.9999999999999997E-4</v>
      </c>
      <c r="F70" s="257">
        <f t="shared" si="6"/>
        <v>1.0175581924200001</v>
      </c>
      <c r="G70" s="28">
        <v>2.9999999999999997E-4</v>
      </c>
      <c r="H70" s="9">
        <f t="shared" si="7"/>
        <v>1.0175581924200001</v>
      </c>
    </row>
    <row r="71" spans="1:8" ht="25.5" x14ac:dyDescent="0.2">
      <c r="A71" s="26" t="s">
        <v>9</v>
      </c>
      <c r="B71" s="5" t="s">
        <v>49</v>
      </c>
      <c r="C71" s="27">
        <v>9.9999999999999995E-7</v>
      </c>
      <c r="D71" s="20">
        <f t="shared" si="5"/>
        <v>3.0835096739999998E-3</v>
      </c>
      <c r="E71" s="351">
        <v>9.9999999999999995E-7</v>
      </c>
      <c r="F71" s="260">
        <f t="shared" si="6"/>
        <v>3.3918606414000004E-3</v>
      </c>
      <c r="G71" s="351">
        <v>9.9999999999999995E-7</v>
      </c>
      <c r="H71" s="258">
        <f t="shared" si="7"/>
        <v>3.3918606414000004E-3</v>
      </c>
    </row>
    <row r="72" spans="1:8" x14ac:dyDescent="0.2">
      <c r="A72" s="26" t="s">
        <v>11</v>
      </c>
      <c r="B72" s="5" t="s">
        <v>50</v>
      </c>
      <c r="C72" s="28">
        <v>1.9400000000000001E-2</v>
      </c>
      <c r="D72" s="29">
        <f>C72*($D$19+$D$27)</f>
        <v>59.8200876756</v>
      </c>
      <c r="E72" s="348">
        <v>1.9400000000000001E-2</v>
      </c>
      <c r="F72" s="260">
        <f t="shared" si="6"/>
        <v>65.802096443160011</v>
      </c>
      <c r="G72" s="347">
        <v>1.9400000000000001E-3</v>
      </c>
      <c r="H72" s="260">
        <f t="shared" si="7"/>
        <v>6.5802096443160014</v>
      </c>
    </row>
    <row r="73" spans="1:8" ht="25.5" x14ac:dyDescent="0.2">
      <c r="A73" s="26" t="s">
        <v>13</v>
      </c>
      <c r="B73" s="5" t="s">
        <v>51</v>
      </c>
      <c r="C73" s="19">
        <v>7.1000000000000004E-3</v>
      </c>
      <c r="D73" s="20">
        <f>C73*($D$19+$D$27)</f>
        <v>21.892918685400002</v>
      </c>
      <c r="E73" s="28">
        <v>7.1000000000000004E-3</v>
      </c>
      <c r="F73" s="257">
        <f t="shared" si="6"/>
        <v>24.082210553940005</v>
      </c>
      <c r="G73" s="28">
        <v>7.1000000000000004E-3</v>
      </c>
      <c r="H73" s="258">
        <f t="shared" si="7"/>
        <v>24.082210553940005</v>
      </c>
    </row>
    <row r="74" spans="1:8" ht="25.5" x14ac:dyDescent="0.2">
      <c r="A74" s="26" t="s">
        <v>15</v>
      </c>
      <c r="B74" s="5" t="s">
        <v>52</v>
      </c>
      <c r="C74" s="19">
        <v>1E-4</v>
      </c>
      <c r="D74" s="20">
        <f t="shared" si="5"/>
        <v>0.30835096740000001</v>
      </c>
      <c r="E74" s="28">
        <v>1E-4</v>
      </c>
      <c r="F74" s="257">
        <f t="shared" si="6"/>
        <v>0.33918606414000008</v>
      </c>
      <c r="G74" s="28">
        <v>1E-4</v>
      </c>
      <c r="H74" s="258">
        <f t="shared" si="7"/>
        <v>0.33918606414000008</v>
      </c>
    </row>
    <row r="75" spans="1:8" x14ac:dyDescent="0.2">
      <c r="A75" s="30" t="s">
        <v>34</v>
      </c>
      <c r="B75" s="31" t="s">
        <v>128</v>
      </c>
      <c r="C75" s="19">
        <v>3.49E-2</v>
      </c>
      <c r="D75" s="20">
        <f>C75*($D$19+$D$27)</f>
        <v>107.6144876226</v>
      </c>
      <c r="E75" s="28">
        <v>3.49E-2</v>
      </c>
      <c r="F75" s="257">
        <f t="shared" si="6"/>
        <v>118.37593638486003</v>
      </c>
      <c r="G75" s="28">
        <v>3.49E-2</v>
      </c>
      <c r="H75" s="258">
        <f t="shared" si="7"/>
        <v>118.37593638486003</v>
      </c>
    </row>
    <row r="76" spans="1:8" x14ac:dyDescent="0.2">
      <c r="A76" s="471" t="s">
        <v>17</v>
      </c>
      <c r="B76" s="472"/>
      <c r="C76" s="17">
        <f t="shared" ref="C76:H76" si="8">SUM(C69:C75)</f>
        <v>6.6001000000000004E-2</v>
      </c>
      <c r="D76" s="18">
        <f t="shared" si="8"/>
        <v>203.51472199367402</v>
      </c>
      <c r="E76" s="350">
        <f t="shared" si="8"/>
        <v>6.6001000000000004E-2</v>
      </c>
      <c r="F76" s="202">
        <f t="shared" si="8"/>
        <v>223.86619419304145</v>
      </c>
      <c r="G76" s="350">
        <f t="shared" si="8"/>
        <v>4.8541000000000001E-2</v>
      </c>
      <c r="H76" s="202">
        <f t="shared" si="8"/>
        <v>164.64430739419743</v>
      </c>
    </row>
    <row r="77" spans="1:8" x14ac:dyDescent="0.2">
      <c r="A77" s="464" t="s">
        <v>106</v>
      </c>
      <c r="B77" s="464"/>
      <c r="C77" s="464"/>
      <c r="D77" s="464"/>
      <c r="E77" s="233"/>
    </row>
    <row r="78" spans="1:8" x14ac:dyDescent="0.2">
      <c r="A78" s="464" t="s">
        <v>114</v>
      </c>
      <c r="B78" s="464"/>
      <c r="C78" s="464"/>
      <c r="D78" s="464"/>
      <c r="E78" s="233"/>
    </row>
    <row r="80" spans="1:8" x14ac:dyDescent="0.2">
      <c r="A80" s="415" t="s">
        <v>53</v>
      </c>
      <c r="B80" s="415"/>
      <c r="C80" s="415"/>
      <c r="D80" s="415"/>
      <c r="E80" s="231"/>
    </row>
    <row r="81" spans="1:8" x14ac:dyDescent="0.2">
      <c r="A81" s="474" t="s">
        <v>107</v>
      </c>
      <c r="B81" s="474"/>
      <c r="C81" s="474"/>
      <c r="D81" s="474"/>
      <c r="E81" s="233"/>
    </row>
    <row r="83" spans="1:8" x14ac:dyDescent="0.2">
      <c r="A83" s="470" t="s">
        <v>109</v>
      </c>
      <c r="B83" s="470"/>
      <c r="C83" s="470"/>
      <c r="D83" s="470"/>
      <c r="E83" s="235"/>
    </row>
    <row r="84" spans="1:8" x14ac:dyDescent="0.2">
      <c r="A84" s="41" t="s">
        <v>54</v>
      </c>
      <c r="B84" s="43" t="s">
        <v>55</v>
      </c>
      <c r="C84" s="43" t="s">
        <v>28</v>
      </c>
      <c r="D84" s="43" t="s">
        <v>5</v>
      </c>
      <c r="E84" s="219" t="s">
        <v>28</v>
      </c>
      <c r="F84" s="219" t="s">
        <v>5</v>
      </c>
      <c r="G84" s="219" t="s">
        <v>28</v>
      </c>
      <c r="H84" s="219" t="s">
        <v>5</v>
      </c>
    </row>
    <row r="85" spans="1:8" x14ac:dyDescent="0.2">
      <c r="A85" s="26" t="s">
        <v>6</v>
      </c>
      <c r="B85" s="5" t="s">
        <v>56</v>
      </c>
      <c r="C85" s="19">
        <v>7.6E-3</v>
      </c>
      <c r="D85" s="20">
        <f t="shared" ref="D85:D90" si="9">C85*($D$19+$D$27)</f>
        <v>23.434673522400001</v>
      </c>
      <c r="E85" s="19">
        <v>7.6E-3</v>
      </c>
      <c r="F85" s="205">
        <f>E85*(F$19+F$27)</f>
        <v>25.778140874640005</v>
      </c>
      <c r="G85" s="19">
        <v>7.6E-3</v>
      </c>
      <c r="H85" s="20">
        <f t="shared" ref="H85:H90" si="10">$G85*(H$19+H$27)</f>
        <v>25.778140874640005</v>
      </c>
    </row>
    <row r="86" spans="1:8" x14ac:dyDescent="0.2">
      <c r="A86" s="26" t="s">
        <v>8</v>
      </c>
      <c r="B86" s="5" t="s">
        <v>57</v>
      </c>
      <c r="C86" s="19">
        <v>8.2000000000000007E-3</v>
      </c>
      <c r="D86" s="20">
        <f t="shared" si="9"/>
        <v>25.284779326800003</v>
      </c>
      <c r="E86" s="19">
        <v>8.2000000000000007E-3</v>
      </c>
      <c r="F86" s="205">
        <f t="shared" ref="F86:F90" si="11">E86*(F$19+F$27)</f>
        <v>27.813257259480007</v>
      </c>
      <c r="G86" s="19">
        <v>8.2000000000000007E-3</v>
      </c>
      <c r="H86" s="20">
        <f t="shared" si="10"/>
        <v>27.813257259480007</v>
      </c>
    </row>
    <row r="87" spans="1:8" x14ac:dyDescent="0.2">
      <c r="A87" s="26" t="s">
        <v>9</v>
      </c>
      <c r="B87" s="5" t="s">
        <v>58</v>
      </c>
      <c r="C87" s="19">
        <v>2.0000000000000001E-4</v>
      </c>
      <c r="D87" s="20">
        <f t="shared" si="9"/>
        <v>0.61670193480000002</v>
      </c>
      <c r="E87" s="19">
        <v>2.0000000000000001E-4</v>
      </c>
      <c r="F87" s="205">
        <f t="shared" si="11"/>
        <v>0.67837212828000015</v>
      </c>
      <c r="G87" s="19">
        <v>2.0000000000000001E-4</v>
      </c>
      <c r="H87" s="20">
        <f t="shared" si="10"/>
        <v>0.67837212828000015</v>
      </c>
    </row>
    <row r="88" spans="1:8" ht="25.5" x14ac:dyDescent="0.2">
      <c r="A88" s="26" t="s">
        <v>11</v>
      </c>
      <c r="B88" s="5" t="s">
        <v>59</v>
      </c>
      <c r="C88" s="19">
        <v>2.9999999999999997E-4</v>
      </c>
      <c r="D88" s="20">
        <f t="shared" si="9"/>
        <v>0.92505290219999992</v>
      </c>
      <c r="E88" s="19">
        <v>2.9999999999999997E-4</v>
      </c>
      <c r="F88" s="205">
        <f t="shared" si="11"/>
        <v>1.0175581924200001</v>
      </c>
      <c r="G88" s="19">
        <v>2.9999999999999997E-4</v>
      </c>
      <c r="H88" s="20">
        <f t="shared" si="10"/>
        <v>1.0175581924200001</v>
      </c>
    </row>
    <row r="89" spans="1:8" x14ac:dyDescent="0.2">
      <c r="A89" s="26" t="s">
        <v>13</v>
      </c>
      <c r="B89" s="5" t="s">
        <v>60</v>
      </c>
      <c r="C89" s="19">
        <v>2.8999999999999998E-3</v>
      </c>
      <c r="D89" s="20">
        <f t="shared" si="9"/>
        <v>8.9421780545999994</v>
      </c>
      <c r="E89" s="19">
        <v>2.8999999999999998E-3</v>
      </c>
      <c r="F89" s="205">
        <f t="shared" si="11"/>
        <v>9.8363958600600014</v>
      </c>
      <c r="G89" s="19">
        <v>2.8999999999999998E-3</v>
      </c>
      <c r="H89" s="20">
        <f t="shared" si="10"/>
        <v>9.8363958600600014</v>
      </c>
    </row>
    <row r="90" spans="1:8" ht="25.5" x14ac:dyDescent="0.2">
      <c r="A90" s="26" t="s">
        <v>15</v>
      </c>
      <c r="B90" s="5" t="s">
        <v>134</v>
      </c>
      <c r="C90" s="19">
        <v>1.66E-2</v>
      </c>
      <c r="D90" s="20">
        <f t="shared" si="9"/>
        <v>51.186260588399996</v>
      </c>
      <c r="E90" s="19">
        <v>1.66E-2</v>
      </c>
      <c r="F90" s="205">
        <f t="shared" si="11"/>
        <v>56.304886647240011</v>
      </c>
      <c r="G90" s="19">
        <v>1.66E-2</v>
      </c>
      <c r="H90" s="20">
        <f t="shared" si="10"/>
        <v>56.304886647240011</v>
      </c>
    </row>
    <row r="91" spans="1:8" x14ac:dyDescent="0.2">
      <c r="A91" s="471" t="s">
        <v>17</v>
      </c>
      <c r="B91" s="472"/>
      <c r="C91" s="17">
        <f t="shared" ref="C91:H91" si="12">SUM(C85:C90)</f>
        <v>3.5799999999999998E-2</v>
      </c>
      <c r="D91" s="18">
        <f t="shared" si="12"/>
        <v>110.38964632919999</v>
      </c>
      <c r="E91" s="17">
        <f t="shared" si="12"/>
        <v>3.5799999999999998E-2</v>
      </c>
      <c r="F91" s="207">
        <f t="shared" si="12"/>
        <v>121.42861096212002</v>
      </c>
      <c r="G91" s="17">
        <f t="shared" si="12"/>
        <v>3.5799999999999998E-2</v>
      </c>
      <c r="H91" s="137">
        <f t="shared" si="12"/>
        <v>121.42861096212002</v>
      </c>
    </row>
    <row r="92" spans="1:8" x14ac:dyDescent="0.2">
      <c r="A92" s="464" t="s">
        <v>115</v>
      </c>
      <c r="B92" s="464"/>
      <c r="C92" s="464"/>
      <c r="D92" s="464"/>
      <c r="E92" s="233"/>
    </row>
    <row r="94" spans="1:8" x14ac:dyDescent="0.2">
      <c r="A94" s="473" t="s">
        <v>110</v>
      </c>
      <c r="B94" s="473"/>
      <c r="C94" s="473"/>
      <c r="D94" s="473"/>
      <c r="E94" s="234"/>
    </row>
    <row r="95" spans="1:8" x14ac:dyDescent="0.2">
      <c r="A95" s="41" t="s">
        <v>61</v>
      </c>
      <c r="B95" s="43" t="s">
        <v>62</v>
      </c>
      <c r="C95" s="43" t="s">
        <v>5</v>
      </c>
      <c r="D95" s="41"/>
      <c r="E95" s="234"/>
      <c r="F95" s="234"/>
      <c r="G95" s="247"/>
      <c r="H95" s="234"/>
    </row>
    <row r="96" spans="1:8" ht="25.5" x14ac:dyDescent="0.2">
      <c r="A96" s="26" t="s">
        <v>6</v>
      </c>
      <c r="B96" s="5" t="s">
        <v>63</v>
      </c>
      <c r="C96" s="32"/>
      <c r="D96" s="33"/>
      <c r="E96" s="247"/>
      <c r="F96" s="247"/>
      <c r="G96" s="247"/>
      <c r="H96" s="247"/>
    </row>
    <row r="97" spans="1:8" x14ac:dyDescent="0.2">
      <c r="A97" s="466" t="s">
        <v>17</v>
      </c>
      <c r="B97" s="468"/>
      <c r="C97" s="16">
        <f>SUM(C96)</f>
        <v>0</v>
      </c>
      <c r="D97" s="33"/>
      <c r="E97" s="247"/>
      <c r="F97" s="247"/>
      <c r="G97" s="247"/>
      <c r="H97" s="247"/>
    </row>
    <row r="99" spans="1:8" x14ac:dyDescent="0.2">
      <c r="A99" s="415" t="s">
        <v>111</v>
      </c>
      <c r="B99" s="415"/>
      <c r="C99" s="415"/>
      <c r="D99" s="415"/>
      <c r="E99" s="231"/>
    </row>
    <row r="100" spans="1:8" x14ac:dyDescent="0.2">
      <c r="A100" s="40">
        <v>4</v>
      </c>
      <c r="B100" s="430" t="s">
        <v>64</v>
      </c>
      <c r="C100" s="430"/>
      <c r="D100" s="42" t="s">
        <v>5</v>
      </c>
      <c r="E100" s="242"/>
      <c r="F100" s="218" t="s">
        <v>5</v>
      </c>
      <c r="H100" s="218" t="s">
        <v>5</v>
      </c>
    </row>
    <row r="101" spans="1:8" x14ac:dyDescent="0.2">
      <c r="A101" s="8" t="s">
        <v>54</v>
      </c>
      <c r="B101" s="414" t="s">
        <v>55</v>
      </c>
      <c r="C101" s="414"/>
      <c r="D101" s="16">
        <f>D91</f>
        <v>110.38964632919999</v>
      </c>
      <c r="E101" s="245"/>
      <c r="F101" s="16">
        <f>F91</f>
        <v>121.42861096212002</v>
      </c>
      <c r="H101" s="16">
        <f>H91</f>
        <v>121.42861096212002</v>
      </c>
    </row>
    <row r="102" spans="1:8" x14ac:dyDescent="0.2">
      <c r="A102" s="8" t="s">
        <v>61</v>
      </c>
      <c r="B102" s="14" t="s">
        <v>65</v>
      </c>
      <c r="C102" s="14"/>
      <c r="D102" s="32">
        <f>C97</f>
        <v>0</v>
      </c>
      <c r="E102" s="245"/>
      <c r="F102" s="32">
        <f>D97</f>
        <v>0</v>
      </c>
      <c r="H102" s="32">
        <f>G97</f>
        <v>0</v>
      </c>
    </row>
    <row r="103" spans="1:8" x14ac:dyDescent="0.2">
      <c r="A103" s="463" t="s">
        <v>17</v>
      </c>
      <c r="B103" s="463"/>
      <c r="C103" s="463"/>
      <c r="D103" s="18">
        <f>SUM(D101:D102)</f>
        <v>110.38964632919999</v>
      </c>
      <c r="E103" s="246"/>
      <c r="F103" s="18">
        <f>SUM(F101:F102)</f>
        <v>121.42861096212002</v>
      </c>
      <c r="H103" s="18">
        <f>SUM(H101:H102)</f>
        <v>121.42861096212002</v>
      </c>
    </row>
    <row r="104" spans="1:8" x14ac:dyDescent="0.2">
      <c r="E104" s="247"/>
    </row>
    <row r="105" spans="1:8" x14ac:dyDescent="0.2">
      <c r="A105" s="415" t="s">
        <v>66</v>
      </c>
      <c r="B105" s="415"/>
      <c r="C105" s="415"/>
      <c r="D105" s="415"/>
      <c r="E105" s="248"/>
    </row>
    <row r="106" spans="1:8" x14ac:dyDescent="0.2">
      <c r="A106" s="41">
        <v>5</v>
      </c>
      <c r="B106" s="437" t="s">
        <v>67</v>
      </c>
      <c r="C106" s="437"/>
      <c r="D106" s="43" t="s">
        <v>5</v>
      </c>
      <c r="E106" s="242"/>
      <c r="F106" s="219" t="s">
        <v>5</v>
      </c>
      <c r="H106" s="219" t="s">
        <v>5</v>
      </c>
    </row>
    <row r="107" spans="1:8" x14ac:dyDescent="0.2">
      <c r="A107" s="8" t="s">
        <v>6</v>
      </c>
      <c r="B107" s="414" t="s">
        <v>68</v>
      </c>
      <c r="C107" s="414"/>
      <c r="D107" s="107">
        <f>'TABELA 4 Uniformes e EPIS'!$E29</f>
        <v>61.65</v>
      </c>
      <c r="E107" s="249"/>
      <c r="F107" s="107">
        <f>'TABELA 4 Uniformes e EPIS'!$E29</f>
        <v>61.65</v>
      </c>
      <c r="H107" s="107">
        <f>'TABELA 4 Uniformes e EPIS'!$E29</f>
        <v>61.65</v>
      </c>
    </row>
    <row r="108" spans="1:8" x14ac:dyDescent="0.2">
      <c r="A108" s="8" t="s">
        <v>8</v>
      </c>
      <c r="B108" s="414" t="s">
        <v>386</v>
      </c>
      <c r="C108" s="414"/>
      <c r="D108" s="107">
        <f>'TABELA 4 Uniformes e EPIS'!$E48+'TABELA 5 - Ferramentas'!$I145</f>
        <v>31.248804347826077</v>
      </c>
      <c r="E108" s="249"/>
      <c r="F108" s="107">
        <f>'TABELA 4 Uniformes e EPIS'!$E48+'TABELA 5 - Ferramentas'!$I145</f>
        <v>31.248804347826077</v>
      </c>
      <c r="H108" s="107">
        <f>'TABELA 4 Uniformes e EPIS'!$E48+'TABELA 5 - Ferramentas'!$I145</f>
        <v>31.248804347826077</v>
      </c>
    </row>
    <row r="109" spans="1:8" x14ac:dyDescent="0.2">
      <c r="A109" s="8" t="s">
        <v>9</v>
      </c>
      <c r="B109" s="414" t="s">
        <v>69</v>
      </c>
      <c r="C109" s="414"/>
      <c r="D109" s="16">
        <v>0</v>
      </c>
      <c r="E109" s="245"/>
      <c r="F109" s="16">
        <v>0</v>
      </c>
      <c r="H109" s="16">
        <v>0</v>
      </c>
    </row>
    <row r="110" spans="1:8" x14ac:dyDescent="0.2">
      <c r="A110" s="8" t="s">
        <v>11</v>
      </c>
      <c r="B110" s="414" t="s">
        <v>16</v>
      </c>
      <c r="C110" s="414"/>
      <c r="D110" s="16">
        <v>0</v>
      </c>
      <c r="E110" s="245"/>
      <c r="F110" s="16">
        <v>0</v>
      </c>
      <c r="H110" s="16">
        <v>0</v>
      </c>
    </row>
    <row r="111" spans="1:8" x14ac:dyDescent="0.2">
      <c r="A111" s="463" t="s">
        <v>17</v>
      </c>
      <c r="B111" s="463"/>
      <c r="C111" s="463"/>
      <c r="D111" s="18">
        <f>SUM(D107:D110)</f>
        <v>92.898804347826072</v>
      </c>
      <c r="E111" s="250"/>
      <c r="F111" s="18">
        <f>SUM(F107:F110)</f>
        <v>92.898804347826072</v>
      </c>
      <c r="H111" s="18">
        <f>SUM(H107:H110)</f>
        <v>92.898804347826072</v>
      </c>
    </row>
    <row r="112" spans="1:8" x14ac:dyDescent="0.2">
      <c r="A112" s="464" t="s">
        <v>78</v>
      </c>
      <c r="B112" s="464"/>
      <c r="C112" s="464"/>
      <c r="D112" s="464"/>
      <c r="E112" s="233"/>
    </row>
    <row r="114" spans="1:8" x14ac:dyDescent="0.2">
      <c r="A114" s="415" t="s">
        <v>70</v>
      </c>
      <c r="B114" s="415"/>
      <c r="C114" s="415"/>
      <c r="D114" s="415"/>
      <c r="E114" s="231"/>
    </row>
    <row r="115" spans="1:8" ht="12.75" customHeight="1" x14ac:dyDescent="0.2">
      <c r="A115" s="469" t="s">
        <v>116</v>
      </c>
      <c r="B115" s="469"/>
      <c r="C115" s="460" t="s">
        <v>117</v>
      </c>
      <c r="D115" s="460"/>
      <c r="E115" s="461" t="s">
        <v>117</v>
      </c>
      <c r="F115" s="462"/>
      <c r="G115" s="460" t="s">
        <v>117</v>
      </c>
      <c r="H115" s="460"/>
    </row>
    <row r="116" spans="1:8" x14ac:dyDescent="0.2">
      <c r="A116" s="40">
        <v>6</v>
      </c>
      <c r="B116" s="42" t="s">
        <v>71</v>
      </c>
      <c r="C116" s="42" t="s">
        <v>28</v>
      </c>
      <c r="D116" s="40" t="s">
        <v>5</v>
      </c>
      <c r="E116" s="218" t="s">
        <v>28</v>
      </c>
      <c r="F116" s="217" t="s">
        <v>5</v>
      </c>
      <c r="G116" s="218" t="s">
        <v>28</v>
      </c>
      <c r="H116" s="217" t="s">
        <v>5</v>
      </c>
    </row>
    <row r="117" spans="1:8" x14ac:dyDescent="0.2">
      <c r="A117" s="8" t="s">
        <v>6</v>
      </c>
      <c r="B117" s="14" t="s">
        <v>72</v>
      </c>
      <c r="C117" s="19">
        <v>0.06</v>
      </c>
      <c r="D117" s="20">
        <f>C117*D135</f>
        <v>313.19590557787802</v>
      </c>
      <c r="E117" s="19">
        <v>0.06</v>
      </c>
      <c r="F117" s="205">
        <f>$E117*F$135</f>
        <v>336.58493334223124</v>
      </c>
      <c r="G117" s="19">
        <v>0.06</v>
      </c>
      <c r="H117" s="205">
        <f>$G117*H$135</f>
        <v>333.03162013430062</v>
      </c>
    </row>
    <row r="118" spans="1:8" x14ac:dyDescent="0.2">
      <c r="A118" s="8" t="s">
        <v>8</v>
      </c>
      <c r="B118" s="14" t="s">
        <v>73</v>
      </c>
      <c r="C118" s="19">
        <v>0.05</v>
      </c>
      <c r="D118" s="20">
        <f>C118*D135</f>
        <v>260.99658798156503</v>
      </c>
      <c r="E118" s="19">
        <v>0.05</v>
      </c>
      <c r="F118" s="205">
        <f>$E118*F$135</f>
        <v>280.4874444518594</v>
      </c>
      <c r="G118" s="19">
        <v>0.05</v>
      </c>
      <c r="H118" s="205">
        <f>$G118*H$135</f>
        <v>277.52635011191722</v>
      </c>
    </row>
    <row r="119" spans="1:8" x14ac:dyDescent="0.2">
      <c r="A119" s="8" t="s">
        <v>9</v>
      </c>
      <c r="B119" s="14" t="s">
        <v>125</v>
      </c>
      <c r="C119" s="34">
        <f>SUM(C120:C122)</f>
        <v>5.6499999999999995E-2</v>
      </c>
      <c r="D119" s="20">
        <f>(D135+D118+D117)*(C119/IF(C115="Lucro presumido",91.45%,85.75%))</f>
        <v>357.97487184830726</v>
      </c>
      <c r="E119" s="34">
        <f>SUM(E120:E122)</f>
        <v>5.6499999999999995E-2</v>
      </c>
      <c r="F119" s="205">
        <f>(F$135+F$118+F$117)*($E119/IF($E115="Lucro presumido",91.45%,85.75%))</f>
        <v>384.70792955272515</v>
      </c>
      <c r="G119" s="34">
        <f>SUM(G120:G122)</f>
        <v>5.6499999999999995E-2</v>
      </c>
      <c r="H119" s="205">
        <f>(H$135+H$118+H$117)*($G119/IF($G115="Lucro presumido",91.45%,85.75%))</f>
        <v>380.64658386591327</v>
      </c>
    </row>
    <row r="120" spans="1:8" x14ac:dyDescent="0.2">
      <c r="A120" s="8" t="s">
        <v>120</v>
      </c>
      <c r="B120" s="14" t="s">
        <v>119</v>
      </c>
      <c r="C120" s="34">
        <f>IF(C115="Lucro presumido",0.65%,1.65%)</f>
        <v>6.5000000000000006E-3</v>
      </c>
      <c r="D120" s="35" t="s">
        <v>118</v>
      </c>
      <c r="E120" s="34">
        <f>IF(E115="Lucro presumido",0.65%,1.65%)</f>
        <v>6.5000000000000006E-3</v>
      </c>
      <c r="F120" s="35" t="s">
        <v>118</v>
      </c>
      <c r="G120" s="34">
        <f>IF(G115="Lucro presumido",0.65%,1.65%)</f>
        <v>6.5000000000000006E-3</v>
      </c>
      <c r="H120" s="35" t="s">
        <v>118</v>
      </c>
    </row>
    <row r="121" spans="1:8" x14ac:dyDescent="0.2">
      <c r="A121" s="8" t="s">
        <v>122</v>
      </c>
      <c r="B121" s="14" t="s">
        <v>121</v>
      </c>
      <c r="C121" s="34">
        <f>IF(C115="Lucro presumido",3%,7.6%)</f>
        <v>0.03</v>
      </c>
      <c r="D121" s="35" t="s">
        <v>118</v>
      </c>
      <c r="E121" s="34">
        <f>IF(E115="Lucro presumido",3%,7.6%)</f>
        <v>0.03</v>
      </c>
      <c r="F121" s="35" t="s">
        <v>118</v>
      </c>
      <c r="G121" s="34">
        <f>IF(G115="Lucro presumido",3%,7.6%)</f>
        <v>0.03</v>
      </c>
      <c r="H121" s="35" t="s">
        <v>118</v>
      </c>
    </row>
    <row r="122" spans="1:8" x14ac:dyDescent="0.2">
      <c r="A122" s="8" t="s">
        <v>124</v>
      </c>
      <c r="B122" s="14" t="s">
        <v>123</v>
      </c>
      <c r="C122" s="34">
        <v>0.02</v>
      </c>
      <c r="D122" s="35" t="s">
        <v>118</v>
      </c>
      <c r="E122" s="34">
        <v>0.02</v>
      </c>
      <c r="F122" s="35" t="s">
        <v>118</v>
      </c>
      <c r="G122" s="34">
        <v>0.02</v>
      </c>
      <c r="H122" s="35" t="s">
        <v>118</v>
      </c>
    </row>
    <row r="123" spans="1:8" ht="25.5" x14ac:dyDescent="0.2">
      <c r="A123" s="26" t="s">
        <v>11</v>
      </c>
      <c r="B123" s="5" t="s">
        <v>127</v>
      </c>
      <c r="C123" s="36">
        <v>4.4999999999999998E-2</v>
      </c>
      <c r="D123" s="37">
        <f>(D135+D118+D117)*(C123/IF(C115="Lucro presumido",91.45%,85.75%))</f>
        <v>285.11272979068724</v>
      </c>
      <c r="E123" s="36">
        <v>4.4999999999999998E-2</v>
      </c>
      <c r="F123" s="208">
        <f>(F$135+F$118+F$117)*($E123/IF($E115="Lucro presumido",91.45%,85.75%))</f>
        <v>306.40454566146258</v>
      </c>
      <c r="G123" s="36">
        <v>4.4999999999999998E-2</v>
      </c>
      <c r="H123" s="208">
        <f>(H$135+H$118+H$117)*($G123/IF($G115="Lucro presumido",91.45%,85.75%))</f>
        <v>303.1698455569221</v>
      </c>
    </row>
    <row r="124" spans="1:8" x14ac:dyDescent="0.2">
      <c r="A124" s="463" t="s">
        <v>17</v>
      </c>
      <c r="B124" s="463"/>
      <c r="C124" s="21">
        <f>SUM(C117:C119)+(C123)</f>
        <v>0.21149999999999997</v>
      </c>
      <c r="D124" s="22">
        <f>SUM(D117:D123)</f>
        <v>1217.2800951984377</v>
      </c>
      <c r="E124" s="21">
        <f>SUM(E117:E119)+(E123)</f>
        <v>0.21149999999999997</v>
      </c>
      <c r="F124" s="207">
        <f>SUM(F117:F123)</f>
        <v>1308.1848530082784</v>
      </c>
      <c r="G124" s="21">
        <f>SUM(G117:G119)+(G123)</f>
        <v>0.21149999999999997</v>
      </c>
      <c r="H124" s="207">
        <f>SUM(H117:H123)</f>
        <v>1294.3743996690532</v>
      </c>
    </row>
    <row r="125" spans="1:8" x14ac:dyDescent="0.2">
      <c r="A125" s="464" t="s">
        <v>79</v>
      </c>
      <c r="B125" s="464"/>
      <c r="C125" s="464"/>
      <c r="D125" s="464"/>
      <c r="E125" s="233"/>
    </row>
    <row r="126" spans="1:8" x14ac:dyDescent="0.2">
      <c r="A126" s="464" t="s">
        <v>126</v>
      </c>
      <c r="B126" s="464"/>
      <c r="C126" s="464"/>
      <c r="D126" s="464"/>
      <c r="E126" s="233"/>
    </row>
    <row r="128" spans="1:8" x14ac:dyDescent="0.2">
      <c r="A128" s="415" t="s">
        <v>112</v>
      </c>
      <c r="B128" s="415"/>
      <c r="C128" s="415"/>
      <c r="D128" s="415"/>
      <c r="E128" s="231"/>
    </row>
    <row r="129" spans="1:8" x14ac:dyDescent="0.2">
      <c r="A129" s="466" t="s">
        <v>80</v>
      </c>
      <c r="B129" s="467"/>
      <c r="C129" s="468"/>
      <c r="D129" s="43" t="s">
        <v>74</v>
      </c>
      <c r="E129" s="242"/>
      <c r="F129" s="219" t="s">
        <v>74</v>
      </c>
      <c r="H129" s="219" t="s">
        <v>74</v>
      </c>
    </row>
    <row r="130" spans="1:8" x14ac:dyDescent="0.2">
      <c r="A130" s="26" t="s">
        <v>6</v>
      </c>
      <c r="B130" s="438" t="s">
        <v>75</v>
      </c>
      <c r="C130" s="438"/>
      <c r="D130" s="16">
        <f>D19</f>
        <v>2543.94</v>
      </c>
      <c r="E130" s="292"/>
      <c r="F130" s="203">
        <f>F19</f>
        <v>2798.3340000000003</v>
      </c>
      <c r="G130" s="293"/>
      <c r="H130" s="211">
        <f>H19</f>
        <v>2798.3340000000003</v>
      </c>
    </row>
    <row r="131" spans="1:8" x14ac:dyDescent="0.2">
      <c r="A131" s="26" t="s">
        <v>8</v>
      </c>
      <c r="B131" s="438" t="s">
        <v>19</v>
      </c>
      <c r="C131" s="438"/>
      <c r="D131" s="16">
        <f>D65</f>
        <v>2269.1885869605999</v>
      </c>
      <c r="E131" s="292"/>
      <c r="F131" s="203">
        <f>F65</f>
        <v>2373.2212795342002</v>
      </c>
      <c r="G131" s="293"/>
      <c r="H131" s="211">
        <f>H65</f>
        <v>2373.2212795342002</v>
      </c>
    </row>
    <row r="132" spans="1:8" x14ac:dyDescent="0.2">
      <c r="A132" s="26" t="s">
        <v>9</v>
      </c>
      <c r="B132" s="438" t="s">
        <v>76</v>
      </c>
      <c r="C132" s="438"/>
      <c r="D132" s="16">
        <f>D76</f>
        <v>203.51472199367402</v>
      </c>
      <c r="E132" s="292"/>
      <c r="F132" s="203">
        <f>F76</f>
        <v>223.86619419304145</v>
      </c>
      <c r="G132" s="293"/>
      <c r="H132" s="203">
        <f>H76</f>
        <v>164.64430739419743</v>
      </c>
    </row>
    <row r="133" spans="1:8" x14ac:dyDescent="0.2">
      <c r="A133" s="26" t="s">
        <v>11</v>
      </c>
      <c r="B133" s="438" t="s">
        <v>53</v>
      </c>
      <c r="C133" s="438"/>
      <c r="D133" s="16">
        <f>D103</f>
        <v>110.38964632919999</v>
      </c>
      <c r="E133" s="292"/>
      <c r="F133" s="203">
        <f>F103</f>
        <v>121.42861096212002</v>
      </c>
      <c r="G133" s="293"/>
      <c r="H133" s="211">
        <f>H103</f>
        <v>121.42861096212002</v>
      </c>
    </row>
    <row r="134" spans="1:8" x14ac:dyDescent="0.2">
      <c r="A134" s="26" t="s">
        <v>13</v>
      </c>
      <c r="B134" s="438" t="s">
        <v>66</v>
      </c>
      <c r="C134" s="438"/>
      <c r="D134" s="16">
        <f>D111</f>
        <v>92.898804347826072</v>
      </c>
      <c r="E134" s="292"/>
      <c r="F134" s="211">
        <f>F111</f>
        <v>92.898804347826072</v>
      </c>
      <c r="G134" s="293"/>
      <c r="H134" s="211">
        <f>H111</f>
        <v>92.898804347826072</v>
      </c>
    </row>
    <row r="135" spans="1:8" x14ac:dyDescent="0.2">
      <c r="A135" s="463" t="s">
        <v>77</v>
      </c>
      <c r="B135" s="463"/>
      <c r="C135" s="463"/>
      <c r="D135" s="18">
        <f>SUM(D130:D134)</f>
        <v>5219.9317596313003</v>
      </c>
      <c r="E135" s="294"/>
      <c r="F135" s="204">
        <f>SUM(F130:F134)</f>
        <v>5609.7488890371878</v>
      </c>
      <c r="G135" s="293"/>
      <c r="H135" s="204">
        <f>SUM(H130:H134)</f>
        <v>5550.5270022383438</v>
      </c>
    </row>
    <row r="136" spans="1:8" x14ac:dyDescent="0.2">
      <c r="A136" s="8" t="s">
        <v>15</v>
      </c>
      <c r="B136" s="414" t="s">
        <v>70</v>
      </c>
      <c r="C136" s="414"/>
      <c r="D136" s="16">
        <f>D124</f>
        <v>1217.2800951984377</v>
      </c>
      <c r="E136" s="292"/>
      <c r="F136" s="203">
        <f>F124</f>
        <v>1308.1848530082784</v>
      </c>
      <c r="G136" s="293"/>
      <c r="H136" s="203">
        <f>H124</f>
        <v>1294.3743996690532</v>
      </c>
    </row>
    <row r="137" spans="1:8" x14ac:dyDescent="0.2">
      <c r="A137" s="415" t="s">
        <v>436</v>
      </c>
      <c r="B137" s="415"/>
      <c r="C137" s="415"/>
      <c r="D137" s="38">
        <f>SUM(D135:D136)</f>
        <v>6437.2118548297385</v>
      </c>
      <c r="E137" s="251"/>
      <c r="F137" s="209">
        <f>SUM(F135:F136)</f>
        <v>6917.9337420454667</v>
      </c>
      <c r="H137" s="209">
        <f>SUM(H135:H136)</f>
        <v>6844.9014019073966</v>
      </c>
    </row>
    <row r="140" spans="1:8" x14ac:dyDescent="0.2">
      <c r="A140" s="465" t="s">
        <v>469</v>
      </c>
      <c r="B140" s="465"/>
      <c r="C140" s="465"/>
      <c r="D140" s="465"/>
      <c r="E140" s="240"/>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8:D58"/>
    <mergeCell ref="A30:D30"/>
    <mergeCell ref="A32:D32"/>
    <mergeCell ref="A42:B42"/>
    <mergeCell ref="A43:D43"/>
    <mergeCell ref="A44:D44"/>
    <mergeCell ref="A45:D45"/>
    <mergeCell ref="A46:D46"/>
    <mergeCell ref="A47:D47"/>
    <mergeCell ref="A49:D49"/>
    <mergeCell ref="A56:C56"/>
    <mergeCell ref="A57:D57"/>
    <mergeCell ref="A81:D81"/>
    <mergeCell ref="A60:D60"/>
    <mergeCell ref="B61:C61"/>
    <mergeCell ref="B62:C62"/>
    <mergeCell ref="B63:C63"/>
    <mergeCell ref="B64:C64"/>
    <mergeCell ref="A65:C65"/>
    <mergeCell ref="A67:D67"/>
    <mergeCell ref="A76:B76"/>
    <mergeCell ref="A77:D77"/>
    <mergeCell ref="A78:D78"/>
    <mergeCell ref="A80:D80"/>
    <mergeCell ref="B107:C107"/>
    <mergeCell ref="A83:D83"/>
    <mergeCell ref="A91:B91"/>
    <mergeCell ref="A92:D92"/>
    <mergeCell ref="A94:D94"/>
    <mergeCell ref="A97:B97"/>
    <mergeCell ref="A99:D99"/>
    <mergeCell ref="B100:C100"/>
    <mergeCell ref="B101:C101"/>
    <mergeCell ref="A103:C103"/>
    <mergeCell ref="A105:D105"/>
    <mergeCell ref="B106:C106"/>
    <mergeCell ref="A114:D114"/>
    <mergeCell ref="A115:B115"/>
    <mergeCell ref="C115:D115"/>
    <mergeCell ref="A124:B124"/>
    <mergeCell ref="A125:D125"/>
    <mergeCell ref="B108:C108"/>
    <mergeCell ref="B109:C109"/>
    <mergeCell ref="B110:C110"/>
    <mergeCell ref="A111:C111"/>
    <mergeCell ref="A112:D112"/>
    <mergeCell ref="A140:D140"/>
    <mergeCell ref="A129:C129"/>
    <mergeCell ref="B130:C130"/>
    <mergeCell ref="B131:C131"/>
    <mergeCell ref="B132:C132"/>
    <mergeCell ref="B133:C133"/>
    <mergeCell ref="B134:C134"/>
    <mergeCell ref="G115:H115"/>
    <mergeCell ref="E115:F115"/>
    <mergeCell ref="A135:C135"/>
    <mergeCell ref="B136:C136"/>
    <mergeCell ref="A137:C137"/>
    <mergeCell ref="A128:D128"/>
    <mergeCell ref="A126:D126"/>
  </mergeCells>
  <dataValidations disablePrompts="1" count="1">
    <dataValidation type="list" allowBlank="1" showInputMessage="1" showErrorMessage="1" sqref="G115 C115:E115" xr:uid="{00000000-0002-0000-0A00-000000000000}">
      <formula1>"Lucro presumido,Lucro real"</formula1>
    </dataValidation>
  </dataValidations>
  <pageMargins left="0.511811024" right="0.511811024" top="0.78740157499999996" bottom="0.78740157499999996" header="0.31496062000000002" footer="0.31496062000000002"/>
  <pageSetup paperSize="9" scale="5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pageSetUpPr fitToPage="1"/>
  </sheetPr>
  <dimension ref="A1:H140"/>
  <sheetViews>
    <sheetView showGridLines="0" topLeftCell="A13" zoomScaleNormal="100" workbookViewId="0">
      <selection activeCell="F15" sqref="F15"/>
    </sheetView>
  </sheetViews>
  <sheetFormatPr defaultColWidth="8.7109375" defaultRowHeight="12.75" x14ac:dyDescent="0.2"/>
  <cols>
    <col min="1" max="1" width="5" style="1" bestFit="1" customWidth="1"/>
    <col min="2" max="2" width="45.7109375" style="12" bestFit="1" customWidth="1"/>
    <col min="3" max="3" width="14.140625" style="12" bestFit="1" customWidth="1"/>
    <col min="4" max="4" width="10" style="1" bestFit="1" customWidth="1"/>
    <col min="5" max="5" width="14.140625" style="221" bestFit="1" customWidth="1"/>
    <col min="6" max="6" width="20.28515625" style="221" bestFit="1" customWidth="1"/>
    <col min="7" max="7" width="14.140625" style="221" bestFit="1" customWidth="1"/>
    <col min="8" max="8" width="18.28515625" style="221" bestFit="1" customWidth="1"/>
    <col min="9" max="16384" width="8.7109375" style="1"/>
  </cols>
  <sheetData>
    <row r="1" spans="1:8" x14ac:dyDescent="0.2">
      <c r="A1" s="476" t="s">
        <v>92</v>
      </c>
      <c r="B1" s="476"/>
      <c r="C1" s="476"/>
      <c r="D1" s="476"/>
      <c r="E1" s="222"/>
    </row>
    <row r="3" spans="1:8" x14ac:dyDescent="0.2">
      <c r="A3" s="477" t="s">
        <v>0</v>
      </c>
      <c r="B3" s="477"/>
      <c r="C3" s="477"/>
      <c r="D3" s="477"/>
      <c r="E3" s="223"/>
    </row>
    <row r="4" spans="1:8" ht="25.5" x14ac:dyDescent="0.2">
      <c r="A4" s="48">
        <v>1</v>
      </c>
      <c r="B4" s="3" t="s">
        <v>1</v>
      </c>
      <c r="C4" s="454" t="s">
        <v>438</v>
      </c>
      <c r="D4" s="454"/>
      <c r="E4" s="224"/>
    </row>
    <row r="5" spans="1:8" x14ac:dyDescent="0.2">
      <c r="A5" s="4">
        <v>2</v>
      </c>
      <c r="B5" s="63" t="s">
        <v>2</v>
      </c>
      <c r="C5" s="455"/>
      <c r="D5" s="455"/>
      <c r="E5" s="225"/>
    </row>
    <row r="6" spans="1:8" x14ac:dyDescent="0.2">
      <c r="A6" s="4">
        <v>3</v>
      </c>
      <c r="B6" s="63" t="s">
        <v>95</v>
      </c>
      <c r="C6" s="459">
        <v>1901.53</v>
      </c>
      <c r="D6" s="459"/>
      <c r="E6" s="226"/>
      <c r="F6" s="262"/>
    </row>
    <row r="7" spans="1:8" ht="25.5" x14ac:dyDescent="0.2">
      <c r="A7" s="4">
        <v>4</v>
      </c>
      <c r="B7" s="63" t="s">
        <v>96</v>
      </c>
      <c r="C7" s="482" t="s">
        <v>458</v>
      </c>
      <c r="D7" s="484"/>
      <c r="E7" s="227"/>
    </row>
    <row r="8" spans="1:8" x14ac:dyDescent="0.2">
      <c r="A8" s="4">
        <v>5</v>
      </c>
      <c r="B8" s="63" t="s">
        <v>3</v>
      </c>
      <c r="C8" s="427" t="s">
        <v>451</v>
      </c>
      <c r="D8" s="428"/>
      <c r="E8" s="228"/>
      <c r="F8" s="229">
        <v>44562</v>
      </c>
    </row>
    <row r="9" spans="1:8" x14ac:dyDescent="0.2">
      <c r="A9" s="4">
        <v>6</v>
      </c>
      <c r="B9" s="63" t="s">
        <v>97</v>
      </c>
      <c r="C9" s="427" t="s">
        <v>452</v>
      </c>
      <c r="D9" s="428"/>
      <c r="E9" s="228"/>
      <c r="F9" s="230" t="s">
        <v>566</v>
      </c>
    </row>
    <row r="10" spans="1:8" x14ac:dyDescent="0.2">
      <c r="F10" s="221" t="s">
        <v>567</v>
      </c>
      <c r="H10" s="221" t="s">
        <v>568</v>
      </c>
    </row>
    <row r="11" spans="1:8" ht="127.5" x14ac:dyDescent="0.2">
      <c r="A11" s="415" t="s">
        <v>75</v>
      </c>
      <c r="B11" s="415"/>
      <c r="C11" s="415"/>
      <c r="D11" s="415"/>
      <c r="E11" s="231"/>
      <c r="F11" s="252" t="s">
        <v>575</v>
      </c>
      <c r="H11" s="252" t="s">
        <v>569</v>
      </c>
    </row>
    <row r="12" spans="1:8" x14ac:dyDescent="0.2">
      <c r="A12" s="47">
        <v>1</v>
      </c>
      <c r="B12" s="477" t="s">
        <v>4</v>
      </c>
      <c r="C12" s="477"/>
      <c r="D12" s="50" t="s">
        <v>5</v>
      </c>
      <c r="E12" s="242"/>
      <c r="F12" s="218" t="s">
        <v>5</v>
      </c>
      <c r="H12" s="218" t="s">
        <v>5</v>
      </c>
    </row>
    <row r="13" spans="1:8" x14ac:dyDescent="0.2">
      <c r="A13" s="8" t="s">
        <v>6</v>
      </c>
      <c r="B13" s="414" t="s">
        <v>7</v>
      </c>
      <c r="C13" s="414"/>
      <c r="D13" s="114">
        <v>2805.63</v>
      </c>
      <c r="E13" s="243"/>
      <c r="F13" s="200">
        <f>D13*1.1</f>
        <v>3086.1930000000002</v>
      </c>
      <c r="H13" s="114">
        <f>F13</f>
        <v>3086.1930000000002</v>
      </c>
    </row>
    <row r="14" spans="1:8" x14ac:dyDescent="0.2">
      <c r="A14" s="8" t="s">
        <v>8</v>
      </c>
      <c r="B14" s="414" t="s">
        <v>400</v>
      </c>
      <c r="C14" s="414"/>
      <c r="D14" s="10" t="s">
        <v>118</v>
      </c>
      <c r="E14" s="244"/>
      <c r="F14" s="10" t="s">
        <v>118</v>
      </c>
      <c r="H14" s="10" t="s">
        <v>118</v>
      </c>
    </row>
    <row r="15" spans="1:8" x14ac:dyDescent="0.2">
      <c r="A15" s="8" t="s">
        <v>9</v>
      </c>
      <c r="B15" s="414" t="s">
        <v>460</v>
      </c>
      <c r="C15" s="414"/>
      <c r="D15" s="10">
        <f>0.2*1287.96</f>
        <v>257.59200000000004</v>
      </c>
      <c r="E15" s="244"/>
      <c r="F15" s="201">
        <f>20%*1416.75</f>
        <v>283.35000000000002</v>
      </c>
      <c r="H15" s="10">
        <f>20%*1416.75</f>
        <v>283.35000000000002</v>
      </c>
    </row>
    <row r="16" spans="1:8" x14ac:dyDescent="0.2">
      <c r="A16" s="8" t="s">
        <v>11</v>
      </c>
      <c r="B16" s="414" t="s">
        <v>12</v>
      </c>
      <c r="C16" s="414"/>
      <c r="D16" s="10" t="s">
        <v>118</v>
      </c>
      <c r="E16" s="244"/>
      <c r="F16" s="10" t="s">
        <v>118</v>
      </c>
      <c r="H16" s="10" t="s">
        <v>118</v>
      </c>
    </row>
    <row r="17" spans="1:8" x14ac:dyDescent="0.2">
      <c r="A17" s="8" t="s">
        <v>13</v>
      </c>
      <c r="B17" s="414" t="s">
        <v>14</v>
      </c>
      <c r="C17" s="414"/>
      <c r="D17" s="10" t="s">
        <v>118</v>
      </c>
      <c r="E17" s="244"/>
      <c r="F17" s="10" t="s">
        <v>118</v>
      </c>
      <c r="H17" s="10" t="s">
        <v>118</v>
      </c>
    </row>
    <row r="18" spans="1:8" x14ac:dyDescent="0.2">
      <c r="A18" s="8" t="s">
        <v>15</v>
      </c>
      <c r="B18" s="414" t="s">
        <v>16</v>
      </c>
      <c r="C18" s="414"/>
      <c r="D18" s="10" t="s">
        <v>118</v>
      </c>
      <c r="E18" s="244"/>
      <c r="F18" s="10" t="s">
        <v>118</v>
      </c>
      <c r="H18" s="10" t="s">
        <v>118</v>
      </c>
    </row>
    <row r="19" spans="1:8" x14ac:dyDescent="0.2">
      <c r="A19" s="463" t="s">
        <v>17</v>
      </c>
      <c r="B19" s="463"/>
      <c r="C19" s="463"/>
      <c r="D19" s="11">
        <f>SUM(D13:D18)</f>
        <v>3063.2220000000002</v>
      </c>
      <c r="E19" s="243"/>
      <c r="F19" s="202">
        <f>SUM(F13:F18)</f>
        <v>3369.5430000000001</v>
      </c>
      <c r="H19" s="11">
        <f>SUM(H13:H18)</f>
        <v>3369.5430000000001</v>
      </c>
    </row>
    <row r="20" spans="1:8" x14ac:dyDescent="0.2">
      <c r="A20" s="481" t="s">
        <v>18</v>
      </c>
      <c r="B20" s="481"/>
      <c r="C20" s="481"/>
      <c r="D20" s="481"/>
      <c r="E20" s="233"/>
    </row>
    <row r="22" spans="1:8" x14ac:dyDescent="0.2">
      <c r="A22" s="415" t="s">
        <v>19</v>
      </c>
      <c r="B22" s="415"/>
      <c r="C22" s="415"/>
      <c r="D22" s="415"/>
      <c r="E22" s="231"/>
    </row>
    <row r="23" spans="1:8" x14ac:dyDescent="0.2">
      <c r="A23" s="463" t="s">
        <v>24</v>
      </c>
      <c r="B23" s="463"/>
      <c r="C23" s="463"/>
      <c r="D23" s="463"/>
      <c r="E23" s="234"/>
    </row>
    <row r="24" spans="1:8" ht="25.5" x14ac:dyDescent="0.2">
      <c r="A24" s="51" t="s">
        <v>20</v>
      </c>
      <c r="B24" s="51" t="s">
        <v>21</v>
      </c>
      <c r="C24" s="48" t="s">
        <v>28</v>
      </c>
      <c r="D24" s="51" t="s">
        <v>5</v>
      </c>
      <c r="E24" s="219" t="s">
        <v>28</v>
      </c>
      <c r="F24" s="220" t="s">
        <v>5</v>
      </c>
      <c r="G24" s="219" t="s">
        <v>28</v>
      </c>
      <c r="H24" s="220" t="s">
        <v>5</v>
      </c>
    </row>
    <row r="25" spans="1:8" x14ac:dyDescent="0.2">
      <c r="A25" s="8" t="s">
        <v>6</v>
      </c>
      <c r="B25" s="14" t="s">
        <v>22</v>
      </c>
      <c r="C25" s="15">
        <v>9.0899999999999995E-2</v>
      </c>
      <c r="D25" s="16">
        <f>C25*$D$19</f>
        <v>278.44687979999998</v>
      </c>
      <c r="E25" s="352">
        <v>9.0899999999999995E-2</v>
      </c>
      <c r="F25" s="203">
        <f>E25*F$19</f>
        <v>306.29145870000002</v>
      </c>
      <c r="G25" s="352">
        <v>9.0899999999999995E-2</v>
      </c>
      <c r="H25" s="211">
        <f>G25*H$19</f>
        <v>306.29145870000002</v>
      </c>
    </row>
    <row r="26" spans="1:8" x14ac:dyDescent="0.2">
      <c r="A26" s="8" t="s">
        <v>8</v>
      </c>
      <c r="B26" s="14" t="s">
        <v>23</v>
      </c>
      <c r="C26" s="15">
        <v>0.1212</v>
      </c>
      <c r="D26" s="16">
        <f>C26*$D$19</f>
        <v>371.26250640000001</v>
      </c>
      <c r="E26" s="352">
        <v>0.1212</v>
      </c>
      <c r="F26" s="203">
        <f>E26*F$19</f>
        <v>408.38861160000005</v>
      </c>
      <c r="G26" s="352">
        <v>0.1212</v>
      </c>
      <c r="H26" s="211">
        <f>G26*H$19</f>
        <v>408.38861160000005</v>
      </c>
    </row>
    <row r="27" spans="1:8" x14ac:dyDescent="0.2">
      <c r="A27" s="463" t="s">
        <v>17</v>
      </c>
      <c r="B27" s="463"/>
      <c r="C27" s="17">
        <f t="shared" ref="C27:H27" si="0">SUM(C25:C26)</f>
        <v>0.21210000000000001</v>
      </c>
      <c r="D27" s="18">
        <f t="shared" si="0"/>
        <v>649.70938619999993</v>
      </c>
      <c r="E27" s="353">
        <f t="shared" si="0"/>
        <v>0.21210000000000001</v>
      </c>
      <c r="F27" s="204">
        <f t="shared" si="0"/>
        <v>714.68007030000012</v>
      </c>
      <c r="G27" s="353">
        <f t="shared" si="0"/>
        <v>0.21210000000000001</v>
      </c>
      <c r="H27" s="212">
        <f t="shared" si="0"/>
        <v>714.68007030000012</v>
      </c>
    </row>
    <row r="28" spans="1:8" x14ac:dyDescent="0.2">
      <c r="A28" s="464" t="s">
        <v>98</v>
      </c>
      <c r="B28" s="464"/>
      <c r="C28" s="464"/>
      <c r="D28" s="464"/>
      <c r="E28" s="233"/>
    </row>
    <row r="29" spans="1:8" x14ac:dyDescent="0.2">
      <c r="A29" s="464" t="s">
        <v>99</v>
      </c>
      <c r="B29" s="464"/>
      <c r="C29" s="464"/>
      <c r="D29" s="464"/>
      <c r="E29" s="233"/>
    </row>
    <row r="30" spans="1:8" x14ac:dyDescent="0.2">
      <c r="A30" s="464" t="s">
        <v>100</v>
      </c>
      <c r="B30" s="464"/>
      <c r="C30" s="464"/>
      <c r="D30" s="464"/>
      <c r="E30" s="233"/>
    </row>
    <row r="32" spans="1:8" x14ac:dyDescent="0.2">
      <c r="A32" s="470" t="s">
        <v>25</v>
      </c>
      <c r="B32" s="470"/>
      <c r="C32" s="470"/>
      <c r="D32" s="470"/>
      <c r="E32" s="235"/>
    </row>
    <row r="33" spans="1:8" x14ac:dyDescent="0.2">
      <c r="A33" s="47" t="s">
        <v>26</v>
      </c>
      <c r="B33" s="50" t="s">
        <v>27</v>
      </c>
      <c r="C33" s="50" t="s">
        <v>28</v>
      </c>
      <c r="D33" s="47" t="s">
        <v>5</v>
      </c>
      <c r="E33" s="218" t="s">
        <v>28</v>
      </c>
      <c r="F33" s="217" t="s">
        <v>5</v>
      </c>
      <c r="G33" s="218" t="s">
        <v>28</v>
      </c>
      <c r="H33" s="217" t="s">
        <v>5</v>
      </c>
    </row>
    <row r="34" spans="1:8" x14ac:dyDescent="0.2">
      <c r="A34" s="8" t="s">
        <v>6</v>
      </c>
      <c r="B34" s="14" t="s">
        <v>29</v>
      </c>
      <c r="C34" s="19">
        <v>0</v>
      </c>
      <c r="D34" s="20">
        <f t="shared" ref="D34:D40" si="1">C34*($D$19+$D$27)</f>
        <v>0</v>
      </c>
      <c r="E34" s="19">
        <v>0</v>
      </c>
      <c r="F34" s="20">
        <f>E34*(F$19+F$27)</f>
        <v>0</v>
      </c>
      <c r="G34" s="19">
        <v>0</v>
      </c>
      <c r="H34" s="20">
        <f>G34*(H$19+H$27)</f>
        <v>0</v>
      </c>
    </row>
    <row r="35" spans="1:8" x14ac:dyDescent="0.2">
      <c r="A35" s="8" t="s">
        <v>8</v>
      </c>
      <c r="B35" s="14" t="s">
        <v>30</v>
      </c>
      <c r="C35" s="19">
        <v>2.5000000000000001E-2</v>
      </c>
      <c r="D35" s="20">
        <f t="shared" si="1"/>
        <v>92.823284655000009</v>
      </c>
      <c r="E35" s="19">
        <v>2.5000000000000001E-2</v>
      </c>
      <c r="F35" s="205">
        <f t="shared" ref="F35:F41" si="2">$E35*(F$19+F$27)</f>
        <v>102.10557675750002</v>
      </c>
      <c r="G35" s="19">
        <v>2.5000000000000001E-2</v>
      </c>
      <c r="H35" s="20">
        <f t="shared" ref="H35:H41" si="3">$G35*(H$19+H$27)</f>
        <v>102.10557675750002</v>
      </c>
    </row>
    <row r="36" spans="1:8" x14ac:dyDescent="0.2">
      <c r="A36" s="8" t="s">
        <v>9</v>
      </c>
      <c r="B36" s="14" t="s">
        <v>101</v>
      </c>
      <c r="C36" s="19">
        <v>3.39E-2</v>
      </c>
      <c r="D36" s="20">
        <f t="shared" si="1"/>
        <v>125.86837399218</v>
      </c>
      <c r="E36" s="287">
        <v>1.4999999999999999E-2</v>
      </c>
      <c r="F36" s="205">
        <f t="shared" si="2"/>
        <v>61.263346054500005</v>
      </c>
      <c r="G36" s="19">
        <v>1.4999999999999999E-2</v>
      </c>
      <c r="H36" s="20">
        <f t="shared" si="3"/>
        <v>61.263346054500005</v>
      </c>
    </row>
    <row r="37" spans="1:8" x14ac:dyDescent="0.2">
      <c r="A37" s="8" t="s">
        <v>11</v>
      </c>
      <c r="B37" s="14" t="s">
        <v>31</v>
      </c>
      <c r="C37" s="19">
        <v>1.4999999999999999E-2</v>
      </c>
      <c r="D37" s="20">
        <f t="shared" si="1"/>
        <v>55.693970792999998</v>
      </c>
      <c r="E37" s="19">
        <v>1.4999999999999999E-2</v>
      </c>
      <c r="F37" s="205">
        <f t="shared" si="2"/>
        <v>61.263346054500005</v>
      </c>
      <c r="G37" s="19">
        <v>1.4999999999999999E-2</v>
      </c>
      <c r="H37" s="20">
        <f t="shared" si="3"/>
        <v>61.263346054500005</v>
      </c>
    </row>
    <row r="38" spans="1:8" x14ac:dyDescent="0.2">
      <c r="A38" s="8" t="s">
        <v>13</v>
      </c>
      <c r="B38" s="14" t="s">
        <v>32</v>
      </c>
      <c r="C38" s="19">
        <v>0.01</v>
      </c>
      <c r="D38" s="20">
        <f t="shared" si="1"/>
        <v>37.129313861999997</v>
      </c>
      <c r="E38" s="19">
        <v>0.01</v>
      </c>
      <c r="F38" s="205">
        <f t="shared" si="2"/>
        <v>40.842230703000006</v>
      </c>
      <c r="G38" s="19">
        <v>0.01</v>
      </c>
      <c r="H38" s="20">
        <f t="shared" si="3"/>
        <v>40.842230703000006</v>
      </c>
    </row>
    <row r="39" spans="1:8" x14ac:dyDescent="0.2">
      <c r="A39" s="8" t="s">
        <v>15</v>
      </c>
      <c r="B39" s="14" t="s">
        <v>33</v>
      </c>
      <c r="C39" s="19">
        <v>6.0000000000000001E-3</v>
      </c>
      <c r="D39" s="20">
        <f t="shared" si="1"/>
        <v>22.277588317199999</v>
      </c>
      <c r="E39" s="19">
        <v>6.0000000000000001E-3</v>
      </c>
      <c r="F39" s="205">
        <f t="shared" si="2"/>
        <v>24.505338421800005</v>
      </c>
      <c r="G39" s="19">
        <v>6.0000000000000001E-3</v>
      </c>
      <c r="H39" s="20">
        <f t="shared" si="3"/>
        <v>24.505338421800005</v>
      </c>
    </row>
    <row r="40" spans="1:8" x14ac:dyDescent="0.2">
      <c r="A40" s="8" t="s">
        <v>34</v>
      </c>
      <c r="B40" s="14" t="s">
        <v>35</v>
      </c>
      <c r="C40" s="19">
        <v>2E-3</v>
      </c>
      <c r="D40" s="20">
        <f t="shared" si="1"/>
        <v>7.4258627724000004</v>
      </c>
      <c r="E40" s="19">
        <v>2E-3</v>
      </c>
      <c r="F40" s="205">
        <f t="shared" si="2"/>
        <v>8.1684461406000004</v>
      </c>
      <c r="G40" s="19">
        <v>2E-3</v>
      </c>
      <c r="H40" s="20">
        <f t="shared" si="3"/>
        <v>8.1684461406000004</v>
      </c>
    </row>
    <row r="41" spans="1:8" x14ac:dyDescent="0.2">
      <c r="A41" s="8" t="s">
        <v>36</v>
      </c>
      <c r="B41" s="14" t="s">
        <v>37</v>
      </c>
      <c r="C41" s="19">
        <v>0.08</v>
      </c>
      <c r="D41" s="20">
        <f>C41*($D$19+$D$27)</f>
        <v>297.03451089599997</v>
      </c>
      <c r="E41" s="19">
        <v>0.08</v>
      </c>
      <c r="F41" s="205">
        <f t="shared" si="2"/>
        <v>326.73784562400004</v>
      </c>
      <c r="G41" s="19">
        <v>0.08</v>
      </c>
      <c r="H41" s="20">
        <f t="shared" si="3"/>
        <v>326.73784562400004</v>
      </c>
    </row>
    <row r="42" spans="1:8" x14ac:dyDescent="0.2">
      <c r="A42" s="471" t="s">
        <v>17</v>
      </c>
      <c r="B42" s="472"/>
      <c r="C42" s="21">
        <f t="shared" ref="C42:H42" si="4">SUM(C34:C41)</f>
        <v>0.1719</v>
      </c>
      <c r="D42" s="22">
        <f t="shared" si="4"/>
        <v>638.2529052877801</v>
      </c>
      <c r="E42" s="288">
        <f t="shared" si="4"/>
        <v>0.15300000000000002</v>
      </c>
      <c r="F42" s="289">
        <f t="shared" si="4"/>
        <v>624.88612975590013</v>
      </c>
      <c r="G42" s="21">
        <f t="shared" si="4"/>
        <v>0.15300000000000002</v>
      </c>
      <c r="H42" s="22">
        <f t="shared" si="4"/>
        <v>624.88612975590013</v>
      </c>
    </row>
    <row r="43" spans="1:8" x14ac:dyDescent="0.2">
      <c r="A43" s="464" t="s">
        <v>104</v>
      </c>
      <c r="B43" s="464"/>
      <c r="C43" s="464"/>
      <c r="D43" s="464"/>
      <c r="E43" s="233"/>
    </row>
    <row r="44" spans="1:8" x14ac:dyDescent="0.2">
      <c r="A44" s="464" t="s">
        <v>102</v>
      </c>
      <c r="B44" s="464"/>
      <c r="C44" s="464"/>
      <c r="D44" s="464"/>
      <c r="E44" s="233"/>
    </row>
    <row r="45" spans="1:8" x14ac:dyDescent="0.2">
      <c r="A45" s="464" t="s">
        <v>103</v>
      </c>
      <c r="B45" s="464"/>
      <c r="C45" s="464"/>
      <c r="D45" s="464"/>
      <c r="E45" s="233"/>
    </row>
    <row r="46" spans="1:8" x14ac:dyDescent="0.2">
      <c r="A46" s="464" t="s">
        <v>108</v>
      </c>
      <c r="B46" s="464"/>
      <c r="C46" s="464"/>
      <c r="D46" s="464"/>
      <c r="E46" s="233"/>
    </row>
    <row r="47" spans="1:8" x14ac:dyDescent="0.2">
      <c r="A47" s="464" t="s">
        <v>113</v>
      </c>
      <c r="B47" s="464"/>
      <c r="C47" s="464"/>
      <c r="D47" s="464"/>
      <c r="E47" s="233"/>
    </row>
    <row r="49" spans="1:8" x14ac:dyDescent="0.2">
      <c r="A49" s="470" t="s">
        <v>38</v>
      </c>
      <c r="B49" s="470"/>
      <c r="C49" s="470"/>
      <c r="D49" s="470"/>
      <c r="E49" s="235"/>
    </row>
    <row r="50" spans="1:8" x14ac:dyDescent="0.2">
      <c r="A50" s="49" t="s">
        <v>39</v>
      </c>
      <c r="B50" s="48" t="s">
        <v>40</v>
      </c>
      <c r="C50" s="49" t="s">
        <v>89</v>
      </c>
      <c r="D50" s="48" t="s">
        <v>5</v>
      </c>
      <c r="E50" s="242"/>
      <c r="F50" s="219" t="s">
        <v>5</v>
      </c>
      <c r="H50" s="219" t="s">
        <v>5</v>
      </c>
    </row>
    <row r="51" spans="1:8" x14ac:dyDescent="0.2">
      <c r="A51" s="8" t="s">
        <v>6</v>
      </c>
      <c r="B51" s="14" t="s">
        <v>135</v>
      </c>
      <c r="C51" s="24">
        <v>22</v>
      </c>
      <c r="D51" s="16">
        <f>(18.6*C51)-0.06*D13</f>
        <v>240.86220000000006</v>
      </c>
      <c r="E51" s="245"/>
      <c r="F51" s="203">
        <f>(18.6*$C51)-0.06*F$13</f>
        <v>224.02842000000004</v>
      </c>
      <c r="H51" s="16">
        <f>(18.6*$C51)-0.06*H$13</f>
        <v>224.02842000000004</v>
      </c>
    </row>
    <row r="52" spans="1:8" x14ac:dyDescent="0.2">
      <c r="A52" s="8" t="s">
        <v>8</v>
      </c>
      <c r="B52" s="14" t="s">
        <v>456</v>
      </c>
      <c r="C52" s="24">
        <v>22</v>
      </c>
      <c r="D52" s="16">
        <f>35*C52</f>
        <v>770</v>
      </c>
      <c r="E52" s="245"/>
      <c r="F52" s="203">
        <f>38*$C52</f>
        <v>836</v>
      </c>
      <c r="H52" s="16">
        <f>38*$C52</f>
        <v>836</v>
      </c>
    </row>
    <row r="53" spans="1:8" x14ac:dyDescent="0.2">
      <c r="A53" s="8" t="s">
        <v>9</v>
      </c>
      <c r="B53" s="14" t="s">
        <v>42</v>
      </c>
      <c r="C53" s="24"/>
      <c r="D53" s="16">
        <v>160.07</v>
      </c>
      <c r="E53" s="245"/>
      <c r="F53" s="203">
        <v>169.67</v>
      </c>
      <c r="H53" s="16">
        <v>169.67</v>
      </c>
    </row>
    <row r="54" spans="1:8" x14ac:dyDescent="0.2">
      <c r="A54" s="8" t="s">
        <v>11</v>
      </c>
      <c r="B54" s="14" t="s">
        <v>90</v>
      </c>
      <c r="C54" s="24"/>
      <c r="D54" s="16">
        <v>10.63</v>
      </c>
      <c r="E54" s="245"/>
      <c r="F54" s="203">
        <v>11.27</v>
      </c>
      <c r="H54" s="16">
        <v>11.27</v>
      </c>
    </row>
    <row r="55" spans="1:8" x14ac:dyDescent="0.2">
      <c r="A55" s="8" t="s">
        <v>13</v>
      </c>
      <c r="B55" s="14" t="s">
        <v>453</v>
      </c>
      <c r="C55" s="24"/>
      <c r="D55" s="16">
        <v>2.2999999999999998</v>
      </c>
      <c r="E55" s="245"/>
      <c r="F55" s="203">
        <v>2.5</v>
      </c>
      <c r="H55" s="16">
        <v>2.5</v>
      </c>
    </row>
    <row r="56" spans="1:8" x14ac:dyDescent="0.2">
      <c r="A56" s="463" t="s">
        <v>17</v>
      </c>
      <c r="B56" s="463"/>
      <c r="C56" s="463"/>
      <c r="D56" s="18">
        <f>SUM(D51:D55)</f>
        <v>1183.8622</v>
      </c>
      <c r="E56" s="246"/>
      <c r="F56" s="206">
        <f>SUM(F51:F55)</f>
        <v>1243.4684200000002</v>
      </c>
      <c r="H56" s="25">
        <f>SUM(H51:H55)</f>
        <v>1243.4684200000002</v>
      </c>
    </row>
    <row r="57" spans="1:8" x14ac:dyDescent="0.2">
      <c r="A57" s="464" t="s">
        <v>45</v>
      </c>
      <c r="B57" s="464"/>
      <c r="C57" s="464"/>
      <c r="D57" s="464"/>
      <c r="E57" s="233"/>
    </row>
    <row r="58" spans="1:8" x14ac:dyDescent="0.2">
      <c r="A58" s="464" t="s">
        <v>105</v>
      </c>
      <c r="B58" s="464"/>
      <c r="C58" s="464"/>
      <c r="D58" s="464"/>
      <c r="E58" s="233"/>
    </row>
    <row r="60" spans="1:8" x14ac:dyDescent="0.2">
      <c r="A60" s="415" t="s">
        <v>43</v>
      </c>
      <c r="B60" s="415"/>
      <c r="C60" s="415"/>
      <c r="D60" s="415"/>
      <c r="E60" s="231"/>
    </row>
    <row r="61" spans="1:8" x14ac:dyDescent="0.2">
      <c r="A61" s="50">
        <v>2</v>
      </c>
      <c r="B61" s="430" t="s">
        <v>44</v>
      </c>
      <c r="C61" s="430"/>
      <c r="D61" s="50" t="s">
        <v>5</v>
      </c>
      <c r="E61" s="242"/>
      <c r="F61" s="218" t="s">
        <v>5</v>
      </c>
      <c r="H61" s="218" t="s">
        <v>5</v>
      </c>
    </row>
    <row r="62" spans="1:8" x14ac:dyDescent="0.2">
      <c r="A62" s="26" t="s">
        <v>20</v>
      </c>
      <c r="B62" s="438" t="s">
        <v>21</v>
      </c>
      <c r="C62" s="438"/>
      <c r="D62" s="16">
        <f>D27</f>
        <v>649.70938619999993</v>
      </c>
      <c r="E62" s="245"/>
      <c r="F62" s="203">
        <f>F27</f>
        <v>714.68007030000012</v>
      </c>
      <c r="H62" s="16">
        <f>H27</f>
        <v>714.68007030000012</v>
      </c>
    </row>
    <row r="63" spans="1:8" x14ac:dyDescent="0.2">
      <c r="A63" s="26" t="s">
        <v>26</v>
      </c>
      <c r="B63" s="414" t="s">
        <v>27</v>
      </c>
      <c r="C63" s="414"/>
      <c r="D63" s="16">
        <f>D42</f>
        <v>638.2529052877801</v>
      </c>
      <c r="E63" s="245"/>
      <c r="F63" s="203">
        <f>F42</f>
        <v>624.88612975590013</v>
      </c>
      <c r="H63" s="16">
        <f>H42</f>
        <v>624.88612975590013</v>
      </c>
    </row>
    <row r="64" spans="1:8" x14ac:dyDescent="0.2">
      <c r="A64" s="26" t="s">
        <v>39</v>
      </c>
      <c r="B64" s="414" t="s">
        <v>40</v>
      </c>
      <c r="C64" s="414"/>
      <c r="D64" s="16">
        <f>D56</f>
        <v>1183.8622</v>
      </c>
      <c r="E64" s="245"/>
      <c r="F64" s="203">
        <f>F56</f>
        <v>1243.4684200000002</v>
      </c>
      <c r="H64" s="16">
        <f>H56</f>
        <v>1243.4684200000002</v>
      </c>
    </row>
    <row r="65" spans="1:8" x14ac:dyDescent="0.2">
      <c r="A65" s="471" t="s">
        <v>17</v>
      </c>
      <c r="B65" s="475"/>
      <c r="C65" s="472"/>
      <c r="D65" s="18">
        <f>SUM(D62:D64)</f>
        <v>2471.8244914877801</v>
      </c>
      <c r="E65" s="246"/>
      <c r="F65" s="204">
        <f>SUM(F62:F64)</f>
        <v>2583.0346200559006</v>
      </c>
      <c r="H65" s="18">
        <f>SUM(H62:H64)</f>
        <v>2583.0346200559006</v>
      </c>
    </row>
    <row r="67" spans="1:8" x14ac:dyDescent="0.2">
      <c r="A67" s="415" t="s">
        <v>76</v>
      </c>
      <c r="B67" s="415"/>
      <c r="C67" s="415"/>
      <c r="D67" s="415"/>
      <c r="E67" s="231"/>
    </row>
    <row r="68" spans="1:8" x14ac:dyDescent="0.2">
      <c r="A68" s="50">
        <v>3</v>
      </c>
      <c r="B68" s="50" t="s">
        <v>46</v>
      </c>
      <c r="C68" s="50" t="s">
        <v>28</v>
      </c>
      <c r="D68" s="50" t="s">
        <v>5</v>
      </c>
      <c r="E68" s="218" t="s">
        <v>28</v>
      </c>
      <c r="F68" s="232" t="s">
        <v>5</v>
      </c>
      <c r="G68" s="232" t="s">
        <v>28</v>
      </c>
      <c r="H68" s="232" t="s">
        <v>5</v>
      </c>
    </row>
    <row r="69" spans="1:8" x14ac:dyDescent="0.2">
      <c r="A69" s="26" t="s">
        <v>6</v>
      </c>
      <c r="B69" s="63" t="s">
        <v>47</v>
      </c>
      <c r="C69" s="19">
        <v>4.1999999999999997E-3</v>
      </c>
      <c r="D69" s="20">
        <f t="shared" ref="D69:D74" si="5">C69*($D$19+$D$27)</f>
        <v>15.594311822039998</v>
      </c>
      <c r="E69" s="28">
        <v>4.1999999999999997E-3</v>
      </c>
      <c r="F69" s="257">
        <f t="shared" ref="F69:F75" si="6">$E69*(F$19+F$27)</f>
        <v>17.15373689526</v>
      </c>
      <c r="G69" s="28">
        <v>4.1999999999999997E-3</v>
      </c>
      <c r="H69" s="9">
        <f t="shared" ref="H69:H75" si="7">$G69*(H$19+H$27)</f>
        <v>17.15373689526</v>
      </c>
    </row>
    <row r="70" spans="1:8" x14ac:dyDescent="0.2">
      <c r="A70" s="26" t="s">
        <v>8</v>
      </c>
      <c r="B70" s="63" t="s">
        <v>48</v>
      </c>
      <c r="C70" s="19">
        <v>2.9999999999999997E-4</v>
      </c>
      <c r="D70" s="20">
        <f t="shared" si="5"/>
        <v>1.1138794158599998</v>
      </c>
      <c r="E70" s="28">
        <v>2.9999999999999997E-4</v>
      </c>
      <c r="F70" s="257">
        <f t="shared" si="6"/>
        <v>1.22526692109</v>
      </c>
      <c r="G70" s="28">
        <v>2.9999999999999997E-4</v>
      </c>
      <c r="H70" s="9">
        <f t="shared" si="7"/>
        <v>1.22526692109</v>
      </c>
    </row>
    <row r="71" spans="1:8" ht="25.5" x14ac:dyDescent="0.2">
      <c r="A71" s="26" t="s">
        <v>9</v>
      </c>
      <c r="B71" s="63" t="s">
        <v>49</v>
      </c>
      <c r="C71" s="27">
        <v>9.9999999999999995E-7</v>
      </c>
      <c r="D71" s="20">
        <f t="shared" si="5"/>
        <v>3.7129313861999995E-3</v>
      </c>
      <c r="E71" s="351">
        <v>9.9999999999999995E-7</v>
      </c>
      <c r="F71" s="260">
        <f t="shared" si="6"/>
        <v>4.0842230702999999E-3</v>
      </c>
      <c r="G71" s="351">
        <v>9.9999999999999995E-7</v>
      </c>
      <c r="H71" s="258">
        <f t="shared" si="7"/>
        <v>4.0842230702999999E-3</v>
      </c>
    </row>
    <row r="72" spans="1:8" x14ac:dyDescent="0.2">
      <c r="A72" s="26" t="s">
        <v>11</v>
      </c>
      <c r="B72" s="63" t="s">
        <v>50</v>
      </c>
      <c r="C72" s="28">
        <v>1.9400000000000001E-2</v>
      </c>
      <c r="D72" s="29">
        <f>C72*($D$19+$D$27)</f>
        <v>72.030868892279997</v>
      </c>
      <c r="E72" s="348">
        <v>1.9400000000000001E-2</v>
      </c>
      <c r="F72" s="260">
        <f t="shared" si="6"/>
        <v>79.233927563820018</v>
      </c>
      <c r="G72" s="347">
        <v>1.9400000000000001E-3</v>
      </c>
      <c r="H72" s="260">
        <f t="shared" si="7"/>
        <v>7.9233927563820012</v>
      </c>
    </row>
    <row r="73" spans="1:8" ht="25.5" x14ac:dyDescent="0.2">
      <c r="A73" s="26" t="s">
        <v>13</v>
      </c>
      <c r="B73" s="63" t="s">
        <v>51</v>
      </c>
      <c r="C73" s="19">
        <v>7.1000000000000004E-3</v>
      </c>
      <c r="D73" s="20">
        <f>C73*($D$19+$D$27)</f>
        <v>26.361812842020001</v>
      </c>
      <c r="E73" s="28">
        <v>7.1000000000000004E-3</v>
      </c>
      <c r="F73" s="257">
        <f t="shared" si="6"/>
        <v>28.997983799130004</v>
      </c>
      <c r="G73" s="28">
        <v>7.1000000000000004E-3</v>
      </c>
      <c r="H73" s="258">
        <f t="shared" si="7"/>
        <v>28.997983799130004</v>
      </c>
    </row>
    <row r="74" spans="1:8" ht="25.5" x14ac:dyDescent="0.2">
      <c r="A74" s="26" t="s">
        <v>15</v>
      </c>
      <c r="B74" s="63" t="s">
        <v>52</v>
      </c>
      <c r="C74" s="19">
        <v>1E-4</v>
      </c>
      <c r="D74" s="20">
        <f t="shared" si="5"/>
        <v>0.37129313862000002</v>
      </c>
      <c r="E74" s="28">
        <v>1E-4</v>
      </c>
      <c r="F74" s="257">
        <f t="shared" si="6"/>
        <v>0.40842230703000004</v>
      </c>
      <c r="G74" s="28">
        <v>1E-4</v>
      </c>
      <c r="H74" s="258">
        <f t="shared" si="7"/>
        <v>0.40842230703000004</v>
      </c>
    </row>
    <row r="75" spans="1:8" x14ac:dyDescent="0.2">
      <c r="A75" s="30" t="s">
        <v>34</v>
      </c>
      <c r="B75" s="31" t="s">
        <v>128</v>
      </c>
      <c r="C75" s="19">
        <v>3.49E-2</v>
      </c>
      <c r="D75" s="20">
        <f>C75*($D$19+$D$27)</f>
        <v>129.58130537837999</v>
      </c>
      <c r="E75" s="28">
        <v>3.49E-2</v>
      </c>
      <c r="F75" s="257">
        <f t="shared" si="6"/>
        <v>142.53938515347002</v>
      </c>
      <c r="G75" s="28">
        <v>3.49E-2</v>
      </c>
      <c r="H75" s="258">
        <f t="shared" si="7"/>
        <v>142.53938515347002</v>
      </c>
    </row>
    <row r="76" spans="1:8" x14ac:dyDescent="0.2">
      <c r="A76" s="471" t="s">
        <v>17</v>
      </c>
      <c r="B76" s="472"/>
      <c r="C76" s="17">
        <f t="shared" ref="C76:H76" si="8">SUM(C69:C75)</f>
        <v>6.6001000000000004E-2</v>
      </c>
      <c r="D76" s="18">
        <f t="shared" si="8"/>
        <v>245.0571844205862</v>
      </c>
      <c r="E76" s="350">
        <f t="shared" si="8"/>
        <v>6.6001000000000004E-2</v>
      </c>
      <c r="F76" s="202">
        <f t="shared" si="8"/>
        <v>269.56280686287033</v>
      </c>
      <c r="G76" s="350">
        <f t="shared" si="8"/>
        <v>4.8541000000000001E-2</v>
      </c>
      <c r="H76" s="202">
        <f t="shared" si="8"/>
        <v>198.25227205543234</v>
      </c>
    </row>
    <row r="77" spans="1:8" x14ac:dyDescent="0.2">
      <c r="A77" s="464" t="s">
        <v>106</v>
      </c>
      <c r="B77" s="464"/>
      <c r="C77" s="464"/>
      <c r="D77" s="464"/>
      <c r="E77" s="233"/>
    </row>
    <row r="78" spans="1:8" x14ac:dyDescent="0.2">
      <c r="A78" s="464" t="s">
        <v>114</v>
      </c>
      <c r="B78" s="464"/>
      <c r="C78" s="464"/>
      <c r="D78" s="464"/>
      <c r="E78" s="233"/>
    </row>
    <row r="80" spans="1:8" x14ac:dyDescent="0.2">
      <c r="A80" s="415" t="s">
        <v>53</v>
      </c>
      <c r="B80" s="415"/>
      <c r="C80" s="415"/>
      <c r="D80" s="415"/>
      <c r="E80" s="231"/>
    </row>
    <row r="81" spans="1:8" x14ac:dyDescent="0.2">
      <c r="A81" s="474" t="s">
        <v>107</v>
      </c>
      <c r="B81" s="474"/>
      <c r="C81" s="474"/>
      <c r="D81" s="474"/>
      <c r="E81" s="233"/>
    </row>
    <row r="83" spans="1:8" x14ac:dyDescent="0.2">
      <c r="A83" s="470" t="s">
        <v>109</v>
      </c>
      <c r="B83" s="470"/>
      <c r="C83" s="470"/>
      <c r="D83" s="470"/>
      <c r="E83" s="235"/>
    </row>
    <row r="84" spans="1:8" x14ac:dyDescent="0.2">
      <c r="A84" s="49" t="s">
        <v>54</v>
      </c>
      <c r="B84" s="48" t="s">
        <v>55</v>
      </c>
      <c r="C84" s="48" t="s">
        <v>28</v>
      </c>
      <c r="D84" s="48" t="s">
        <v>5</v>
      </c>
      <c r="E84" s="219" t="s">
        <v>28</v>
      </c>
      <c r="F84" s="219" t="s">
        <v>5</v>
      </c>
      <c r="G84" s="219" t="s">
        <v>28</v>
      </c>
      <c r="H84" s="219" t="s">
        <v>5</v>
      </c>
    </row>
    <row r="85" spans="1:8" x14ac:dyDescent="0.2">
      <c r="A85" s="26" t="s">
        <v>6</v>
      </c>
      <c r="B85" s="63" t="s">
        <v>56</v>
      </c>
      <c r="C85" s="19">
        <v>7.6E-3</v>
      </c>
      <c r="D85" s="20">
        <f t="shared" ref="D85:D90" si="9">C85*($D$19+$D$27)</f>
        <v>28.21827853512</v>
      </c>
      <c r="E85" s="19">
        <v>7.6E-3</v>
      </c>
      <c r="F85" s="205">
        <f>E85*(F$19+F$27)</f>
        <v>31.040095334280004</v>
      </c>
      <c r="G85" s="19">
        <v>7.6E-3</v>
      </c>
      <c r="H85" s="20">
        <f t="shared" ref="H85:H90" si="10">$G85*(H$19+H$27)</f>
        <v>31.040095334280004</v>
      </c>
    </row>
    <row r="86" spans="1:8" x14ac:dyDescent="0.2">
      <c r="A86" s="26" t="s">
        <v>8</v>
      </c>
      <c r="B86" s="63" t="s">
        <v>57</v>
      </c>
      <c r="C86" s="19">
        <v>8.2000000000000007E-3</v>
      </c>
      <c r="D86" s="20">
        <f t="shared" si="9"/>
        <v>30.446037366840002</v>
      </c>
      <c r="E86" s="19">
        <v>8.2000000000000007E-3</v>
      </c>
      <c r="F86" s="205">
        <f t="shared" ref="F86:F90" si="11">E86*(F$19+F$27)</f>
        <v>33.490629176460004</v>
      </c>
      <c r="G86" s="19">
        <v>8.2000000000000007E-3</v>
      </c>
      <c r="H86" s="20">
        <f t="shared" si="10"/>
        <v>33.490629176460004</v>
      </c>
    </row>
    <row r="87" spans="1:8" x14ac:dyDescent="0.2">
      <c r="A87" s="26" t="s">
        <v>9</v>
      </c>
      <c r="B87" s="63" t="s">
        <v>58</v>
      </c>
      <c r="C87" s="19">
        <v>2.0000000000000001E-4</v>
      </c>
      <c r="D87" s="20">
        <f t="shared" si="9"/>
        <v>0.74258627724000004</v>
      </c>
      <c r="E87" s="19">
        <v>2.0000000000000001E-4</v>
      </c>
      <c r="F87" s="205">
        <f t="shared" si="11"/>
        <v>0.81684461406000008</v>
      </c>
      <c r="G87" s="19">
        <v>2.0000000000000001E-4</v>
      </c>
      <c r="H87" s="20">
        <f t="shared" si="10"/>
        <v>0.81684461406000008</v>
      </c>
    </row>
    <row r="88" spans="1:8" ht="25.5" x14ac:dyDescent="0.2">
      <c r="A88" s="26" t="s">
        <v>11</v>
      </c>
      <c r="B88" s="63" t="s">
        <v>59</v>
      </c>
      <c r="C88" s="19">
        <v>2.9999999999999997E-4</v>
      </c>
      <c r="D88" s="20">
        <f t="shared" si="9"/>
        <v>1.1138794158599998</v>
      </c>
      <c r="E88" s="19">
        <v>2.9999999999999997E-4</v>
      </c>
      <c r="F88" s="205">
        <f t="shared" si="11"/>
        <v>1.22526692109</v>
      </c>
      <c r="G88" s="19">
        <v>2.9999999999999997E-4</v>
      </c>
      <c r="H88" s="20">
        <f t="shared" si="10"/>
        <v>1.22526692109</v>
      </c>
    </row>
    <row r="89" spans="1:8" x14ac:dyDescent="0.2">
      <c r="A89" s="26" t="s">
        <v>13</v>
      </c>
      <c r="B89" s="63" t="s">
        <v>60</v>
      </c>
      <c r="C89" s="19">
        <v>2.8999999999999998E-3</v>
      </c>
      <c r="D89" s="20">
        <f t="shared" si="9"/>
        <v>10.767501019979999</v>
      </c>
      <c r="E89" s="19">
        <v>2.8999999999999998E-3</v>
      </c>
      <c r="F89" s="205">
        <f t="shared" si="11"/>
        <v>11.844246903870001</v>
      </c>
      <c r="G89" s="19">
        <v>2.8999999999999998E-3</v>
      </c>
      <c r="H89" s="20">
        <f t="shared" si="10"/>
        <v>11.844246903870001</v>
      </c>
    </row>
    <row r="90" spans="1:8" ht="25.5" x14ac:dyDescent="0.2">
      <c r="A90" s="26" t="s">
        <v>15</v>
      </c>
      <c r="B90" s="63" t="s">
        <v>134</v>
      </c>
      <c r="C90" s="19">
        <v>1.66E-2</v>
      </c>
      <c r="D90" s="20">
        <f t="shared" si="9"/>
        <v>61.634661010919999</v>
      </c>
      <c r="E90" s="19">
        <v>1.66E-2</v>
      </c>
      <c r="F90" s="205">
        <f t="shared" si="11"/>
        <v>67.798102966980011</v>
      </c>
      <c r="G90" s="19">
        <v>1.66E-2</v>
      </c>
      <c r="H90" s="20">
        <f t="shared" si="10"/>
        <v>67.798102966980011</v>
      </c>
    </row>
    <row r="91" spans="1:8" x14ac:dyDescent="0.2">
      <c r="A91" s="471" t="s">
        <v>17</v>
      </c>
      <c r="B91" s="472"/>
      <c r="C91" s="17">
        <f t="shared" ref="C91:H91" si="12">SUM(C85:C90)</f>
        <v>3.5799999999999998E-2</v>
      </c>
      <c r="D91" s="18">
        <f t="shared" si="12"/>
        <v>132.92294362595999</v>
      </c>
      <c r="E91" s="17">
        <f t="shared" si="12"/>
        <v>3.5799999999999998E-2</v>
      </c>
      <c r="F91" s="207">
        <f t="shared" si="12"/>
        <v>146.21518591674004</v>
      </c>
      <c r="G91" s="17">
        <f t="shared" si="12"/>
        <v>3.5799999999999998E-2</v>
      </c>
      <c r="H91" s="137">
        <f t="shared" si="12"/>
        <v>146.21518591674004</v>
      </c>
    </row>
    <row r="92" spans="1:8" x14ac:dyDescent="0.2">
      <c r="A92" s="464" t="s">
        <v>115</v>
      </c>
      <c r="B92" s="464"/>
      <c r="C92" s="464"/>
      <c r="D92" s="464"/>
      <c r="E92" s="233"/>
    </row>
    <row r="94" spans="1:8" x14ac:dyDescent="0.2">
      <c r="A94" s="473" t="s">
        <v>110</v>
      </c>
      <c r="B94" s="473"/>
      <c r="C94" s="473"/>
      <c r="D94" s="473"/>
      <c r="E94" s="234"/>
    </row>
    <row r="95" spans="1:8" x14ac:dyDescent="0.2">
      <c r="A95" s="49" t="s">
        <v>61</v>
      </c>
      <c r="B95" s="48" t="s">
        <v>62</v>
      </c>
      <c r="C95" s="48" t="s">
        <v>5</v>
      </c>
      <c r="D95" s="49"/>
      <c r="E95" s="234"/>
      <c r="F95" s="234"/>
      <c r="G95" s="247"/>
      <c r="H95" s="234"/>
    </row>
    <row r="96" spans="1:8" ht="25.5" x14ac:dyDescent="0.2">
      <c r="A96" s="26" t="s">
        <v>6</v>
      </c>
      <c r="B96" s="63" t="s">
        <v>63</v>
      </c>
      <c r="C96" s="32"/>
      <c r="D96" s="33"/>
      <c r="E96" s="247"/>
      <c r="F96" s="247"/>
      <c r="G96" s="247"/>
      <c r="H96" s="247"/>
    </row>
    <row r="97" spans="1:8" x14ac:dyDescent="0.2">
      <c r="A97" s="466" t="s">
        <v>17</v>
      </c>
      <c r="B97" s="468"/>
      <c r="C97" s="16">
        <f>SUM(C96)</f>
        <v>0</v>
      </c>
      <c r="D97" s="33"/>
      <c r="E97" s="247"/>
      <c r="F97" s="247"/>
      <c r="G97" s="247"/>
      <c r="H97" s="247"/>
    </row>
    <row r="99" spans="1:8" x14ac:dyDescent="0.2">
      <c r="A99" s="415" t="s">
        <v>111</v>
      </c>
      <c r="B99" s="415"/>
      <c r="C99" s="415"/>
      <c r="D99" s="415"/>
      <c r="E99" s="231"/>
    </row>
    <row r="100" spans="1:8" x14ac:dyDescent="0.2">
      <c r="A100" s="47">
        <v>4</v>
      </c>
      <c r="B100" s="430" t="s">
        <v>64</v>
      </c>
      <c r="C100" s="430"/>
      <c r="D100" s="50" t="s">
        <v>5</v>
      </c>
      <c r="E100" s="242"/>
      <c r="F100" s="218" t="s">
        <v>5</v>
      </c>
      <c r="H100" s="218" t="s">
        <v>5</v>
      </c>
    </row>
    <row r="101" spans="1:8" x14ac:dyDescent="0.2">
      <c r="A101" s="8" t="s">
        <v>54</v>
      </c>
      <c r="B101" s="414" t="s">
        <v>55</v>
      </c>
      <c r="C101" s="414"/>
      <c r="D101" s="16">
        <f>D91</f>
        <v>132.92294362595999</v>
      </c>
      <c r="E101" s="245"/>
      <c r="F101" s="16">
        <f>F91</f>
        <v>146.21518591674004</v>
      </c>
      <c r="H101" s="16">
        <f>H91</f>
        <v>146.21518591674004</v>
      </c>
    </row>
    <row r="102" spans="1:8" x14ac:dyDescent="0.2">
      <c r="A102" s="8" t="s">
        <v>61</v>
      </c>
      <c r="B102" s="14" t="s">
        <v>65</v>
      </c>
      <c r="C102" s="14"/>
      <c r="D102" s="32">
        <f>C97</f>
        <v>0</v>
      </c>
      <c r="E102" s="245"/>
      <c r="F102" s="32">
        <f>D97</f>
        <v>0</v>
      </c>
      <c r="H102" s="32">
        <f>G97</f>
        <v>0</v>
      </c>
    </row>
    <row r="103" spans="1:8" x14ac:dyDescent="0.2">
      <c r="A103" s="463" t="s">
        <v>17</v>
      </c>
      <c r="B103" s="463"/>
      <c r="C103" s="463"/>
      <c r="D103" s="18">
        <f>SUM(D101:D102)</f>
        <v>132.92294362595999</v>
      </c>
      <c r="E103" s="246"/>
      <c r="F103" s="18">
        <f>SUM(F101:F102)</f>
        <v>146.21518591674004</v>
      </c>
      <c r="H103" s="18">
        <f>SUM(H101:H102)</f>
        <v>146.21518591674004</v>
      </c>
    </row>
    <row r="104" spans="1:8" x14ac:dyDescent="0.2">
      <c r="E104" s="247"/>
    </row>
    <row r="105" spans="1:8" x14ac:dyDescent="0.2">
      <c r="A105" s="415" t="s">
        <v>66</v>
      </c>
      <c r="B105" s="415"/>
      <c r="C105" s="415"/>
      <c r="D105" s="415"/>
      <c r="E105" s="248"/>
    </row>
    <row r="106" spans="1:8" x14ac:dyDescent="0.2">
      <c r="A106" s="49">
        <v>5</v>
      </c>
      <c r="B106" s="437" t="s">
        <v>67</v>
      </c>
      <c r="C106" s="437"/>
      <c r="D106" s="48" t="s">
        <v>5</v>
      </c>
      <c r="E106" s="242"/>
      <c r="F106" s="219" t="s">
        <v>5</v>
      </c>
      <c r="H106" s="219" t="s">
        <v>5</v>
      </c>
    </row>
    <row r="107" spans="1:8" x14ac:dyDescent="0.2">
      <c r="A107" s="8" t="s">
        <v>6</v>
      </c>
      <c r="B107" s="414" t="s">
        <v>68</v>
      </c>
      <c r="C107" s="414"/>
      <c r="D107" s="107">
        <f>'TABELA 4 Uniformes e EPIS'!$E29</f>
        <v>61.65</v>
      </c>
      <c r="E107" s="249"/>
      <c r="F107" s="107">
        <f>'TABELA 4 Uniformes e EPIS'!$E29</f>
        <v>61.65</v>
      </c>
      <c r="H107" s="107">
        <f>'TABELA 4 Uniformes e EPIS'!$E29</f>
        <v>61.65</v>
      </c>
    </row>
    <row r="108" spans="1:8" x14ac:dyDescent="0.2">
      <c r="A108" s="8" t="s">
        <v>8</v>
      </c>
      <c r="B108" s="414" t="s">
        <v>386</v>
      </c>
      <c r="C108" s="414"/>
      <c r="D108" s="107">
        <f>'TABELA 4 Uniformes e EPIS'!$E48+'TABELA 4 Uniformes e EPIS'!$E137+'TABELA 5 - Ferramentas'!$I145</f>
        <v>63.578804347826079</v>
      </c>
      <c r="E108" s="249"/>
      <c r="F108" s="107">
        <f>'TABELA 4 Uniformes e EPIS'!$E48+'TABELA 4 Uniformes e EPIS'!$E137+'TABELA 5 - Ferramentas'!$I145</f>
        <v>63.578804347826079</v>
      </c>
      <c r="H108" s="107">
        <f>'TABELA 4 Uniformes e EPIS'!$E48+'TABELA 4 Uniformes e EPIS'!$E137+'TABELA 5 - Ferramentas'!$I145</f>
        <v>63.578804347826079</v>
      </c>
    </row>
    <row r="109" spans="1:8" x14ac:dyDescent="0.2">
      <c r="A109" s="8" t="s">
        <v>9</v>
      </c>
      <c r="B109" s="414" t="s">
        <v>69</v>
      </c>
      <c r="C109" s="414"/>
      <c r="D109" s="16">
        <v>0</v>
      </c>
      <c r="E109" s="245"/>
      <c r="F109" s="16">
        <v>0</v>
      </c>
      <c r="H109" s="16">
        <v>0</v>
      </c>
    </row>
    <row r="110" spans="1:8" x14ac:dyDescent="0.2">
      <c r="A110" s="8" t="s">
        <v>11</v>
      </c>
      <c r="B110" s="414" t="s">
        <v>16</v>
      </c>
      <c r="C110" s="414"/>
      <c r="D110" s="16">
        <v>0</v>
      </c>
      <c r="E110" s="245"/>
      <c r="F110" s="16">
        <v>0</v>
      </c>
      <c r="H110" s="16">
        <v>0</v>
      </c>
    </row>
    <row r="111" spans="1:8" x14ac:dyDescent="0.2">
      <c r="A111" s="463" t="s">
        <v>17</v>
      </c>
      <c r="B111" s="463"/>
      <c r="C111" s="463"/>
      <c r="D111" s="18">
        <f>SUM(D107:D110)</f>
        <v>125.22880434782607</v>
      </c>
      <c r="E111" s="250"/>
      <c r="F111" s="18">
        <f>SUM(F107:F110)</f>
        <v>125.22880434782607</v>
      </c>
      <c r="H111" s="18">
        <f>SUM(H107:H110)</f>
        <v>125.22880434782607</v>
      </c>
    </row>
    <row r="112" spans="1:8" x14ac:dyDescent="0.2">
      <c r="A112" s="464" t="s">
        <v>78</v>
      </c>
      <c r="B112" s="464"/>
      <c r="C112" s="464"/>
      <c r="D112" s="464"/>
      <c r="E112" s="233"/>
    </row>
    <row r="114" spans="1:8" x14ac:dyDescent="0.2">
      <c r="A114" s="415" t="s">
        <v>70</v>
      </c>
      <c r="B114" s="415"/>
      <c r="C114" s="415"/>
      <c r="D114" s="415"/>
      <c r="E114" s="231"/>
    </row>
    <row r="115" spans="1:8" ht="12.75" customHeight="1" x14ac:dyDescent="0.2">
      <c r="A115" s="469" t="s">
        <v>116</v>
      </c>
      <c r="B115" s="469"/>
      <c r="C115" s="460" t="s">
        <v>117</v>
      </c>
      <c r="D115" s="460"/>
      <c r="E115" s="461" t="s">
        <v>117</v>
      </c>
      <c r="F115" s="462"/>
      <c r="G115" s="460" t="s">
        <v>117</v>
      </c>
      <c r="H115" s="460"/>
    </row>
    <row r="116" spans="1:8" x14ac:dyDescent="0.2">
      <c r="A116" s="47">
        <v>6</v>
      </c>
      <c r="B116" s="50" t="s">
        <v>71</v>
      </c>
      <c r="C116" s="50" t="s">
        <v>28</v>
      </c>
      <c r="D116" s="47" t="s">
        <v>5</v>
      </c>
      <c r="E116" s="218" t="s">
        <v>28</v>
      </c>
      <c r="F116" s="217" t="s">
        <v>5</v>
      </c>
      <c r="G116" s="218" t="s">
        <v>28</v>
      </c>
      <c r="H116" s="217" t="s">
        <v>5</v>
      </c>
    </row>
    <row r="117" spans="1:8" x14ac:dyDescent="0.2">
      <c r="A117" s="8" t="s">
        <v>6</v>
      </c>
      <c r="B117" s="14" t="s">
        <v>72</v>
      </c>
      <c r="C117" s="19">
        <v>0.06</v>
      </c>
      <c r="D117" s="20">
        <f>C117*D135</f>
        <v>362.29532543292913</v>
      </c>
      <c r="E117" s="19">
        <v>0.06</v>
      </c>
      <c r="F117" s="205">
        <f>$E117*F$135</f>
        <v>389.6150650310002</v>
      </c>
      <c r="G117" s="19">
        <v>0.06</v>
      </c>
      <c r="H117" s="205">
        <f>$G117*H$135</f>
        <v>385.33643294255393</v>
      </c>
    </row>
    <row r="118" spans="1:8" x14ac:dyDescent="0.2">
      <c r="A118" s="8" t="s">
        <v>8</v>
      </c>
      <c r="B118" s="14" t="s">
        <v>73</v>
      </c>
      <c r="C118" s="19">
        <v>0.05</v>
      </c>
      <c r="D118" s="20">
        <f>C118*D135</f>
        <v>301.91277119410762</v>
      </c>
      <c r="E118" s="19">
        <v>0.05</v>
      </c>
      <c r="F118" s="205">
        <f>$E118*F$135</f>
        <v>324.67922085916689</v>
      </c>
      <c r="G118" s="19">
        <v>0.05</v>
      </c>
      <c r="H118" s="205">
        <f>$G118*H$135</f>
        <v>321.11369411879497</v>
      </c>
    </row>
    <row r="119" spans="1:8" x14ac:dyDescent="0.2">
      <c r="A119" s="8" t="s">
        <v>9</v>
      </c>
      <c r="B119" s="14" t="s">
        <v>125</v>
      </c>
      <c r="C119" s="34">
        <f>SUM(C120:C122)</f>
        <v>5.6499999999999995E-2</v>
      </c>
      <c r="D119" s="20">
        <f>(D135+D118+D117)*(C119/IF(C115="Lucro presumido",91.45%,85.75%))</f>
        <v>414.09424702981863</v>
      </c>
      <c r="E119" s="34">
        <f>SUM(E120:E122)</f>
        <v>5.6499999999999995E-2</v>
      </c>
      <c r="F119" s="205">
        <f>(F$135+F$118+F$117)*($E119/IF($E115="Lucro presumido",91.45%,85.75%))</f>
        <v>445.32000735227217</v>
      </c>
      <c r="G119" s="34">
        <f>SUM(G120:G122)</f>
        <v>5.6499999999999995E-2</v>
      </c>
      <c r="H119" s="205">
        <f>(H$135+H$118+H$117)*($G119/IF($G115="Lucro presumido",91.45%,85.75%))</f>
        <v>440.42964082362437</v>
      </c>
    </row>
    <row r="120" spans="1:8" x14ac:dyDescent="0.2">
      <c r="A120" s="8" t="s">
        <v>120</v>
      </c>
      <c r="B120" s="14" t="s">
        <v>119</v>
      </c>
      <c r="C120" s="34">
        <f>IF(C115="Lucro presumido",0.65%,1.65%)</f>
        <v>6.5000000000000006E-3</v>
      </c>
      <c r="D120" s="35" t="s">
        <v>118</v>
      </c>
      <c r="E120" s="34">
        <f>IF(E115="Lucro presumido",0.65%,1.65%)</f>
        <v>6.5000000000000006E-3</v>
      </c>
      <c r="F120" s="35" t="s">
        <v>118</v>
      </c>
      <c r="G120" s="34">
        <f>IF(G115="Lucro presumido",0.65%,1.65%)</f>
        <v>6.5000000000000006E-3</v>
      </c>
      <c r="H120" s="35" t="s">
        <v>118</v>
      </c>
    </row>
    <row r="121" spans="1:8" x14ac:dyDescent="0.2">
      <c r="A121" s="8" t="s">
        <v>122</v>
      </c>
      <c r="B121" s="14" t="s">
        <v>121</v>
      </c>
      <c r="C121" s="34">
        <f>IF(C115="Lucro presumido",3%,7.6%)</f>
        <v>0.03</v>
      </c>
      <c r="D121" s="35" t="s">
        <v>118</v>
      </c>
      <c r="E121" s="34">
        <f>IF(E115="Lucro presumido",3%,7.6%)</f>
        <v>0.03</v>
      </c>
      <c r="F121" s="35" t="s">
        <v>118</v>
      </c>
      <c r="G121" s="34">
        <f>IF(G115="Lucro presumido",3%,7.6%)</f>
        <v>0.03</v>
      </c>
      <c r="H121" s="35" t="s">
        <v>118</v>
      </c>
    </row>
    <row r="122" spans="1:8" x14ac:dyDescent="0.2">
      <c r="A122" s="8" t="s">
        <v>124</v>
      </c>
      <c r="B122" s="14" t="s">
        <v>123</v>
      </c>
      <c r="C122" s="34">
        <v>0.02</v>
      </c>
      <c r="D122" s="35" t="s">
        <v>118</v>
      </c>
      <c r="E122" s="34">
        <v>0.02</v>
      </c>
      <c r="F122" s="35" t="s">
        <v>118</v>
      </c>
      <c r="G122" s="34">
        <v>0.02</v>
      </c>
      <c r="H122" s="35" t="s">
        <v>118</v>
      </c>
    </row>
    <row r="123" spans="1:8" ht="25.5" x14ac:dyDescent="0.2">
      <c r="A123" s="26" t="s">
        <v>11</v>
      </c>
      <c r="B123" s="63" t="s">
        <v>127</v>
      </c>
      <c r="C123" s="36">
        <v>4.4999999999999998E-2</v>
      </c>
      <c r="D123" s="37">
        <f>(D135+D118+D117)*(C123/IF(C115="Lucro presumido",91.45%,85.75%))</f>
        <v>329.80957728038658</v>
      </c>
      <c r="E123" s="36">
        <v>4.4999999999999998E-2</v>
      </c>
      <c r="F123" s="208">
        <f>(F$135+F$118+F$117)*($E123/IF($E115="Lucro presumido",91.45%,85.75%))</f>
        <v>354.6796518734912</v>
      </c>
      <c r="G123" s="36">
        <v>4.4999999999999998E-2</v>
      </c>
      <c r="H123" s="208">
        <f>(H$135+H$118+H$117)*($G123/IF($G115="Lucro presumido",91.45%,85.75%))</f>
        <v>350.78466968253275</v>
      </c>
    </row>
    <row r="124" spans="1:8" x14ac:dyDescent="0.2">
      <c r="A124" s="463" t="s">
        <v>17</v>
      </c>
      <c r="B124" s="463"/>
      <c r="C124" s="21">
        <f>SUM(C117:C119)+(C123)</f>
        <v>0.21149999999999997</v>
      </c>
      <c r="D124" s="22">
        <f>SUM(D117:D123)</f>
        <v>1408.1119209372418</v>
      </c>
      <c r="E124" s="21">
        <f>SUM(E117:E119)+(E123)</f>
        <v>0.21149999999999997</v>
      </c>
      <c r="F124" s="207">
        <f>SUM(F117:F123)</f>
        <v>1514.2939451159305</v>
      </c>
      <c r="G124" s="21">
        <f>SUM(G117:G119)+(G123)</f>
        <v>0.21149999999999997</v>
      </c>
      <c r="H124" s="207">
        <f>SUM(H117:H123)</f>
        <v>1497.664437567506</v>
      </c>
    </row>
    <row r="125" spans="1:8" x14ac:dyDescent="0.2">
      <c r="A125" s="464" t="s">
        <v>79</v>
      </c>
      <c r="B125" s="464"/>
      <c r="C125" s="464"/>
      <c r="D125" s="464"/>
      <c r="E125" s="233"/>
    </row>
    <row r="126" spans="1:8" x14ac:dyDescent="0.2">
      <c r="A126" s="464" t="s">
        <v>126</v>
      </c>
      <c r="B126" s="464"/>
      <c r="C126" s="464"/>
      <c r="D126" s="464"/>
      <c r="E126" s="233"/>
    </row>
    <row r="128" spans="1:8" x14ac:dyDescent="0.2">
      <c r="A128" s="415" t="s">
        <v>112</v>
      </c>
      <c r="B128" s="415"/>
      <c r="C128" s="415"/>
      <c r="D128" s="415"/>
      <c r="E128" s="231"/>
    </row>
    <row r="129" spans="1:8" x14ac:dyDescent="0.2">
      <c r="A129" s="466" t="s">
        <v>80</v>
      </c>
      <c r="B129" s="467"/>
      <c r="C129" s="468"/>
      <c r="D129" s="48" t="s">
        <v>74</v>
      </c>
      <c r="E129" s="242"/>
      <c r="F129" s="219" t="s">
        <v>74</v>
      </c>
      <c r="H129" s="219" t="s">
        <v>74</v>
      </c>
    </row>
    <row r="130" spans="1:8" x14ac:dyDescent="0.2">
      <c r="A130" s="26" t="s">
        <v>6</v>
      </c>
      <c r="B130" s="438" t="s">
        <v>75</v>
      </c>
      <c r="C130" s="438"/>
      <c r="D130" s="16">
        <f>D19</f>
        <v>3063.2220000000002</v>
      </c>
      <c r="E130" s="292"/>
      <c r="F130" s="203">
        <f>F19</f>
        <v>3369.5430000000001</v>
      </c>
      <c r="G130" s="293"/>
      <c r="H130" s="211">
        <f>H19</f>
        <v>3369.5430000000001</v>
      </c>
    </row>
    <row r="131" spans="1:8" x14ac:dyDescent="0.2">
      <c r="A131" s="26" t="s">
        <v>8</v>
      </c>
      <c r="B131" s="438" t="s">
        <v>19</v>
      </c>
      <c r="C131" s="438"/>
      <c r="D131" s="16">
        <f>D65</f>
        <v>2471.8244914877801</v>
      </c>
      <c r="E131" s="292"/>
      <c r="F131" s="203">
        <f>F65</f>
        <v>2583.0346200559006</v>
      </c>
      <c r="G131" s="293"/>
      <c r="H131" s="211">
        <f>H65</f>
        <v>2583.0346200559006</v>
      </c>
    </row>
    <row r="132" spans="1:8" x14ac:dyDescent="0.2">
      <c r="A132" s="26" t="s">
        <v>9</v>
      </c>
      <c r="B132" s="438" t="s">
        <v>76</v>
      </c>
      <c r="C132" s="438"/>
      <c r="D132" s="16">
        <f>D76</f>
        <v>245.0571844205862</v>
      </c>
      <c r="E132" s="292"/>
      <c r="F132" s="203">
        <f>F76</f>
        <v>269.56280686287033</v>
      </c>
      <c r="G132" s="293"/>
      <c r="H132" s="203">
        <f>H76</f>
        <v>198.25227205543234</v>
      </c>
    </row>
    <row r="133" spans="1:8" x14ac:dyDescent="0.2">
      <c r="A133" s="26" t="s">
        <v>11</v>
      </c>
      <c r="B133" s="438" t="s">
        <v>53</v>
      </c>
      <c r="C133" s="438"/>
      <c r="D133" s="16">
        <f>D103</f>
        <v>132.92294362595999</v>
      </c>
      <c r="E133" s="292"/>
      <c r="F133" s="203">
        <f>F103</f>
        <v>146.21518591674004</v>
      </c>
      <c r="G133" s="293"/>
      <c r="H133" s="211">
        <f>H103</f>
        <v>146.21518591674004</v>
      </c>
    </row>
    <row r="134" spans="1:8" x14ac:dyDescent="0.2">
      <c r="A134" s="26" t="s">
        <v>13</v>
      </c>
      <c r="B134" s="438" t="s">
        <v>66</v>
      </c>
      <c r="C134" s="438"/>
      <c r="D134" s="16">
        <f>D111</f>
        <v>125.22880434782607</v>
      </c>
      <c r="E134" s="292"/>
      <c r="F134" s="211">
        <f>F111</f>
        <v>125.22880434782607</v>
      </c>
      <c r="G134" s="293"/>
      <c r="H134" s="211">
        <f>H111</f>
        <v>125.22880434782607</v>
      </c>
    </row>
    <row r="135" spans="1:8" x14ac:dyDescent="0.2">
      <c r="A135" s="463" t="s">
        <v>77</v>
      </c>
      <c r="B135" s="463"/>
      <c r="C135" s="463"/>
      <c r="D135" s="18">
        <f>SUM(D130:D134)</f>
        <v>6038.2554238821522</v>
      </c>
      <c r="E135" s="294"/>
      <c r="F135" s="204">
        <f>SUM(F130:F134)</f>
        <v>6493.5844171833369</v>
      </c>
      <c r="G135" s="293"/>
      <c r="H135" s="204">
        <f>SUM(H130:H134)</f>
        <v>6422.2738823758991</v>
      </c>
    </row>
    <row r="136" spans="1:8" x14ac:dyDescent="0.2">
      <c r="A136" s="8" t="s">
        <v>15</v>
      </c>
      <c r="B136" s="414" t="s">
        <v>70</v>
      </c>
      <c r="C136" s="414"/>
      <c r="D136" s="16">
        <f>D124</f>
        <v>1408.1119209372418</v>
      </c>
      <c r="E136" s="292"/>
      <c r="F136" s="203">
        <f>F124</f>
        <v>1514.2939451159305</v>
      </c>
      <c r="G136" s="293"/>
      <c r="H136" s="203">
        <f>H124</f>
        <v>1497.664437567506</v>
      </c>
    </row>
    <row r="137" spans="1:8" x14ac:dyDescent="0.2">
      <c r="A137" s="415" t="s">
        <v>436</v>
      </c>
      <c r="B137" s="415"/>
      <c r="C137" s="415"/>
      <c r="D137" s="38">
        <f>SUM(D135:D136)</f>
        <v>7446.367344819394</v>
      </c>
      <c r="E137" s="251"/>
      <c r="F137" s="209">
        <f>SUM(F135:F136)</f>
        <v>8007.8783622992669</v>
      </c>
      <c r="H137" s="209">
        <f>SUM(H135:H136)</f>
        <v>7919.9383199434051</v>
      </c>
    </row>
    <row r="140" spans="1:8" x14ac:dyDescent="0.2">
      <c r="A140" s="465" t="s">
        <v>469</v>
      </c>
      <c r="B140" s="465"/>
      <c r="C140" s="465"/>
      <c r="D140" s="465"/>
      <c r="E140" s="240"/>
    </row>
  </sheetData>
  <mergeCells count="83">
    <mergeCell ref="A140:D140"/>
    <mergeCell ref="B131:C131"/>
    <mergeCell ref="B132:C132"/>
    <mergeCell ref="B133:C133"/>
    <mergeCell ref="B134:C134"/>
    <mergeCell ref="A135:C135"/>
    <mergeCell ref="B136:C136"/>
    <mergeCell ref="A111:C111"/>
    <mergeCell ref="A112:D112"/>
    <mergeCell ref="A114:D114"/>
    <mergeCell ref="A137:C137"/>
    <mergeCell ref="B130:C130"/>
    <mergeCell ref="A115:B115"/>
    <mergeCell ref="C115:D115"/>
    <mergeCell ref="A124:B124"/>
    <mergeCell ref="A125:D125"/>
    <mergeCell ref="A126:D126"/>
    <mergeCell ref="A128:D128"/>
    <mergeCell ref="A129:C129"/>
    <mergeCell ref="B101:C101"/>
    <mergeCell ref="A103:C103"/>
    <mergeCell ref="A105:D105"/>
    <mergeCell ref="B106:C106"/>
    <mergeCell ref="B107:C107"/>
    <mergeCell ref="A92:D92"/>
    <mergeCell ref="A94:D94"/>
    <mergeCell ref="A97:B97"/>
    <mergeCell ref="A99:D99"/>
    <mergeCell ref="B100:C100"/>
    <mergeCell ref="B109:C109"/>
    <mergeCell ref="B110:C110"/>
    <mergeCell ref="A83:D83"/>
    <mergeCell ref="B61:C61"/>
    <mergeCell ref="B62:C62"/>
    <mergeCell ref="B63:C63"/>
    <mergeCell ref="B64:C64"/>
    <mergeCell ref="A65:C65"/>
    <mergeCell ref="A67:D67"/>
    <mergeCell ref="A76:B76"/>
    <mergeCell ref="A77:D77"/>
    <mergeCell ref="A78:D78"/>
    <mergeCell ref="A80:D80"/>
    <mergeCell ref="A81:D81"/>
    <mergeCell ref="B108:C108"/>
    <mergeCell ref="A91:B91"/>
    <mergeCell ref="A60:D60"/>
    <mergeCell ref="A32:D32"/>
    <mergeCell ref="A42:B42"/>
    <mergeCell ref="A43:D43"/>
    <mergeCell ref="A44:D44"/>
    <mergeCell ref="A45:D45"/>
    <mergeCell ref="A46:D46"/>
    <mergeCell ref="A47:D47"/>
    <mergeCell ref="A49:D49"/>
    <mergeCell ref="A56:C56"/>
    <mergeCell ref="A57:D57"/>
    <mergeCell ref="A58:D58"/>
    <mergeCell ref="A22:D22"/>
    <mergeCell ref="A23:D23"/>
    <mergeCell ref="A27:B27"/>
    <mergeCell ref="A28:D28"/>
    <mergeCell ref="A29:D29"/>
    <mergeCell ref="B16:C16"/>
    <mergeCell ref="B17:C17"/>
    <mergeCell ref="B18:C18"/>
    <mergeCell ref="A19:C19"/>
    <mergeCell ref="A20:D20"/>
    <mergeCell ref="G115:H115"/>
    <mergeCell ref="E115:F115"/>
    <mergeCell ref="B14:C14"/>
    <mergeCell ref="A1:D1"/>
    <mergeCell ref="A3:D3"/>
    <mergeCell ref="C4:D4"/>
    <mergeCell ref="C5:D5"/>
    <mergeCell ref="C6:D6"/>
    <mergeCell ref="C7:D7"/>
    <mergeCell ref="C8:D8"/>
    <mergeCell ref="C9:D9"/>
    <mergeCell ref="A11:D11"/>
    <mergeCell ref="B12:C12"/>
    <mergeCell ref="B13:C13"/>
    <mergeCell ref="A30:D30"/>
    <mergeCell ref="B15:C15"/>
  </mergeCells>
  <dataValidations disablePrompts="1" count="1">
    <dataValidation type="list" allowBlank="1" showInputMessage="1" showErrorMessage="1" sqref="G115 C115:E115" xr:uid="{00000000-0002-0000-0B00-000000000000}">
      <formula1>"Lucro presumido,Lucro real"</formula1>
    </dataValidation>
  </dataValidations>
  <pageMargins left="0.511811024" right="0.511811024" top="0.78740157499999996" bottom="0.78740157499999996" header="0.31496062000000002" footer="0.31496062000000002"/>
  <pageSetup paperSize="9" scale="52"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pageSetUpPr fitToPage="1"/>
  </sheetPr>
  <dimension ref="A1:J137"/>
  <sheetViews>
    <sheetView showGridLines="0" zoomScaleNormal="100" workbookViewId="0">
      <selection activeCell="F13" sqref="F13"/>
    </sheetView>
  </sheetViews>
  <sheetFormatPr defaultColWidth="8.7109375" defaultRowHeight="12.75" x14ac:dyDescent="0.2"/>
  <cols>
    <col min="1" max="1" width="5" style="1" bestFit="1" customWidth="1"/>
    <col min="2" max="2" width="45.7109375" style="12" bestFit="1" customWidth="1"/>
    <col min="3" max="3" width="14.42578125" style="12" bestFit="1" customWidth="1"/>
    <col min="4" max="4" width="10.28515625" style="1" bestFit="1" customWidth="1"/>
    <col min="5" max="5" width="14.42578125" style="221" bestFit="1" customWidth="1"/>
    <col min="6" max="6" width="20.7109375" style="221" bestFit="1" customWidth="1"/>
    <col min="7" max="7" width="14.140625" style="221" bestFit="1" customWidth="1"/>
    <col min="8" max="8" width="18.28515625" style="221" bestFit="1" customWidth="1"/>
    <col min="9" max="9" width="14.140625" style="221" bestFit="1" customWidth="1"/>
    <col min="10" max="10" width="18.28515625" style="221" bestFit="1" customWidth="1"/>
    <col min="11" max="16384" width="8.7109375" style="1"/>
  </cols>
  <sheetData>
    <row r="1" spans="1:10" x14ac:dyDescent="0.2">
      <c r="A1" s="476" t="s">
        <v>92</v>
      </c>
      <c r="B1" s="476"/>
      <c r="C1" s="476"/>
      <c r="D1" s="476"/>
      <c r="E1" s="222"/>
    </row>
    <row r="3" spans="1:10" x14ac:dyDescent="0.2">
      <c r="A3" s="477" t="s">
        <v>0</v>
      </c>
      <c r="B3" s="477"/>
      <c r="C3" s="477"/>
      <c r="D3" s="477"/>
      <c r="E3" s="223"/>
    </row>
    <row r="4" spans="1:10" ht="25.5" x14ac:dyDescent="0.2">
      <c r="A4" s="2">
        <v>1</v>
      </c>
      <c r="B4" s="3" t="s">
        <v>1</v>
      </c>
      <c r="C4" s="454" t="s">
        <v>140</v>
      </c>
      <c r="D4" s="454"/>
      <c r="E4" s="224"/>
    </row>
    <row r="5" spans="1:10" x14ac:dyDescent="0.2">
      <c r="A5" s="4">
        <v>2</v>
      </c>
      <c r="B5" s="5" t="s">
        <v>2</v>
      </c>
      <c r="C5" s="455"/>
      <c r="D5" s="455"/>
      <c r="E5" s="225"/>
    </row>
    <row r="6" spans="1:10" x14ac:dyDescent="0.2">
      <c r="A6" s="4">
        <v>3</v>
      </c>
      <c r="B6" s="5" t="s">
        <v>95</v>
      </c>
      <c r="C6" s="478">
        <v>8843</v>
      </c>
      <c r="D6" s="478"/>
      <c r="E6" s="226"/>
    </row>
    <row r="7" spans="1:10" ht="25.5" x14ac:dyDescent="0.2">
      <c r="A7" s="4">
        <v>4</v>
      </c>
      <c r="B7" s="5" t="s">
        <v>96</v>
      </c>
      <c r="C7" s="485" t="s">
        <v>462</v>
      </c>
      <c r="D7" s="486"/>
      <c r="E7" s="227"/>
    </row>
    <row r="8" spans="1:10" x14ac:dyDescent="0.2">
      <c r="A8" s="4">
        <v>5</v>
      </c>
      <c r="B8" s="5" t="s">
        <v>3</v>
      </c>
      <c r="C8" s="458" t="s">
        <v>464</v>
      </c>
      <c r="D8" s="455"/>
      <c r="E8" s="228"/>
      <c r="F8" s="229" t="s">
        <v>570</v>
      </c>
    </row>
    <row r="9" spans="1:10" x14ac:dyDescent="0.2">
      <c r="A9" s="4">
        <v>6</v>
      </c>
      <c r="B9" s="5" t="s">
        <v>97</v>
      </c>
      <c r="C9" s="427" t="s">
        <v>463</v>
      </c>
      <c r="D9" s="428"/>
      <c r="E9" s="228"/>
      <c r="F9" s="230" t="s">
        <v>571</v>
      </c>
    </row>
    <row r="10" spans="1:10" x14ac:dyDescent="0.2">
      <c r="F10" s="221" t="s">
        <v>594</v>
      </c>
      <c r="H10" s="221" t="s">
        <v>567</v>
      </c>
      <c r="J10" s="221" t="s">
        <v>568</v>
      </c>
    </row>
    <row r="11" spans="1:10" ht="63.75" x14ac:dyDescent="0.2">
      <c r="A11" s="415" t="s">
        <v>75</v>
      </c>
      <c r="B11" s="415"/>
      <c r="C11" s="415"/>
      <c r="D11" s="415"/>
      <c r="E11" s="231"/>
      <c r="F11" s="252" t="s">
        <v>593</v>
      </c>
      <c r="H11" s="252" t="s">
        <v>574</v>
      </c>
      <c r="J11" s="252" t="s">
        <v>569</v>
      </c>
    </row>
    <row r="12" spans="1:10" x14ac:dyDescent="0.2">
      <c r="A12" s="6">
        <v>1</v>
      </c>
      <c r="B12" s="477" t="s">
        <v>4</v>
      </c>
      <c r="C12" s="477"/>
      <c r="D12" s="7" t="s">
        <v>5</v>
      </c>
      <c r="E12" s="242"/>
      <c r="F12" s="214" t="s">
        <v>5</v>
      </c>
      <c r="G12" s="261"/>
      <c r="H12" s="214" t="s">
        <v>5</v>
      </c>
      <c r="I12" s="261"/>
      <c r="J12" s="214" t="s">
        <v>5</v>
      </c>
    </row>
    <row r="13" spans="1:10" x14ac:dyDescent="0.2">
      <c r="A13" s="8" t="s">
        <v>6</v>
      </c>
      <c r="B13" s="414" t="s">
        <v>7</v>
      </c>
      <c r="C13" s="414"/>
      <c r="D13" s="114">
        <v>8483</v>
      </c>
      <c r="E13" s="243"/>
      <c r="F13" s="200">
        <v>9366.57</v>
      </c>
      <c r="G13" s="261"/>
      <c r="H13" s="114">
        <f>F13</f>
        <v>9366.57</v>
      </c>
      <c r="I13" s="261"/>
      <c r="J13" s="114">
        <f>H13</f>
        <v>9366.57</v>
      </c>
    </row>
    <row r="14" spans="1:10" x14ac:dyDescent="0.2">
      <c r="A14" s="8" t="s">
        <v>8</v>
      </c>
      <c r="B14" s="414" t="s">
        <v>400</v>
      </c>
      <c r="C14" s="414"/>
      <c r="D14" s="10" t="s">
        <v>118</v>
      </c>
      <c r="E14" s="244"/>
      <c r="F14" s="10" t="s">
        <v>118</v>
      </c>
      <c r="G14" s="261"/>
      <c r="H14" s="10" t="s">
        <v>118</v>
      </c>
      <c r="I14" s="261"/>
      <c r="J14" s="10" t="s">
        <v>118</v>
      </c>
    </row>
    <row r="15" spans="1:10" x14ac:dyDescent="0.2">
      <c r="A15" s="8" t="s">
        <v>9</v>
      </c>
      <c r="B15" s="414" t="s">
        <v>10</v>
      </c>
      <c r="C15" s="414"/>
      <c r="D15" s="10" t="s">
        <v>118</v>
      </c>
      <c r="E15" s="244"/>
      <c r="F15" s="10" t="s">
        <v>118</v>
      </c>
      <c r="G15" s="261"/>
      <c r="H15" s="201" t="s">
        <v>118</v>
      </c>
      <c r="I15" s="261"/>
      <c r="J15" s="201" t="s">
        <v>118</v>
      </c>
    </row>
    <row r="16" spans="1:10" x14ac:dyDescent="0.2">
      <c r="A16" s="8" t="s">
        <v>11</v>
      </c>
      <c r="B16" s="414" t="s">
        <v>12</v>
      </c>
      <c r="C16" s="414"/>
      <c r="D16" s="10" t="s">
        <v>118</v>
      </c>
      <c r="E16" s="244"/>
      <c r="F16" s="10" t="s">
        <v>118</v>
      </c>
      <c r="G16" s="261"/>
      <c r="H16" s="10" t="s">
        <v>118</v>
      </c>
      <c r="I16" s="261"/>
      <c r="J16" s="10" t="s">
        <v>118</v>
      </c>
    </row>
    <row r="17" spans="1:10" x14ac:dyDescent="0.2">
      <c r="A17" s="8" t="s">
        <v>13</v>
      </c>
      <c r="B17" s="414" t="s">
        <v>14</v>
      </c>
      <c r="C17" s="414"/>
      <c r="D17" s="10" t="s">
        <v>118</v>
      </c>
      <c r="E17" s="244"/>
      <c r="F17" s="10" t="s">
        <v>118</v>
      </c>
      <c r="G17" s="261"/>
      <c r="H17" s="10" t="s">
        <v>118</v>
      </c>
      <c r="I17" s="261"/>
      <c r="J17" s="10" t="s">
        <v>118</v>
      </c>
    </row>
    <row r="18" spans="1:10" x14ac:dyDescent="0.2">
      <c r="A18" s="8" t="s">
        <v>15</v>
      </c>
      <c r="B18" s="414" t="s">
        <v>16</v>
      </c>
      <c r="C18" s="414"/>
      <c r="D18" s="10" t="s">
        <v>118</v>
      </c>
      <c r="E18" s="244"/>
      <c r="F18" s="10" t="s">
        <v>118</v>
      </c>
      <c r="G18" s="261"/>
      <c r="H18" s="10" t="s">
        <v>118</v>
      </c>
      <c r="I18" s="261"/>
      <c r="J18" s="10" t="s">
        <v>118</v>
      </c>
    </row>
    <row r="19" spans="1:10" x14ac:dyDescent="0.2">
      <c r="A19" s="463" t="s">
        <v>17</v>
      </c>
      <c r="B19" s="463"/>
      <c r="C19" s="463"/>
      <c r="D19" s="11">
        <f>SUM(D13:D18)</f>
        <v>8483</v>
      </c>
      <c r="E19" s="243"/>
      <c r="F19" s="202">
        <f>SUM(F13:F18)</f>
        <v>9366.57</v>
      </c>
      <c r="G19" s="261"/>
      <c r="H19" s="11">
        <f>SUM(H13:H18)</f>
        <v>9366.57</v>
      </c>
      <c r="I19" s="261"/>
      <c r="J19" s="11">
        <f>SUM(J13:J18)</f>
        <v>9366.57</v>
      </c>
    </row>
    <row r="20" spans="1:10" x14ac:dyDescent="0.2">
      <c r="A20" s="481" t="s">
        <v>18</v>
      </c>
      <c r="B20" s="481"/>
      <c r="C20" s="481"/>
      <c r="D20" s="481"/>
      <c r="E20" s="233"/>
    </row>
    <row r="22" spans="1:10" x14ac:dyDescent="0.2">
      <c r="A22" s="415" t="s">
        <v>19</v>
      </c>
      <c r="B22" s="415"/>
      <c r="C22" s="415"/>
      <c r="D22" s="415"/>
      <c r="E22" s="231"/>
    </row>
    <row r="23" spans="1:10" x14ac:dyDescent="0.2">
      <c r="A23" s="463" t="s">
        <v>24</v>
      </c>
      <c r="B23" s="463"/>
      <c r="C23" s="463"/>
      <c r="D23" s="463"/>
      <c r="E23" s="234"/>
    </row>
    <row r="24" spans="1:10" ht="25.5" x14ac:dyDescent="0.2">
      <c r="A24" s="13" t="s">
        <v>20</v>
      </c>
      <c r="B24" s="13" t="s">
        <v>21</v>
      </c>
      <c r="C24" s="215" t="s">
        <v>28</v>
      </c>
      <c r="D24" s="216" t="s">
        <v>5</v>
      </c>
      <c r="E24" s="215" t="s">
        <v>28</v>
      </c>
      <c r="F24" s="216" t="s">
        <v>5</v>
      </c>
      <c r="G24" s="215" t="s">
        <v>28</v>
      </c>
      <c r="H24" s="216" t="s">
        <v>5</v>
      </c>
      <c r="I24" s="215" t="s">
        <v>28</v>
      </c>
      <c r="J24" s="216" t="s">
        <v>5</v>
      </c>
    </row>
    <row r="25" spans="1:10" x14ac:dyDescent="0.2">
      <c r="A25" s="8" t="s">
        <v>6</v>
      </c>
      <c r="B25" s="14" t="s">
        <v>22</v>
      </c>
      <c r="C25" s="270">
        <v>9.0899999999999995E-2</v>
      </c>
      <c r="D25" s="9">
        <f>C25*$D$19</f>
        <v>771.10469999999998</v>
      </c>
      <c r="E25" s="270">
        <v>9.0899999999999995E-2</v>
      </c>
      <c r="F25" s="257">
        <f t="shared" ref="F25:F26" si="0">$E25*F$19</f>
        <v>851.42121299999997</v>
      </c>
      <c r="G25" s="270">
        <v>9.0899999999999995E-2</v>
      </c>
      <c r="H25" s="258">
        <f>$E25*H$19</f>
        <v>851.42121299999997</v>
      </c>
      <c r="I25" s="270">
        <v>9.0899999999999995E-2</v>
      </c>
      <c r="J25" s="258">
        <f>$E25*J$19</f>
        <v>851.42121299999997</v>
      </c>
    </row>
    <row r="26" spans="1:10" x14ac:dyDescent="0.2">
      <c r="A26" s="8" t="s">
        <v>8</v>
      </c>
      <c r="B26" s="14" t="s">
        <v>23</v>
      </c>
      <c r="C26" s="270">
        <v>0.1212</v>
      </c>
      <c r="D26" s="9">
        <f>C26*$D$19</f>
        <v>1028.1396</v>
      </c>
      <c r="E26" s="270">
        <v>0.1212</v>
      </c>
      <c r="F26" s="257">
        <f t="shared" si="0"/>
        <v>1135.228284</v>
      </c>
      <c r="G26" s="270">
        <v>0.1212</v>
      </c>
      <c r="H26" s="258">
        <f>$E26*H$19</f>
        <v>1135.228284</v>
      </c>
      <c r="I26" s="270">
        <v>0.1212</v>
      </c>
      <c r="J26" s="258">
        <f>$E26*J$19</f>
        <v>1135.228284</v>
      </c>
    </row>
    <row r="27" spans="1:10" x14ac:dyDescent="0.2">
      <c r="A27" s="463" t="s">
        <v>17</v>
      </c>
      <c r="B27" s="463"/>
      <c r="C27" s="255">
        <f t="shared" ref="C27:J27" si="1">SUM(C25:C26)</f>
        <v>0.21210000000000001</v>
      </c>
      <c r="D27" s="11">
        <f t="shared" si="1"/>
        <v>1799.2442999999998</v>
      </c>
      <c r="E27" s="255">
        <f t="shared" si="1"/>
        <v>0.21210000000000001</v>
      </c>
      <c r="F27" s="202">
        <f t="shared" si="1"/>
        <v>1986.6494969999999</v>
      </c>
      <c r="G27" s="255">
        <f t="shared" si="1"/>
        <v>0.21210000000000001</v>
      </c>
      <c r="H27" s="210">
        <f t="shared" si="1"/>
        <v>1986.6494969999999</v>
      </c>
      <c r="I27" s="255">
        <f t="shared" si="1"/>
        <v>0.21210000000000001</v>
      </c>
      <c r="J27" s="210">
        <f t="shared" si="1"/>
        <v>1986.6494969999999</v>
      </c>
    </row>
    <row r="28" spans="1:10" x14ac:dyDescent="0.2">
      <c r="A28" s="464" t="s">
        <v>98</v>
      </c>
      <c r="B28" s="464"/>
      <c r="C28" s="464"/>
      <c r="D28" s="464"/>
      <c r="E28" s="233"/>
    </row>
    <row r="29" spans="1:10" x14ac:dyDescent="0.2">
      <c r="A29" s="464" t="s">
        <v>99</v>
      </c>
      <c r="B29" s="464"/>
      <c r="C29" s="464"/>
      <c r="D29" s="464"/>
      <c r="E29" s="233"/>
    </row>
    <row r="30" spans="1:10" x14ac:dyDescent="0.2">
      <c r="A30" s="464" t="s">
        <v>100</v>
      </c>
      <c r="B30" s="464"/>
      <c r="C30" s="464"/>
      <c r="D30" s="464"/>
      <c r="E30" s="233"/>
    </row>
    <row r="32" spans="1:10" x14ac:dyDescent="0.2">
      <c r="A32" s="470" t="s">
        <v>25</v>
      </c>
      <c r="B32" s="470"/>
      <c r="C32" s="470"/>
      <c r="D32" s="470"/>
      <c r="E32" s="235"/>
    </row>
    <row r="33" spans="1:10" x14ac:dyDescent="0.2">
      <c r="A33" s="6" t="s">
        <v>26</v>
      </c>
      <c r="B33" s="7" t="s">
        <v>27</v>
      </c>
      <c r="C33" s="7" t="s">
        <v>28</v>
      </c>
      <c r="D33" s="6" t="s">
        <v>5</v>
      </c>
      <c r="E33" s="214" t="s">
        <v>28</v>
      </c>
      <c r="F33" s="213" t="s">
        <v>5</v>
      </c>
      <c r="G33" s="214" t="s">
        <v>28</v>
      </c>
      <c r="H33" s="213" t="s">
        <v>5</v>
      </c>
      <c r="I33" s="214" t="s">
        <v>28</v>
      </c>
      <c r="J33" s="213" t="s">
        <v>5</v>
      </c>
    </row>
    <row r="34" spans="1:10" x14ac:dyDescent="0.2">
      <c r="A34" s="8" t="s">
        <v>6</v>
      </c>
      <c r="B34" s="14" t="s">
        <v>29</v>
      </c>
      <c r="C34" s="253">
        <v>0</v>
      </c>
      <c r="D34" s="9">
        <f t="shared" ref="D34:D40" si="2">C34*($D$19+$D$27)</f>
        <v>0</v>
      </c>
      <c r="E34" s="253">
        <v>0</v>
      </c>
      <c r="F34" s="9">
        <f t="shared" ref="F34:F41" si="3">$E34*(F$19+F$27)</f>
        <v>0</v>
      </c>
      <c r="G34" s="253">
        <v>0</v>
      </c>
      <c r="H34" s="9">
        <f t="shared" ref="H34:H41" si="4">$E34*(H$19+H$27)</f>
        <v>0</v>
      </c>
      <c r="I34" s="253">
        <v>0</v>
      </c>
      <c r="J34" s="9">
        <f t="shared" ref="J34:J41" si="5">$E34*(J$19+J$27)</f>
        <v>0</v>
      </c>
    </row>
    <row r="35" spans="1:10" x14ac:dyDescent="0.2">
      <c r="A35" s="8" t="s">
        <v>8</v>
      </c>
      <c r="B35" s="14" t="s">
        <v>30</v>
      </c>
      <c r="C35" s="253">
        <v>2.5000000000000001E-2</v>
      </c>
      <c r="D35" s="9">
        <f t="shared" si="2"/>
        <v>257.0561075</v>
      </c>
      <c r="E35" s="253">
        <v>2.5000000000000001E-2</v>
      </c>
      <c r="F35" s="257">
        <f>$E35*(F$19+F$27)</f>
        <v>283.830487425</v>
      </c>
      <c r="G35" s="253">
        <v>2.5000000000000001E-2</v>
      </c>
      <c r="H35" s="9">
        <f t="shared" si="4"/>
        <v>283.830487425</v>
      </c>
      <c r="I35" s="253">
        <v>2.5000000000000001E-2</v>
      </c>
      <c r="J35" s="9">
        <f t="shared" si="5"/>
        <v>283.830487425</v>
      </c>
    </row>
    <row r="36" spans="1:10" x14ac:dyDescent="0.2">
      <c r="A36" s="8" t="s">
        <v>9</v>
      </c>
      <c r="B36" s="14" t="s">
        <v>564</v>
      </c>
      <c r="C36" s="253">
        <v>3.39E-2</v>
      </c>
      <c r="D36" s="9">
        <f t="shared" si="2"/>
        <v>348.56808176999999</v>
      </c>
      <c r="E36" s="278">
        <v>3.39E-2</v>
      </c>
      <c r="F36" s="257">
        <f>$E36*(F$19+F$27)</f>
        <v>384.87414094830001</v>
      </c>
      <c r="G36" s="253">
        <v>1.4999999999999999E-2</v>
      </c>
      <c r="H36" s="9">
        <f t="shared" si="4"/>
        <v>384.87414094830001</v>
      </c>
      <c r="I36" s="278">
        <v>1.4999999999999999E-2</v>
      </c>
      <c r="J36" s="9">
        <f t="shared" si="5"/>
        <v>384.87414094830001</v>
      </c>
    </row>
    <row r="37" spans="1:10" x14ac:dyDescent="0.2">
      <c r="A37" s="8" t="s">
        <v>11</v>
      </c>
      <c r="B37" s="14" t="s">
        <v>31</v>
      </c>
      <c r="C37" s="253">
        <v>1.4999999999999999E-2</v>
      </c>
      <c r="D37" s="9">
        <f t="shared" si="2"/>
        <v>154.2336645</v>
      </c>
      <c r="E37" s="253">
        <v>1.4999999999999999E-2</v>
      </c>
      <c r="F37" s="257">
        <f t="shared" si="3"/>
        <v>170.298292455</v>
      </c>
      <c r="G37" s="253">
        <v>1.4999999999999999E-2</v>
      </c>
      <c r="H37" s="9">
        <f t="shared" si="4"/>
        <v>170.298292455</v>
      </c>
      <c r="I37" s="253">
        <v>1.4999999999999999E-2</v>
      </c>
      <c r="J37" s="9">
        <f t="shared" si="5"/>
        <v>170.298292455</v>
      </c>
    </row>
    <row r="38" spans="1:10" x14ac:dyDescent="0.2">
      <c r="A38" s="8" t="s">
        <v>13</v>
      </c>
      <c r="B38" s="14" t="s">
        <v>32</v>
      </c>
      <c r="C38" s="253">
        <v>0.01</v>
      </c>
      <c r="D38" s="9">
        <f t="shared" si="2"/>
        <v>102.82244300000001</v>
      </c>
      <c r="E38" s="253">
        <v>0.01</v>
      </c>
      <c r="F38" s="257">
        <f t="shared" si="3"/>
        <v>113.53219497000001</v>
      </c>
      <c r="G38" s="253">
        <v>0.01</v>
      </c>
      <c r="H38" s="9">
        <f t="shared" si="4"/>
        <v>113.53219497000001</v>
      </c>
      <c r="I38" s="253">
        <v>0.01</v>
      </c>
      <c r="J38" s="9">
        <f t="shared" si="5"/>
        <v>113.53219497000001</v>
      </c>
    </row>
    <row r="39" spans="1:10" x14ac:dyDescent="0.2">
      <c r="A39" s="8" t="s">
        <v>15</v>
      </c>
      <c r="B39" s="14" t="s">
        <v>33</v>
      </c>
      <c r="C39" s="253">
        <v>6.0000000000000001E-3</v>
      </c>
      <c r="D39" s="9">
        <f t="shared" si="2"/>
        <v>61.693465800000006</v>
      </c>
      <c r="E39" s="253">
        <v>6.0000000000000001E-3</v>
      </c>
      <c r="F39" s="257">
        <f t="shared" si="3"/>
        <v>68.119316982000001</v>
      </c>
      <c r="G39" s="253">
        <v>6.0000000000000001E-3</v>
      </c>
      <c r="H39" s="9">
        <f t="shared" si="4"/>
        <v>68.119316982000001</v>
      </c>
      <c r="I39" s="253">
        <v>6.0000000000000001E-3</v>
      </c>
      <c r="J39" s="9">
        <f t="shared" si="5"/>
        <v>68.119316982000001</v>
      </c>
    </row>
    <row r="40" spans="1:10" x14ac:dyDescent="0.2">
      <c r="A40" s="8" t="s">
        <v>34</v>
      </c>
      <c r="B40" s="14" t="s">
        <v>35</v>
      </c>
      <c r="C40" s="253">
        <v>2E-3</v>
      </c>
      <c r="D40" s="9">
        <f t="shared" si="2"/>
        <v>20.564488600000001</v>
      </c>
      <c r="E40" s="253">
        <v>2E-3</v>
      </c>
      <c r="F40" s="257">
        <f t="shared" si="3"/>
        <v>22.706438993999999</v>
      </c>
      <c r="G40" s="253">
        <v>2E-3</v>
      </c>
      <c r="H40" s="9">
        <f t="shared" si="4"/>
        <v>22.706438993999999</v>
      </c>
      <c r="I40" s="253">
        <v>2E-3</v>
      </c>
      <c r="J40" s="9">
        <f t="shared" si="5"/>
        <v>22.706438993999999</v>
      </c>
    </row>
    <row r="41" spans="1:10" x14ac:dyDescent="0.2">
      <c r="A41" s="8" t="s">
        <v>36</v>
      </c>
      <c r="B41" s="14" t="s">
        <v>37</v>
      </c>
      <c r="C41" s="253">
        <v>0.08</v>
      </c>
      <c r="D41" s="9">
        <f>C41*($D$19+$D$27)</f>
        <v>822.57954400000006</v>
      </c>
      <c r="E41" s="253">
        <v>0.08</v>
      </c>
      <c r="F41" s="257">
        <f t="shared" si="3"/>
        <v>908.25755976000005</v>
      </c>
      <c r="G41" s="253">
        <v>0.08</v>
      </c>
      <c r="H41" s="9">
        <f t="shared" si="4"/>
        <v>908.25755976000005</v>
      </c>
      <c r="I41" s="253">
        <v>0.08</v>
      </c>
      <c r="J41" s="9">
        <f t="shared" si="5"/>
        <v>908.25755976000005</v>
      </c>
    </row>
    <row r="42" spans="1:10" x14ac:dyDescent="0.2">
      <c r="A42" s="471" t="s">
        <v>17</v>
      </c>
      <c r="B42" s="472"/>
      <c r="C42" s="269">
        <f t="shared" ref="C42:J42" si="6">SUM(C34:C41)</f>
        <v>0.1719</v>
      </c>
      <c r="D42" s="11">
        <f t="shared" si="6"/>
        <v>1767.5177951700002</v>
      </c>
      <c r="E42" s="269">
        <f t="shared" si="6"/>
        <v>0.1719</v>
      </c>
      <c r="F42" s="202">
        <f t="shared" si="6"/>
        <v>1951.6184315343</v>
      </c>
      <c r="G42" s="269">
        <f t="shared" si="6"/>
        <v>0.15300000000000002</v>
      </c>
      <c r="H42" s="11">
        <f t="shared" si="6"/>
        <v>1951.6184315343</v>
      </c>
      <c r="I42" s="269">
        <f t="shared" si="6"/>
        <v>0.15300000000000002</v>
      </c>
      <c r="J42" s="11">
        <f t="shared" si="6"/>
        <v>1951.6184315343</v>
      </c>
    </row>
    <row r="43" spans="1:10" x14ac:dyDescent="0.2">
      <c r="A43" s="464" t="s">
        <v>104</v>
      </c>
      <c r="B43" s="464"/>
      <c r="C43" s="464"/>
      <c r="D43" s="464"/>
      <c r="E43" s="233"/>
    </row>
    <row r="44" spans="1:10" x14ac:dyDescent="0.2">
      <c r="A44" s="464" t="s">
        <v>102</v>
      </c>
      <c r="B44" s="464"/>
      <c r="C44" s="464"/>
      <c r="D44" s="464"/>
      <c r="E44" s="233"/>
    </row>
    <row r="45" spans="1:10" x14ac:dyDescent="0.2">
      <c r="A45" s="464" t="s">
        <v>103</v>
      </c>
      <c r="B45" s="464"/>
      <c r="C45" s="464"/>
      <c r="D45" s="464"/>
      <c r="E45" s="233"/>
    </row>
    <row r="46" spans="1:10" x14ac:dyDescent="0.2">
      <c r="A46" s="464" t="s">
        <v>108</v>
      </c>
      <c r="B46" s="464"/>
      <c r="C46" s="464"/>
      <c r="D46" s="464"/>
      <c r="E46" s="233"/>
    </row>
    <row r="47" spans="1:10" x14ac:dyDescent="0.2">
      <c r="A47" s="464" t="s">
        <v>113</v>
      </c>
      <c r="B47" s="464"/>
      <c r="C47" s="464"/>
      <c r="D47" s="464"/>
      <c r="E47" s="233"/>
    </row>
    <row r="49" spans="1:10" x14ac:dyDescent="0.2">
      <c r="A49" s="470" t="s">
        <v>38</v>
      </c>
      <c r="B49" s="470"/>
      <c r="C49" s="470"/>
      <c r="D49" s="470"/>
      <c r="E49" s="235"/>
    </row>
    <row r="50" spans="1:10" x14ac:dyDescent="0.2">
      <c r="A50" s="23" t="s">
        <v>39</v>
      </c>
      <c r="B50" s="2" t="s">
        <v>40</v>
      </c>
      <c r="C50" s="23" t="s">
        <v>89</v>
      </c>
      <c r="D50" s="215" t="s">
        <v>5</v>
      </c>
      <c r="E50" s="242"/>
      <c r="F50" s="215" t="s">
        <v>5</v>
      </c>
      <c r="G50" s="261"/>
      <c r="H50" s="215" t="s">
        <v>5</v>
      </c>
      <c r="I50" s="261"/>
      <c r="J50" s="215" t="s">
        <v>5</v>
      </c>
    </row>
    <row r="51" spans="1:10" x14ac:dyDescent="0.2">
      <c r="A51" s="8" t="s">
        <v>6</v>
      </c>
      <c r="B51" s="14" t="s">
        <v>41</v>
      </c>
      <c r="C51" s="24">
        <v>22</v>
      </c>
      <c r="D51" s="9" t="s">
        <v>118</v>
      </c>
      <c r="E51" s="268"/>
      <c r="F51" s="9" t="s">
        <v>118</v>
      </c>
      <c r="G51" s="261"/>
      <c r="H51" s="9" t="s">
        <v>118</v>
      </c>
      <c r="I51" s="261"/>
      <c r="J51" s="9" t="s">
        <v>118</v>
      </c>
    </row>
    <row r="52" spans="1:10" x14ac:dyDescent="0.2">
      <c r="A52" s="8" t="s">
        <v>8</v>
      </c>
      <c r="B52" s="14" t="s">
        <v>465</v>
      </c>
      <c r="C52" s="24">
        <v>22</v>
      </c>
      <c r="D52" s="9">
        <f>28*C52</f>
        <v>616</v>
      </c>
      <c r="E52" s="268"/>
      <c r="F52" s="257">
        <f>27.03*$C52</f>
        <v>594.66000000000008</v>
      </c>
      <c r="G52" s="261"/>
      <c r="H52" s="258">
        <f>27.03*$C52</f>
        <v>594.66000000000008</v>
      </c>
      <c r="I52" s="261"/>
      <c r="J52" s="258">
        <f>27.03*$C52</f>
        <v>594.66000000000008</v>
      </c>
    </row>
    <row r="53" spans="1:10" x14ac:dyDescent="0.2">
      <c r="A53" s="8" t="s">
        <v>9</v>
      </c>
      <c r="B53" s="14" t="s">
        <v>42</v>
      </c>
      <c r="C53" s="24"/>
      <c r="D53" s="9">
        <v>160.07</v>
      </c>
      <c r="E53" s="268"/>
      <c r="F53" s="258">
        <v>160.07</v>
      </c>
      <c r="G53" s="261"/>
      <c r="H53" s="257">
        <v>169.67</v>
      </c>
      <c r="I53" s="261"/>
      <c r="J53" s="258">
        <v>169.67</v>
      </c>
    </row>
    <row r="54" spans="1:10" x14ac:dyDescent="0.2">
      <c r="A54" s="8" t="s">
        <v>11</v>
      </c>
      <c r="B54" s="14" t="s">
        <v>90</v>
      </c>
      <c r="C54" s="24"/>
      <c r="D54" s="9" t="s">
        <v>118</v>
      </c>
      <c r="E54" s="268"/>
      <c r="F54" s="9" t="s">
        <v>118</v>
      </c>
      <c r="G54" s="261"/>
      <c r="H54" s="9" t="s">
        <v>118</v>
      </c>
      <c r="I54" s="261"/>
      <c r="J54" s="9" t="s">
        <v>118</v>
      </c>
    </row>
    <row r="55" spans="1:10" x14ac:dyDescent="0.2">
      <c r="A55" s="8" t="s">
        <v>13</v>
      </c>
      <c r="B55" s="14" t="s">
        <v>466</v>
      </c>
      <c r="C55" s="24"/>
      <c r="D55" s="9">
        <v>320</v>
      </c>
      <c r="E55" s="268"/>
      <c r="F55" s="258">
        <v>320</v>
      </c>
      <c r="G55" s="261"/>
      <c r="H55" s="9">
        <v>320</v>
      </c>
      <c r="I55" s="261"/>
      <c r="J55" s="9">
        <v>320</v>
      </c>
    </row>
    <row r="56" spans="1:10" x14ac:dyDescent="0.2">
      <c r="A56" s="463" t="s">
        <v>17</v>
      </c>
      <c r="B56" s="463"/>
      <c r="C56" s="463"/>
      <c r="D56" s="11">
        <f>SUM(D51:D55)</f>
        <v>1096.07</v>
      </c>
      <c r="E56" s="243"/>
      <c r="F56" s="200">
        <f>SUM(F51:F55)</f>
        <v>1074.73</v>
      </c>
      <c r="G56" s="261"/>
      <c r="H56" s="114">
        <f>SUM(H51:H55)</f>
        <v>1084.33</v>
      </c>
      <c r="I56" s="261"/>
      <c r="J56" s="114">
        <f>SUM(J51:J55)</f>
        <v>1084.33</v>
      </c>
    </row>
    <row r="57" spans="1:10" x14ac:dyDescent="0.2">
      <c r="A57" s="464" t="s">
        <v>45</v>
      </c>
      <c r="B57" s="464"/>
      <c r="C57" s="464"/>
      <c r="D57" s="464"/>
      <c r="E57" s="233"/>
    </row>
    <row r="58" spans="1:10" x14ac:dyDescent="0.2">
      <c r="A58" s="464" t="s">
        <v>105</v>
      </c>
      <c r="B58" s="464"/>
      <c r="C58" s="464"/>
      <c r="D58" s="464"/>
      <c r="E58" s="233"/>
    </row>
    <row r="60" spans="1:10" x14ac:dyDescent="0.2">
      <c r="A60" s="415" t="s">
        <v>43</v>
      </c>
      <c r="B60" s="415"/>
      <c r="C60" s="415"/>
      <c r="D60" s="415"/>
      <c r="E60" s="231"/>
    </row>
    <row r="61" spans="1:10" x14ac:dyDescent="0.2">
      <c r="A61" s="7">
        <v>2</v>
      </c>
      <c r="B61" s="430" t="s">
        <v>44</v>
      </c>
      <c r="C61" s="430"/>
      <c r="D61" s="7" t="s">
        <v>5</v>
      </c>
      <c r="E61" s="242"/>
      <c r="F61" s="214" t="s">
        <v>5</v>
      </c>
      <c r="H61" s="214" t="s">
        <v>5</v>
      </c>
      <c r="J61" s="214" t="s">
        <v>5</v>
      </c>
    </row>
    <row r="62" spans="1:10" x14ac:dyDescent="0.2">
      <c r="A62" s="26" t="s">
        <v>20</v>
      </c>
      <c r="B62" s="438" t="s">
        <v>21</v>
      </c>
      <c r="C62" s="438"/>
      <c r="D62" s="16">
        <f>D27</f>
        <v>1799.2442999999998</v>
      </c>
      <c r="E62" s="245"/>
      <c r="F62" s="203">
        <f>F27</f>
        <v>1986.6494969999999</v>
      </c>
      <c r="H62" s="16">
        <f>H27</f>
        <v>1986.6494969999999</v>
      </c>
      <c r="J62" s="16">
        <f>J27</f>
        <v>1986.6494969999999</v>
      </c>
    </row>
    <row r="63" spans="1:10" x14ac:dyDescent="0.2">
      <c r="A63" s="26" t="s">
        <v>26</v>
      </c>
      <c r="B63" s="414" t="s">
        <v>27</v>
      </c>
      <c r="C63" s="414"/>
      <c r="D63" s="16">
        <f>D42</f>
        <v>1767.5177951700002</v>
      </c>
      <c r="E63" s="245"/>
      <c r="F63" s="203">
        <f>F42</f>
        <v>1951.6184315343</v>
      </c>
      <c r="H63" s="16">
        <f>H42</f>
        <v>1951.6184315343</v>
      </c>
      <c r="J63" s="16">
        <f>J42</f>
        <v>1951.6184315343</v>
      </c>
    </row>
    <row r="64" spans="1:10" x14ac:dyDescent="0.2">
      <c r="A64" s="26" t="s">
        <v>39</v>
      </c>
      <c r="B64" s="414" t="s">
        <v>40</v>
      </c>
      <c r="C64" s="414"/>
      <c r="D64" s="16">
        <f>D56</f>
        <v>1096.07</v>
      </c>
      <c r="E64" s="245"/>
      <c r="F64" s="203">
        <f>F56</f>
        <v>1074.73</v>
      </c>
      <c r="H64" s="16">
        <f>H56</f>
        <v>1084.33</v>
      </c>
      <c r="J64" s="16">
        <f>J56</f>
        <v>1084.33</v>
      </c>
    </row>
    <row r="65" spans="1:10" x14ac:dyDescent="0.2">
      <c r="A65" s="471" t="s">
        <v>17</v>
      </c>
      <c r="B65" s="475"/>
      <c r="C65" s="472"/>
      <c r="D65" s="18">
        <f>SUM(D62:D64)</f>
        <v>4662.8320951699998</v>
      </c>
      <c r="E65" s="246"/>
      <c r="F65" s="204">
        <f>SUM(F62:F64)</f>
        <v>5012.9979285342997</v>
      </c>
      <c r="H65" s="18">
        <f>SUM(H62:H64)</f>
        <v>5022.5979285343001</v>
      </c>
      <c r="J65" s="18">
        <f>SUM(J62:J64)</f>
        <v>5022.5979285343001</v>
      </c>
    </row>
    <row r="67" spans="1:10" x14ac:dyDescent="0.2">
      <c r="A67" s="415" t="s">
        <v>76</v>
      </c>
      <c r="B67" s="415"/>
      <c r="C67" s="415"/>
      <c r="D67" s="415"/>
      <c r="E67" s="231"/>
    </row>
    <row r="68" spans="1:10" x14ac:dyDescent="0.2">
      <c r="A68" s="7">
        <v>3</v>
      </c>
      <c r="B68" s="7" t="s">
        <v>46</v>
      </c>
      <c r="C68" s="7" t="s">
        <v>28</v>
      </c>
      <c r="D68" s="7" t="s">
        <v>5</v>
      </c>
      <c r="E68" s="214" t="s">
        <v>28</v>
      </c>
      <c r="F68" s="214" t="s">
        <v>5</v>
      </c>
      <c r="G68" s="232" t="s">
        <v>28</v>
      </c>
      <c r="H68" s="232" t="s">
        <v>5</v>
      </c>
      <c r="I68" s="232" t="s">
        <v>28</v>
      </c>
      <c r="J68" s="232" t="s">
        <v>5</v>
      </c>
    </row>
    <row r="69" spans="1:10" x14ac:dyDescent="0.2">
      <c r="A69" s="26" t="s">
        <v>6</v>
      </c>
      <c r="B69" s="5" t="s">
        <v>47</v>
      </c>
      <c r="C69" s="19">
        <v>4.1999999999999997E-3</v>
      </c>
      <c r="D69" s="20">
        <f t="shared" ref="D69:D74" si="7">C69*($D$19+$D$27)</f>
        <v>43.185426059999998</v>
      </c>
      <c r="E69" s="28">
        <v>4.1999999999999997E-3</v>
      </c>
      <c r="F69" s="257">
        <f>$E69*(F$19+F$27)</f>
        <v>47.683521887399998</v>
      </c>
      <c r="G69" s="28">
        <v>4.1999999999999997E-3</v>
      </c>
      <c r="H69" s="9">
        <f t="shared" ref="H69:H75" si="8">$I69*(H$19+H$27)</f>
        <v>47.683521887399998</v>
      </c>
      <c r="I69" s="28">
        <v>4.1999999999999997E-3</v>
      </c>
      <c r="J69" s="9">
        <f t="shared" ref="J69:J75" si="9">$I69*(J$19+J$27)</f>
        <v>47.683521887399998</v>
      </c>
    </row>
    <row r="70" spans="1:10" x14ac:dyDescent="0.2">
      <c r="A70" s="26" t="s">
        <v>8</v>
      </c>
      <c r="B70" s="5" t="s">
        <v>48</v>
      </c>
      <c r="C70" s="19">
        <v>2.9999999999999997E-4</v>
      </c>
      <c r="D70" s="20">
        <f t="shared" si="7"/>
        <v>3.08467329</v>
      </c>
      <c r="E70" s="28">
        <v>2.9999999999999997E-4</v>
      </c>
      <c r="F70" s="257">
        <f t="shared" ref="F70:F75" si="10">$E70*(F$19+F$27)</f>
        <v>3.4059658490999998</v>
      </c>
      <c r="G70" s="28">
        <v>2.9999999999999997E-4</v>
      </c>
      <c r="H70" s="9">
        <f t="shared" si="8"/>
        <v>3.4059658490999998</v>
      </c>
      <c r="I70" s="28">
        <v>2.9999999999999997E-4</v>
      </c>
      <c r="J70" s="9">
        <f t="shared" si="9"/>
        <v>3.4059658490999998</v>
      </c>
    </row>
    <row r="71" spans="1:10" ht="25.5" x14ac:dyDescent="0.2">
      <c r="A71" s="26" t="s">
        <v>9</v>
      </c>
      <c r="B71" s="5" t="s">
        <v>49</v>
      </c>
      <c r="C71" s="27">
        <v>9.9999999999999995E-7</v>
      </c>
      <c r="D71" s="20">
        <f t="shared" si="7"/>
        <v>1.02822443E-2</v>
      </c>
      <c r="E71" s="351">
        <v>9.9999999999999995E-7</v>
      </c>
      <c r="F71" s="260">
        <f t="shared" si="10"/>
        <v>1.1353219497E-2</v>
      </c>
      <c r="G71" s="351">
        <v>9.9999999999999995E-7</v>
      </c>
      <c r="H71" s="258">
        <f t="shared" si="8"/>
        <v>1.1353219497E-2</v>
      </c>
      <c r="I71" s="351">
        <v>9.9999999999999995E-7</v>
      </c>
      <c r="J71" s="258">
        <f t="shared" si="9"/>
        <v>1.1353219497E-2</v>
      </c>
    </row>
    <row r="72" spans="1:10" x14ac:dyDescent="0.2">
      <c r="A72" s="26" t="s">
        <v>11</v>
      </c>
      <c r="B72" s="5" t="s">
        <v>50</v>
      </c>
      <c r="C72" s="28">
        <v>1.9400000000000001E-2</v>
      </c>
      <c r="D72" s="29">
        <f>C72*($D$19+$D$27)</f>
        <v>199.47553942000002</v>
      </c>
      <c r="E72" s="348">
        <v>1.9400000000000001E-2</v>
      </c>
      <c r="F72" s="260">
        <f t="shared" si="10"/>
        <v>220.25245824180001</v>
      </c>
      <c r="G72" s="348">
        <v>1.9400000000000001E-2</v>
      </c>
      <c r="H72" s="279">
        <f>$G72*(H$19+H$27)</f>
        <v>220.25245824180001</v>
      </c>
      <c r="I72" s="347">
        <v>1.9400000000000001E-3</v>
      </c>
      <c r="J72" s="260">
        <f t="shared" si="9"/>
        <v>22.025245824180001</v>
      </c>
    </row>
    <row r="73" spans="1:10" ht="25.5" x14ac:dyDescent="0.2">
      <c r="A73" s="26" t="s">
        <v>13</v>
      </c>
      <c r="B73" s="5" t="s">
        <v>51</v>
      </c>
      <c r="C73" s="19">
        <v>7.1000000000000004E-3</v>
      </c>
      <c r="D73" s="20">
        <f>C73*($D$19+$D$27)</f>
        <v>73.003934530000009</v>
      </c>
      <c r="E73" s="28">
        <v>7.1000000000000004E-3</v>
      </c>
      <c r="F73" s="257">
        <f t="shared" si="10"/>
        <v>80.607858428699998</v>
      </c>
      <c r="G73" s="28">
        <v>7.1000000000000004E-3</v>
      </c>
      <c r="H73" s="258">
        <f>$G73*(H$19+H$27)</f>
        <v>80.607858428699998</v>
      </c>
      <c r="I73" s="28">
        <v>7.1000000000000004E-3</v>
      </c>
      <c r="J73" s="257">
        <f t="shared" si="9"/>
        <v>80.607858428699998</v>
      </c>
    </row>
    <row r="74" spans="1:10" ht="25.5" x14ac:dyDescent="0.2">
      <c r="A74" s="26" t="s">
        <v>15</v>
      </c>
      <c r="B74" s="5" t="s">
        <v>52</v>
      </c>
      <c r="C74" s="19">
        <v>1E-4</v>
      </c>
      <c r="D74" s="20">
        <f t="shared" si="7"/>
        <v>1.0282244300000001</v>
      </c>
      <c r="E74" s="28">
        <v>1E-4</v>
      </c>
      <c r="F74" s="257">
        <f t="shared" si="10"/>
        <v>1.1353219497</v>
      </c>
      <c r="G74" s="28">
        <v>1E-4</v>
      </c>
      <c r="H74" s="258">
        <f>$G74*(H$19+H$27)</f>
        <v>1.1353219497</v>
      </c>
      <c r="I74" s="28">
        <v>1E-4</v>
      </c>
      <c r="J74" s="257">
        <f t="shared" si="9"/>
        <v>1.1353219497</v>
      </c>
    </row>
    <row r="75" spans="1:10" x14ac:dyDescent="0.2">
      <c r="A75" s="30" t="s">
        <v>34</v>
      </c>
      <c r="B75" s="31" t="s">
        <v>128</v>
      </c>
      <c r="C75" s="19">
        <v>3.49E-2</v>
      </c>
      <c r="D75" s="20">
        <f>C75*($D$19+$D$27)</f>
        <v>358.85032606999999</v>
      </c>
      <c r="E75" s="28">
        <v>3.49E-2</v>
      </c>
      <c r="F75" s="257">
        <f t="shared" si="10"/>
        <v>396.22736044530001</v>
      </c>
      <c r="G75" s="28">
        <v>3.49E-2</v>
      </c>
      <c r="H75" s="258">
        <f t="shared" si="8"/>
        <v>396.22736044530001</v>
      </c>
      <c r="I75" s="28">
        <v>3.49E-2</v>
      </c>
      <c r="J75" s="258">
        <f t="shared" si="9"/>
        <v>396.22736044530001</v>
      </c>
    </row>
    <row r="76" spans="1:10" x14ac:dyDescent="0.2">
      <c r="A76" s="471" t="s">
        <v>17</v>
      </c>
      <c r="B76" s="472"/>
      <c r="C76" s="17">
        <f t="shared" ref="C76:J76" si="11">SUM(C69:C75)</f>
        <v>6.6001000000000004E-2</v>
      </c>
      <c r="D76" s="18">
        <f>SUM(D69:D75)</f>
        <v>678.63840604430004</v>
      </c>
      <c r="E76" s="350">
        <f t="shared" si="11"/>
        <v>6.6001000000000004E-2</v>
      </c>
      <c r="F76" s="202">
        <f>SUM(F69:F75)</f>
        <v>749.32384002149706</v>
      </c>
      <c r="G76" s="354">
        <f t="shared" si="11"/>
        <v>6.6001000000000004E-2</v>
      </c>
      <c r="H76" s="210">
        <f t="shared" si="11"/>
        <v>749.32384002149706</v>
      </c>
      <c r="I76" s="354">
        <f t="shared" si="11"/>
        <v>4.8541000000000001E-2</v>
      </c>
      <c r="J76" s="202">
        <f t="shared" si="11"/>
        <v>551.09662760387698</v>
      </c>
    </row>
    <row r="77" spans="1:10" x14ac:dyDescent="0.2">
      <c r="A77" s="464" t="s">
        <v>106</v>
      </c>
      <c r="B77" s="464"/>
      <c r="C77" s="464"/>
      <c r="D77" s="464"/>
      <c r="E77" s="233"/>
      <c r="F77" s="282"/>
    </row>
    <row r="78" spans="1:10" x14ac:dyDescent="0.2">
      <c r="A78" s="464" t="s">
        <v>114</v>
      </c>
      <c r="B78" s="464"/>
      <c r="C78" s="464"/>
      <c r="D78" s="464"/>
      <c r="E78" s="233"/>
    </row>
    <row r="80" spans="1:10" x14ac:dyDescent="0.2">
      <c r="A80" s="415" t="s">
        <v>53</v>
      </c>
      <c r="B80" s="415"/>
      <c r="C80" s="415"/>
      <c r="D80" s="415"/>
      <c r="E80" s="231"/>
    </row>
    <row r="81" spans="1:10" x14ac:dyDescent="0.2">
      <c r="A81" s="474" t="s">
        <v>107</v>
      </c>
      <c r="B81" s="474"/>
      <c r="C81" s="474"/>
      <c r="D81" s="474"/>
      <c r="E81" s="233"/>
    </row>
    <row r="83" spans="1:10" x14ac:dyDescent="0.2">
      <c r="A83" s="470" t="s">
        <v>109</v>
      </c>
      <c r="B83" s="470"/>
      <c r="C83" s="470"/>
      <c r="D83" s="470"/>
      <c r="E83" s="235"/>
    </row>
    <row r="84" spans="1:10" x14ac:dyDescent="0.2">
      <c r="A84" s="23" t="s">
        <v>54</v>
      </c>
      <c r="B84" s="2" t="s">
        <v>55</v>
      </c>
      <c r="C84" s="2" t="s">
        <v>28</v>
      </c>
      <c r="D84" s="2" t="s">
        <v>5</v>
      </c>
      <c r="E84" s="215" t="s">
        <v>28</v>
      </c>
      <c r="F84" s="215" t="s">
        <v>5</v>
      </c>
      <c r="G84" s="215" t="s">
        <v>28</v>
      </c>
      <c r="H84" s="215" t="s">
        <v>5</v>
      </c>
      <c r="I84" s="215" t="s">
        <v>28</v>
      </c>
      <c r="J84" s="215" t="s">
        <v>5</v>
      </c>
    </row>
    <row r="85" spans="1:10" x14ac:dyDescent="0.2">
      <c r="A85" s="26" t="s">
        <v>6</v>
      </c>
      <c r="B85" s="5" t="s">
        <v>56</v>
      </c>
      <c r="C85" s="19">
        <v>7.6E-3</v>
      </c>
      <c r="D85" s="20">
        <f t="shared" ref="D85:D90" si="12">C85*($D$19+$D$27)</f>
        <v>78.145056679999996</v>
      </c>
      <c r="E85" s="19">
        <v>7.6E-3</v>
      </c>
      <c r="F85" s="205">
        <f t="shared" ref="F85:F90" si="13">$E85*(F$19+F$27)</f>
        <v>86.284468177199997</v>
      </c>
      <c r="G85" s="19">
        <v>7.6E-3</v>
      </c>
      <c r="H85" s="20">
        <f t="shared" ref="H85:H90" si="14">$I85*(H$19+H$27)</f>
        <v>86.284468177199997</v>
      </c>
      <c r="I85" s="19">
        <v>7.6E-3</v>
      </c>
      <c r="J85" s="20">
        <f t="shared" ref="J85:J90" si="15">$I85*(J$19+J$27)</f>
        <v>86.284468177199997</v>
      </c>
    </row>
    <row r="86" spans="1:10" x14ac:dyDescent="0.2">
      <c r="A86" s="26" t="s">
        <v>8</v>
      </c>
      <c r="B86" s="5" t="s">
        <v>57</v>
      </c>
      <c r="C86" s="19">
        <v>8.2000000000000007E-3</v>
      </c>
      <c r="D86" s="20">
        <f t="shared" si="12"/>
        <v>84.314403260000006</v>
      </c>
      <c r="E86" s="19">
        <v>8.2000000000000007E-3</v>
      </c>
      <c r="F86" s="205">
        <f t="shared" si="13"/>
        <v>93.09639987540001</v>
      </c>
      <c r="G86" s="19">
        <v>8.2000000000000007E-3</v>
      </c>
      <c r="H86" s="20">
        <f t="shared" si="14"/>
        <v>93.09639987540001</v>
      </c>
      <c r="I86" s="19">
        <v>8.2000000000000007E-3</v>
      </c>
      <c r="J86" s="20">
        <f t="shared" si="15"/>
        <v>93.09639987540001</v>
      </c>
    </row>
    <row r="87" spans="1:10" x14ac:dyDescent="0.2">
      <c r="A87" s="26" t="s">
        <v>9</v>
      </c>
      <c r="B87" s="5" t="s">
        <v>58</v>
      </c>
      <c r="C87" s="19">
        <v>2.0000000000000001E-4</v>
      </c>
      <c r="D87" s="20">
        <f t="shared" si="12"/>
        <v>2.0564488600000002</v>
      </c>
      <c r="E87" s="19">
        <v>2.0000000000000001E-4</v>
      </c>
      <c r="F87" s="205">
        <f t="shared" si="13"/>
        <v>2.2706438994</v>
      </c>
      <c r="G87" s="19">
        <v>2.0000000000000001E-4</v>
      </c>
      <c r="H87" s="20">
        <f t="shared" si="14"/>
        <v>2.2706438994</v>
      </c>
      <c r="I87" s="19">
        <v>2.0000000000000001E-4</v>
      </c>
      <c r="J87" s="20">
        <f t="shared" si="15"/>
        <v>2.2706438994</v>
      </c>
    </row>
    <row r="88" spans="1:10" ht="25.5" x14ac:dyDescent="0.2">
      <c r="A88" s="26" t="s">
        <v>11</v>
      </c>
      <c r="B88" s="5" t="s">
        <v>59</v>
      </c>
      <c r="C88" s="19">
        <v>2.9999999999999997E-4</v>
      </c>
      <c r="D88" s="20">
        <f t="shared" si="12"/>
        <v>3.08467329</v>
      </c>
      <c r="E88" s="19">
        <v>2.9999999999999997E-4</v>
      </c>
      <c r="F88" s="205">
        <f t="shared" si="13"/>
        <v>3.4059658490999998</v>
      </c>
      <c r="G88" s="19">
        <v>2.9999999999999997E-4</v>
      </c>
      <c r="H88" s="20">
        <f t="shared" si="14"/>
        <v>3.4059658490999998</v>
      </c>
      <c r="I88" s="19">
        <v>2.9999999999999997E-4</v>
      </c>
      <c r="J88" s="20">
        <f t="shared" si="15"/>
        <v>3.4059658490999998</v>
      </c>
    </row>
    <row r="89" spans="1:10" x14ac:dyDescent="0.2">
      <c r="A89" s="26" t="s">
        <v>13</v>
      </c>
      <c r="B89" s="5" t="s">
        <v>60</v>
      </c>
      <c r="C89" s="19">
        <v>2.8999999999999998E-3</v>
      </c>
      <c r="D89" s="20">
        <f t="shared" si="12"/>
        <v>29.818508469999998</v>
      </c>
      <c r="E89" s="19">
        <v>2.8999999999999998E-3</v>
      </c>
      <c r="F89" s="205">
        <f t="shared" si="13"/>
        <v>32.924336541300001</v>
      </c>
      <c r="G89" s="19">
        <v>2.8999999999999998E-3</v>
      </c>
      <c r="H89" s="20">
        <f t="shared" si="14"/>
        <v>32.924336541300001</v>
      </c>
      <c r="I89" s="19">
        <v>2.8999999999999998E-3</v>
      </c>
      <c r="J89" s="20">
        <f t="shared" si="15"/>
        <v>32.924336541300001</v>
      </c>
    </row>
    <row r="90" spans="1:10" ht="25.5" x14ac:dyDescent="0.2">
      <c r="A90" s="26" t="s">
        <v>15</v>
      </c>
      <c r="B90" s="5" t="s">
        <v>134</v>
      </c>
      <c r="C90" s="19">
        <v>1.66E-2</v>
      </c>
      <c r="D90" s="20">
        <f t="shared" si="12"/>
        <v>170.68525538</v>
      </c>
      <c r="E90" s="19">
        <v>1.66E-2</v>
      </c>
      <c r="F90" s="205">
        <f t="shared" si="13"/>
        <v>188.46344365019999</v>
      </c>
      <c r="G90" s="19">
        <v>1.66E-2</v>
      </c>
      <c r="H90" s="20">
        <f t="shared" si="14"/>
        <v>188.46344365019999</v>
      </c>
      <c r="I90" s="19">
        <v>1.66E-2</v>
      </c>
      <c r="J90" s="20">
        <f t="shared" si="15"/>
        <v>188.46344365019999</v>
      </c>
    </row>
    <row r="91" spans="1:10" x14ac:dyDescent="0.2">
      <c r="A91" s="471" t="s">
        <v>17</v>
      </c>
      <c r="B91" s="472"/>
      <c r="C91" s="17">
        <f t="shared" ref="C91:J91" si="16">SUM(C85:C90)</f>
        <v>3.5799999999999998E-2</v>
      </c>
      <c r="D91" s="18">
        <f t="shared" si="16"/>
        <v>368.10434593999997</v>
      </c>
      <c r="E91" s="17">
        <f t="shared" si="16"/>
        <v>3.5799999999999998E-2</v>
      </c>
      <c r="F91" s="207">
        <f t="shared" si="16"/>
        <v>406.44525799259998</v>
      </c>
      <c r="G91" s="17">
        <f t="shared" si="16"/>
        <v>3.5799999999999998E-2</v>
      </c>
      <c r="H91" s="137">
        <f t="shared" si="16"/>
        <v>406.44525799259998</v>
      </c>
      <c r="I91" s="17">
        <f t="shared" si="16"/>
        <v>3.5799999999999998E-2</v>
      </c>
      <c r="J91" s="137">
        <f t="shared" si="16"/>
        <v>406.44525799259998</v>
      </c>
    </row>
    <row r="92" spans="1:10" x14ac:dyDescent="0.2">
      <c r="A92" s="464" t="s">
        <v>115</v>
      </c>
      <c r="B92" s="464"/>
      <c r="C92" s="464"/>
      <c r="D92" s="464"/>
      <c r="E92" s="233"/>
    </row>
    <row r="94" spans="1:10" x14ac:dyDescent="0.2">
      <c r="A94" s="473" t="s">
        <v>110</v>
      </c>
      <c r="B94" s="473"/>
      <c r="C94" s="473"/>
      <c r="D94" s="473"/>
      <c r="E94" s="234"/>
    </row>
    <row r="95" spans="1:10" x14ac:dyDescent="0.2">
      <c r="A95" s="23" t="s">
        <v>61</v>
      </c>
      <c r="B95" s="2" t="s">
        <v>62</v>
      </c>
      <c r="C95" s="2" t="s">
        <v>5</v>
      </c>
      <c r="D95" s="23"/>
      <c r="E95" s="234"/>
      <c r="F95" s="234"/>
      <c r="G95" s="247"/>
      <c r="H95" s="234"/>
      <c r="I95" s="247"/>
      <c r="J95" s="234"/>
    </row>
    <row r="96" spans="1:10" ht="25.5" x14ac:dyDescent="0.2">
      <c r="A96" s="26" t="s">
        <v>6</v>
      </c>
      <c r="B96" s="5" t="s">
        <v>63</v>
      </c>
      <c r="C96" s="32"/>
      <c r="D96" s="33"/>
      <c r="E96" s="247"/>
      <c r="F96" s="247"/>
      <c r="G96" s="247"/>
      <c r="H96" s="247"/>
      <c r="I96" s="247"/>
      <c r="J96" s="247"/>
    </row>
    <row r="97" spans="1:10" x14ac:dyDescent="0.2">
      <c r="A97" s="466" t="s">
        <v>17</v>
      </c>
      <c r="B97" s="468"/>
      <c r="C97" s="16">
        <f>SUM(C96)</f>
        <v>0</v>
      </c>
      <c r="D97" s="33"/>
      <c r="E97" s="247"/>
      <c r="F97" s="247"/>
      <c r="G97" s="247"/>
      <c r="H97" s="247"/>
      <c r="I97" s="247"/>
      <c r="J97" s="247"/>
    </row>
    <row r="99" spans="1:10" x14ac:dyDescent="0.2">
      <c r="A99" s="415" t="s">
        <v>111</v>
      </c>
      <c r="B99" s="415"/>
      <c r="C99" s="415"/>
      <c r="D99" s="415"/>
      <c r="E99" s="231"/>
    </row>
    <row r="100" spans="1:10" x14ac:dyDescent="0.2">
      <c r="A100" s="6">
        <v>4</v>
      </c>
      <c r="B100" s="430" t="s">
        <v>64</v>
      </c>
      <c r="C100" s="430"/>
      <c r="D100" s="7" t="s">
        <v>5</v>
      </c>
      <c r="E100" s="242"/>
      <c r="F100" s="214" t="s">
        <v>5</v>
      </c>
      <c r="H100" s="218" t="s">
        <v>5</v>
      </c>
      <c r="J100" s="218" t="s">
        <v>5</v>
      </c>
    </row>
    <row r="101" spans="1:10" x14ac:dyDescent="0.2">
      <c r="A101" s="8" t="s">
        <v>54</v>
      </c>
      <c r="B101" s="414" t="s">
        <v>55</v>
      </c>
      <c r="C101" s="414"/>
      <c r="D101" s="16">
        <f>D91</f>
        <v>368.10434593999997</v>
      </c>
      <c r="E101" s="245"/>
      <c r="F101" s="203">
        <f>F91</f>
        <v>406.44525799259998</v>
      </c>
      <c r="H101" s="211">
        <f>H91</f>
        <v>406.44525799259998</v>
      </c>
      <c r="J101" s="211">
        <f>J91</f>
        <v>406.44525799259998</v>
      </c>
    </row>
    <row r="102" spans="1:10" x14ac:dyDescent="0.2">
      <c r="A102" s="8" t="s">
        <v>61</v>
      </c>
      <c r="B102" s="14" t="s">
        <v>65</v>
      </c>
      <c r="C102" s="14"/>
      <c r="D102" s="32">
        <f>C97</f>
        <v>0</v>
      </c>
      <c r="E102" s="245"/>
      <c r="F102" s="32">
        <f>E97</f>
        <v>0</v>
      </c>
      <c r="H102" s="280">
        <f>G97</f>
        <v>0</v>
      </c>
      <c r="J102" s="280">
        <f>I97</f>
        <v>0</v>
      </c>
    </row>
    <row r="103" spans="1:10" x14ac:dyDescent="0.2">
      <c r="A103" s="463" t="s">
        <v>17</v>
      </c>
      <c r="B103" s="463"/>
      <c r="C103" s="463"/>
      <c r="D103" s="18">
        <f>SUM(D101:D102)</f>
        <v>368.10434593999997</v>
      </c>
      <c r="E103" s="246"/>
      <c r="F103" s="204">
        <f>SUM(F101:F102)</f>
        <v>406.44525799259998</v>
      </c>
      <c r="H103" s="212">
        <f>SUM(H101:H102)</f>
        <v>406.44525799259998</v>
      </c>
      <c r="J103" s="212">
        <f>SUM(J101:J102)</f>
        <v>406.44525799259998</v>
      </c>
    </row>
    <row r="104" spans="1:10" x14ac:dyDescent="0.2">
      <c r="E104" s="247"/>
    </row>
    <row r="105" spans="1:10" x14ac:dyDescent="0.2">
      <c r="A105" s="415" t="s">
        <v>66</v>
      </c>
      <c r="B105" s="415"/>
      <c r="C105" s="415"/>
      <c r="D105" s="415"/>
      <c r="E105" s="248"/>
    </row>
    <row r="106" spans="1:10" x14ac:dyDescent="0.2">
      <c r="A106" s="23">
        <v>5</v>
      </c>
      <c r="B106" s="437" t="s">
        <v>67</v>
      </c>
      <c r="C106" s="437"/>
      <c r="D106" s="2" t="s">
        <v>5</v>
      </c>
      <c r="E106" s="242"/>
      <c r="F106" s="219" t="s">
        <v>5</v>
      </c>
      <c r="H106" s="219" t="s">
        <v>5</v>
      </c>
      <c r="J106" s="219" t="s">
        <v>5</v>
      </c>
    </row>
    <row r="107" spans="1:10" x14ac:dyDescent="0.2">
      <c r="A107" s="8" t="s">
        <v>6</v>
      </c>
      <c r="B107" s="414" t="s">
        <v>68</v>
      </c>
      <c r="C107" s="414"/>
      <c r="D107" s="107">
        <f>'TABELA 4 Uniformes e EPIS'!$E16</f>
        <v>79.058333333333323</v>
      </c>
      <c r="E107" s="249"/>
      <c r="F107" s="107">
        <f>'TABELA 4 Uniformes e EPIS'!$E16</f>
        <v>79.058333333333323</v>
      </c>
      <c r="H107" s="107">
        <f>'TABELA 4 Uniformes e EPIS'!$E16</f>
        <v>79.058333333333323</v>
      </c>
      <c r="J107" s="107">
        <f>'TABELA 4 Uniformes e EPIS'!$E16</f>
        <v>79.058333333333323</v>
      </c>
    </row>
    <row r="108" spans="1:10" x14ac:dyDescent="0.2">
      <c r="A108" s="8" t="s">
        <v>8</v>
      </c>
      <c r="B108" s="414" t="s">
        <v>386</v>
      </c>
      <c r="C108" s="414"/>
      <c r="D108" s="107">
        <f>'TABELA 4 Uniformes e EPIS'!$E48+'TABELA 5 - Ferramentas'!$I145</f>
        <v>31.248804347826077</v>
      </c>
      <c r="E108" s="249"/>
      <c r="F108" s="107">
        <f>'TABELA 4 Uniformes e EPIS'!$E48+'TABELA 5 - Ferramentas'!$I145</f>
        <v>31.248804347826077</v>
      </c>
      <c r="H108" s="107">
        <f>'TABELA 4 Uniformes e EPIS'!$E48+'TABELA 5 - Ferramentas'!$I145</f>
        <v>31.248804347826077</v>
      </c>
      <c r="J108" s="107">
        <f>'TABELA 4 Uniformes e EPIS'!$E48+'TABELA 5 - Ferramentas'!$I145</f>
        <v>31.248804347826077</v>
      </c>
    </row>
    <row r="109" spans="1:10" x14ac:dyDescent="0.2">
      <c r="A109" s="8" t="s">
        <v>9</v>
      </c>
      <c r="B109" s="414" t="s">
        <v>69</v>
      </c>
      <c r="C109" s="414"/>
      <c r="D109" s="16">
        <v>0</v>
      </c>
      <c r="E109" s="245"/>
      <c r="F109" s="16">
        <v>0</v>
      </c>
      <c r="H109" s="16">
        <v>0</v>
      </c>
      <c r="J109" s="16">
        <v>0</v>
      </c>
    </row>
    <row r="110" spans="1:10" x14ac:dyDescent="0.2">
      <c r="A110" s="8" t="s">
        <v>11</v>
      </c>
      <c r="B110" s="414" t="s">
        <v>16</v>
      </c>
      <c r="C110" s="414"/>
      <c r="D110" s="16">
        <v>0</v>
      </c>
      <c r="E110" s="245"/>
      <c r="F110" s="16">
        <v>0</v>
      </c>
      <c r="H110" s="16">
        <v>0</v>
      </c>
      <c r="J110" s="16">
        <v>0</v>
      </c>
    </row>
    <row r="111" spans="1:10" x14ac:dyDescent="0.2">
      <c r="A111" s="463" t="s">
        <v>17</v>
      </c>
      <c r="B111" s="463"/>
      <c r="C111" s="463"/>
      <c r="D111" s="18">
        <f>SUM(D107:D110)</f>
        <v>110.3071376811594</v>
      </c>
      <c r="E111" s="250"/>
      <c r="F111" s="18">
        <f>SUM(F107:F110)</f>
        <v>110.3071376811594</v>
      </c>
      <c r="H111" s="18">
        <f>SUM(H107:H110)</f>
        <v>110.3071376811594</v>
      </c>
      <c r="J111" s="18">
        <f>SUM(J107:J110)</f>
        <v>110.3071376811594</v>
      </c>
    </row>
    <row r="112" spans="1:10" x14ac:dyDescent="0.2">
      <c r="A112" s="464" t="s">
        <v>78</v>
      </c>
      <c r="B112" s="464"/>
      <c r="C112" s="464"/>
      <c r="D112" s="464"/>
      <c r="E112" s="233"/>
    </row>
    <row r="114" spans="1:10" x14ac:dyDescent="0.2">
      <c r="A114" s="415" t="s">
        <v>70</v>
      </c>
      <c r="B114" s="415"/>
      <c r="C114" s="415"/>
      <c r="D114" s="415"/>
      <c r="E114" s="231"/>
    </row>
    <row r="115" spans="1:10" x14ac:dyDescent="0.2">
      <c r="A115" s="469" t="s">
        <v>116</v>
      </c>
      <c r="B115" s="469"/>
      <c r="C115" s="460" t="s">
        <v>117</v>
      </c>
      <c r="D115" s="460"/>
      <c r="E115" s="461" t="s">
        <v>117</v>
      </c>
      <c r="F115" s="462"/>
      <c r="G115" s="460" t="s">
        <v>117</v>
      </c>
      <c r="H115" s="460"/>
      <c r="I115" s="460" t="s">
        <v>117</v>
      </c>
      <c r="J115" s="460"/>
    </row>
    <row r="116" spans="1:10" x14ac:dyDescent="0.2">
      <c r="A116" s="6">
        <v>6</v>
      </c>
      <c r="B116" s="7" t="s">
        <v>71</v>
      </c>
      <c r="C116" s="7" t="s">
        <v>28</v>
      </c>
      <c r="D116" s="6" t="s">
        <v>5</v>
      </c>
      <c r="E116" s="214" t="s">
        <v>28</v>
      </c>
      <c r="F116" s="213" t="s">
        <v>5</v>
      </c>
      <c r="G116" s="214" t="s">
        <v>28</v>
      </c>
      <c r="H116" s="236" t="s">
        <v>5</v>
      </c>
      <c r="I116" s="214" t="s">
        <v>28</v>
      </c>
      <c r="J116" s="236" t="s">
        <v>5</v>
      </c>
    </row>
    <row r="117" spans="1:10" x14ac:dyDescent="0.2">
      <c r="A117" s="8" t="s">
        <v>6</v>
      </c>
      <c r="B117" s="14" t="s">
        <v>72</v>
      </c>
      <c r="C117" s="19">
        <v>0.04</v>
      </c>
      <c r="D117" s="20">
        <f>C117*D135</f>
        <v>572.1152793934184</v>
      </c>
      <c r="E117" s="19">
        <v>0.04</v>
      </c>
      <c r="F117" s="205">
        <f>$E117*F$135</f>
        <v>625.82576656918229</v>
      </c>
      <c r="G117" s="19">
        <v>0.04</v>
      </c>
      <c r="H117" s="284">
        <f>$G117*H$135</f>
        <v>626.20976656918231</v>
      </c>
      <c r="I117" s="19">
        <v>0.04</v>
      </c>
      <c r="J117" s="237">
        <f>$I117*J$135</f>
        <v>618.28067807247737</v>
      </c>
    </row>
    <row r="118" spans="1:10" x14ac:dyDescent="0.2">
      <c r="A118" s="8" t="s">
        <v>8</v>
      </c>
      <c r="B118" s="14" t="s">
        <v>73</v>
      </c>
      <c r="C118" s="19">
        <v>0.03</v>
      </c>
      <c r="D118" s="20">
        <f>C118*D135</f>
        <v>429.08645954506375</v>
      </c>
      <c r="E118" s="19">
        <v>0.03</v>
      </c>
      <c r="F118" s="205">
        <f>$E118*F$135</f>
        <v>469.36932492688663</v>
      </c>
      <c r="G118" s="19">
        <v>0.03</v>
      </c>
      <c r="H118" s="284">
        <f>$G118*H$135</f>
        <v>469.65732492688664</v>
      </c>
      <c r="I118" s="19">
        <v>0.03</v>
      </c>
      <c r="J118" s="237">
        <f>$I118*J$135</f>
        <v>463.710508554358</v>
      </c>
    </row>
    <row r="119" spans="1:10" x14ac:dyDescent="0.2">
      <c r="A119" s="8" t="s">
        <v>9</v>
      </c>
      <c r="B119" s="14" t="s">
        <v>125</v>
      </c>
      <c r="C119" s="34">
        <f>SUM(C120:C122)</f>
        <v>5.6499999999999995E-2</v>
      </c>
      <c r="D119" s="20">
        <f>(D135+D118+D117)*(C119/IF(C115="Lucro presumido",91.45%,85.75%))</f>
        <v>945.52294192807824</v>
      </c>
      <c r="E119" s="34">
        <f>SUM(E120:E122)</f>
        <v>5.6499999999999995E-2</v>
      </c>
      <c r="F119" s="205">
        <f>(F$135+F$118+F$117)*($E119/IF($E115="Lucro presumido",91.45%,85.75%))</f>
        <v>1034.289139364131</v>
      </c>
      <c r="G119" s="34">
        <f>SUM(G120:G122)</f>
        <v>5.6499999999999995E-2</v>
      </c>
      <c r="H119" s="284">
        <f>(H$135+H$118+H$117)*($G119/IF($G115="Lucro presumido",91.45%,85.75%))</f>
        <v>1034.9237681230154</v>
      </c>
      <c r="I119" s="34">
        <f>SUM(I120:I122)</f>
        <v>5.6499999999999995E-2</v>
      </c>
      <c r="J119" s="237">
        <f>(J$135+J$118+J$117)*($I119/IF($I115="Lucro presumido",91.45%,85.75%))</f>
        <v>1021.8195296028326</v>
      </c>
    </row>
    <row r="120" spans="1:10" x14ac:dyDescent="0.2">
      <c r="A120" s="8" t="s">
        <v>120</v>
      </c>
      <c r="B120" s="14" t="s">
        <v>119</v>
      </c>
      <c r="C120" s="34">
        <f>IF(C115="Lucro presumido",0.65%,1.65%)</f>
        <v>6.5000000000000006E-3</v>
      </c>
      <c r="D120" s="35" t="s">
        <v>118</v>
      </c>
      <c r="E120" s="34">
        <f>IF(E115="Lucro presumido",0.65%,1.65%)</f>
        <v>6.5000000000000006E-3</v>
      </c>
      <c r="F120" s="35" t="s">
        <v>118</v>
      </c>
      <c r="G120" s="34">
        <f>IF(G115="Lucro presumido",0.65%,1.65%)</f>
        <v>6.5000000000000006E-3</v>
      </c>
      <c r="H120" s="285" t="s">
        <v>118</v>
      </c>
      <c r="I120" s="34">
        <f>IF(I115="Lucro presumido",0.65%,1.65%)</f>
        <v>6.5000000000000006E-3</v>
      </c>
      <c r="J120" s="238" t="s">
        <v>118</v>
      </c>
    </row>
    <row r="121" spans="1:10" x14ac:dyDescent="0.2">
      <c r="A121" s="8" t="s">
        <v>122</v>
      </c>
      <c r="B121" s="14" t="s">
        <v>121</v>
      </c>
      <c r="C121" s="34">
        <f>IF(C115="Lucro presumido",3%,7.6%)</f>
        <v>0.03</v>
      </c>
      <c r="D121" s="35" t="s">
        <v>118</v>
      </c>
      <c r="E121" s="34">
        <f>IF(E115="Lucro presumido",3%,7.6%)</f>
        <v>0.03</v>
      </c>
      <c r="F121" s="35" t="s">
        <v>118</v>
      </c>
      <c r="G121" s="34">
        <f>IF(G115="Lucro presumido",3%,7.6%)</f>
        <v>0.03</v>
      </c>
      <c r="H121" s="285" t="s">
        <v>118</v>
      </c>
      <c r="I121" s="34">
        <f>IF(I115="Lucro presumido",3%,7.6%)</f>
        <v>0.03</v>
      </c>
      <c r="J121" s="238" t="s">
        <v>118</v>
      </c>
    </row>
    <row r="122" spans="1:10" x14ac:dyDescent="0.2">
      <c r="A122" s="8" t="s">
        <v>124</v>
      </c>
      <c r="B122" s="14" t="s">
        <v>123</v>
      </c>
      <c r="C122" s="34">
        <v>0.02</v>
      </c>
      <c r="D122" s="35" t="s">
        <v>118</v>
      </c>
      <c r="E122" s="34">
        <v>0.02</v>
      </c>
      <c r="F122" s="35" t="s">
        <v>118</v>
      </c>
      <c r="G122" s="34">
        <v>0.02</v>
      </c>
      <c r="H122" s="285" t="s">
        <v>118</v>
      </c>
      <c r="I122" s="34">
        <v>0.02</v>
      </c>
      <c r="J122" s="238" t="s">
        <v>118</v>
      </c>
    </row>
    <row r="123" spans="1:10" ht="25.5" x14ac:dyDescent="0.2">
      <c r="A123" s="26" t="s">
        <v>11</v>
      </c>
      <c r="B123" s="5" t="s">
        <v>127</v>
      </c>
      <c r="C123" s="36">
        <v>4.4999999999999998E-2</v>
      </c>
      <c r="D123" s="37">
        <f>(D135+D118+D117)*(C123/IF(C115="Lucro presumido",91.45%,85.75%))</f>
        <v>753.07136967723068</v>
      </c>
      <c r="E123" s="36">
        <v>4.4999999999999998E-2</v>
      </c>
      <c r="F123" s="208">
        <f>(F$135+F$118+F$117)*($E123/IF($E115="Lucro presumido",91.45%,85.75%))</f>
        <v>823.77011099798062</v>
      </c>
      <c r="G123" s="36">
        <v>4.4999999999999998E-2</v>
      </c>
      <c r="H123" s="286">
        <f>(H$135+H$118+H$117)*($G123/IF($G115="Lucro presumido",91.45%,85.75%))</f>
        <v>824.27556753160536</v>
      </c>
      <c r="I123" s="36">
        <v>4.4999999999999998E-2</v>
      </c>
      <c r="J123" s="239">
        <f>(J$135+J$118+J$117)*($I123/IF($I115="Lucro presumido",91.45%,85.75%))</f>
        <v>813.83856340048624</v>
      </c>
    </row>
    <row r="124" spans="1:10" x14ac:dyDescent="0.2">
      <c r="A124" s="463" t="s">
        <v>17</v>
      </c>
      <c r="B124" s="463"/>
      <c r="C124" s="21">
        <f>SUM(C117:C119)+(C123)</f>
        <v>0.17149999999999999</v>
      </c>
      <c r="D124" s="22">
        <f>SUM(D117:D123)</f>
        <v>2699.7960505437914</v>
      </c>
      <c r="E124" s="21">
        <f>SUM(E117:E119)+(E123)</f>
        <v>0.17149999999999999</v>
      </c>
      <c r="F124" s="207">
        <f>SUM(F117:F123)</f>
        <v>2953.2543418581809</v>
      </c>
      <c r="G124" s="21">
        <f>SUM(G117:G119)+(G123)</f>
        <v>0.17149999999999999</v>
      </c>
      <c r="H124" s="281">
        <f>SUM(H117:H123)</f>
        <v>2955.0664271506898</v>
      </c>
      <c r="I124" s="21">
        <f>SUM(I117:I119)+(I123)</f>
        <v>0.17149999999999999</v>
      </c>
      <c r="J124" s="207">
        <f>SUM(J117:J123)</f>
        <v>2917.6492796301541</v>
      </c>
    </row>
    <row r="125" spans="1:10" x14ac:dyDescent="0.2">
      <c r="A125" s="464" t="s">
        <v>79</v>
      </c>
      <c r="B125" s="464"/>
      <c r="C125" s="464"/>
      <c r="D125" s="464"/>
      <c r="E125" s="233"/>
      <c r="F125" s="283"/>
    </row>
    <row r="126" spans="1:10" x14ac:dyDescent="0.2">
      <c r="A126" s="464" t="s">
        <v>126</v>
      </c>
      <c r="B126" s="464"/>
      <c r="C126" s="464"/>
      <c r="D126" s="464"/>
      <c r="E126" s="233"/>
    </row>
    <row r="128" spans="1:10" x14ac:dyDescent="0.2">
      <c r="A128" s="415" t="s">
        <v>112</v>
      </c>
      <c r="B128" s="415"/>
      <c r="C128" s="415"/>
      <c r="D128" s="415"/>
      <c r="E128" s="231"/>
    </row>
    <row r="129" spans="1:10" x14ac:dyDescent="0.2">
      <c r="A129" s="466" t="s">
        <v>80</v>
      </c>
      <c r="B129" s="467"/>
      <c r="C129" s="468"/>
      <c r="D129" s="2" t="s">
        <v>74</v>
      </c>
      <c r="E129" s="242"/>
      <c r="F129" s="215" t="s">
        <v>74</v>
      </c>
      <c r="H129" s="219" t="s">
        <v>74</v>
      </c>
      <c r="J129" s="219" t="s">
        <v>74</v>
      </c>
    </row>
    <row r="130" spans="1:10" x14ac:dyDescent="0.2">
      <c r="A130" s="26" t="s">
        <v>6</v>
      </c>
      <c r="B130" s="438" t="s">
        <v>75</v>
      </c>
      <c r="C130" s="438"/>
      <c r="D130" s="16">
        <f>D19</f>
        <v>8483</v>
      </c>
      <c r="E130" s="245"/>
      <c r="F130" s="203">
        <f>F19</f>
        <v>9366.57</v>
      </c>
      <c r="G130" s="293"/>
      <c r="H130" s="211">
        <f>H19</f>
        <v>9366.57</v>
      </c>
      <c r="I130" s="293"/>
      <c r="J130" s="211">
        <f>J19</f>
        <v>9366.57</v>
      </c>
    </row>
    <row r="131" spans="1:10" x14ac:dyDescent="0.2">
      <c r="A131" s="26" t="s">
        <v>8</v>
      </c>
      <c r="B131" s="438" t="s">
        <v>19</v>
      </c>
      <c r="C131" s="438"/>
      <c r="D131" s="16">
        <f>D65</f>
        <v>4662.8320951699998</v>
      </c>
      <c r="E131" s="245"/>
      <c r="F131" s="203">
        <f>F65</f>
        <v>5012.9979285342997</v>
      </c>
      <c r="G131" s="293"/>
      <c r="H131" s="203">
        <f>H65</f>
        <v>5022.5979285343001</v>
      </c>
      <c r="I131" s="293"/>
      <c r="J131" s="211">
        <f>J65</f>
        <v>5022.5979285343001</v>
      </c>
    </row>
    <row r="132" spans="1:10" x14ac:dyDescent="0.2">
      <c r="A132" s="26" t="s">
        <v>9</v>
      </c>
      <c r="B132" s="438" t="s">
        <v>76</v>
      </c>
      <c r="C132" s="438"/>
      <c r="D132" s="16">
        <f>D76</f>
        <v>678.63840604430004</v>
      </c>
      <c r="E132" s="245"/>
      <c r="F132" s="203">
        <f>F76</f>
        <v>749.32384002149706</v>
      </c>
      <c r="G132" s="293"/>
      <c r="H132" s="211">
        <f>H76</f>
        <v>749.32384002149706</v>
      </c>
      <c r="I132" s="293"/>
      <c r="J132" s="203">
        <f>J76</f>
        <v>551.09662760387698</v>
      </c>
    </row>
    <row r="133" spans="1:10" x14ac:dyDescent="0.2">
      <c r="A133" s="26" t="s">
        <v>11</v>
      </c>
      <c r="B133" s="438" t="s">
        <v>53</v>
      </c>
      <c r="C133" s="438"/>
      <c r="D133" s="16">
        <f>D103</f>
        <v>368.10434593999997</v>
      </c>
      <c r="E133" s="245"/>
      <c r="F133" s="203">
        <f>F103</f>
        <v>406.44525799259998</v>
      </c>
      <c r="G133" s="293"/>
      <c r="H133" s="211">
        <f>H103</f>
        <v>406.44525799259998</v>
      </c>
      <c r="I133" s="293"/>
      <c r="J133" s="211">
        <f>J103</f>
        <v>406.44525799259998</v>
      </c>
    </row>
    <row r="134" spans="1:10" x14ac:dyDescent="0.2">
      <c r="A134" s="26" t="s">
        <v>13</v>
      </c>
      <c r="B134" s="438" t="s">
        <v>66</v>
      </c>
      <c r="C134" s="438"/>
      <c r="D134" s="16">
        <f>D111</f>
        <v>110.3071376811594</v>
      </c>
      <c r="E134" s="245"/>
      <c r="F134" s="211">
        <f>F111</f>
        <v>110.3071376811594</v>
      </c>
      <c r="G134" s="293"/>
      <c r="H134" s="211">
        <f>H111</f>
        <v>110.3071376811594</v>
      </c>
      <c r="I134" s="293"/>
      <c r="J134" s="211">
        <f>J111</f>
        <v>110.3071376811594</v>
      </c>
    </row>
    <row r="135" spans="1:10" x14ac:dyDescent="0.2">
      <c r="A135" s="463" t="s">
        <v>77</v>
      </c>
      <c r="B135" s="463"/>
      <c r="C135" s="463"/>
      <c r="D135" s="18">
        <f>SUM(D130:D134)</f>
        <v>14302.88198483546</v>
      </c>
      <c r="E135" s="246"/>
      <c r="F135" s="204">
        <f>SUM(F130:F134)</f>
        <v>15645.644164229556</v>
      </c>
      <c r="G135" s="293"/>
      <c r="H135" s="204">
        <f>SUM(H130:H134)</f>
        <v>15655.244164229556</v>
      </c>
      <c r="I135" s="293"/>
      <c r="J135" s="204">
        <f>SUM(J130:J134)</f>
        <v>15457.016951811935</v>
      </c>
    </row>
    <row r="136" spans="1:10" x14ac:dyDescent="0.2">
      <c r="A136" s="8" t="s">
        <v>15</v>
      </c>
      <c r="B136" s="414" t="s">
        <v>70</v>
      </c>
      <c r="C136" s="414"/>
      <c r="D136" s="16">
        <f>D124</f>
        <v>2699.7960505437914</v>
      </c>
      <c r="E136" s="245"/>
      <c r="F136" s="203">
        <f>F124</f>
        <v>2953.2543418581809</v>
      </c>
      <c r="G136" s="293"/>
      <c r="H136" s="203">
        <f>H124</f>
        <v>2955.0664271506898</v>
      </c>
      <c r="I136" s="293"/>
      <c r="J136" s="203">
        <f>J124</f>
        <v>2917.6492796301541</v>
      </c>
    </row>
    <row r="137" spans="1:10" x14ac:dyDescent="0.2">
      <c r="A137" s="415" t="s">
        <v>436</v>
      </c>
      <c r="B137" s="415"/>
      <c r="C137" s="415"/>
      <c r="D137" s="38">
        <f>SUM(D135:D136)</f>
        <v>17002.678035379249</v>
      </c>
      <c r="E137" s="251"/>
      <c r="F137" s="209">
        <f>SUM(F135:F136)</f>
        <v>18598.898506087738</v>
      </c>
      <c r="H137" s="209">
        <f>SUM(H135:H136)</f>
        <v>18610.310591380246</v>
      </c>
      <c r="J137" s="209">
        <f>SUM(J135:J136)</f>
        <v>18374.66623144209</v>
      </c>
    </row>
  </sheetData>
  <mergeCells count="83">
    <mergeCell ref="A28:D28"/>
    <mergeCell ref="A29:D29"/>
    <mergeCell ref="A47:D47"/>
    <mergeCell ref="E115:F115"/>
    <mergeCell ref="I115:J115"/>
    <mergeCell ref="G115:H115"/>
    <mergeCell ref="A56:C56"/>
    <mergeCell ref="B61:C61"/>
    <mergeCell ref="A49:D49"/>
    <mergeCell ref="A57:D57"/>
    <mergeCell ref="A58:D58"/>
    <mergeCell ref="A60:D60"/>
    <mergeCell ref="A67:D67"/>
    <mergeCell ref="B63:C63"/>
    <mergeCell ref="B64:C64"/>
    <mergeCell ref="A65:C65"/>
    <mergeCell ref="A43:D43"/>
    <mergeCell ref="A32:D32"/>
    <mergeCell ref="A42:B42"/>
    <mergeCell ref="A45:D45"/>
    <mergeCell ref="A46:D46"/>
    <mergeCell ref="A44:D44"/>
    <mergeCell ref="A129:C129"/>
    <mergeCell ref="B132:C132"/>
    <mergeCell ref="A77:D77"/>
    <mergeCell ref="B100:C100"/>
    <mergeCell ref="B101:C101"/>
    <mergeCell ref="A103:C103"/>
    <mergeCell ref="B106:C106"/>
    <mergeCell ref="A78:D78"/>
    <mergeCell ref="A92:D92"/>
    <mergeCell ref="B109:C109"/>
    <mergeCell ref="B110:C110"/>
    <mergeCell ref="A81:D81"/>
    <mergeCell ref="B108:C108"/>
    <mergeCell ref="B130:C130"/>
    <mergeCell ref="B131:C131"/>
    <mergeCell ref="A80:D80"/>
    <mergeCell ref="A1:D1"/>
    <mergeCell ref="C9:D9"/>
    <mergeCell ref="A128:D128"/>
    <mergeCell ref="B14:C14"/>
    <mergeCell ref="B15:C15"/>
    <mergeCell ref="B16:C16"/>
    <mergeCell ref="B17:C17"/>
    <mergeCell ref="B18:C18"/>
    <mergeCell ref="A115:B115"/>
    <mergeCell ref="C115:D115"/>
    <mergeCell ref="A126:D126"/>
    <mergeCell ref="A111:C111"/>
    <mergeCell ref="A19:C19"/>
    <mergeCell ref="A30:D30"/>
    <mergeCell ref="A76:B76"/>
    <mergeCell ref="B62:C62"/>
    <mergeCell ref="B136:C136"/>
    <mergeCell ref="A137:C137"/>
    <mergeCell ref="A125:D125"/>
    <mergeCell ref="A83:D83"/>
    <mergeCell ref="A91:B91"/>
    <mergeCell ref="A94:D94"/>
    <mergeCell ref="A97:B97"/>
    <mergeCell ref="A99:D99"/>
    <mergeCell ref="A105:D105"/>
    <mergeCell ref="A112:D112"/>
    <mergeCell ref="A114:D114"/>
    <mergeCell ref="A124:B124"/>
    <mergeCell ref="B107:C107"/>
    <mergeCell ref="B134:C134"/>
    <mergeCell ref="A135:C135"/>
    <mergeCell ref="B133:C133"/>
    <mergeCell ref="C8:D8"/>
    <mergeCell ref="A3:D3"/>
    <mergeCell ref="C4:D4"/>
    <mergeCell ref="C5:D5"/>
    <mergeCell ref="C6:D6"/>
    <mergeCell ref="C7:D7"/>
    <mergeCell ref="A11:D11"/>
    <mergeCell ref="A20:D20"/>
    <mergeCell ref="A22:D22"/>
    <mergeCell ref="A23:D23"/>
    <mergeCell ref="A27:B27"/>
    <mergeCell ref="B12:C12"/>
    <mergeCell ref="B13:C13"/>
  </mergeCells>
  <dataValidations disablePrompts="1" count="1">
    <dataValidation type="list" allowBlank="1" showInputMessage="1" showErrorMessage="1" sqref="C115:E115 I115 G115" xr:uid="{00000000-0002-0000-0C00-000000000000}">
      <formula1>"Lucro presumido,Lucro real"</formula1>
    </dataValidation>
  </dataValidations>
  <pageMargins left="0.511811024" right="0.511811024" top="0.78740157499999996" bottom="0.78740157499999996" header="0.31496062000000002" footer="0.31496062000000002"/>
  <pageSetup paperSize="9" scale="5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pageSetUpPr fitToPage="1"/>
  </sheetPr>
  <dimension ref="A1:H140"/>
  <sheetViews>
    <sheetView showGridLines="0" topLeftCell="A22" zoomScaleNormal="100" workbookViewId="0">
      <selection activeCell="F13" sqref="F13"/>
    </sheetView>
  </sheetViews>
  <sheetFormatPr defaultColWidth="8.7109375" defaultRowHeight="12.75" x14ac:dyDescent="0.2"/>
  <cols>
    <col min="1" max="1" width="8.85546875" style="1" bestFit="1" customWidth="1"/>
    <col min="2" max="2" width="46.42578125" style="12" customWidth="1"/>
    <col min="3" max="3" width="17.7109375" style="12" customWidth="1"/>
    <col min="4" max="4" width="16.85546875" style="1" customWidth="1"/>
    <col min="5" max="5" width="14.140625" style="221" bestFit="1" customWidth="1"/>
    <col min="6" max="6" width="20.28515625" style="221" bestFit="1" customWidth="1"/>
    <col min="7" max="7" width="14.140625" style="221" bestFit="1" customWidth="1"/>
    <col min="8" max="8" width="18.28515625" style="221" bestFit="1" customWidth="1"/>
    <col min="9" max="16384" width="8.7109375" style="1"/>
  </cols>
  <sheetData>
    <row r="1" spans="1:8" x14ac:dyDescent="0.2">
      <c r="A1" s="476" t="s">
        <v>92</v>
      </c>
      <c r="B1" s="476"/>
      <c r="C1" s="476"/>
      <c r="D1" s="476"/>
      <c r="E1" s="222"/>
    </row>
    <row r="3" spans="1:8" x14ac:dyDescent="0.2">
      <c r="A3" s="477" t="s">
        <v>0</v>
      </c>
      <c r="B3" s="477"/>
      <c r="C3" s="477"/>
      <c r="D3" s="477"/>
      <c r="E3" s="223"/>
    </row>
    <row r="4" spans="1:8" ht="25.5" x14ac:dyDescent="0.2">
      <c r="A4" s="48">
        <v>1</v>
      </c>
      <c r="B4" s="3" t="s">
        <v>1</v>
      </c>
      <c r="C4" s="454" t="s">
        <v>470</v>
      </c>
      <c r="D4" s="454"/>
      <c r="E4" s="224"/>
    </row>
    <row r="5" spans="1:8" x14ac:dyDescent="0.2">
      <c r="A5" s="4">
        <v>2</v>
      </c>
      <c r="B5" s="63" t="s">
        <v>2</v>
      </c>
      <c r="C5" s="455"/>
      <c r="D5" s="455"/>
      <c r="E5" s="225"/>
    </row>
    <row r="6" spans="1:8" x14ac:dyDescent="0.2">
      <c r="A6" s="4">
        <v>3</v>
      </c>
      <c r="B6" s="63" t="s">
        <v>95</v>
      </c>
      <c r="C6" s="459">
        <v>1901.53</v>
      </c>
      <c r="D6" s="459"/>
      <c r="E6" s="226"/>
      <c r="F6" s="262"/>
    </row>
    <row r="7" spans="1:8" ht="50.25" customHeight="1" x14ac:dyDescent="0.2">
      <c r="A7" s="4">
        <v>4</v>
      </c>
      <c r="B7" s="63" t="s">
        <v>96</v>
      </c>
      <c r="C7" s="482" t="s">
        <v>458</v>
      </c>
      <c r="D7" s="484"/>
      <c r="E7" s="227"/>
    </row>
    <row r="8" spans="1:8" x14ac:dyDescent="0.2">
      <c r="A8" s="4">
        <v>5</v>
      </c>
      <c r="B8" s="63" t="s">
        <v>3</v>
      </c>
      <c r="C8" s="427" t="s">
        <v>451</v>
      </c>
      <c r="D8" s="428"/>
      <c r="E8" s="228"/>
      <c r="F8" s="229">
        <v>44562</v>
      </c>
    </row>
    <row r="9" spans="1:8" x14ac:dyDescent="0.2">
      <c r="A9" s="4">
        <v>6</v>
      </c>
      <c r="B9" s="63" t="s">
        <v>97</v>
      </c>
      <c r="C9" s="427" t="s">
        <v>452</v>
      </c>
      <c r="D9" s="428"/>
      <c r="E9" s="228"/>
      <c r="F9" s="230" t="s">
        <v>566</v>
      </c>
    </row>
    <row r="10" spans="1:8" x14ac:dyDescent="0.2">
      <c r="F10" s="221" t="s">
        <v>567</v>
      </c>
      <c r="H10" s="221" t="s">
        <v>568</v>
      </c>
    </row>
    <row r="11" spans="1:8" ht="127.5" x14ac:dyDescent="0.2">
      <c r="A11" s="415" t="s">
        <v>75</v>
      </c>
      <c r="B11" s="415"/>
      <c r="C11" s="415"/>
      <c r="D11" s="415"/>
      <c r="E11" s="231"/>
      <c r="F11" s="252" t="s">
        <v>575</v>
      </c>
      <c r="H11" s="252" t="s">
        <v>569</v>
      </c>
    </row>
    <row r="12" spans="1:8" x14ac:dyDescent="0.2">
      <c r="A12" s="47">
        <v>1</v>
      </c>
      <c r="B12" s="477" t="s">
        <v>4</v>
      </c>
      <c r="C12" s="477"/>
      <c r="D12" s="50" t="s">
        <v>5</v>
      </c>
      <c r="E12" s="242"/>
      <c r="F12" s="218" t="s">
        <v>5</v>
      </c>
      <c r="H12" s="218" t="s">
        <v>5</v>
      </c>
    </row>
    <row r="13" spans="1:8" x14ac:dyDescent="0.2">
      <c r="A13" s="8" t="s">
        <v>6</v>
      </c>
      <c r="B13" s="414" t="s">
        <v>7</v>
      </c>
      <c r="C13" s="414"/>
      <c r="D13" s="9">
        <v>2819.81</v>
      </c>
      <c r="E13" s="243"/>
      <c r="F13" s="200">
        <f>D13*1.1</f>
        <v>3101.7910000000002</v>
      </c>
      <c r="H13" s="114">
        <f>F13</f>
        <v>3101.7910000000002</v>
      </c>
    </row>
    <row r="14" spans="1:8" x14ac:dyDescent="0.2">
      <c r="A14" s="8" t="s">
        <v>8</v>
      </c>
      <c r="B14" s="414" t="s">
        <v>400</v>
      </c>
      <c r="C14" s="414"/>
      <c r="D14" s="10" t="s">
        <v>118</v>
      </c>
      <c r="E14" s="244"/>
      <c r="F14" s="10" t="s">
        <v>118</v>
      </c>
      <c r="H14" s="10" t="s">
        <v>118</v>
      </c>
    </row>
    <row r="15" spans="1:8" x14ac:dyDescent="0.2">
      <c r="A15" s="8" t="s">
        <v>9</v>
      </c>
      <c r="B15" s="414" t="s">
        <v>10</v>
      </c>
      <c r="C15" s="414"/>
      <c r="D15" s="10" t="s">
        <v>118</v>
      </c>
      <c r="E15" s="244"/>
      <c r="F15" s="10" t="s">
        <v>118</v>
      </c>
      <c r="H15" s="10" t="s">
        <v>118</v>
      </c>
    </row>
    <row r="16" spans="1:8" x14ac:dyDescent="0.2">
      <c r="A16" s="8" t="s">
        <v>11</v>
      </c>
      <c r="B16" s="414" t="s">
        <v>12</v>
      </c>
      <c r="C16" s="414"/>
      <c r="D16" s="10" t="s">
        <v>118</v>
      </c>
      <c r="E16" s="244"/>
      <c r="F16" s="10" t="s">
        <v>118</v>
      </c>
      <c r="H16" s="10" t="s">
        <v>118</v>
      </c>
    </row>
    <row r="17" spans="1:8" x14ac:dyDescent="0.2">
      <c r="A17" s="8" t="s">
        <v>13</v>
      </c>
      <c r="B17" s="414" t="s">
        <v>14</v>
      </c>
      <c r="C17" s="414"/>
      <c r="D17" s="10" t="s">
        <v>118</v>
      </c>
      <c r="E17" s="244"/>
      <c r="F17" s="10" t="s">
        <v>118</v>
      </c>
      <c r="H17" s="10" t="s">
        <v>118</v>
      </c>
    </row>
    <row r="18" spans="1:8" x14ac:dyDescent="0.2">
      <c r="A18" s="8" t="s">
        <v>15</v>
      </c>
      <c r="B18" s="414" t="s">
        <v>16</v>
      </c>
      <c r="C18" s="414"/>
      <c r="D18" s="10" t="s">
        <v>118</v>
      </c>
      <c r="E18" s="244"/>
      <c r="F18" s="10" t="s">
        <v>118</v>
      </c>
      <c r="H18" s="10" t="s">
        <v>118</v>
      </c>
    </row>
    <row r="19" spans="1:8" x14ac:dyDescent="0.2">
      <c r="A19" s="463" t="s">
        <v>17</v>
      </c>
      <c r="B19" s="463"/>
      <c r="C19" s="463"/>
      <c r="D19" s="11">
        <f>SUM(D13:D18)</f>
        <v>2819.81</v>
      </c>
      <c r="E19" s="243"/>
      <c r="F19" s="202">
        <f>SUM(F13:F18)</f>
        <v>3101.7910000000002</v>
      </c>
      <c r="H19" s="11">
        <f>SUM(H13:H18)</f>
        <v>3101.7910000000002</v>
      </c>
    </row>
    <row r="20" spans="1:8" ht="24" customHeight="1" x14ac:dyDescent="0.2">
      <c r="A20" s="481" t="s">
        <v>18</v>
      </c>
      <c r="B20" s="481"/>
      <c r="C20" s="481"/>
      <c r="D20" s="481"/>
      <c r="E20" s="233"/>
    </row>
    <row r="22" spans="1:8" x14ac:dyDescent="0.2">
      <c r="A22" s="415" t="s">
        <v>19</v>
      </c>
      <c r="B22" s="415"/>
      <c r="C22" s="415"/>
      <c r="D22" s="415"/>
      <c r="E22" s="231"/>
    </row>
    <row r="23" spans="1:8" x14ac:dyDescent="0.2">
      <c r="A23" s="463" t="s">
        <v>24</v>
      </c>
      <c r="B23" s="463"/>
      <c r="C23" s="463"/>
      <c r="D23" s="463"/>
      <c r="E23" s="234"/>
    </row>
    <row r="24" spans="1:8" ht="25.5" x14ac:dyDescent="0.2">
      <c r="A24" s="51" t="s">
        <v>20</v>
      </c>
      <c r="B24" s="51" t="s">
        <v>21</v>
      </c>
      <c r="C24" s="48" t="s">
        <v>28</v>
      </c>
      <c r="D24" s="51" t="s">
        <v>5</v>
      </c>
      <c r="E24" s="219" t="s">
        <v>28</v>
      </c>
      <c r="F24" s="220" t="s">
        <v>5</v>
      </c>
      <c r="G24" s="219" t="s">
        <v>28</v>
      </c>
      <c r="H24" s="220" t="s">
        <v>5</v>
      </c>
    </row>
    <row r="25" spans="1:8" x14ac:dyDescent="0.2">
      <c r="A25" s="8" t="s">
        <v>6</v>
      </c>
      <c r="B25" s="14" t="s">
        <v>22</v>
      </c>
      <c r="C25" s="15">
        <v>9.0899999999999995E-2</v>
      </c>
      <c r="D25" s="16">
        <f>C25*$D$19</f>
        <v>256.32072899999997</v>
      </c>
      <c r="E25" s="352">
        <v>9.0899999999999995E-2</v>
      </c>
      <c r="F25" s="203">
        <f>E25*F$19</f>
        <v>281.9528019</v>
      </c>
      <c r="G25" s="352">
        <v>9.0899999999999995E-2</v>
      </c>
      <c r="H25" s="211">
        <f>G25*H$19</f>
        <v>281.9528019</v>
      </c>
    </row>
    <row r="26" spans="1:8" x14ac:dyDescent="0.2">
      <c r="A26" s="8" t="s">
        <v>8</v>
      </c>
      <c r="B26" s="14" t="s">
        <v>23</v>
      </c>
      <c r="C26" s="15">
        <v>0.1212</v>
      </c>
      <c r="D26" s="16">
        <f>C26*$D$19</f>
        <v>341.76097199999998</v>
      </c>
      <c r="E26" s="352">
        <v>0.1212</v>
      </c>
      <c r="F26" s="203">
        <f>E26*F$19</f>
        <v>375.93706920000005</v>
      </c>
      <c r="G26" s="352">
        <v>0.1212</v>
      </c>
      <c r="H26" s="211">
        <f>G26*H$19</f>
        <v>375.93706920000005</v>
      </c>
    </row>
    <row r="27" spans="1:8" x14ac:dyDescent="0.2">
      <c r="A27" s="463" t="s">
        <v>17</v>
      </c>
      <c r="B27" s="463"/>
      <c r="C27" s="17">
        <f>SUM(C25:C26)</f>
        <v>0.21210000000000001</v>
      </c>
      <c r="D27" s="18">
        <f>SUM(D25:D26)</f>
        <v>598.08170099999995</v>
      </c>
      <c r="E27" s="353">
        <f t="shared" ref="E27:H27" si="0">SUM(E25:E26)</f>
        <v>0.21210000000000001</v>
      </c>
      <c r="F27" s="204">
        <f t="shared" si="0"/>
        <v>657.88987110000005</v>
      </c>
      <c r="G27" s="353">
        <f t="shared" si="0"/>
        <v>0.21210000000000001</v>
      </c>
      <c r="H27" s="212">
        <f t="shared" si="0"/>
        <v>657.88987110000005</v>
      </c>
    </row>
    <row r="28" spans="1:8" ht="39" customHeight="1" x14ac:dyDescent="0.2">
      <c r="A28" s="464" t="s">
        <v>468</v>
      </c>
      <c r="B28" s="464"/>
      <c r="C28" s="464"/>
      <c r="D28" s="464"/>
      <c r="E28" s="233"/>
    </row>
    <row r="29" spans="1:8" ht="24.75" customHeight="1" x14ac:dyDescent="0.2">
      <c r="A29" s="464" t="s">
        <v>99</v>
      </c>
      <c r="B29" s="464"/>
      <c r="C29" s="464"/>
      <c r="D29" s="464"/>
      <c r="E29" s="233"/>
    </row>
    <row r="30" spans="1:8" ht="40.5" customHeight="1" x14ac:dyDescent="0.2">
      <c r="A30" s="464" t="s">
        <v>100</v>
      </c>
      <c r="B30" s="464"/>
      <c r="C30" s="464"/>
      <c r="D30" s="464"/>
      <c r="E30" s="233"/>
    </row>
    <row r="32" spans="1:8" ht="33" customHeight="1" x14ac:dyDescent="0.2">
      <c r="A32" s="470" t="s">
        <v>25</v>
      </c>
      <c r="B32" s="470"/>
      <c r="C32" s="470"/>
      <c r="D32" s="470"/>
      <c r="E32" s="235"/>
    </row>
    <row r="33" spans="1:8" x14ac:dyDescent="0.2">
      <c r="A33" s="47" t="s">
        <v>26</v>
      </c>
      <c r="B33" s="50" t="s">
        <v>27</v>
      </c>
      <c r="C33" s="50" t="s">
        <v>28</v>
      </c>
      <c r="D33" s="47" t="s">
        <v>5</v>
      </c>
      <c r="E33" s="218" t="s">
        <v>28</v>
      </c>
      <c r="F33" s="217" t="s">
        <v>5</v>
      </c>
      <c r="G33" s="218" t="s">
        <v>28</v>
      </c>
      <c r="H33" s="217" t="s">
        <v>5</v>
      </c>
    </row>
    <row r="34" spans="1:8" x14ac:dyDescent="0.2">
      <c r="A34" s="8" t="s">
        <v>6</v>
      </c>
      <c r="B34" s="14" t="s">
        <v>29</v>
      </c>
      <c r="C34" s="19">
        <v>0</v>
      </c>
      <c r="D34" s="20">
        <f t="shared" ref="D34:D40" si="1">C34*($D$19+$D$27)</f>
        <v>0</v>
      </c>
      <c r="E34" s="19">
        <v>0</v>
      </c>
      <c r="F34" s="20">
        <f>E34*(F$19+F$27)</f>
        <v>0</v>
      </c>
      <c r="G34" s="19">
        <v>0</v>
      </c>
      <c r="H34" s="20">
        <f>G34*(H$19+H$27)</f>
        <v>0</v>
      </c>
    </row>
    <row r="35" spans="1:8" x14ac:dyDescent="0.2">
      <c r="A35" s="8" t="s">
        <v>8</v>
      </c>
      <c r="B35" s="14" t="s">
        <v>30</v>
      </c>
      <c r="C35" s="19">
        <v>2.5000000000000001E-2</v>
      </c>
      <c r="D35" s="20">
        <f t="shared" si="1"/>
        <v>85.447292525000009</v>
      </c>
      <c r="E35" s="19">
        <v>2.5000000000000001E-2</v>
      </c>
      <c r="F35" s="205">
        <f t="shared" ref="F35:F41" si="2">$E35*(F$19+F$27)</f>
        <v>93.992021777500014</v>
      </c>
      <c r="G35" s="19">
        <v>2.5000000000000001E-2</v>
      </c>
      <c r="H35" s="20">
        <f t="shared" ref="H35:H41" si="3">$G35*(H$19+H$27)</f>
        <v>93.992021777500014</v>
      </c>
    </row>
    <row r="36" spans="1:8" x14ac:dyDescent="0.2">
      <c r="A36" s="8" t="s">
        <v>9</v>
      </c>
      <c r="B36" s="14" t="s">
        <v>101</v>
      </c>
      <c r="C36" s="19">
        <v>3.39E-2</v>
      </c>
      <c r="D36" s="20">
        <f t="shared" si="1"/>
        <v>115.8665286639</v>
      </c>
      <c r="E36" s="287">
        <v>1.4999999999999999E-2</v>
      </c>
      <c r="F36" s="205">
        <f t="shared" si="2"/>
        <v>56.395213066500006</v>
      </c>
      <c r="G36" s="19">
        <v>1.4999999999999999E-2</v>
      </c>
      <c r="H36" s="20">
        <f t="shared" si="3"/>
        <v>56.395213066500006</v>
      </c>
    </row>
    <row r="37" spans="1:8" x14ac:dyDescent="0.2">
      <c r="A37" s="8" t="s">
        <v>11</v>
      </c>
      <c r="B37" s="14" t="s">
        <v>31</v>
      </c>
      <c r="C37" s="19">
        <v>1.4999999999999999E-2</v>
      </c>
      <c r="D37" s="20">
        <f t="shared" si="1"/>
        <v>51.268375514999995</v>
      </c>
      <c r="E37" s="19">
        <v>1.4999999999999999E-2</v>
      </c>
      <c r="F37" s="205">
        <f t="shared" si="2"/>
        <v>56.395213066500006</v>
      </c>
      <c r="G37" s="19">
        <v>1.4999999999999999E-2</v>
      </c>
      <c r="H37" s="20">
        <f t="shared" si="3"/>
        <v>56.395213066500006</v>
      </c>
    </row>
    <row r="38" spans="1:8" x14ac:dyDescent="0.2">
      <c r="A38" s="8" t="s">
        <v>13</v>
      </c>
      <c r="B38" s="14" t="s">
        <v>32</v>
      </c>
      <c r="C38" s="19">
        <v>0.01</v>
      </c>
      <c r="D38" s="20">
        <f t="shared" si="1"/>
        <v>34.178917009999999</v>
      </c>
      <c r="E38" s="19">
        <v>0.01</v>
      </c>
      <c r="F38" s="205">
        <f t="shared" si="2"/>
        <v>37.596808711000001</v>
      </c>
      <c r="G38" s="19">
        <v>0.01</v>
      </c>
      <c r="H38" s="20">
        <f t="shared" si="3"/>
        <v>37.596808711000001</v>
      </c>
    </row>
    <row r="39" spans="1:8" x14ac:dyDescent="0.2">
      <c r="A39" s="8" t="s">
        <v>15</v>
      </c>
      <c r="B39" s="14" t="s">
        <v>33</v>
      </c>
      <c r="C39" s="19">
        <v>6.0000000000000001E-3</v>
      </c>
      <c r="D39" s="20">
        <f t="shared" si="1"/>
        <v>20.507350206000002</v>
      </c>
      <c r="E39" s="19">
        <v>6.0000000000000001E-3</v>
      </c>
      <c r="F39" s="205">
        <f t="shared" si="2"/>
        <v>22.558085226600003</v>
      </c>
      <c r="G39" s="19">
        <v>6.0000000000000001E-3</v>
      </c>
      <c r="H39" s="20">
        <f t="shared" si="3"/>
        <v>22.558085226600003</v>
      </c>
    </row>
    <row r="40" spans="1:8" x14ac:dyDescent="0.2">
      <c r="A40" s="8" t="s">
        <v>34</v>
      </c>
      <c r="B40" s="14" t="s">
        <v>35</v>
      </c>
      <c r="C40" s="19">
        <v>2E-3</v>
      </c>
      <c r="D40" s="20">
        <f t="shared" si="1"/>
        <v>6.8357834020000006</v>
      </c>
      <c r="E40" s="19">
        <v>2E-3</v>
      </c>
      <c r="F40" s="205">
        <f t="shared" si="2"/>
        <v>7.519361742200001</v>
      </c>
      <c r="G40" s="19">
        <v>2E-3</v>
      </c>
      <c r="H40" s="20">
        <f t="shared" si="3"/>
        <v>7.519361742200001</v>
      </c>
    </row>
    <row r="41" spans="1:8" x14ac:dyDescent="0.2">
      <c r="A41" s="8" t="s">
        <v>36</v>
      </c>
      <c r="B41" s="14" t="s">
        <v>37</v>
      </c>
      <c r="C41" s="19">
        <v>0.08</v>
      </c>
      <c r="D41" s="20">
        <f>C41*($D$19+$D$27)</f>
        <v>273.43133607999999</v>
      </c>
      <c r="E41" s="19">
        <v>0.08</v>
      </c>
      <c r="F41" s="205">
        <f t="shared" si="2"/>
        <v>300.77446968800001</v>
      </c>
      <c r="G41" s="19">
        <v>0.08</v>
      </c>
      <c r="H41" s="20">
        <f t="shared" si="3"/>
        <v>300.77446968800001</v>
      </c>
    </row>
    <row r="42" spans="1:8" x14ac:dyDescent="0.2">
      <c r="A42" s="471" t="s">
        <v>17</v>
      </c>
      <c r="B42" s="472"/>
      <c r="C42" s="21">
        <f>SUM(C34:C41)</f>
        <v>0.1719</v>
      </c>
      <c r="D42" s="22">
        <f>SUM(D34:D41)</f>
        <v>587.53558340190011</v>
      </c>
      <c r="E42" s="288">
        <f t="shared" ref="E42:H42" si="4">SUM(E34:E41)</f>
        <v>0.15300000000000002</v>
      </c>
      <c r="F42" s="289">
        <f t="shared" si="4"/>
        <v>575.23117327830005</v>
      </c>
      <c r="G42" s="21">
        <f t="shared" si="4"/>
        <v>0.15300000000000002</v>
      </c>
      <c r="H42" s="22">
        <f t="shared" si="4"/>
        <v>575.23117327830005</v>
      </c>
    </row>
    <row r="43" spans="1:8" ht="25.5" customHeight="1" x14ac:dyDescent="0.2">
      <c r="A43" s="464" t="s">
        <v>104</v>
      </c>
      <c r="B43" s="464"/>
      <c r="C43" s="464"/>
      <c r="D43" s="464"/>
      <c r="E43" s="233"/>
    </row>
    <row r="44" spans="1:8" ht="26.25" customHeight="1" x14ac:dyDescent="0.2">
      <c r="A44" s="464" t="s">
        <v>102</v>
      </c>
      <c r="B44" s="464"/>
      <c r="C44" s="464"/>
      <c r="D44" s="464"/>
      <c r="E44" s="233"/>
    </row>
    <row r="45" spans="1:8" ht="25.5" customHeight="1" x14ac:dyDescent="0.2">
      <c r="A45" s="464" t="s">
        <v>103</v>
      </c>
      <c r="B45" s="464"/>
      <c r="C45" s="464"/>
      <c r="D45" s="464"/>
      <c r="E45" s="233"/>
    </row>
    <row r="46" spans="1:8" ht="14.25" customHeight="1" x14ac:dyDescent="0.2">
      <c r="A46" s="464" t="s">
        <v>108</v>
      </c>
      <c r="B46" s="464"/>
      <c r="C46" s="464"/>
      <c r="D46" s="464"/>
      <c r="E46" s="233"/>
    </row>
    <row r="47" spans="1:8" ht="14.25" customHeight="1" x14ac:dyDescent="0.2">
      <c r="A47" s="464" t="s">
        <v>113</v>
      </c>
      <c r="B47" s="464"/>
      <c r="C47" s="464"/>
      <c r="D47" s="464"/>
      <c r="E47" s="233"/>
    </row>
    <row r="49" spans="1:8" ht="15" customHeight="1" x14ac:dyDescent="0.2">
      <c r="A49" s="470" t="s">
        <v>38</v>
      </c>
      <c r="B49" s="470"/>
      <c r="C49" s="470"/>
      <c r="D49" s="470"/>
      <c r="E49" s="235"/>
    </row>
    <row r="50" spans="1:8" x14ac:dyDescent="0.2">
      <c r="A50" s="49" t="s">
        <v>39</v>
      </c>
      <c r="B50" s="48" t="s">
        <v>40</v>
      </c>
      <c r="C50" s="49" t="s">
        <v>89</v>
      </c>
      <c r="D50" s="48" t="s">
        <v>5</v>
      </c>
      <c r="E50" s="242"/>
      <c r="F50" s="219" t="s">
        <v>5</v>
      </c>
      <c r="H50" s="219" t="s">
        <v>5</v>
      </c>
    </row>
    <row r="51" spans="1:8" x14ac:dyDescent="0.2">
      <c r="A51" s="8" t="s">
        <v>6</v>
      </c>
      <c r="B51" s="14" t="s">
        <v>135</v>
      </c>
      <c r="C51" s="24">
        <v>22</v>
      </c>
      <c r="D51" s="16">
        <f>(18.6*C51)-0.06*D13</f>
        <v>240.01140000000007</v>
      </c>
      <c r="E51" s="245"/>
      <c r="F51" s="203">
        <f>(18.6*$C51)-0.06*F$13</f>
        <v>223.09254000000004</v>
      </c>
      <c r="H51" s="16">
        <f>(18.6*$C51)-0.06*H$13</f>
        <v>223.09254000000004</v>
      </c>
    </row>
    <row r="52" spans="1:8" x14ac:dyDescent="0.2">
      <c r="A52" s="8" t="s">
        <v>8</v>
      </c>
      <c r="B52" s="14" t="s">
        <v>456</v>
      </c>
      <c r="C52" s="24">
        <v>22</v>
      </c>
      <c r="D52" s="16">
        <f>35*C52</f>
        <v>770</v>
      </c>
      <c r="E52" s="245"/>
      <c r="F52" s="203">
        <f>38*$C52</f>
        <v>836</v>
      </c>
      <c r="H52" s="16">
        <f>38*$C52</f>
        <v>836</v>
      </c>
    </row>
    <row r="53" spans="1:8" x14ac:dyDescent="0.2">
      <c r="A53" s="8" t="s">
        <v>9</v>
      </c>
      <c r="B53" s="14" t="s">
        <v>42</v>
      </c>
      <c r="C53" s="24"/>
      <c r="D53" s="16">
        <v>160.07</v>
      </c>
      <c r="E53" s="245"/>
      <c r="F53" s="203">
        <v>169.67</v>
      </c>
      <c r="H53" s="16">
        <v>169.67</v>
      </c>
    </row>
    <row r="54" spans="1:8" x14ac:dyDescent="0.2">
      <c r="A54" s="8" t="s">
        <v>11</v>
      </c>
      <c r="B54" s="14" t="s">
        <v>90</v>
      </c>
      <c r="C54" s="24"/>
      <c r="D54" s="16">
        <v>10.63</v>
      </c>
      <c r="E54" s="245"/>
      <c r="F54" s="203">
        <v>11.27</v>
      </c>
      <c r="H54" s="16">
        <v>11.27</v>
      </c>
    </row>
    <row r="55" spans="1:8" x14ac:dyDescent="0.2">
      <c r="A55" s="8" t="s">
        <v>13</v>
      </c>
      <c r="B55" s="14" t="s">
        <v>453</v>
      </c>
      <c r="C55" s="24"/>
      <c r="D55" s="16">
        <v>2.2999999999999998</v>
      </c>
      <c r="E55" s="245"/>
      <c r="F55" s="203">
        <v>2.5</v>
      </c>
      <c r="H55" s="16">
        <v>2.5</v>
      </c>
    </row>
    <row r="56" spans="1:8" x14ac:dyDescent="0.2">
      <c r="A56" s="463" t="s">
        <v>17</v>
      </c>
      <c r="B56" s="463"/>
      <c r="C56" s="463"/>
      <c r="D56" s="18">
        <f>SUM(D51:D55)</f>
        <v>1183.0114000000001</v>
      </c>
      <c r="E56" s="246"/>
      <c r="F56" s="206">
        <f>SUM(F51:F55)</f>
        <v>1242.5325400000002</v>
      </c>
      <c r="H56" s="25">
        <f>SUM(H51:H55)</f>
        <v>1242.5325400000002</v>
      </c>
    </row>
    <row r="57" spans="1:8" ht="28.5" customHeight="1" x14ac:dyDescent="0.2">
      <c r="A57" s="464" t="s">
        <v>45</v>
      </c>
      <c r="B57" s="464"/>
      <c r="C57" s="464"/>
      <c r="D57" s="464"/>
      <c r="E57" s="233"/>
    </row>
    <row r="58" spans="1:8" ht="19.5" customHeight="1" x14ac:dyDescent="0.2">
      <c r="A58" s="464" t="s">
        <v>105</v>
      </c>
      <c r="B58" s="464"/>
      <c r="C58" s="464"/>
      <c r="D58" s="464"/>
      <c r="E58" s="233"/>
    </row>
    <row r="60" spans="1:8" ht="15" customHeight="1" x14ac:dyDescent="0.2">
      <c r="A60" s="415" t="s">
        <v>43</v>
      </c>
      <c r="B60" s="415"/>
      <c r="C60" s="415"/>
      <c r="D60" s="415"/>
      <c r="E60" s="231"/>
    </row>
    <row r="61" spans="1:8" x14ac:dyDescent="0.2">
      <c r="A61" s="50">
        <v>2</v>
      </c>
      <c r="B61" s="430" t="s">
        <v>44</v>
      </c>
      <c r="C61" s="430"/>
      <c r="D61" s="50" t="s">
        <v>5</v>
      </c>
      <c r="E61" s="242"/>
      <c r="F61" s="218" t="s">
        <v>5</v>
      </c>
      <c r="H61" s="218" t="s">
        <v>5</v>
      </c>
    </row>
    <row r="62" spans="1:8" ht="30" customHeight="1" x14ac:dyDescent="0.2">
      <c r="A62" s="26" t="s">
        <v>20</v>
      </c>
      <c r="B62" s="438" t="s">
        <v>21</v>
      </c>
      <c r="C62" s="438"/>
      <c r="D62" s="16">
        <f>D27</f>
        <v>598.08170099999995</v>
      </c>
      <c r="E62" s="245"/>
      <c r="F62" s="203">
        <f>F27</f>
        <v>657.88987110000005</v>
      </c>
      <c r="H62" s="16">
        <f>H27</f>
        <v>657.88987110000005</v>
      </c>
    </row>
    <row r="63" spans="1:8" x14ac:dyDescent="0.2">
      <c r="A63" s="26" t="s">
        <v>26</v>
      </c>
      <c r="B63" s="414" t="s">
        <v>27</v>
      </c>
      <c r="C63" s="414"/>
      <c r="D63" s="16">
        <f>D42</f>
        <v>587.53558340190011</v>
      </c>
      <c r="E63" s="245"/>
      <c r="F63" s="203">
        <f>F42</f>
        <v>575.23117327830005</v>
      </c>
      <c r="H63" s="16">
        <f>H42</f>
        <v>575.23117327830005</v>
      </c>
    </row>
    <row r="64" spans="1:8" x14ac:dyDescent="0.2">
      <c r="A64" s="26" t="s">
        <v>39</v>
      </c>
      <c r="B64" s="414" t="s">
        <v>40</v>
      </c>
      <c r="C64" s="414"/>
      <c r="D64" s="16">
        <f>D56</f>
        <v>1183.0114000000001</v>
      </c>
      <c r="E64" s="245"/>
      <c r="F64" s="203">
        <f>F56</f>
        <v>1242.5325400000002</v>
      </c>
      <c r="H64" s="16">
        <f>H56</f>
        <v>1242.5325400000002</v>
      </c>
    </row>
    <row r="65" spans="1:8" x14ac:dyDescent="0.2">
      <c r="A65" s="471" t="s">
        <v>17</v>
      </c>
      <c r="B65" s="475"/>
      <c r="C65" s="472"/>
      <c r="D65" s="18">
        <f>SUM(D62:D64)</f>
        <v>2368.6286844019005</v>
      </c>
      <c r="E65" s="246"/>
      <c r="F65" s="204">
        <f>SUM(F62:F64)</f>
        <v>2475.6535843783004</v>
      </c>
      <c r="H65" s="18">
        <f>SUM(H62:H64)</f>
        <v>2475.6535843783004</v>
      </c>
    </row>
    <row r="67" spans="1:8" ht="14.45" customHeight="1" x14ac:dyDescent="0.2">
      <c r="A67" s="415" t="s">
        <v>76</v>
      </c>
      <c r="B67" s="415"/>
      <c r="C67" s="415"/>
      <c r="D67" s="415"/>
      <c r="E67" s="231"/>
    </row>
    <row r="68" spans="1:8" x14ac:dyDescent="0.2">
      <c r="A68" s="50">
        <v>3</v>
      </c>
      <c r="B68" s="50" t="s">
        <v>46</v>
      </c>
      <c r="C68" s="50" t="s">
        <v>28</v>
      </c>
      <c r="D68" s="50" t="s">
        <v>5</v>
      </c>
      <c r="E68" s="218" t="s">
        <v>28</v>
      </c>
      <c r="F68" s="232" t="s">
        <v>5</v>
      </c>
      <c r="G68" s="232" t="s">
        <v>28</v>
      </c>
      <c r="H68" s="232" t="s">
        <v>5</v>
      </c>
    </row>
    <row r="69" spans="1:8" x14ac:dyDescent="0.2">
      <c r="A69" s="26" t="s">
        <v>6</v>
      </c>
      <c r="B69" s="63" t="s">
        <v>47</v>
      </c>
      <c r="C69" s="19">
        <v>4.1999999999999997E-3</v>
      </c>
      <c r="D69" s="20">
        <f t="shared" ref="D69:D74" si="5">C69*($D$19+$D$27)</f>
        <v>14.3551451442</v>
      </c>
      <c r="E69" s="28">
        <v>4.1999999999999997E-3</v>
      </c>
      <c r="F69" s="257">
        <f t="shared" ref="F69:F75" si="6">$E69*(F$19+F$27)</f>
        <v>15.790659658620001</v>
      </c>
      <c r="G69" s="28">
        <v>4.1999999999999997E-3</v>
      </c>
      <c r="H69" s="9">
        <f t="shared" ref="H69:H75" si="7">$G69*(H$19+H$27)</f>
        <v>15.790659658620001</v>
      </c>
    </row>
    <row r="70" spans="1:8" x14ac:dyDescent="0.2">
      <c r="A70" s="26" t="s">
        <v>8</v>
      </c>
      <c r="B70" s="63" t="s">
        <v>48</v>
      </c>
      <c r="C70" s="19">
        <v>2.9999999999999997E-4</v>
      </c>
      <c r="D70" s="20">
        <f t="shared" si="5"/>
        <v>1.0253675103</v>
      </c>
      <c r="E70" s="28">
        <v>2.9999999999999997E-4</v>
      </c>
      <c r="F70" s="257">
        <f t="shared" si="6"/>
        <v>1.1279042613300001</v>
      </c>
      <c r="G70" s="28">
        <v>2.9999999999999997E-4</v>
      </c>
      <c r="H70" s="9">
        <f t="shared" si="7"/>
        <v>1.1279042613300001</v>
      </c>
    </row>
    <row r="71" spans="1:8" ht="25.5" x14ac:dyDescent="0.2">
      <c r="A71" s="26" t="s">
        <v>9</v>
      </c>
      <c r="B71" s="63" t="s">
        <v>49</v>
      </c>
      <c r="C71" s="27">
        <v>9.9999999999999995E-7</v>
      </c>
      <c r="D71" s="20">
        <f t="shared" si="5"/>
        <v>3.417891701E-3</v>
      </c>
      <c r="E71" s="351">
        <v>9.9999999999999995E-7</v>
      </c>
      <c r="F71" s="260">
        <f t="shared" si="6"/>
        <v>3.7596808711000003E-3</v>
      </c>
      <c r="G71" s="351">
        <v>9.9999999999999995E-7</v>
      </c>
      <c r="H71" s="258">
        <f t="shared" si="7"/>
        <v>3.7596808711000003E-3</v>
      </c>
    </row>
    <row r="72" spans="1:8" x14ac:dyDescent="0.2">
      <c r="A72" s="26" t="s">
        <v>11</v>
      </c>
      <c r="B72" s="63" t="s">
        <v>50</v>
      </c>
      <c r="C72" s="28">
        <v>1.9400000000000001E-2</v>
      </c>
      <c r="D72" s="29">
        <f>C72*($D$19+$D$27)</f>
        <v>66.307098999399997</v>
      </c>
      <c r="E72" s="348">
        <v>1.9400000000000001E-2</v>
      </c>
      <c r="F72" s="260">
        <f t="shared" si="6"/>
        <v>72.937808899340013</v>
      </c>
      <c r="G72" s="347">
        <v>1.9400000000000001E-3</v>
      </c>
      <c r="H72" s="260">
        <f t="shared" si="7"/>
        <v>7.2937808899340011</v>
      </c>
    </row>
    <row r="73" spans="1:8" ht="25.5" x14ac:dyDescent="0.2">
      <c r="A73" s="26" t="s">
        <v>13</v>
      </c>
      <c r="B73" s="63" t="s">
        <v>51</v>
      </c>
      <c r="C73" s="19">
        <v>7.1000000000000004E-3</v>
      </c>
      <c r="D73" s="20">
        <f>C73*($D$19+$D$27)</f>
        <v>24.2670310771</v>
      </c>
      <c r="E73" s="28">
        <v>7.1000000000000004E-3</v>
      </c>
      <c r="F73" s="257">
        <f t="shared" si="6"/>
        <v>26.693734184810005</v>
      </c>
      <c r="G73" s="28">
        <v>7.1000000000000004E-3</v>
      </c>
      <c r="H73" s="258">
        <f t="shared" si="7"/>
        <v>26.693734184810005</v>
      </c>
    </row>
    <row r="74" spans="1:8" ht="25.5" x14ac:dyDescent="0.2">
      <c r="A74" s="26" t="s">
        <v>15</v>
      </c>
      <c r="B74" s="63" t="s">
        <v>52</v>
      </c>
      <c r="C74" s="19">
        <v>1E-4</v>
      </c>
      <c r="D74" s="20">
        <f t="shared" si="5"/>
        <v>0.34178917010000004</v>
      </c>
      <c r="E74" s="28">
        <v>1E-4</v>
      </c>
      <c r="F74" s="257">
        <f t="shared" si="6"/>
        <v>0.37596808711000007</v>
      </c>
      <c r="G74" s="28">
        <v>1E-4</v>
      </c>
      <c r="H74" s="258">
        <f t="shared" si="7"/>
        <v>0.37596808711000007</v>
      </c>
    </row>
    <row r="75" spans="1:8" x14ac:dyDescent="0.2">
      <c r="A75" s="30" t="s">
        <v>34</v>
      </c>
      <c r="B75" s="31" t="s">
        <v>128</v>
      </c>
      <c r="C75" s="19">
        <v>3.49E-2</v>
      </c>
      <c r="D75" s="20">
        <f>C75*($D$19+$D$27)</f>
        <v>119.2844203649</v>
      </c>
      <c r="E75" s="28">
        <v>3.49E-2</v>
      </c>
      <c r="F75" s="257">
        <f t="shared" si="6"/>
        <v>131.21286240139003</v>
      </c>
      <c r="G75" s="28">
        <v>3.49E-2</v>
      </c>
      <c r="H75" s="258">
        <f t="shared" si="7"/>
        <v>131.21286240139003</v>
      </c>
    </row>
    <row r="76" spans="1:8" x14ac:dyDescent="0.2">
      <c r="A76" s="471" t="s">
        <v>17</v>
      </c>
      <c r="B76" s="472"/>
      <c r="C76" s="17">
        <f>SUM(C69:C75)</f>
        <v>6.6001000000000004E-2</v>
      </c>
      <c r="D76" s="18">
        <f>SUM(D69:D75)</f>
        <v>225.58427015770098</v>
      </c>
      <c r="E76" s="350">
        <f t="shared" ref="E76:H76" si="8">SUM(E69:E75)</f>
        <v>6.6001000000000004E-2</v>
      </c>
      <c r="F76" s="202">
        <f t="shared" si="8"/>
        <v>248.14269717347116</v>
      </c>
      <c r="G76" s="350">
        <f t="shared" si="8"/>
        <v>4.8541000000000001E-2</v>
      </c>
      <c r="H76" s="202">
        <f t="shared" si="8"/>
        <v>182.49866916406512</v>
      </c>
    </row>
    <row r="77" spans="1:8" ht="26.25" customHeight="1" x14ac:dyDescent="0.2">
      <c r="A77" s="464" t="s">
        <v>106</v>
      </c>
      <c r="B77" s="464"/>
      <c r="C77" s="464"/>
      <c r="D77" s="464"/>
      <c r="E77" s="233"/>
    </row>
    <row r="78" spans="1:8" ht="17.25" customHeight="1" x14ac:dyDescent="0.2">
      <c r="A78" s="464" t="s">
        <v>114</v>
      </c>
      <c r="B78" s="464"/>
      <c r="C78" s="464"/>
      <c r="D78" s="464"/>
      <c r="E78" s="233"/>
    </row>
    <row r="80" spans="1:8" ht="23.1" customHeight="1" x14ac:dyDescent="0.2">
      <c r="A80" s="415" t="s">
        <v>53</v>
      </c>
      <c r="B80" s="415"/>
      <c r="C80" s="415"/>
      <c r="D80" s="415"/>
      <c r="E80" s="231"/>
    </row>
    <row r="81" spans="1:8" ht="39.75" customHeight="1" x14ac:dyDescent="0.2">
      <c r="A81" s="474" t="s">
        <v>107</v>
      </c>
      <c r="B81" s="474"/>
      <c r="C81" s="474"/>
      <c r="D81" s="474"/>
      <c r="E81" s="233"/>
    </row>
    <row r="83" spans="1:8" ht="16.5" customHeight="1" x14ac:dyDescent="0.2">
      <c r="A83" s="470" t="s">
        <v>109</v>
      </c>
      <c r="B83" s="470"/>
      <c r="C83" s="470"/>
      <c r="D83" s="470"/>
      <c r="E83" s="235"/>
    </row>
    <row r="84" spans="1:8" x14ac:dyDescent="0.2">
      <c r="A84" s="49" t="s">
        <v>54</v>
      </c>
      <c r="B84" s="48" t="s">
        <v>55</v>
      </c>
      <c r="C84" s="48" t="s">
        <v>28</v>
      </c>
      <c r="D84" s="48" t="s">
        <v>5</v>
      </c>
      <c r="E84" s="219" t="s">
        <v>28</v>
      </c>
      <c r="F84" s="219" t="s">
        <v>5</v>
      </c>
      <c r="G84" s="219" t="s">
        <v>28</v>
      </c>
      <c r="H84" s="219" t="s">
        <v>5</v>
      </c>
    </row>
    <row r="85" spans="1:8" x14ac:dyDescent="0.2">
      <c r="A85" s="26" t="s">
        <v>6</v>
      </c>
      <c r="B85" s="63" t="s">
        <v>56</v>
      </c>
      <c r="C85" s="19">
        <v>7.6E-3</v>
      </c>
      <c r="D85" s="20">
        <f t="shared" ref="D85:D90" si="9">C85*($D$19+$D$27)</f>
        <v>25.975976927600001</v>
      </c>
      <c r="E85" s="19">
        <v>7.6E-3</v>
      </c>
      <c r="F85" s="205">
        <f>E85*(F$19+F$27)</f>
        <v>28.573574620360002</v>
      </c>
      <c r="G85" s="19">
        <v>7.6E-3</v>
      </c>
      <c r="H85" s="20">
        <f t="shared" ref="H85:H90" si="10">$G85*(H$19+H$27)</f>
        <v>28.573574620360002</v>
      </c>
    </row>
    <row r="86" spans="1:8" x14ac:dyDescent="0.2">
      <c r="A86" s="26" t="s">
        <v>8</v>
      </c>
      <c r="B86" s="63" t="s">
        <v>57</v>
      </c>
      <c r="C86" s="19">
        <v>8.2000000000000007E-3</v>
      </c>
      <c r="D86" s="20">
        <f t="shared" si="9"/>
        <v>28.026711948200003</v>
      </c>
      <c r="E86" s="19">
        <v>8.2000000000000007E-3</v>
      </c>
      <c r="F86" s="205">
        <f t="shared" ref="F86:F90" si="11">E86*(F$19+F$27)</f>
        <v>30.829383143020006</v>
      </c>
      <c r="G86" s="19">
        <v>8.2000000000000007E-3</v>
      </c>
      <c r="H86" s="20">
        <f t="shared" si="10"/>
        <v>30.829383143020006</v>
      </c>
    </row>
    <row r="87" spans="1:8" x14ac:dyDescent="0.2">
      <c r="A87" s="26" t="s">
        <v>9</v>
      </c>
      <c r="B87" s="63" t="s">
        <v>58</v>
      </c>
      <c r="C87" s="19">
        <v>2.0000000000000001E-4</v>
      </c>
      <c r="D87" s="20">
        <f t="shared" si="9"/>
        <v>0.68357834020000008</v>
      </c>
      <c r="E87" s="19">
        <v>2.0000000000000001E-4</v>
      </c>
      <c r="F87" s="205">
        <f t="shared" si="11"/>
        <v>0.75193617422000014</v>
      </c>
      <c r="G87" s="19">
        <v>2.0000000000000001E-4</v>
      </c>
      <c r="H87" s="20">
        <f t="shared" si="10"/>
        <v>0.75193617422000014</v>
      </c>
    </row>
    <row r="88" spans="1:8" ht="25.5" x14ac:dyDescent="0.2">
      <c r="A88" s="26" t="s">
        <v>11</v>
      </c>
      <c r="B88" s="63" t="s">
        <v>59</v>
      </c>
      <c r="C88" s="19">
        <v>2.9999999999999997E-4</v>
      </c>
      <c r="D88" s="20">
        <f t="shared" si="9"/>
        <v>1.0253675103</v>
      </c>
      <c r="E88" s="19">
        <v>2.9999999999999997E-4</v>
      </c>
      <c r="F88" s="205">
        <f t="shared" si="11"/>
        <v>1.1279042613300001</v>
      </c>
      <c r="G88" s="19">
        <v>2.9999999999999997E-4</v>
      </c>
      <c r="H88" s="20">
        <f t="shared" si="10"/>
        <v>1.1279042613300001</v>
      </c>
    </row>
    <row r="89" spans="1:8" x14ac:dyDescent="0.2">
      <c r="A89" s="26" t="s">
        <v>13</v>
      </c>
      <c r="B89" s="63" t="s">
        <v>60</v>
      </c>
      <c r="C89" s="19">
        <v>2.8999999999999998E-3</v>
      </c>
      <c r="D89" s="20">
        <f t="shared" si="9"/>
        <v>9.9118859328999989</v>
      </c>
      <c r="E89" s="19">
        <v>2.8999999999999998E-3</v>
      </c>
      <c r="F89" s="205">
        <f t="shared" si="11"/>
        <v>10.90307452619</v>
      </c>
      <c r="G89" s="19">
        <v>2.8999999999999998E-3</v>
      </c>
      <c r="H89" s="20">
        <f t="shared" si="10"/>
        <v>10.90307452619</v>
      </c>
    </row>
    <row r="90" spans="1:8" ht="25.5" x14ac:dyDescent="0.2">
      <c r="A90" s="26" t="s">
        <v>15</v>
      </c>
      <c r="B90" s="63" t="s">
        <v>134</v>
      </c>
      <c r="C90" s="19">
        <v>1.66E-2</v>
      </c>
      <c r="D90" s="20">
        <f t="shared" si="9"/>
        <v>56.737002236599999</v>
      </c>
      <c r="E90" s="19">
        <v>1.66E-2</v>
      </c>
      <c r="F90" s="205">
        <f t="shared" si="11"/>
        <v>62.410702460260005</v>
      </c>
      <c r="G90" s="19">
        <v>1.66E-2</v>
      </c>
      <c r="H90" s="20">
        <f t="shared" si="10"/>
        <v>62.410702460260005</v>
      </c>
    </row>
    <row r="91" spans="1:8" x14ac:dyDescent="0.2">
      <c r="A91" s="471" t="s">
        <v>17</v>
      </c>
      <c r="B91" s="472"/>
      <c r="C91" s="17">
        <f>SUM(C85:C90)</f>
        <v>3.5799999999999998E-2</v>
      </c>
      <c r="D91" s="18">
        <f>SUM(D85:D90)</f>
        <v>122.36052289580002</v>
      </c>
      <c r="E91" s="17">
        <f t="shared" ref="E91:H91" si="12">SUM(E85:E90)</f>
        <v>3.5799999999999998E-2</v>
      </c>
      <c r="F91" s="207">
        <f t="shared" si="12"/>
        <v>134.59657518538</v>
      </c>
      <c r="G91" s="17">
        <f t="shared" si="12"/>
        <v>3.5799999999999998E-2</v>
      </c>
      <c r="H91" s="137">
        <f t="shared" si="12"/>
        <v>134.59657518538</v>
      </c>
    </row>
    <row r="92" spans="1:8" x14ac:dyDescent="0.2">
      <c r="A92" s="464" t="s">
        <v>115</v>
      </c>
      <c r="B92" s="464"/>
      <c r="C92" s="464"/>
      <c r="D92" s="464"/>
      <c r="E92" s="233"/>
    </row>
    <row r="94" spans="1:8" ht="12.75" hidden="1" customHeight="1" x14ac:dyDescent="0.2">
      <c r="A94" s="473" t="s">
        <v>110</v>
      </c>
      <c r="B94" s="473"/>
      <c r="C94" s="473"/>
      <c r="D94" s="473"/>
      <c r="E94" s="234"/>
    </row>
    <row r="95" spans="1:8" ht="12.75" hidden="1" customHeight="1" x14ac:dyDescent="0.2">
      <c r="A95" s="49" t="s">
        <v>61</v>
      </c>
      <c r="B95" s="48" t="s">
        <v>62</v>
      </c>
      <c r="C95" s="48" t="s">
        <v>5</v>
      </c>
      <c r="D95" s="49"/>
      <c r="E95" s="234"/>
      <c r="F95" s="234"/>
      <c r="G95" s="247"/>
      <c r="H95" s="234"/>
    </row>
    <row r="96" spans="1:8" ht="25.5" hidden="1" customHeight="1" x14ac:dyDescent="0.2">
      <c r="A96" s="26" t="s">
        <v>6</v>
      </c>
      <c r="B96" s="63" t="s">
        <v>63</v>
      </c>
      <c r="C96" s="32"/>
      <c r="D96" s="33"/>
      <c r="E96" s="247"/>
      <c r="F96" s="247"/>
      <c r="G96" s="247"/>
      <c r="H96" s="247"/>
    </row>
    <row r="97" spans="1:8" ht="12.75" hidden="1" customHeight="1" x14ac:dyDescent="0.2">
      <c r="A97" s="466" t="s">
        <v>17</v>
      </c>
      <c r="B97" s="468"/>
      <c r="C97" s="16">
        <f>SUM(C96)</f>
        <v>0</v>
      </c>
      <c r="D97" s="33"/>
      <c r="E97" s="247"/>
      <c r="F97" s="247"/>
      <c r="G97" s="247"/>
      <c r="H97" s="247"/>
    </row>
    <row r="98" spans="1:8" ht="12.75" hidden="1" customHeight="1" x14ac:dyDescent="0.2"/>
    <row r="99" spans="1:8" ht="18.600000000000001" customHeight="1" x14ac:dyDescent="0.2">
      <c r="A99" s="415" t="s">
        <v>111</v>
      </c>
      <c r="B99" s="415"/>
      <c r="C99" s="415"/>
      <c r="D99" s="415"/>
      <c r="E99" s="231"/>
    </row>
    <row r="100" spans="1:8" x14ac:dyDescent="0.2">
      <c r="A100" s="47">
        <v>4</v>
      </c>
      <c r="B100" s="430" t="s">
        <v>64</v>
      </c>
      <c r="C100" s="430"/>
      <c r="D100" s="50" t="s">
        <v>5</v>
      </c>
      <c r="E100" s="242"/>
      <c r="F100" s="218" t="s">
        <v>5</v>
      </c>
      <c r="H100" s="218" t="s">
        <v>5</v>
      </c>
    </row>
    <row r="101" spans="1:8" x14ac:dyDescent="0.2">
      <c r="A101" s="8" t="s">
        <v>54</v>
      </c>
      <c r="B101" s="414" t="s">
        <v>55</v>
      </c>
      <c r="C101" s="414"/>
      <c r="D101" s="16">
        <f>D91</f>
        <v>122.36052289580002</v>
      </c>
      <c r="E101" s="245"/>
      <c r="F101" s="16">
        <f>F91</f>
        <v>134.59657518538</v>
      </c>
      <c r="H101" s="16">
        <f>H91</f>
        <v>134.59657518538</v>
      </c>
    </row>
    <row r="102" spans="1:8" ht="12.75" hidden="1" customHeight="1" x14ac:dyDescent="0.2">
      <c r="A102" s="8" t="s">
        <v>61</v>
      </c>
      <c r="B102" s="14" t="s">
        <v>65</v>
      </c>
      <c r="C102" s="14"/>
      <c r="D102" s="32">
        <f>C97</f>
        <v>0</v>
      </c>
      <c r="E102" s="245"/>
      <c r="F102" s="32">
        <f>D97</f>
        <v>0</v>
      </c>
      <c r="H102" s="32">
        <f>G97</f>
        <v>0</v>
      </c>
    </row>
    <row r="103" spans="1:8" x14ac:dyDescent="0.2">
      <c r="A103" s="463" t="s">
        <v>17</v>
      </c>
      <c r="B103" s="463"/>
      <c r="C103" s="463"/>
      <c r="D103" s="18">
        <f>SUM(D101:D102)</f>
        <v>122.36052289580002</v>
      </c>
      <c r="E103" s="246"/>
      <c r="F103" s="18">
        <f>SUM(F101:F102)</f>
        <v>134.59657518538</v>
      </c>
      <c r="H103" s="18">
        <f>SUM(H101:H102)</f>
        <v>134.59657518538</v>
      </c>
    </row>
    <row r="104" spans="1:8" x14ac:dyDescent="0.2">
      <c r="E104" s="247"/>
    </row>
    <row r="105" spans="1:8" ht="14.45" customHeight="1" x14ac:dyDescent="0.2">
      <c r="A105" s="415" t="s">
        <v>66</v>
      </c>
      <c r="B105" s="415"/>
      <c r="C105" s="415"/>
      <c r="D105" s="415"/>
      <c r="E105" s="248"/>
    </row>
    <row r="106" spans="1:8" x14ac:dyDescent="0.2">
      <c r="A106" s="49">
        <v>5</v>
      </c>
      <c r="B106" s="437" t="s">
        <v>67</v>
      </c>
      <c r="C106" s="437"/>
      <c r="D106" s="48" t="s">
        <v>5</v>
      </c>
      <c r="E106" s="242"/>
      <c r="F106" s="219" t="s">
        <v>5</v>
      </c>
      <c r="H106" s="219" t="s">
        <v>5</v>
      </c>
    </row>
    <row r="107" spans="1:8" x14ac:dyDescent="0.2">
      <c r="A107" s="8" t="s">
        <v>6</v>
      </c>
      <c r="B107" s="414" t="s">
        <v>68</v>
      </c>
      <c r="C107" s="414"/>
      <c r="D107" s="107">
        <f>'TABELA 4 Uniformes e EPIS'!$E29</f>
        <v>61.65</v>
      </c>
      <c r="E107" s="249"/>
      <c r="F107" s="107">
        <f>'TABELA 4 Uniformes e EPIS'!$E29</f>
        <v>61.65</v>
      </c>
      <c r="H107" s="107">
        <f>'TABELA 4 Uniformes e EPIS'!$E29</f>
        <v>61.65</v>
      </c>
    </row>
    <row r="108" spans="1:8" x14ac:dyDescent="0.2">
      <c r="A108" s="8" t="s">
        <v>8</v>
      </c>
      <c r="B108" s="414" t="s">
        <v>405</v>
      </c>
      <c r="C108" s="414"/>
      <c r="D108" s="107">
        <f>'TABELA 4 Uniformes e EPIS'!$E48+'TABELA 5 - Ferramentas'!$I145</f>
        <v>31.248804347826077</v>
      </c>
      <c r="E108" s="249"/>
      <c r="F108" s="107">
        <f>'TABELA 4 Uniformes e EPIS'!$E48+'TABELA 5 - Ferramentas'!$I145</f>
        <v>31.248804347826077</v>
      </c>
      <c r="H108" s="107">
        <f>'TABELA 4 Uniformes e EPIS'!$E48+'TABELA 5 - Ferramentas'!$I145</f>
        <v>31.248804347826077</v>
      </c>
    </row>
    <row r="109" spans="1:8" x14ac:dyDescent="0.2">
      <c r="A109" s="8" t="s">
        <v>9</v>
      </c>
      <c r="B109" s="414" t="s">
        <v>69</v>
      </c>
      <c r="C109" s="414"/>
      <c r="D109" s="16">
        <v>0</v>
      </c>
      <c r="E109" s="245"/>
      <c r="F109" s="16">
        <v>0</v>
      </c>
      <c r="H109" s="16">
        <v>0</v>
      </c>
    </row>
    <row r="110" spans="1:8" x14ac:dyDescent="0.2">
      <c r="A110" s="8" t="s">
        <v>11</v>
      </c>
      <c r="B110" s="414" t="s">
        <v>16</v>
      </c>
      <c r="C110" s="414"/>
      <c r="D110" s="16">
        <v>0</v>
      </c>
      <c r="E110" s="245"/>
      <c r="F110" s="16">
        <v>0</v>
      </c>
      <c r="H110" s="16">
        <v>0</v>
      </c>
    </row>
    <row r="111" spans="1:8" x14ac:dyDescent="0.2">
      <c r="A111" s="463" t="s">
        <v>17</v>
      </c>
      <c r="B111" s="463"/>
      <c r="C111" s="463"/>
      <c r="D111" s="18">
        <f>SUM(D107:D110)</f>
        <v>92.898804347826072</v>
      </c>
      <c r="E111" s="250"/>
      <c r="F111" s="18">
        <f>SUM(F107:F110)</f>
        <v>92.898804347826072</v>
      </c>
      <c r="H111" s="18">
        <f>SUM(H107:H110)</f>
        <v>92.898804347826072</v>
      </c>
    </row>
    <row r="112" spans="1:8" x14ac:dyDescent="0.2">
      <c r="A112" s="464" t="s">
        <v>78</v>
      </c>
      <c r="B112" s="464"/>
      <c r="C112" s="464"/>
      <c r="D112" s="464"/>
      <c r="E112" s="233"/>
    </row>
    <row r="114" spans="1:8" ht="14.45" customHeight="1" x14ac:dyDescent="0.2">
      <c r="A114" s="415" t="s">
        <v>70</v>
      </c>
      <c r="B114" s="415"/>
      <c r="C114" s="415"/>
      <c r="D114" s="415"/>
      <c r="E114" s="231"/>
    </row>
    <row r="115" spans="1:8" ht="12.75" customHeight="1" x14ac:dyDescent="0.2">
      <c r="A115" s="469" t="s">
        <v>116</v>
      </c>
      <c r="B115" s="469"/>
      <c r="C115" s="460" t="s">
        <v>117</v>
      </c>
      <c r="D115" s="460"/>
      <c r="E115" s="461" t="s">
        <v>117</v>
      </c>
      <c r="F115" s="462"/>
      <c r="G115" s="460" t="s">
        <v>117</v>
      </c>
      <c r="H115" s="460"/>
    </row>
    <row r="116" spans="1:8" x14ac:dyDescent="0.2">
      <c r="A116" s="47">
        <v>6</v>
      </c>
      <c r="B116" s="50" t="s">
        <v>71</v>
      </c>
      <c r="C116" s="50" t="s">
        <v>28</v>
      </c>
      <c r="D116" s="47" t="s">
        <v>5</v>
      </c>
      <c r="E116" s="218" t="s">
        <v>28</v>
      </c>
      <c r="F116" s="217" t="s">
        <v>5</v>
      </c>
      <c r="G116" s="218" t="s">
        <v>28</v>
      </c>
      <c r="H116" s="217" t="s">
        <v>5</v>
      </c>
    </row>
    <row r="117" spans="1:8" x14ac:dyDescent="0.2">
      <c r="A117" s="8" t="s">
        <v>6</v>
      </c>
      <c r="B117" s="14" t="s">
        <v>72</v>
      </c>
      <c r="C117" s="19">
        <v>0.06</v>
      </c>
      <c r="D117" s="20">
        <f>C117*D135</f>
        <v>337.75693690819367</v>
      </c>
      <c r="E117" s="19">
        <v>0.06</v>
      </c>
      <c r="F117" s="205">
        <f>$E117*F$135</f>
        <v>363.18495966509863</v>
      </c>
      <c r="G117" s="19">
        <v>0.06</v>
      </c>
      <c r="H117" s="205">
        <f>$G117*H$135</f>
        <v>359.2463179845343</v>
      </c>
    </row>
    <row r="118" spans="1:8" x14ac:dyDescent="0.2">
      <c r="A118" s="8" t="s">
        <v>8</v>
      </c>
      <c r="B118" s="14" t="s">
        <v>73</v>
      </c>
      <c r="C118" s="19">
        <v>0.05</v>
      </c>
      <c r="D118" s="20">
        <f>C118*D135</f>
        <v>281.46411409016144</v>
      </c>
      <c r="E118" s="19">
        <v>0.05</v>
      </c>
      <c r="F118" s="205">
        <f>$E118*F$135</f>
        <v>302.65413305424886</v>
      </c>
      <c r="G118" s="19">
        <v>0.05</v>
      </c>
      <c r="H118" s="205">
        <f>$G118*H$135</f>
        <v>299.37193165377857</v>
      </c>
    </row>
    <row r="119" spans="1:8" x14ac:dyDescent="0.2">
      <c r="A119" s="8" t="s">
        <v>9</v>
      </c>
      <c r="B119" s="14" t="s">
        <v>125</v>
      </c>
      <c r="C119" s="34">
        <f>SUM(C120:C122)</f>
        <v>5.6499999999999995E-2</v>
      </c>
      <c r="D119" s="20">
        <f>(D135+D118+D117)*(C119/IF(C115="Lucro presumido",91.45%,85.75%))</f>
        <v>386.04749951152479</v>
      </c>
      <c r="E119" s="34">
        <f>SUM(E120:E122)</f>
        <v>5.6499999999999995E-2</v>
      </c>
      <c r="F119" s="205">
        <f>(F$135+F$118+F$117)*($E119/IF($E115="Lucro presumido",91.45%,85.75%))</f>
        <v>415.11107609616653</v>
      </c>
      <c r="G119" s="34">
        <f>SUM(G120:G122)</f>
        <v>5.6499999999999995E-2</v>
      </c>
      <c r="H119" s="205">
        <f>(H$135+H$118+H$117)*($G119/IF($G115="Lucro presumido",91.45%,85.75%))</f>
        <v>410.60930986695951</v>
      </c>
    </row>
    <row r="120" spans="1:8" x14ac:dyDescent="0.2">
      <c r="A120" s="8" t="s">
        <v>120</v>
      </c>
      <c r="B120" s="14" t="s">
        <v>119</v>
      </c>
      <c r="C120" s="34">
        <f>IF(C115="Lucro presumido",0.65%,1.65%)</f>
        <v>6.5000000000000006E-3</v>
      </c>
      <c r="D120" s="35" t="s">
        <v>118</v>
      </c>
      <c r="E120" s="34">
        <f>IF(E115="Lucro presumido",0.65%,1.65%)</f>
        <v>6.5000000000000006E-3</v>
      </c>
      <c r="F120" s="35" t="s">
        <v>118</v>
      </c>
      <c r="G120" s="34">
        <f>IF(G115="Lucro presumido",0.65%,1.65%)</f>
        <v>6.5000000000000006E-3</v>
      </c>
      <c r="H120" s="35" t="s">
        <v>118</v>
      </c>
    </row>
    <row r="121" spans="1:8" x14ac:dyDescent="0.2">
      <c r="A121" s="8" t="s">
        <v>122</v>
      </c>
      <c r="B121" s="14" t="s">
        <v>121</v>
      </c>
      <c r="C121" s="34">
        <f>IF(C115="Lucro presumido",3%,7.6%)</f>
        <v>0.03</v>
      </c>
      <c r="D121" s="35" t="s">
        <v>118</v>
      </c>
      <c r="E121" s="34">
        <f>IF(E115="Lucro presumido",3%,7.6%)</f>
        <v>0.03</v>
      </c>
      <c r="F121" s="35" t="s">
        <v>118</v>
      </c>
      <c r="G121" s="34">
        <f>IF(G115="Lucro presumido",3%,7.6%)</f>
        <v>0.03</v>
      </c>
      <c r="H121" s="35" t="s">
        <v>118</v>
      </c>
    </row>
    <row r="122" spans="1:8" x14ac:dyDescent="0.2">
      <c r="A122" s="8" t="s">
        <v>124</v>
      </c>
      <c r="B122" s="14" t="s">
        <v>123</v>
      </c>
      <c r="C122" s="34">
        <v>0.02</v>
      </c>
      <c r="D122" s="35" t="s">
        <v>118</v>
      </c>
      <c r="E122" s="34">
        <v>0.02</v>
      </c>
      <c r="F122" s="35" t="s">
        <v>118</v>
      </c>
      <c r="G122" s="34">
        <v>0.02</v>
      </c>
      <c r="H122" s="35" t="s">
        <v>118</v>
      </c>
    </row>
    <row r="123" spans="1:8" ht="25.5" x14ac:dyDescent="0.2">
      <c r="A123" s="26" t="s">
        <v>11</v>
      </c>
      <c r="B123" s="63" t="s">
        <v>127</v>
      </c>
      <c r="C123" s="36">
        <v>4.4999999999999998E-2</v>
      </c>
      <c r="D123" s="37">
        <f>(D135+D118+D117)*(C123/IF(C115="Lucro presumido",91.45%,85.75%))</f>
        <v>307.47145978794015</v>
      </c>
      <c r="E123" s="36">
        <v>4.4999999999999998E-2</v>
      </c>
      <c r="F123" s="208">
        <f>(F$135+F$118+F$117)*($E123/IF($E115="Lucro presumido",91.45%,85.75%))</f>
        <v>330.6194411385398</v>
      </c>
      <c r="G123" s="36">
        <v>4.4999999999999998E-2</v>
      </c>
      <c r="H123" s="208">
        <f>(H$135+H$118+H$117)*($G123/IF($G115="Lucro presumido",91.45%,85.75%))</f>
        <v>327.03396361085277</v>
      </c>
    </row>
    <row r="124" spans="1:8" x14ac:dyDescent="0.2">
      <c r="A124" s="463" t="s">
        <v>17</v>
      </c>
      <c r="B124" s="463"/>
      <c r="C124" s="21">
        <f>SUM(C117:C119)+(C123)</f>
        <v>0.21149999999999997</v>
      </c>
      <c r="D124" s="22">
        <f>SUM(D117:D123)</f>
        <v>1312.7400102978202</v>
      </c>
      <c r="E124" s="21">
        <f>SUM(E117:E119)+(E123)</f>
        <v>0.21149999999999997</v>
      </c>
      <c r="F124" s="207">
        <f>SUM(F117:F123)</f>
        <v>1411.5696099540537</v>
      </c>
      <c r="G124" s="21">
        <f>SUM(G117:G119)+(G123)</f>
        <v>0.21149999999999997</v>
      </c>
      <c r="H124" s="207">
        <f>SUM(H117:H123)</f>
        <v>1396.2615231161253</v>
      </c>
    </row>
    <row r="125" spans="1:8" x14ac:dyDescent="0.2">
      <c r="A125" s="464" t="s">
        <v>79</v>
      </c>
      <c r="B125" s="464"/>
      <c r="C125" s="464"/>
      <c r="D125" s="464"/>
      <c r="E125" s="233"/>
    </row>
    <row r="126" spans="1:8" ht="27" customHeight="1" x14ac:dyDescent="0.2">
      <c r="A126" s="464" t="s">
        <v>126</v>
      </c>
      <c r="B126" s="464"/>
      <c r="C126" s="464"/>
      <c r="D126" s="464"/>
      <c r="E126" s="233"/>
    </row>
    <row r="128" spans="1:8" ht="14.45" customHeight="1" x14ac:dyDescent="0.2">
      <c r="A128" s="415" t="s">
        <v>112</v>
      </c>
      <c r="B128" s="415"/>
      <c r="C128" s="415"/>
      <c r="D128" s="415"/>
      <c r="E128" s="231"/>
    </row>
    <row r="129" spans="1:8" x14ac:dyDescent="0.2">
      <c r="A129" s="466" t="s">
        <v>80</v>
      </c>
      <c r="B129" s="467"/>
      <c r="C129" s="468"/>
      <c r="D129" s="48" t="s">
        <v>74</v>
      </c>
      <c r="E129" s="242"/>
      <c r="F129" s="219" t="s">
        <v>74</v>
      </c>
      <c r="H129" s="219" t="s">
        <v>74</v>
      </c>
    </row>
    <row r="130" spans="1:8" x14ac:dyDescent="0.2">
      <c r="A130" s="26" t="s">
        <v>6</v>
      </c>
      <c r="B130" s="438" t="s">
        <v>75</v>
      </c>
      <c r="C130" s="438"/>
      <c r="D130" s="16">
        <f>D19</f>
        <v>2819.81</v>
      </c>
      <c r="E130" s="292"/>
      <c r="F130" s="203">
        <f>F19</f>
        <v>3101.7910000000002</v>
      </c>
      <c r="G130" s="293"/>
      <c r="H130" s="211">
        <f>H19</f>
        <v>3101.7910000000002</v>
      </c>
    </row>
    <row r="131" spans="1:8" ht="30" customHeight="1" x14ac:dyDescent="0.2">
      <c r="A131" s="26" t="s">
        <v>8</v>
      </c>
      <c r="B131" s="438" t="s">
        <v>19</v>
      </c>
      <c r="C131" s="438"/>
      <c r="D131" s="16">
        <f>D65</f>
        <v>2368.6286844019005</v>
      </c>
      <c r="E131" s="292"/>
      <c r="F131" s="203">
        <f>F65</f>
        <v>2475.6535843783004</v>
      </c>
      <c r="G131" s="293"/>
      <c r="H131" s="211">
        <f>H65</f>
        <v>2475.6535843783004</v>
      </c>
    </row>
    <row r="132" spans="1:8" x14ac:dyDescent="0.2">
      <c r="A132" s="26" t="s">
        <v>9</v>
      </c>
      <c r="B132" s="438" t="s">
        <v>76</v>
      </c>
      <c r="C132" s="438"/>
      <c r="D132" s="16">
        <f>D76</f>
        <v>225.58427015770098</v>
      </c>
      <c r="E132" s="292"/>
      <c r="F132" s="203">
        <f>F76</f>
        <v>248.14269717347116</v>
      </c>
      <c r="G132" s="293"/>
      <c r="H132" s="203">
        <f>H76</f>
        <v>182.49866916406512</v>
      </c>
    </row>
    <row r="133" spans="1:8" ht="30" customHeight="1" x14ac:dyDescent="0.2">
      <c r="A133" s="26" t="s">
        <v>11</v>
      </c>
      <c r="B133" s="438" t="s">
        <v>53</v>
      </c>
      <c r="C133" s="438"/>
      <c r="D133" s="16">
        <f>D103</f>
        <v>122.36052289580002</v>
      </c>
      <c r="E133" s="292"/>
      <c r="F133" s="203">
        <f>F103</f>
        <v>134.59657518538</v>
      </c>
      <c r="G133" s="293"/>
      <c r="H133" s="211">
        <f>H103</f>
        <v>134.59657518538</v>
      </c>
    </row>
    <row r="134" spans="1:8" x14ac:dyDescent="0.2">
      <c r="A134" s="26" t="s">
        <v>13</v>
      </c>
      <c r="B134" s="438" t="s">
        <v>66</v>
      </c>
      <c r="C134" s="438"/>
      <c r="D134" s="16">
        <f>D111</f>
        <v>92.898804347826072</v>
      </c>
      <c r="E134" s="292"/>
      <c r="F134" s="211">
        <f>F111</f>
        <v>92.898804347826072</v>
      </c>
      <c r="G134" s="293"/>
      <c r="H134" s="211">
        <f>H111</f>
        <v>92.898804347826072</v>
      </c>
    </row>
    <row r="135" spans="1:8" x14ac:dyDescent="0.2">
      <c r="A135" s="463" t="s">
        <v>77</v>
      </c>
      <c r="B135" s="463"/>
      <c r="C135" s="463"/>
      <c r="D135" s="18">
        <f>SUM(D130:D134)</f>
        <v>5629.2822818032282</v>
      </c>
      <c r="E135" s="294"/>
      <c r="F135" s="204">
        <f>SUM(F130:F134)</f>
        <v>6053.0826610849772</v>
      </c>
      <c r="G135" s="293"/>
      <c r="H135" s="204">
        <f>SUM(H130:H134)</f>
        <v>5987.4386330755715</v>
      </c>
    </row>
    <row r="136" spans="1:8" x14ac:dyDescent="0.2">
      <c r="A136" s="8" t="s">
        <v>15</v>
      </c>
      <c r="B136" s="414" t="s">
        <v>70</v>
      </c>
      <c r="C136" s="414"/>
      <c r="D136" s="16">
        <f>D124</f>
        <v>1312.7400102978202</v>
      </c>
      <c r="E136" s="292"/>
      <c r="F136" s="203">
        <f>F124</f>
        <v>1411.5696099540537</v>
      </c>
      <c r="G136" s="293"/>
      <c r="H136" s="203">
        <f>H124</f>
        <v>1396.2615231161253</v>
      </c>
    </row>
    <row r="137" spans="1:8" x14ac:dyDescent="0.2">
      <c r="A137" s="415" t="s">
        <v>436</v>
      </c>
      <c r="B137" s="415"/>
      <c r="C137" s="415"/>
      <c r="D137" s="38">
        <f>SUM(D135:D136)</f>
        <v>6942.0222921010482</v>
      </c>
      <c r="E137" s="251"/>
      <c r="F137" s="209">
        <f>SUM(F135:F136)</f>
        <v>7464.6522710390309</v>
      </c>
      <c r="H137" s="209">
        <f>SUM(H135:H136)</f>
        <v>7383.7001561916968</v>
      </c>
    </row>
    <row r="140" spans="1:8" ht="153" customHeight="1" x14ac:dyDescent="0.2">
      <c r="A140" s="465" t="s">
        <v>469</v>
      </c>
      <c r="B140" s="465"/>
      <c r="C140" s="465"/>
      <c r="D140" s="465"/>
      <c r="E140" s="240"/>
    </row>
  </sheetData>
  <mergeCells count="83">
    <mergeCell ref="A137:C137"/>
    <mergeCell ref="A140:D140"/>
    <mergeCell ref="B131:C131"/>
    <mergeCell ref="B132:C132"/>
    <mergeCell ref="B133:C133"/>
    <mergeCell ref="B134:C134"/>
    <mergeCell ref="A135:C135"/>
    <mergeCell ref="B136:C136"/>
    <mergeCell ref="B130:C130"/>
    <mergeCell ref="B109:C109"/>
    <mergeCell ref="B110:C110"/>
    <mergeCell ref="A111:C111"/>
    <mergeCell ref="A112:D112"/>
    <mergeCell ref="A114:D114"/>
    <mergeCell ref="A115:B115"/>
    <mergeCell ref="C115:D115"/>
    <mergeCell ref="A124:B124"/>
    <mergeCell ref="A125:D125"/>
    <mergeCell ref="A126:D126"/>
    <mergeCell ref="A128:D128"/>
    <mergeCell ref="A129:C129"/>
    <mergeCell ref="B108:C108"/>
    <mergeCell ref="A91:B91"/>
    <mergeCell ref="A92:D92"/>
    <mergeCell ref="A94:D94"/>
    <mergeCell ref="A97:B97"/>
    <mergeCell ref="A99:D99"/>
    <mergeCell ref="B100:C100"/>
    <mergeCell ref="B101:C101"/>
    <mergeCell ref="A103:C103"/>
    <mergeCell ref="A105:D105"/>
    <mergeCell ref="B106:C106"/>
    <mergeCell ref="B107:C107"/>
    <mergeCell ref="A83:D83"/>
    <mergeCell ref="B61:C61"/>
    <mergeCell ref="B62:C62"/>
    <mergeCell ref="B63:C63"/>
    <mergeCell ref="B64:C64"/>
    <mergeCell ref="A65:C65"/>
    <mergeCell ref="A67:D67"/>
    <mergeCell ref="A76:B76"/>
    <mergeCell ref="A77:D77"/>
    <mergeCell ref="A78:D78"/>
    <mergeCell ref="A80:D80"/>
    <mergeCell ref="A81:D81"/>
    <mergeCell ref="A60:D60"/>
    <mergeCell ref="A32:D32"/>
    <mergeCell ref="A42:B42"/>
    <mergeCell ref="A43:D43"/>
    <mergeCell ref="A44:D44"/>
    <mergeCell ref="A45:D45"/>
    <mergeCell ref="A46:D46"/>
    <mergeCell ref="A47:D47"/>
    <mergeCell ref="A49:D49"/>
    <mergeCell ref="A56:C56"/>
    <mergeCell ref="A57:D57"/>
    <mergeCell ref="A58:D58"/>
    <mergeCell ref="A22:D22"/>
    <mergeCell ref="A23:D23"/>
    <mergeCell ref="A27:B27"/>
    <mergeCell ref="A28:D28"/>
    <mergeCell ref="A29:D29"/>
    <mergeCell ref="B16:C16"/>
    <mergeCell ref="B17:C17"/>
    <mergeCell ref="B18:C18"/>
    <mergeCell ref="A19:C19"/>
    <mergeCell ref="A20:D20"/>
    <mergeCell ref="G115:H115"/>
    <mergeCell ref="E115:F115"/>
    <mergeCell ref="B14:C14"/>
    <mergeCell ref="A1:D1"/>
    <mergeCell ref="A3:D3"/>
    <mergeCell ref="C4:D4"/>
    <mergeCell ref="C5:D5"/>
    <mergeCell ref="C6:D6"/>
    <mergeCell ref="C7:D7"/>
    <mergeCell ref="C8:D8"/>
    <mergeCell ref="C9:D9"/>
    <mergeCell ref="A11:D11"/>
    <mergeCell ref="B12:C12"/>
    <mergeCell ref="B13:C13"/>
    <mergeCell ref="A30:D30"/>
    <mergeCell ref="B15:C15"/>
  </mergeCells>
  <dataValidations disablePrompts="1" count="1">
    <dataValidation type="list" allowBlank="1" showInputMessage="1" showErrorMessage="1" sqref="G115 C115:E115" xr:uid="{00000000-0002-0000-0D00-000000000000}">
      <formula1>"Lucro presumido,Lucro real"</formula1>
    </dataValidation>
  </dataValidations>
  <pageMargins left="0.511811024" right="0.511811024" top="0.78740157499999996" bottom="0.78740157499999996" header="0.31496062000000002" footer="0.31496062000000002"/>
  <pageSetup paperSize="9"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pageSetUpPr fitToPage="1"/>
  </sheetPr>
  <dimension ref="A1:O139"/>
  <sheetViews>
    <sheetView showGridLines="0" zoomScaleNormal="100" workbookViewId="0">
      <selection activeCell="N24" sqref="N24"/>
    </sheetView>
  </sheetViews>
  <sheetFormatPr defaultColWidth="8.7109375" defaultRowHeight="12.75" x14ac:dyDescent="0.2"/>
  <cols>
    <col min="1" max="1" width="8.28515625" style="1" customWidth="1"/>
    <col min="2" max="2" width="46.140625" style="12" customWidth="1"/>
    <col min="3" max="3" width="15.140625" style="12" customWidth="1"/>
    <col min="4" max="4" width="16.85546875" style="1" customWidth="1"/>
    <col min="5" max="6" width="19" style="1" bestFit="1" customWidth="1"/>
    <col min="7" max="7" width="18.7109375" style="1" bestFit="1" customWidth="1"/>
    <col min="8" max="9" width="18.7109375" style="1" customWidth="1"/>
    <col min="10" max="10" width="17.28515625" style="1" bestFit="1" customWidth="1"/>
    <col min="11" max="14" width="8.7109375" style="1"/>
    <col min="15" max="15" width="9.28515625" style="1" bestFit="1" customWidth="1"/>
    <col min="16" max="16384" width="8.7109375" style="1"/>
  </cols>
  <sheetData>
    <row r="1" spans="1:10" x14ac:dyDescent="0.2">
      <c r="A1" s="476" t="s">
        <v>92</v>
      </c>
      <c r="B1" s="476"/>
      <c r="C1" s="476"/>
      <c r="D1" s="476"/>
    </row>
    <row r="3" spans="1:10" x14ac:dyDescent="0.2">
      <c r="A3" s="477" t="s">
        <v>0</v>
      </c>
      <c r="B3" s="477"/>
      <c r="C3" s="477"/>
      <c r="D3" s="477"/>
    </row>
    <row r="4" spans="1:10" ht="25.5" x14ac:dyDescent="0.2">
      <c r="A4" s="43">
        <v>1</v>
      </c>
      <c r="B4" s="3" t="s">
        <v>1</v>
      </c>
      <c r="C4" s="454" t="s">
        <v>145</v>
      </c>
      <c r="D4" s="454"/>
    </row>
    <row r="5" spans="1:10" x14ac:dyDescent="0.2">
      <c r="A5" s="4">
        <v>2</v>
      </c>
      <c r="B5" s="5" t="s">
        <v>2</v>
      </c>
      <c r="C5" s="455"/>
      <c r="D5" s="455"/>
    </row>
    <row r="6" spans="1:10" x14ac:dyDescent="0.2">
      <c r="A6" s="4">
        <v>3</v>
      </c>
      <c r="B6" s="5" t="s">
        <v>95</v>
      </c>
      <c r="C6" s="478"/>
      <c r="D6" s="478"/>
    </row>
    <row r="7" spans="1:10" ht="32.1" customHeight="1" x14ac:dyDescent="0.2">
      <c r="A7" s="4">
        <v>4</v>
      </c>
      <c r="B7" s="5" t="s">
        <v>96</v>
      </c>
      <c r="C7" s="425" t="s">
        <v>467</v>
      </c>
      <c r="D7" s="426"/>
    </row>
    <row r="8" spans="1:10" x14ac:dyDescent="0.2">
      <c r="A8" s="4">
        <v>5</v>
      </c>
      <c r="B8" s="5" t="s">
        <v>3</v>
      </c>
      <c r="C8" s="458" t="s">
        <v>519</v>
      </c>
      <c r="D8" s="455"/>
      <c r="E8" s="229"/>
      <c r="F8" s="229" t="s">
        <v>570</v>
      </c>
    </row>
    <row r="9" spans="1:10" x14ac:dyDescent="0.2">
      <c r="A9" s="4">
        <v>6</v>
      </c>
      <c r="B9" s="5" t="s">
        <v>97</v>
      </c>
      <c r="C9" s="458" t="s">
        <v>518</v>
      </c>
      <c r="D9" s="455"/>
      <c r="E9" s="230"/>
      <c r="F9" s="230" t="s">
        <v>577</v>
      </c>
    </row>
    <row r="10" spans="1:10" x14ac:dyDescent="0.2">
      <c r="E10" s="221"/>
      <c r="F10" s="221" t="s">
        <v>578</v>
      </c>
      <c r="G10" s="221" t="s">
        <v>597</v>
      </c>
      <c r="H10" s="221"/>
      <c r="I10" s="221" t="s">
        <v>596</v>
      </c>
      <c r="J10" s="1" t="s">
        <v>580</v>
      </c>
    </row>
    <row r="11" spans="1:10" ht="51" x14ac:dyDescent="0.2">
      <c r="A11" s="415" t="s">
        <v>75</v>
      </c>
      <c r="B11" s="415"/>
      <c r="C11" s="415"/>
      <c r="D11" s="415"/>
      <c r="E11" s="297"/>
      <c r="F11" s="52" t="s">
        <v>573</v>
      </c>
      <c r="G11" s="298" t="s">
        <v>579</v>
      </c>
      <c r="H11" s="298"/>
      <c r="I11" s="252" t="s">
        <v>595</v>
      </c>
      <c r="J11" s="298" t="s">
        <v>581</v>
      </c>
    </row>
    <row r="12" spans="1:10" x14ac:dyDescent="0.2">
      <c r="A12" s="40">
        <v>1</v>
      </c>
      <c r="B12" s="477" t="s">
        <v>4</v>
      </c>
      <c r="C12" s="477"/>
      <c r="D12" s="42" t="s">
        <v>5</v>
      </c>
      <c r="E12" s="242"/>
      <c r="F12" s="218" t="s">
        <v>5</v>
      </c>
      <c r="G12" s="343" t="s">
        <v>5</v>
      </c>
      <c r="H12" s="242"/>
      <c r="I12" s="343"/>
      <c r="J12" s="218" t="s">
        <v>5</v>
      </c>
    </row>
    <row r="13" spans="1:10" x14ac:dyDescent="0.2">
      <c r="A13" s="8" t="s">
        <v>6</v>
      </c>
      <c r="B13" s="414" t="s">
        <v>7</v>
      </c>
      <c r="C13" s="414"/>
      <c r="D13" s="114">
        <v>2590.09</v>
      </c>
      <c r="E13" s="243"/>
      <c r="F13" s="114">
        <f>D13</f>
        <v>2590.09</v>
      </c>
      <c r="G13" s="200">
        <f>F13*1.055</f>
        <v>2732.54495</v>
      </c>
      <c r="H13" s="355"/>
      <c r="I13" s="200">
        <f>G13</f>
        <v>2732.54495</v>
      </c>
      <c r="J13" s="200">
        <f>I13+(G13-F13)</f>
        <v>2874.9998999999998</v>
      </c>
    </row>
    <row r="14" spans="1:10" x14ac:dyDescent="0.2">
      <c r="A14" s="8" t="s">
        <v>8</v>
      </c>
      <c r="B14" s="414" t="s">
        <v>129</v>
      </c>
      <c r="C14" s="414"/>
      <c r="D14" s="10" t="s">
        <v>118</v>
      </c>
      <c r="E14" s="244"/>
      <c r="F14" s="10" t="s">
        <v>118</v>
      </c>
      <c r="G14" s="10" t="s">
        <v>118</v>
      </c>
      <c r="H14" s="244"/>
      <c r="I14" s="10"/>
      <c r="J14" s="10" t="s">
        <v>118</v>
      </c>
    </row>
    <row r="15" spans="1:10" x14ac:dyDescent="0.2">
      <c r="A15" s="8" t="s">
        <v>9</v>
      </c>
      <c r="B15" s="414" t="s">
        <v>10</v>
      </c>
      <c r="C15" s="414"/>
      <c r="D15" s="10" t="s">
        <v>118</v>
      </c>
      <c r="E15" s="244"/>
      <c r="F15" s="10" t="s">
        <v>118</v>
      </c>
      <c r="G15" s="10" t="s">
        <v>118</v>
      </c>
      <c r="H15" s="244"/>
      <c r="I15" s="10"/>
      <c r="J15" s="10" t="s">
        <v>118</v>
      </c>
    </row>
    <row r="16" spans="1:10" x14ac:dyDescent="0.2">
      <c r="A16" s="8" t="s">
        <v>11</v>
      </c>
      <c r="B16" s="414" t="s">
        <v>12</v>
      </c>
      <c r="C16" s="414"/>
      <c r="D16" s="295" t="s">
        <v>118</v>
      </c>
      <c r="E16" s="244"/>
      <c r="F16" s="295" t="s">
        <v>118</v>
      </c>
      <c r="G16" s="295" t="s">
        <v>118</v>
      </c>
      <c r="H16" s="356"/>
      <c r="I16" s="295"/>
      <c r="J16" s="295" t="s">
        <v>118</v>
      </c>
    </row>
    <row r="17" spans="1:10" x14ac:dyDescent="0.2">
      <c r="A17" s="8" t="s">
        <v>13</v>
      </c>
      <c r="B17" s="414" t="s">
        <v>14</v>
      </c>
      <c r="C17" s="414"/>
      <c r="D17" s="10" t="s">
        <v>118</v>
      </c>
      <c r="E17" s="244"/>
      <c r="F17" s="10" t="s">
        <v>118</v>
      </c>
      <c r="G17" s="10" t="s">
        <v>118</v>
      </c>
      <c r="H17" s="244"/>
      <c r="I17" s="10"/>
      <c r="J17" s="10" t="s">
        <v>118</v>
      </c>
    </row>
    <row r="18" spans="1:10" x14ac:dyDescent="0.2">
      <c r="A18" s="8" t="s">
        <v>15</v>
      </c>
      <c r="B18" s="414" t="s">
        <v>16</v>
      </c>
      <c r="C18" s="414"/>
      <c r="D18" s="10" t="s">
        <v>118</v>
      </c>
      <c r="E18" s="244"/>
      <c r="F18" s="10" t="s">
        <v>118</v>
      </c>
      <c r="G18" s="10" t="s">
        <v>118</v>
      </c>
      <c r="H18" s="244"/>
      <c r="I18" s="10"/>
      <c r="J18" s="10" t="s">
        <v>118</v>
      </c>
    </row>
    <row r="19" spans="1:10" x14ac:dyDescent="0.2">
      <c r="A19" s="463" t="s">
        <v>17</v>
      </c>
      <c r="B19" s="463"/>
      <c r="C19" s="463"/>
      <c r="D19" s="11">
        <f>SUM(D13:D18)</f>
        <v>2590.09</v>
      </c>
      <c r="E19" s="243"/>
      <c r="F19" s="11">
        <f>SUM(F13:F18)</f>
        <v>2590.09</v>
      </c>
      <c r="G19" s="202">
        <f>SUM(G13:G18)</f>
        <v>2732.54495</v>
      </c>
      <c r="H19" s="355"/>
      <c r="I19" s="202">
        <f>SUM(I13:I18)</f>
        <v>2732.54495</v>
      </c>
      <c r="J19" s="202">
        <f>SUM(J13:J18)</f>
        <v>2874.9998999999998</v>
      </c>
    </row>
    <row r="20" spans="1:10" ht="24" customHeight="1" x14ac:dyDescent="0.2">
      <c r="A20" s="481" t="s">
        <v>18</v>
      </c>
      <c r="B20" s="481"/>
      <c r="C20" s="481"/>
      <c r="D20" s="481"/>
      <c r="E20" s="233"/>
      <c r="F20" s="221"/>
      <c r="G20" s="221"/>
      <c r="H20" s="221"/>
      <c r="I20" s="221"/>
      <c r="J20" s="221"/>
    </row>
    <row r="21" spans="1:10" x14ac:dyDescent="0.2">
      <c r="E21" s="221"/>
      <c r="F21" s="221"/>
      <c r="G21" s="221"/>
      <c r="H21" s="221"/>
      <c r="I21" s="221"/>
      <c r="J21" s="221"/>
    </row>
    <row r="22" spans="1:10" x14ac:dyDescent="0.2">
      <c r="A22" s="415" t="s">
        <v>19</v>
      </c>
      <c r="B22" s="415"/>
      <c r="C22" s="415"/>
      <c r="D22" s="415"/>
      <c r="E22" s="231"/>
      <c r="F22" s="221"/>
      <c r="G22" s="221"/>
      <c r="H22" s="221"/>
      <c r="I22" s="221"/>
      <c r="J22" s="221"/>
    </row>
    <row r="23" spans="1:10" x14ac:dyDescent="0.2">
      <c r="A23" s="463" t="s">
        <v>24</v>
      </c>
      <c r="B23" s="463"/>
      <c r="C23" s="463"/>
      <c r="D23" s="463"/>
      <c r="E23" s="234"/>
      <c r="F23" s="221"/>
      <c r="G23" s="221"/>
      <c r="H23" s="221"/>
      <c r="I23" s="221"/>
      <c r="J23" s="221"/>
    </row>
    <row r="24" spans="1:10" ht="25.5" x14ac:dyDescent="0.2">
      <c r="A24" s="39" t="s">
        <v>20</v>
      </c>
      <c r="B24" s="39" t="s">
        <v>21</v>
      </c>
      <c r="C24" s="43" t="s">
        <v>28</v>
      </c>
      <c r="D24" s="39" t="s">
        <v>5</v>
      </c>
      <c r="E24" s="219" t="s">
        <v>28</v>
      </c>
      <c r="F24" s="220" t="s">
        <v>5</v>
      </c>
      <c r="G24" s="220" t="s">
        <v>5</v>
      </c>
      <c r="H24" s="344" t="s">
        <v>28</v>
      </c>
      <c r="I24" s="345" t="s">
        <v>5</v>
      </c>
      <c r="J24" s="220" t="s">
        <v>5</v>
      </c>
    </row>
    <row r="25" spans="1:10" x14ac:dyDescent="0.2">
      <c r="A25" s="8" t="s">
        <v>6</v>
      </c>
      <c r="B25" s="14" t="s">
        <v>22</v>
      </c>
      <c r="C25" s="15">
        <v>9.0899999999999995E-2</v>
      </c>
      <c r="D25" s="16">
        <f>C25*$D$19</f>
        <v>235.43918099999999</v>
      </c>
      <c r="E25" s="15">
        <v>9.0899999999999995E-2</v>
      </c>
      <c r="F25" s="16">
        <f>E25*F$19</f>
        <v>235.43918099999999</v>
      </c>
      <c r="G25" s="203">
        <f>$E25*G$19</f>
        <v>248.38833595499997</v>
      </c>
      <c r="H25" s="15">
        <v>9.0899999999999995E-2</v>
      </c>
      <c r="I25" s="16">
        <f>H25*I$19</f>
        <v>248.38833595499997</v>
      </c>
      <c r="J25" s="203">
        <f>H25*J$19</f>
        <v>261.33749090999999</v>
      </c>
    </row>
    <row r="26" spans="1:10" x14ac:dyDescent="0.2">
      <c r="A26" s="8" t="s">
        <v>8</v>
      </c>
      <c r="B26" s="14" t="s">
        <v>23</v>
      </c>
      <c r="C26" s="15">
        <v>0.1212</v>
      </c>
      <c r="D26" s="16">
        <f>C26*$D$19</f>
        <v>313.91890800000004</v>
      </c>
      <c r="E26" s="15">
        <v>0.1212</v>
      </c>
      <c r="F26" s="16">
        <f>E26*F$19</f>
        <v>313.91890800000004</v>
      </c>
      <c r="G26" s="203">
        <f>$E26*G$19</f>
        <v>331.18444793999998</v>
      </c>
      <c r="H26" s="15">
        <v>0.1212</v>
      </c>
      <c r="I26" s="16">
        <f>H26*I$19</f>
        <v>331.18444793999998</v>
      </c>
      <c r="J26" s="203">
        <f>H26*J$19</f>
        <v>348.44998787999998</v>
      </c>
    </row>
    <row r="27" spans="1:10" x14ac:dyDescent="0.2">
      <c r="A27" s="463" t="s">
        <v>17</v>
      </c>
      <c r="B27" s="463"/>
      <c r="C27" s="17">
        <f>SUM(C25:C26)</f>
        <v>0.21210000000000001</v>
      </c>
      <c r="D27" s="18">
        <f>SUM(D25:D26)</f>
        <v>549.35808900000006</v>
      </c>
      <c r="E27" s="17">
        <f t="shared" ref="E27" si="0">SUM(E25:E26)</f>
        <v>0.21210000000000001</v>
      </c>
      <c r="F27" s="18">
        <f t="shared" ref="F27:J27" si="1">SUM(F25:F26)</f>
        <v>549.35808900000006</v>
      </c>
      <c r="G27" s="204">
        <f t="shared" si="1"/>
        <v>579.57278389499993</v>
      </c>
      <c r="H27" s="17">
        <f t="shared" si="1"/>
        <v>0.21210000000000001</v>
      </c>
      <c r="I27" s="18">
        <f t="shared" ref="I27" si="2">SUM(I25:I26)</f>
        <v>579.57278389499993</v>
      </c>
      <c r="J27" s="204">
        <f t="shared" si="1"/>
        <v>609.78747879000002</v>
      </c>
    </row>
    <row r="28" spans="1:10" ht="39" customHeight="1" x14ac:dyDescent="0.2">
      <c r="A28" s="464" t="s">
        <v>468</v>
      </c>
      <c r="B28" s="464"/>
      <c r="C28" s="464"/>
      <c r="D28" s="464"/>
      <c r="E28" s="233"/>
      <c r="F28" s="221"/>
      <c r="G28" s="221"/>
      <c r="H28" s="221"/>
      <c r="I28" s="221"/>
      <c r="J28" s="221"/>
    </row>
    <row r="29" spans="1:10" ht="24.75" customHeight="1" x14ac:dyDescent="0.2">
      <c r="A29" s="464" t="s">
        <v>99</v>
      </c>
      <c r="B29" s="464"/>
      <c r="C29" s="464"/>
      <c r="D29" s="464"/>
      <c r="E29" s="233"/>
      <c r="F29" s="221"/>
      <c r="G29" s="221"/>
      <c r="H29" s="221"/>
      <c r="I29" s="221"/>
      <c r="J29" s="221"/>
    </row>
    <row r="30" spans="1:10" ht="40.5" customHeight="1" x14ac:dyDescent="0.2">
      <c r="A30" s="464" t="s">
        <v>100</v>
      </c>
      <c r="B30" s="464"/>
      <c r="C30" s="464"/>
      <c r="D30" s="464"/>
      <c r="E30" s="233"/>
      <c r="F30" s="221"/>
      <c r="G30" s="221"/>
      <c r="H30" s="221"/>
      <c r="I30" s="221"/>
      <c r="J30" s="221"/>
    </row>
    <row r="31" spans="1:10" x14ac:dyDescent="0.2">
      <c r="E31" s="221"/>
      <c r="F31" s="221"/>
      <c r="G31" s="221"/>
      <c r="H31" s="221"/>
      <c r="I31" s="221"/>
      <c r="J31" s="221"/>
    </row>
    <row r="32" spans="1:10" ht="33" customHeight="1" x14ac:dyDescent="0.2">
      <c r="A32" s="470" t="s">
        <v>25</v>
      </c>
      <c r="B32" s="470"/>
      <c r="C32" s="470"/>
      <c r="D32" s="470"/>
      <c r="E32" s="235"/>
      <c r="F32" s="221"/>
      <c r="G32" s="221"/>
      <c r="H32" s="221"/>
      <c r="I32" s="221"/>
      <c r="J32" s="221"/>
    </row>
    <row r="33" spans="1:15" x14ac:dyDescent="0.2">
      <c r="A33" s="40" t="s">
        <v>26</v>
      </c>
      <c r="B33" s="42" t="s">
        <v>27</v>
      </c>
      <c r="C33" s="42" t="s">
        <v>28</v>
      </c>
      <c r="D33" s="40" t="s">
        <v>5</v>
      </c>
      <c r="E33" s="218" t="s">
        <v>28</v>
      </c>
      <c r="F33" s="217" t="s">
        <v>5</v>
      </c>
      <c r="G33" s="217" t="s">
        <v>5</v>
      </c>
      <c r="H33" s="343" t="s">
        <v>28</v>
      </c>
      <c r="I33" s="346" t="s">
        <v>5</v>
      </c>
      <c r="J33" s="217" t="s">
        <v>5</v>
      </c>
    </row>
    <row r="34" spans="1:15" x14ac:dyDescent="0.2">
      <c r="A34" s="8" t="s">
        <v>6</v>
      </c>
      <c r="B34" s="14" t="s">
        <v>29</v>
      </c>
      <c r="C34" s="19">
        <v>0</v>
      </c>
      <c r="D34" s="20">
        <f t="shared" ref="D34:D40" si="3">C34*($D$19+$D$27)</f>
        <v>0</v>
      </c>
      <c r="E34" s="19">
        <v>0</v>
      </c>
      <c r="F34" s="20">
        <f t="shared" ref="F34:J41" si="4">$E34*(F$19+F$27)</f>
        <v>0</v>
      </c>
      <c r="G34" s="20">
        <f t="shared" si="4"/>
        <v>0</v>
      </c>
      <c r="H34" s="19">
        <v>0</v>
      </c>
      <c r="I34" s="20">
        <f t="shared" si="4"/>
        <v>0</v>
      </c>
      <c r="J34" s="20">
        <f t="shared" si="4"/>
        <v>0</v>
      </c>
    </row>
    <row r="35" spans="1:15" x14ac:dyDescent="0.2">
      <c r="A35" s="8" t="s">
        <v>8</v>
      </c>
      <c r="B35" s="14" t="s">
        <v>30</v>
      </c>
      <c r="C35" s="19">
        <v>2.5000000000000001E-2</v>
      </c>
      <c r="D35" s="20">
        <f t="shared" si="3"/>
        <v>78.486202225000014</v>
      </c>
      <c r="E35" s="19">
        <v>2.5000000000000001E-2</v>
      </c>
      <c r="F35" s="20">
        <f t="shared" si="4"/>
        <v>78.486202225000014</v>
      </c>
      <c r="G35" s="205">
        <f t="shared" si="4"/>
        <v>82.802943347375006</v>
      </c>
      <c r="H35" s="19">
        <v>2.5000000000000001E-2</v>
      </c>
      <c r="I35" s="20">
        <f t="shared" si="4"/>
        <v>82.802943347375006</v>
      </c>
      <c r="J35" s="205">
        <f t="shared" si="4"/>
        <v>87.119684469749998</v>
      </c>
    </row>
    <row r="36" spans="1:15" x14ac:dyDescent="0.2">
      <c r="A36" s="8" t="s">
        <v>9</v>
      </c>
      <c r="B36" s="14" t="s">
        <v>101</v>
      </c>
      <c r="C36" s="19">
        <v>3.39E-2</v>
      </c>
      <c r="D36" s="20">
        <f t="shared" si="3"/>
        <v>106.42729021710001</v>
      </c>
      <c r="E36" s="287">
        <v>1.4999999999999999E-2</v>
      </c>
      <c r="F36" s="205">
        <f t="shared" si="4"/>
        <v>47.091721335000003</v>
      </c>
      <c r="G36" s="205">
        <f t="shared" si="4"/>
        <v>49.681766008425001</v>
      </c>
      <c r="H36" s="357">
        <v>1.4999999999999999E-2</v>
      </c>
      <c r="I36" s="358">
        <f t="shared" si="4"/>
        <v>49.681766008425001</v>
      </c>
      <c r="J36" s="205">
        <f t="shared" si="4"/>
        <v>52.271810681849992</v>
      </c>
    </row>
    <row r="37" spans="1:15" x14ac:dyDescent="0.2">
      <c r="A37" s="8" t="s">
        <v>11</v>
      </c>
      <c r="B37" s="14" t="s">
        <v>31</v>
      </c>
      <c r="C37" s="19">
        <v>1.4999999999999999E-2</v>
      </c>
      <c r="D37" s="20">
        <f t="shared" si="3"/>
        <v>47.091721335000003</v>
      </c>
      <c r="E37" s="19">
        <v>1.4999999999999999E-2</v>
      </c>
      <c r="F37" s="20">
        <f t="shared" si="4"/>
        <v>47.091721335000003</v>
      </c>
      <c r="G37" s="205">
        <f t="shared" si="4"/>
        <v>49.681766008425001</v>
      </c>
      <c r="H37" s="19">
        <v>1.4999999999999999E-2</v>
      </c>
      <c r="I37" s="20">
        <f t="shared" si="4"/>
        <v>49.681766008425001</v>
      </c>
      <c r="J37" s="205">
        <f t="shared" si="4"/>
        <v>52.271810681849992</v>
      </c>
    </row>
    <row r="38" spans="1:15" x14ac:dyDescent="0.2">
      <c r="A38" s="8" t="s">
        <v>13</v>
      </c>
      <c r="B38" s="14" t="s">
        <v>32</v>
      </c>
      <c r="C38" s="19">
        <v>0.01</v>
      </c>
      <c r="D38" s="20">
        <f t="shared" si="3"/>
        <v>31.394480890000004</v>
      </c>
      <c r="E38" s="19">
        <v>0.01</v>
      </c>
      <c r="F38" s="20">
        <f t="shared" si="4"/>
        <v>31.394480890000004</v>
      </c>
      <c r="G38" s="205">
        <f t="shared" si="4"/>
        <v>33.121177338950005</v>
      </c>
      <c r="H38" s="19">
        <v>0.01</v>
      </c>
      <c r="I38" s="20">
        <f t="shared" si="4"/>
        <v>33.121177338950005</v>
      </c>
      <c r="J38" s="205">
        <f t="shared" si="4"/>
        <v>34.847873787899999</v>
      </c>
    </row>
    <row r="39" spans="1:15" x14ac:dyDescent="0.2">
      <c r="A39" s="8" t="s">
        <v>15</v>
      </c>
      <c r="B39" s="14" t="s">
        <v>33</v>
      </c>
      <c r="C39" s="19">
        <v>6.0000000000000001E-3</v>
      </c>
      <c r="D39" s="20">
        <f t="shared" si="3"/>
        <v>18.836688534000004</v>
      </c>
      <c r="E39" s="19">
        <v>6.0000000000000001E-3</v>
      </c>
      <c r="F39" s="20">
        <f t="shared" si="4"/>
        <v>18.836688534000004</v>
      </c>
      <c r="G39" s="205">
        <f t="shared" si="4"/>
        <v>19.87270640337</v>
      </c>
      <c r="H39" s="19">
        <v>6.0000000000000001E-3</v>
      </c>
      <c r="I39" s="20">
        <f t="shared" si="4"/>
        <v>19.87270640337</v>
      </c>
      <c r="J39" s="205">
        <f t="shared" si="4"/>
        <v>20.908724272739999</v>
      </c>
    </row>
    <row r="40" spans="1:15" x14ac:dyDescent="0.2">
      <c r="A40" s="8" t="s">
        <v>34</v>
      </c>
      <c r="B40" s="14" t="s">
        <v>35</v>
      </c>
      <c r="C40" s="19">
        <v>2E-3</v>
      </c>
      <c r="D40" s="20">
        <f t="shared" si="3"/>
        <v>6.278896178000001</v>
      </c>
      <c r="E40" s="19">
        <v>2E-3</v>
      </c>
      <c r="F40" s="20">
        <f t="shared" si="4"/>
        <v>6.278896178000001</v>
      </c>
      <c r="G40" s="205">
        <f t="shared" si="4"/>
        <v>6.6242354677900002</v>
      </c>
      <c r="H40" s="19">
        <v>2E-3</v>
      </c>
      <c r="I40" s="20">
        <f t="shared" si="4"/>
        <v>6.6242354677900002</v>
      </c>
      <c r="J40" s="205">
        <f t="shared" si="4"/>
        <v>6.9695747575800002</v>
      </c>
    </row>
    <row r="41" spans="1:15" x14ac:dyDescent="0.2">
      <c r="A41" s="8" t="s">
        <v>36</v>
      </c>
      <c r="B41" s="14" t="s">
        <v>37</v>
      </c>
      <c r="C41" s="19">
        <v>0.08</v>
      </c>
      <c r="D41" s="20">
        <f>C41*($D$19+$D$27)</f>
        <v>251.15584712000003</v>
      </c>
      <c r="E41" s="19">
        <v>0.08</v>
      </c>
      <c r="F41" s="20">
        <f t="shared" si="4"/>
        <v>251.15584712000003</v>
      </c>
      <c r="G41" s="205">
        <f t="shared" si="4"/>
        <v>264.96941871160004</v>
      </c>
      <c r="H41" s="19">
        <v>0.08</v>
      </c>
      <c r="I41" s="20">
        <f t="shared" si="4"/>
        <v>264.96941871160004</v>
      </c>
      <c r="J41" s="205">
        <f t="shared" si="4"/>
        <v>278.78299030319999</v>
      </c>
    </row>
    <row r="42" spans="1:15" x14ac:dyDescent="0.2">
      <c r="A42" s="471" t="s">
        <v>17</v>
      </c>
      <c r="B42" s="472"/>
      <c r="C42" s="21">
        <f>SUM(C34:C41)</f>
        <v>0.1719</v>
      </c>
      <c r="D42" s="22">
        <f>SUM(D34:D41)</f>
        <v>539.67112649910018</v>
      </c>
      <c r="E42" s="21">
        <f t="shared" ref="E42" si="5">SUM(E34:E41)</f>
        <v>0.15300000000000002</v>
      </c>
      <c r="F42" s="289">
        <f t="shared" ref="F42:J42" si="6">SUM(F34:F41)</f>
        <v>480.33555761700006</v>
      </c>
      <c r="G42" s="289">
        <f t="shared" si="6"/>
        <v>506.754013285935</v>
      </c>
      <c r="H42" s="21">
        <f t="shared" si="6"/>
        <v>0.15300000000000002</v>
      </c>
      <c r="I42" s="359">
        <f t="shared" ref="I42" si="7">SUM(I34:I41)</f>
        <v>506.754013285935</v>
      </c>
      <c r="J42" s="289">
        <f t="shared" si="6"/>
        <v>533.17246895486994</v>
      </c>
    </row>
    <row r="43" spans="1:15" ht="25.5" customHeight="1" x14ac:dyDescent="0.2">
      <c r="A43" s="464" t="s">
        <v>104</v>
      </c>
      <c r="B43" s="464"/>
      <c r="C43" s="464"/>
      <c r="D43" s="464"/>
      <c r="E43" s="233"/>
      <c r="F43" s="221"/>
      <c r="G43" s="221"/>
      <c r="H43" s="221"/>
      <c r="I43" s="221"/>
      <c r="J43" s="221"/>
    </row>
    <row r="44" spans="1:15" ht="26.25" customHeight="1" x14ac:dyDescent="0.2">
      <c r="A44" s="464" t="s">
        <v>102</v>
      </c>
      <c r="B44" s="464"/>
      <c r="C44" s="464"/>
      <c r="D44" s="464"/>
      <c r="E44" s="233"/>
      <c r="F44" s="221"/>
      <c r="G44" s="221"/>
      <c r="H44" s="221"/>
      <c r="I44" s="221"/>
      <c r="J44" s="221"/>
    </row>
    <row r="45" spans="1:15" ht="25.5" customHeight="1" x14ac:dyDescent="0.2">
      <c r="A45" s="464" t="s">
        <v>103</v>
      </c>
      <c r="B45" s="464"/>
      <c r="C45" s="464"/>
      <c r="D45" s="464"/>
      <c r="E45" s="233"/>
      <c r="F45" s="221"/>
      <c r="G45" s="221"/>
      <c r="H45" s="221"/>
      <c r="I45" s="221"/>
      <c r="J45" s="221"/>
    </row>
    <row r="46" spans="1:15" ht="14.25" customHeight="1" x14ac:dyDescent="0.2">
      <c r="A46" s="464" t="s">
        <v>108</v>
      </c>
      <c r="B46" s="464"/>
      <c r="C46" s="464"/>
      <c r="D46" s="464"/>
      <c r="E46" s="233"/>
      <c r="F46" s="221"/>
      <c r="G46" s="221"/>
      <c r="H46" s="221"/>
      <c r="I46" s="221"/>
      <c r="J46" s="221"/>
    </row>
    <row r="47" spans="1:15" ht="14.25" customHeight="1" x14ac:dyDescent="0.2">
      <c r="A47" s="464" t="s">
        <v>113</v>
      </c>
      <c r="B47" s="464"/>
      <c r="C47" s="464"/>
      <c r="D47" s="464"/>
      <c r="E47" s="233"/>
      <c r="F47" s="221"/>
      <c r="G47" s="221"/>
      <c r="H47" s="221"/>
      <c r="I47" s="221"/>
      <c r="J47" s="221"/>
    </row>
    <row r="48" spans="1:15" x14ac:dyDescent="0.2">
      <c r="E48" s="221"/>
      <c r="F48" s="221"/>
      <c r="G48" s="221"/>
      <c r="H48" s="221"/>
      <c r="I48" s="221"/>
      <c r="J48" s="221"/>
      <c r="O48" s="299"/>
    </row>
    <row r="49" spans="1:10" ht="15" customHeight="1" x14ac:dyDescent="0.2">
      <c r="A49" s="470" t="s">
        <v>38</v>
      </c>
      <c r="B49" s="470"/>
      <c r="C49" s="470"/>
      <c r="D49" s="470"/>
      <c r="E49" s="235"/>
      <c r="F49" s="221"/>
      <c r="G49" s="221"/>
      <c r="H49" s="221"/>
      <c r="I49" s="221"/>
      <c r="J49" s="221"/>
    </row>
    <row r="50" spans="1:10" x14ac:dyDescent="0.2">
      <c r="A50" s="41" t="s">
        <v>39</v>
      </c>
      <c r="B50" s="43" t="s">
        <v>40</v>
      </c>
      <c r="C50" s="41" t="s">
        <v>89</v>
      </c>
      <c r="D50" s="43" t="s">
        <v>5</v>
      </c>
      <c r="E50" s="242"/>
      <c r="F50" s="219" t="s">
        <v>5</v>
      </c>
      <c r="G50" s="344" t="s">
        <v>5</v>
      </c>
      <c r="H50" s="242"/>
      <c r="I50" s="344" t="s">
        <v>5</v>
      </c>
      <c r="J50" s="219" t="s">
        <v>5</v>
      </c>
    </row>
    <row r="51" spans="1:10" x14ac:dyDescent="0.2">
      <c r="A51" s="8" t="s">
        <v>6</v>
      </c>
      <c r="B51" s="14" t="s">
        <v>135</v>
      </c>
      <c r="C51" s="24">
        <v>22</v>
      </c>
      <c r="D51" s="16">
        <f>(18.6*C51)-0.06*D13</f>
        <v>253.79460000000003</v>
      </c>
      <c r="E51" s="245"/>
      <c r="F51" s="16">
        <f>(18.6*$C51)-0.06*F$13</f>
        <v>253.79460000000003</v>
      </c>
      <c r="G51" s="203">
        <f>(18.6*$C51)-0.06*G$13</f>
        <v>245.24730300000004</v>
      </c>
      <c r="H51" s="360"/>
      <c r="I51" s="211">
        <f>(18.6*$C51)-0.06*I$13</f>
        <v>245.24730300000004</v>
      </c>
      <c r="J51" s="203">
        <f>(18.6*$C51)-0.06*J$13</f>
        <v>236.70000600000006</v>
      </c>
    </row>
    <row r="52" spans="1:10" x14ac:dyDescent="0.2">
      <c r="A52" s="8" t="s">
        <v>8</v>
      </c>
      <c r="B52" s="14" t="s">
        <v>520</v>
      </c>
      <c r="C52" s="24">
        <v>22</v>
      </c>
      <c r="D52" s="16">
        <f>20.15*C52</f>
        <v>443.29999999999995</v>
      </c>
      <c r="E52" s="245"/>
      <c r="F52" s="16">
        <f>20.15*$C52</f>
        <v>443.29999999999995</v>
      </c>
      <c r="G52" s="203">
        <f>22.5*$C52</f>
        <v>495</v>
      </c>
      <c r="H52" s="360"/>
      <c r="I52" s="211">
        <f>22.5*$C52</f>
        <v>495</v>
      </c>
      <c r="J52" s="203">
        <f>22.5*$C52</f>
        <v>495</v>
      </c>
    </row>
    <row r="53" spans="1:10" x14ac:dyDescent="0.2">
      <c r="A53" s="8" t="s">
        <v>9</v>
      </c>
      <c r="B53" s="14" t="s">
        <v>42</v>
      </c>
      <c r="C53" s="24"/>
      <c r="D53" s="16">
        <v>160.07</v>
      </c>
      <c r="E53" s="245"/>
      <c r="F53" s="203">
        <v>169.67</v>
      </c>
      <c r="G53" s="16">
        <v>169.67</v>
      </c>
      <c r="H53" s="245"/>
      <c r="I53" s="211">
        <v>169.67</v>
      </c>
      <c r="J53" s="16">
        <v>169.67</v>
      </c>
    </row>
    <row r="54" spans="1:10" x14ac:dyDescent="0.2">
      <c r="A54" s="8" t="s">
        <v>11</v>
      </c>
      <c r="B54" s="14" t="s">
        <v>90</v>
      </c>
      <c r="C54" s="24"/>
      <c r="D54" s="16">
        <v>10.63</v>
      </c>
      <c r="E54" s="245"/>
      <c r="F54" s="203">
        <v>11.27</v>
      </c>
      <c r="G54" s="16">
        <v>11.27</v>
      </c>
      <c r="H54" s="245"/>
      <c r="I54" s="211">
        <v>11.27</v>
      </c>
      <c r="J54" s="16">
        <v>11.27</v>
      </c>
    </row>
    <row r="55" spans="1:10" x14ac:dyDescent="0.2">
      <c r="A55" s="463" t="s">
        <v>17</v>
      </c>
      <c r="B55" s="463"/>
      <c r="C55" s="463"/>
      <c r="D55" s="18">
        <f>SUM(D51:D54)</f>
        <v>867.79460000000006</v>
      </c>
      <c r="E55" s="245"/>
      <c r="F55" s="206">
        <f>SUM(F50:F54)</f>
        <v>878.03459999999995</v>
      </c>
      <c r="G55" s="206">
        <f>SUM(G50:G54)</f>
        <v>921.18730300000004</v>
      </c>
      <c r="H55" s="361"/>
      <c r="I55" s="362">
        <f>SUM(I50:I54)</f>
        <v>921.18730300000004</v>
      </c>
      <c r="J55" s="206">
        <f>SUM(J50:J54)</f>
        <v>912.64000599999997</v>
      </c>
    </row>
    <row r="56" spans="1:10" ht="28.5" customHeight="1" x14ac:dyDescent="0.2">
      <c r="A56" s="464" t="s">
        <v>45</v>
      </c>
      <c r="B56" s="464"/>
      <c r="C56" s="464"/>
      <c r="D56" s="464"/>
      <c r="E56" s="246"/>
      <c r="F56" s="246"/>
      <c r="G56" s="246"/>
      <c r="H56" s="246"/>
      <c r="I56" s="246"/>
      <c r="J56" s="246"/>
    </row>
    <row r="57" spans="1:10" ht="30" customHeight="1" x14ac:dyDescent="0.2">
      <c r="A57" s="464" t="s">
        <v>105</v>
      </c>
      <c r="B57" s="464"/>
      <c r="C57" s="464"/>
      <c r="D57" s="464"/>
      <c r="E57" s="233"/>
      <c r="F57" s="221"/>
      <c r="G57" s="221"/>
      <c r="H57" s="221"/>
      <c r="I57" s="221"/>
      <c r="J57" s="221"/>
    </row>
    <row r="58" spans="1:10" x14ac:dyDescent="0.2">
      <c r="E58" s="233"/>
      <c r="F58" s="221"/>
      <c r="G58" s="221"/>
      <c r="H58" s="221"/>
      <c r="I58" s="221"/>
      <c r="J58" s="221"/>
    </row>
    <row r="59" spans="1:10" ht="15" customHeight="1" x14ac:dyDescent="0.2">
      <c r="A59" s="415" t="s">
        <v>43</v>
      </c>
      <c r="B59" s="415"/>
      <c r="C59" s="415"/>
      <c r="D59" s="415"/>
      <c r="E59" s="221"/>
      <c r="F59" s="221"/>
      <c r="G59" s="221"/>
      <c r="H59" s="221"/>
      <c r="I59" s="221"/>
      <c r="J59" s="221"/>
    </row>
    <row r="60" spans="1:10" x14ac:dyDescent="0.2">
      <c r="A60" s="42">
        <v>2</v>
      </c>
      <c r="B60" s="430" t="s">
        <v>44</v>
      </c>
      <c r="C60" s="430"/>
      <c r="D60" s="42" t="s">
        <v>5</v>
      </c>
      <c r="E60" s="231"/>
      <c r="F60" s="218" t="s">
        <v>5</v>
      </c>
      <c r="G60" s="343" t="s">
        <v>5</v>
      </c>
      <c r="H60" s="242"/>
      <c r="I60" s="343" t="s">
        <v>5</v>
      </c>
      <c r="J60" s="218" t="s">
        <v>5</v>
      </c>
    </row>
    <row r="61" spans="1:10" ht="30" customHeight="1" x14ac:dyDescent="0.2">
      <c r="A61" s="26" t="s">
        <v>20</v>
      </c>
      <c r="B61" s="438" t="s">
        <v>21</v>
      </c>
      <c r="C61" s="438"/>
      <c r="D61" s="16">
        <f>D27</f>
        <v>549.35808900000006</v>
      </c>
      <c r="E61" s="242"/>
      <c r="F61" s="16">
        <f>F27</f>
        <v>549.35808900000006</v>
      </c>
      <c r="G61" s="203">
        <f>G27</f>
        <v>579.57278389499993</v>
      </c>
      <c r="H61" s="360"/>
      <c r="I61" s="211">
        <f>I27</f>
        <v>579.57278389499993</v>
      </c>
      <c r="J61" s="203">
        <f>J27</f>
        <v>609.78747879000002</v>
      </c>
    </row>
    <row r="62" spans="1:10" x14ac:dyDescent="0.2">
      <c r="A62" s="26" t="s">
        <v>26</v>
      </c>
      <c r="B62" s="414" t="s">
        <v>27</v>
      </c>
      <c r="C62" s="414"/>
      <c r="D62" s="16">
        <f>D42</f>
        <v>539.67112649910018</v>
      </c>
      <c r="E62" s="245"/>
      <c r="F62" s="203">
        <f>F42</f>
        <v>480.33555761700006</v>
      </c>
      <c r="G62" s="203">
        <f>G42</f>
        <v>506.754013285935</v>
      </c>
      <c r="H62" s="360"/>
      <c r="I62" s="211">
        <f>I42</f>
        <v>506.754013285935</v>
      </c>
      <c r="J62" s="203">
        <f>J42</f>
        <v>533.17246895486994</v>
      </c>
    </row>
    <row r="63" spans="1:10" x14ac:dyDescent="0.2">
      <c r="A63" s="26" t="s">
        <v>39</v>
      </c>
      <c r="B63" s="414" t="s">
        <v>40</v>
      </c>
      <c r="C63" s="414"/>
      <c r="D63" s="16">
        <f>D55</f>
        <v>867.79460000000006</v>
      </c>
      <c r="E63" s="245"/>
      <c r="F63" s="203">
        <f>F55</f>
        <v>878.03459999999995</v>
      </c>
      <c r="G63" s="203">
        <f>G55</f>
        <v>921.18730300000004</v>
      </c>
      <c r="H63" s="360"/>
      <c r="I63" s="211">
        <f>I55</f>
        <v>921.18730300000004</v>
      </c>
      <c r="J63" s="203">
        <f>J55</f>
        <v>912.64000599999997</v>
      </c>
    </row>
    <row r="64" spans="1:10" x14ac:dyDescent="0.2">
      <c r="A64" s="471" t="s">
        <v>17</v>
      </c>
      <c r="B64" s="475"/>
      <c r="C64" s="472"/>
      <c r="D64" s="18">
        <f>SUM(D61:D63)</f>
        <v>1956.8238154991004</v>
      </c>
      <c r="E64" s="245"/>
      <c r="F64" s="204">
        <f>SUM(F61:F63)</f>
        <v>1907.728246617</v>
      </c>
      <c r="G64" s="204">
        <f>SUM(G61:G63)</f>
        <v>2007.5141001809352</v>
      </c>
      <c r="H64" s="361"/>
      <c r="I64" s="212">
        <f>SUM(I61:I63)</f>
        <v>2007.5141001809352</v>
      </c>
      <c r="J64" s="204">
        <f>SUM(J61:J63)</f>
        <v>2055.5999537448702</v>
      </c>
    </row>
    <row r="65" spans="1:10" x14ac:dyDescent="0.2">
      <c r="E65" s="246"/>
      <c r="F65" s="221"/>
      <c r="G65" s="221"/>
      <c r="H65" s="221"/>
      <c r="I65" s="221"/>
      <c r="J65" s="221"/>
    </row>
    <row r="66" spans="1:10" ht="14.45" customHeight="1" x14ac:dyDescent="0.2">
      <c r="A66" s="415" t="s">
        <v>76</v>
      </c>
      <c r="B66" s="415"/>
      <c r="C66" s="415"/>
      <c r="D66" s="415"/>
      <c r="E66" s="221"/>
      <c r="F66" s="221"/>
      <c r="G66" s="221"/>
      <c r="H66" s="221"/>
      <c r="I66" s="221"/>
      <c r="J66" s="221"/>
    </row>
    <row r="67" spans="1:10" x14ac:dyDescent="0.2">
      <c r="A67" s="42">
        <v>3</v>
      </c>
      <c r="B67" s="42" t="s">
        <v>46</v>
      </c>
      <c r="C67" s="42" t="s">
        <v>28</v>
      </c>
      <c r="D67" s="42" t="s">
        <v>5</v>
      </c>
      <c r="E67" s="218" t="s">
        <v>28</v>
      </c>
      <c r="F67" s="218" t="s">
        <v>5</v>
      </c>
      <c r="G67" s="218" t="s">
        <v>5</v>
      </c>
      <c r="H67" s="343" t="s">
        <v>28</v>
      </c>
      <c r="I67" s="343" t="s">
        <v>5</v>
      </c>
      <c r="J67" s="218" t="s">
        <v>5</v>
      </c>
    </row>
    <row r="68" spans="1:10" x14ac:dyDescent="0.2">
      <c r="A68" s="26" t="s">
        <v>6</v>
      </c>
      <c r="B68" s="5" t="s">
        <v>47</v>
      </c>
      <c r="C68" s="19">
        <v>4.1999999999999997E-3</v>
      </c>
      <c r="D68" s="20">
        <f t="shared" ref="D68:D73" si="8">C68*($D$19+$D$27)</f>
        <v>13.185681973800001</v>
      </c>
      <c r="E68" s="28">
        <v>4.1999999999999997E-3</v>
      </c>
      <c r="F68" s="258">
        <f>E68*(F$19+F$27)</f>
        <v>13.185681973800001</v>
      </c>
      <c r="G68" s="257">
        <f t="shared" ref="G68:G74" si="9">$E68*(G$19+G$27)</f>
        <v>13.910894482359</v>
      </c>
      <c r="H68" s="28">
        <v>4.1999999999999997E-3</v>
      </c>
      <c r="I68" s="258">
        <f>H68*(I$19+I$27)</f>
        <v>13.910894482359</v>
      </c>
      <c r="J68" s="257">
        <f t="shared" ref="J68:J74" si="10">H68*(J$19+J$27)</f>
        <v>14.636106990917998</v>
      </c>
    </row>
    <row r="69" spans="1:10" x14ac:dyDescent="0.2">
      <c r="A69" s="26" t="s">
        <v>8</v>
      </c>
      <c r="B69" s="5" t="s">
        <v>48</v>
      </c>
      <c r="C69" s="19">
        <v>2.9999999999999997E-4</v>
      </c>
      <c r="D69" s="20">
        <f t="shared" si="8"/>
        <v>0.94183442670000006</v>
      </c>
      <c r="E69" s="28">
        <v>2.9999999999999997E-4</v>
      </c>
      <c r="F69" s="258">
        <f>E69*(F$19+F$27)</f>
        <v>0.94183442670000006</v>
      </c>
      <c r="G69" s="257">
        <f t="shared" si="9"/>
        <v>0.99363532016849998</v>
      </c>
      <c r="H69" s="28">
        <v>2.9999999999999997E-4</v>
      </c>
      <c r="I69" s="258">
        <f>H69*(I$19+I$27)</f>
        <v>0.99363532016849998</v>
      </c>
      <c r="J69" s="257">
        <f t="shared" si="10"/>
        <v>1.0454362136369999</v>
      </c>
    </row>
    <row r="70" spans="1:10" ht="25.5" x14ac:dyDescent="0.2">
      <c r="A70" s="26" t="s">
        <v>9</v>
      </c>
      <c r="B70" s="5" t="s">
        <v>49</v>
      </c>
      <c r="C70" s="27">
        <v>9.9999999999999995E-7</v>
      </c>
      <c r="D70" s="20">
        <f t="shared" si="8"/>
        <v>3.1394480890000005E-3</v>
      </c>
      <c r="E70" s="351">
        <v>9.9999999999999995E-7</v>
      </c>
      <c r="F70" s="258">
        <f t="shared" ref="F70:F74" si="11">E70*(F$19+F$27)</f>
        <v>3.1394480890000005E-3</v>
      </c>
      <c r="G70" s="258">
        <f t="shared" si="9"/>
        <v>3.3121177338950002E-3</v>
      </c>
      <c r="H70" s="351">
        <v>9.9999999999999995E-7</v>
      </c>
      <c r="I70" s="258">
        <f t="shared" ref="I70:I74" si="12">H70*(I$19+I$27)</f>
        <v>3.3121177338950002E-3</v>
      </c>
      <c r="J70" s="258">
        <f t="shared" si="10"/>
        <v>3.4847873787899998E-3</v>
      </c>
    </row>
    <row r="71" spans="1:10" x14ac:dyDescent="0.2">
      <c r="A71" s="26" t="s">
        <v>11</v>
      </c>
      <c r="B71" s="5" t="s">
        <v>50</v>
      </c>
      <c r="C71" s="28">
        <v>1.9400000000000001E-2</v>
      </c>
      <c r="D71" s="29">
        <f>C71*($D$19+$D$27)</f>
        <v>60.905292926600012</v>
      </c>
      <c r="E71" s="348">
        <v>1.9400000000000001E-2</v>
      </c>
      <c r="F71" s="258">
        <f t="shared" si="11"/>
        <v>60.905292926600012</v>
      </c>
      <c r="G71" s="260">
        <f t="shared" si="9"/>
        <v>64.255084037563009</v>
      </c>
      <c r="H71" s="347">
        <v>1.9400000000000001E-3</v>
      </c>
      <c r="I71" s="258">
        <f t="shared" si="12"/>
        <v>6.4255084037563002</v>
      </c>
      <c r="J71" s="260">
        <f t="shared" si="10"/>
        <v>6.7604875148526</v>
      </c>
    </row>
    <row r="72" spans="1:10" ht="25.5" x14ac:dyDescent="0.2">
      <c r="A72" s="26" t="s">
        <v>13</v>
      </c>
      <c r="B72" s="5" t="s">
        <v>51</v>
      </c>
      <c r="C72" s="19">
        <v>7.1000000000000004E-3</v>
      </c>
      <c r="D72" s="20">
        <f>C72*($D$19+$D$27)</f>
        <v>22.290081431900003</v>
      </c>
      <c r="E72" s="28">
        <v>7.1000000000000004E-3</v>
      </c>
      <c r="F72" s="258">
        <f t="shared" si="11"/>
        <v>22.290081431900003</v>
      </c>
      <c r="G72" s="257">
        <f t="shared" si="9"/>
        <v>23.516035910654502</v>
      </c>
      <c r="H72" s="28">
        <v>7.1000000000000004E-3</v>
      </c>
      <c r="I72" s="258">
        <f t="shared" si="12"/>
        <v>23.516035910654502</v>
      </c>
      <c r="J72" s="257">
        <f t="shared" si="10"/>
        <v>24.741990389409001</v>
      </c>
    </row>
    <row r="73" spans="1:10" ht="25.5" x14ac:dyDescent="0.2">
      <c r="A73" s="26" t="s">
        <v>15</v>
      </c>
      <c r="B73" s="5" t="s">
        <v>52</v>
      </c>
      <c r="C73" s="19">
        <v>1E-4</v>
      </c>
      <c r="D73" s="20">
        <f t="shared" si="8"/>
        <v>0.31394480890000004</v>
      </c>
      <c r="E73" s="28">
        <v>1E-4</v>
      </c>
      <c r="F73" s="258">
        <f t="shared" si="11"/>
        <v>0.31394480890000004</v>
      </c>
      <c r="G73" s="257">
        <f t="shared" si="9"/>
        <v>0.33121177338950003</v>
      </c>
      <c r="H73" s="28">
        <v>1E-4</v>
      </c>
      <c r="I73" s="258">
        <f t="shared" si="12"/>
        <v>0.33121177338950003</v>
      </c>
      <c r="J73" s="257">
        <f t="shared" si="10"/>
        <v>0.34847873787900002</v>
      </c>
    </row>
    <row r="74" spans="1:10" x14ac:dyDescent="0.2">
      <c r="A74" s="30" t="s">
        <v>34</v>
      </c>
      <c r="B74" s="31" t="s">
        <v>128</v>
      </c>
      <c r="C74" s="19">
        <v>3.49E-2</v>
      </c>
      <c r="D74" s="20">
        <f>C74*($D$19+$D$27)</f>
        <v>109.56673830610002</v>
      </c>
      <c r="E74" s="28">
        <v>3.49E-2</v>
      </c>
      <c r="F74" s="258">
        <f t="shared" si="11"/>
        <v>109.56673830610002</v>
      </c>
      <c r="G74" s="257">
        <f t="shared" si="9"/>
        <v>115.5929089129355</v>
      </c>
      <c r="H74" s="28">
        <v>3.49E-2</v>
      </c>
      <c r="I74" s="258">
        <f t="shared" si="12"/>
        <v>115.5929089129355</v>
      </c>
      <c r="J74" s="257">
        <f t="shared" si="10"/>
        <v>121.61907951977099</v>
      </c>
    </row>
    <row r="75" spans="1:10" x14ac:dyDescent="0.2">
      <c r="A75" s="471" t="s">
        <v>17</v>
      </c>
      <c r="B75" s="472"/>
      <c r="C75" s="17">
        <f>SUM(C68:C74)</f>
        <v>6.6001000000000004E-2</v>
      </c>
      <c r="D75" s="18">
        <f>SUM(D68:D74)</f>
        <v>207.20671332208906</v>
      </c>
      <c r="E75" s="349">
        <f t="shared" ref="E75" si="13">SUM(E68:E74)</f>
        <v>6.6001000000000004E-2</v>
      </c>
      <c r="F75" s="210">
        <f>SUM(F68:F74)</f>
        <v>207.20671332208906</v>
      </c>
      <c r="G75" s="202">
        <f>SUM(G68:G74)</f>
        <v>218.6030825548039</v>
      </c>
      <c r="H75" s="350">
        <f t="shared" ref="H75" si="14">SUM(H68:H74)</f>
        <v>4.8541000000000001E-2</v>
      </c>
      <c r="I75" s="202">
        <f>SUM(I68:I74)</f>
        <v>160.77350692099719</v>
      </c>
      <c r="J75" s="202">
        <f>SUM(J68:J74)</f>
        <v>169.15506415384539</v>
      </c>
    </row>
    <row r="76" spans="1:10" ht="26.25" customHeight="1" x14ac:dyDescent="0.2">
      <c r="A76" s="464" t="s">
        <v>106</v>
      </c>
      <c r="B76" s="464"/>
      <c r="C76" s="464"/>
      <c r="D76" s="464"/>
      <c r="E76" s="221"/>
      <c r="F76" s="221"/>
      <c r="G76" s="221"/>
      <c r="H76" s="221"/>
      <c r="I76" s="221"/>
      <c r="J76" s="221"/>
    </row>
    <row r="77" spans="1:10" ht="17.25" customHeight="1" x14ac:dyDescent="0.2">
      <c r="A77" s="464" t="s">
        <v>114</v>
      </c>
      <c r="B77" s="464"/>
      <c r="C77" s="464"/>
      <c r="D77" s="464"/>
      <c r="E77" s="233"/>
      <c r="F77" s="282"/>
      <c r="G77" s="282"/>
      <c r="H77" s="282"/>
      <c r="I77" s="282"/>
      <c r="J77" s="282"/>
    </row>
    <row r="78" spans="1:10" x14ac:dyDescent="0.2">
      <c r="E78" s="233"/>
      <c r="F78" s="221"/>
      <c r="G78" s="221"/>
      <c r="H78" s="221"/>
      <c r="I78" s="221"/>
      <c r="J78" s="221"/>
    </row>
    <row r="79" spans="1:10" ht="23.1" customHeight="1" x14ac:dyDescent="0.2">
      <c r="A79" s="415" t="s">
        <v>53</v>
      </c>
      <c r="B79" s="415"/>
      <c r="C79" s="415"/>
      <c r="D79" s="415"/>
      <c r="E79" s="221"/>
      <c r="F79" s="221"/>
      <c r="G79" s="221"/>
      <c r="H79" s="221"/>
      <c r="I79" s="221"/>
      <c r="J79" s="221"/>
    </row>
    <row r="80" spans="1:10" ht="39.75" customHeight="1" x14ac:dyDescent="0.2">
      <c r="A80" s="474" t="s">
        <v>107</v>
      </c>
      <c r="B80" s="474"/>
      <c r="C80" s="474"/>
      <c r="D80" s="474"/>
      <c r="E80" s="231"/>
      <c r="F80" s="221"/>
      <c r="G80" s="221"/>
      <c r="H80" s="221"/>
      <c r="I80" s="221"/>
      <c r="J80" s="221"/>
    </row>
    <row r="81" spans="1:10" x14ac:dyDescent="0.2">
      <c r="E81" s="233"/>
      <c r="F81" s="221"/>
      <c r="G81" s="221"/>
      <c r="H81" s="221"/>
      <c r="I81" s="221"/>
      <c r="J81" s="221"/>
    </row>
    <row r="82" spans="1:10" ht="16.5" customHeight="1" x14ac:dyDescent="0.2">
      <c r="A82" s="470" t="s">
        <v>109</v>
      </c>
      <c r="B82" s="470"/>
      <c r="C82" s="470"/>
      <c r="D82" s="470"/>
      <c r="E82" s="221"/>
      <c r="F82" s="221"/>
      <c r="G82" s="221"/>
      <c r="H82" s="221"/>
      <c r="I82" s="221"/>
      <c r="J82" s="221"/>
    </row>
    <row r="83" spans="1:10" x14ac:dyDescent="0.2">
      <c r="A83" s="41" t="s">
        <v>54</v>
      </c>
      <c r="B83" s="43" t="s">
        <v>55</v>
      </c>
      <c r="C83" s="43" t="s">
        <v>28</v>
      </c>
      <c r="D83" s="43" t="s">
        <v>5</v>
      </c>
      <c r="E83" s="219" t="s">
        <v>28</v>
      </c>
      <c r="F83" s="219" t="s">
        <v>5</v>
      </c>
      <c r="G83" s="219" t="s">
        <v>5</v>
      </c>
      <c r="H83" s="344" t="s">
        <v>28</v>
      </c>
      <c r="I83" s="344" t="s">
        <v>5</v>
      </c>
      <c r="J83" s="219" t="s">
        <v>5</v>
      </c>
    </row>
    <row r="84" spans="1:10" x14ac:dyDescent="0.2">
      <c r="A84" s="26" t="s">
        <v>6</v>
      </c>
      <c r="B84" s="5" t="s">
        <v>56</v>
      </c>
      <c r="C84" s="19">
        <v>7.6E-3</v>
      </c>
      <c r="D84" s="20">
        <f t="shared" ref="D84:D89" si="15">C84*($D$19+$D$27)</f>
        <v>23.859805476400002</v>
      </c>
      <c r="E84" s="19">
        <v>7.6E-3</v>
      </c>
      <c r="F84" s="20">
        <f>E84*(F$19+F$27)</f>
        <v>23.859805476400002</v>
      </c>
      <c r="G84" s="205">
        <f t="shared" ref="G84:G89" si="16">$E84*(G$19+G$27)</f>
        <v>25.172094777602002</v>
      </c>
      <c r="H84" s="19">
        <v>7.6E-3</v>
      </c>
      <c r="I84" s="20">
        <f>H84*(I$19+I$27)</f>
        <v>25.172094777602002</v>
      </c>
      <c r="J84" s="205">
        <f>H84*(J$19+J$27)</f>
        <v>26.484384078803998</v>
      </c>
    </row>
    <row r="85" spans="1:10" x14ac:dyDescent="0.2">
      <c r="A85" s="26" t="s">
        <v>8</v>
      </c>
      <c r="B85" s="5" t="s">
        <v>57</v>
      </c>
      <c r="C85" s="19">
        <v>8.2000000000000007E-3</v>
      </c>
      <c r="D85" s="20">
        <f t="shared" si="15"/>
        <v>25.743474329800005</v>
      </c>
      <c r="E85" s="19">
        <v>8.2000000000000007E-3</v>
      </c>
      <c r="F85" s="20">
        <f>E85*(F$19+F$27)</f>
        <v>25.743474329800005</v>
      </c>
      <c r="G85" s="205">
        <f t="shared" si="16"/>
        <v>27.159365417939004</v>
      </c>
      <c r="H85" s="19">
        <v>8.2000000000000007E-3</v>
      </c>
      <c r="I85" s="20">
        <f>H85*(I$19+I$27)</f>
        <v>27.159365417939004</v>
      </c>
      <c r="J85" s="205">
        <f t="shared" ref="J85:J89" si="17">H85*(J$19+J$27)</f>
        <v>28.575256506078002</v>
      </c>
    </row>
    <row r="86" spans="1:10" x14ac:dyDescent="0.2">
      <c r="A86" s="26" t="s">
        <v>9</v>
      </c>
      <c r="B86" s="5" t="s">
        <v>58</v>
      </c>
      <c r="C86" s="19">
        <v>2.0000000000000001E-4</v>
      </c>
      <c r="D86" s="20">
        <f t="shared" si="15"/>
        <v>0.62788961780000008</v>
      </c>
      <c r="E86" s="19">
        <v>2.0000000000000001E-4</v>
      </c>
      <c r="F86" s="20">
        <f t="shared" ref="F86:F89" si="18">E86*(F$19+F$27)</f>
        <v>0.62788961780000008</v>
      </c>
      <c r="G86" s="205">
        <f t="shared" si="16"/>
        <v>0.66242354677900006</v>
      </c>
      <c r="H86" s="19">
        <v>2.0000000000000001E-4</v>
      </c>
      <c r="I86" s="20">
        <f t="shared" ref="I86:I89" si="19">H86*(I$19+I$27)</f>
        <v>0.66242354677900006</v>
      </c>
      <c r="J86" s="205">
        <f t="shared" si="17"/>
        <v>0.69695747575800004</v>
      </c>
    </row>
    <row r="87" spans="1:10" ht="25.5" x14ac:dyDescent="0.2">
      <c r="A87" s="26" t="s">
        <v>11</v>
      </c>
      <c r="B87" s="5" t="s">
        <v>59</v>
      </c>
      <c r="C87" s="19">
        <v>2.9999999999999997E-4</v>
      </c>
      <c r="D87" s="20">
        <f t="shared" si="15"/>
        <v>0.94183442670000006</v>
      </c>
      <c r="E87" s="19">
        <v>2.9999999999999997E-4</v>
      </c>
      <c r="F87" s="20">
        <f t="shared" si="18"/>
        <v>0.94183442670000006</v>
      </c>
      <c r="G87" s="205">
        <f t="shared" si="16"/>
        <v>0.99363532016849998</v>
      </c>
      <c r="H87" s="19">
        <v>2.9999999999999997E-4</v>
      </c>
      <c r="I87" s="20">
        <f t="shared" si="19"/>
        <v>0.99363532016849998</v>
      </c>
      <c r="J87" s="205">
        <f t="shared" si="17"/>
        <v>1.0454362136369999</v>
      </c>
    </row>
    <row r="88" spans="1:10" x14ac:dyDescent="0.2">
      <c r="A88" s="26" t="s">
        <v>13</v>
      </c>
      <c r="B88" s="5" t="s">
        <v>60</v>
      </c>
      <c r="C88" s="19">
        <v>2.8999999999999998E-3</v>
      </c>
      <c r="D88" s="20">
        <f t="shared" si="15"/>
        <v>9.1043994581000014</v>
      </c>
      <c r="E88" s="19">
        <v>2.8999999999999998E-3</v>
      </c>
      <c r="F88" s="20">
        <f t="shared" si="18"/>
        <v>9.1043994581000014</v>
      </c>
      <c r="G88" s="205">
        <f t="shared" si="16"/>
        <v>9.6051414282955001</v>
      </c>
      <c r="H88" s="19">
        <v>2.8999999999999998E-3</v>
      </c>
      <c r="I88" s="20">
        <f t="shared" si="19"/>
        <v>9.6051414282955001</v>
      </c>
      <c r="J88" s="205">
        <f t="shared" si="17"/>
        <v>10.105883398490999</v>
      </c>
    </row>
    <row r="89" spans="1:10" ht="25.5" x14ac:dyDescent="0.2">
      <c r="A89" s="26" t="s">
        <v>15</v>
      </c>
      <c r="B89" s="5" t="s">
        <v>134</v>
      </c>
      <c r="C89" s="19">
        <v>1.66E-2</v>
      </c>
      <c r="D89" s="20">
        <f t="shared" si="15"/>
        <v>52.114838277400011</v>
      </c>
      <c r="E89" s="19">
        <v>1.66E-2</v>
      </c>
      <c r="F89" s="20">
        <f t="shared" si="18"/>
        <v>52.114838277400011</v>
      </c>
      <c r="G89" s="205">
        <f t="shared" si="16"/>
        <v>54.981154382657003</v>
      </c>
      <c r="H89" s="19">
        <v>1.66E-2</v>
      </c>
      <c r="I89" s="20">
        <f t="shared" si="19"/>
        <v>54.981154382657003</v>
      </c>
      <c r="J89" s="205">
        <f t="shared" si="17"/>
        <v>57.847470487913995</v>
      </c>
    </row>
    <row r="90" spans="1:10" x14ac:dyDescent="0.2">
      <c r="A90" s="471" t="s">
        <v>17</v>
      </c>
      <c r="B90" s="472"/>
      <c r="C90" s="17">
        <f>SUM(C84:C89)</f>
        <v>3.5799999999999998E-2</v>
      </c>
      <c r="D90" s="18">
        <f>SUM(D84:D89)</f>
        <v>112.39224158620002</v>
      </c>
      <c r="E90" s="17">
        <f t="shared" ref="E90" si="20">SUM(E84:E89)</f>
        <v>3.5799999999999998E-2</v>
      </c>
      <c r="F90" s="137">
        <f t="shared" ref="F90:J90" si="21">SUM(F84:F89)</f>
        <v>112.39224158620002</v>
      </c>
      <c r="G90" s="207">
        <f t="shared" si="21"/>
        <v>118.57381487344102</v>
      </c>
      <c r="H90" s="17">
        <f t="shared" si="21"/>
        <v>3.5799999999999998E-2</v>
      </c>
      <c r="I90" s="137">
        <f t="shared" ref="I90" si="22">SUM(I84:I89)</f>
        <v>118.57381487344102</v>
      </c>
      <c r="J90" s="207">
        <f t="shared" si="21"/>
        <v>124.75538816068199</v>
      </c>
    </row>
    <row r="91" spans="1:10" x14ac:dyDescent="0.2">
      <c r="A91" s="464" t="s">
        <v>115</v>
      </c>
      <c r="B91" s="464"/>
      <c r="C91" s="464"/>
      <c r="D91" s="464"/>
      <c r="E91" s="221"/>
      <c r="F91" s="221"/>
      <c r="G91" s="221"/>
      <c r="H91" s="221"/>
      <c r="I91" s="221"/>
      <c r="J91" s="221"/>
    </row>
    <row r="92" spans="1:10" x14ac:dyDescent="0.2">
      <c r="E92" s="233"/>
      <c r="F92" s="221"/>
      <c r="G92" s="221"/>
      <c r="H92" s="221"/>
      <c r="I92" s="221"/>
      <c r="J92" s="221"/>
    </row>
    <row r="93" spans="1:10" hidden="1" x14ac:dyDescent="0.2">
      <c r="A93" s="473" t="s">
        <v>110</v>
      </c>
      <c r="B93" s="473"/>
      <c r="C93" s="473"/>
      <c r="D93" s="473"/>
      <c r="E93" s="221"/>
      <c r="F93" s="221"/>
      <c r="G93" s="221"/>
      <c r="H93" s="221"/>
      <c r="I93" s="221"/>
      <c r="J93" s="221"/>
    </row>
    <row r="94" spans="1:10" hidden="1" x14ac:dyDescent="0.2">
      <c r="A94" s="41" t="s">
        <v>61</v>
      </c>
      <c r="B94" s="43" t="s">
        <v>62</v>
      </c>
      <c r="C94" s="43" t="s">
        <v>5</v>
      </c>
      <c r="D94" s="41"/>
      <c r="E94" s="234"/>
      <c r="F94" s="221"/>
      <c r="G94" s="221"/>
      <c r="H94" s="221"/>
      <c r="I94" s="221"/>
      <c r="J94" s="221"/>
    </row>
    <row r="95" spans="1:10" ht="25.5" hidden="1" x14ac:dyDescent="0.2">
      <c r="A95" s="26" t="s">
        <v>6</v>
      </c>
      <c r="B95" s="5" t="s">
        <v>63</v>
      </c>
      <c r="C95" s="32"/>
      <c r="D95" s="33"/>
      <c r="E95" s="234"/>
      <c r="F95" s="234"/>
      <c r="G95" s="234"/>
      <c r="H95" s="234"/>
      <c r="I95" s="234"/>
      <c r="J95" s="234"/>
    </row>
    <row r="96" spans="1:10" hidden="1" x14ac:dyDescent="0.2">
      <c r="A96" s="466" t="s">
        <v>17</v>
      </c>
      <c r="B96" s="468"/>
      <c r="C96" s="16">
        <f>SUM(C95)</f>
        <v>0</v>
      </c>
      <c r="D96" s="33"/>
      <c r="E96" s="247"/>
      <c r="F96" s="247"/>
      <c r="G96" s="247"/>
      <c r="H96" s="247"/>
      <c r="I96" s="247"/>
      <c r="J96" s="247"/>
    </row>
    <row r="97" spans="1:10" hidden="1" x14ac:dyDescent="0.2">
      <c r="E97" s="247"/>
      <c r="F97" s="247"/>
      <c r="G97" s="247"/>
      <c r="H97" s="247"/>
      <c r="I97" s="247"/>
      <c r="J97" s="247"/>
    </row>
    <row r="98" spans="1:10" ht="18.600000000000001" customHeight="1" x14ac:dyDescent="0.2">
      <c r="A98" s="415" t="s">
        <v>111</v>
      </c>
      <c r="B98" s="415"/>
      <c r="C98" s="415"/>
      <c r="D98" s="415"/>
      <c r="E98" s="221"/>
      <c r="F98" s="221"/>
      <c r="G98" s="221"/>
      <c r="H98" s="221"/>
      <c r="I98" s="221"/>
      <c r="J98" s="221"/>
    </row>
    <row r="99" spans="1:10" x14ac:dyDescent="0.2">
      <c r="A99" s="40">
        <v>4</v>
      </c>
      <c r="B99" s="430" t="s">
        <v>64</v>
      </c>
      <c r="C99" s="430"/>
      <c r="D99" s="42" t="s">
        <v>5</v>
      </c>
      <c r="E99" s="231"/>
      <c r="F99" s="218" t="s">
        <v>5</v>
      </c>
      <c r="G99" s="343" t="s">
        <v>5</v>
      </c>
      <c r="H99" s="242"/>
      <c r="I99" s="342" t="s">
        <v>5</v>
      </c>
      <c r="J99" s="218" t="s">
        <v>5</v>
      </c>
    </row>
    <row r="100" spans="1:10" x14ac:dyDescent="0.2">
      <c r="A100" s="8" t="s">
        <v>54</v>
      </c>
      <c r="B100" s="414" t="s">
        <v>55</v>
      </c>
      <c r="C100" s="414"/>
      <c r="D100" s="16">
        <f>D90</f>
        <v>112.39224158620002</v>
      </c>
      <c r="E100" s="242"/>
      <c r="F100" s="16">
        <f>F90</f>
        <v>112.39224158620002</v>
      </c>
      <c r="G100" s="203">
        <f>G90</f>
        <v>118.57381487344102</v>
      </c>
      <c r="H100" s="360"/>
      <c r="I100" s="211">
        <f>I90</f>
        <v>118.57381487344102</v>
      </c>
      <c r="J100" s="203">
        <f>J90</f>
        <v>124.75538816068199</v>
      </c>
    </row>
    <row r="101" spans="1:10" hidden="1" x14ac:dyDescent="0.2">
      <c r="A101" s="8" t="s">
        <v>61</v>
      </c>
      <c r="B101" s="14" t="s">
        <v>65</v>
      </c>
      <c r="C101" s="14"/>
      <c r="D101" s="32">
        <f>C96</f>
        <v>0</v>
      </c>
      <c r="E101" s="245"/>
      <c r="F101" s="32">
        <f>E97</f>
        <v>0</v>
      </c>
      <c r="G101" s="32">
        <f>F97</f>
        <v>0</v>
      </c>
      <c r="H101" s="245"/>
      <c r="I101" s="280">
        <f>H97</f>
        <v>0</v>
      </c>
      <c r="J101" s="32">
        <f>G97</f>
        <v>0</v>
      </c>
    </row>
    <row r="102" spans="1:10" x14ac:dyDescent="0.2">
      <c r="A102" s="463" t="s">
        <v>17</v>
      </c>
      <c r="B102" s="463"/>
      <c r="C102" s="463"/>
      <c r="D102" s="18">
        <f>SUM(D100:D101)</f>
        <v>112.39224158620002</v>
      </c>
      <c r="E102" s="245"/>
      <c r="F102" s="18">
        <f>SUM(F100:F101)</f>
        <v>112.39224158620002</v>
      </c>
      <c r="G102" s="204">
        <f>SUM(G100:G101)</f>
        <v>118.57381487344102</v>
      </c>
      <c r="H102" s="361"/>
      <c r="I102" s="212">
        <f>SUM(I100:I101)</f>
        <v>118.57381487344102</v>
      </c>
      <c r="J102" s="204">
        <f>SUM(J100:J101)</f>
        <v>124.75538816068199</v>
      </c>
    </row>
    <row r="103" spans="1:10" x14ac:dyDescent="0.2">
      <c r="E103" s="246"/>
      <c r="F103" s="221"/>
      <c r="G103" s="221"/>
      <c r="H103" s="221"/>
      <c r="I103" s="221"/>
      <c r="J103" s="221"/>
    </row>
    <row r="104" spans="1:10" ht="14.45" customHeight="1" x14ac:dyDescent="0.2">
      <c r="A104" s="415" t="s">
        <v>66</v>
      </c>
      <c r="B104" s="415"/>
      <c r="C104" s="415"/>
      <c r="D104" s="415"/>
      <c r="E104" s="247"/>
      <c r="F104" s="221"/>
      <c r="G104" s="221"/>
      <c r="H104" s="221"/>
      <c r="I104" s="221"/>
      <c r="J104" s="221"/>
    </row>
    <row r="105" spans="1:10" x14ac:dyDescent="0.2">
      <c r="A105" s="41">
        <v>5</v>
      </c>
      <c r="B105" s="437" t="s">
        <v>67</v>
      </c>
      <c r="C105" s="437"/>
      <c r="D105" s="43" t="s">
        <v>5</v>
      </c>
      <c r="E105" s="248"/>
      <c r="F105" s="219" t="s">
        <v>5</v>
      </c>
      <c r="G105" s="344" t="s">
        <v>5</v>
      </c>
      <c r="H105" s="242"/>
      <c r="I105" s="344" t="s">
        <v>5</v>
      </c>
      <c r="J105" s="219" t="s">
        <v>5</v>
      </c>
    </row>
    <row r="106" spans="1:10" x14ac:dyDescent="0.2">
      <c r="A106" s="8" t="s">
        <v>6</v>
      </c>
      <c r="B106" s="414" t="s">
        <v>68</v>
      </c>
      <c r="C106" s="414"/>
      <c r="D106" s="107">
        <f>'TABELA 4 Uniformes e EPIS'!$E29</f>
        <v>61.65</v>
      </c>
      <c r="E106" s="242"/>
      <c r="F106" s="107">
        <f>'TABELA 4 Uniformes e EPIS'!$E29</f>
        <v>61.65</v>
      </c>
      <c r="G106" s="107">
        <f>'TABELA 4 Uniformes e EPIS'!$E29</f>
        <v>61.65</v>
      </c>
      <c r="H106" s="249"/>
      <c r="I106" s="107">
        <f>'TABELA 4 Uniformes e EPIS'!$E29</f>
        <v>61.65</v>
      </c>
      <c r="J106" s="107">
        <f>'TABELA 4 Uniformes e EPIS'!$E29</f>
        <v>61.65</v>
      </c>
    </row>
    <row r="107" spans="1:10" x14ac:dyDescent="0.2">
      <c r="A107" s="8" t="s">
        <v>8</v>
      </c>
      <c r="B107" s="414" t="s">
        <v>386</v>
      </c>
      <c r="C107" s="414"/>
      <c r="D107" s="107">
        <f>'TABELA 4 Uniformes e EPIS'!$E48+'TABELA 4 Uniformes e EPIS'!$E83+'TABELA 5 - Ferramentas'!$I145</f>
        <v>234.64547101449276</v>
      </c>
      <c r="E107" s="249"/>
      <c r="F107" s="107">
        <f>'TABELA 4 Uniformes e EPIS'!$E48+'TABELA 4 Uniformes e EPIS'!$E83+'TABELA 5 - Ferramentas'!$I145</f>
        <v>234.64547101449276</v>
      </c>
      <c r="G107" s="107">
        <f>'TABELA 4 Uniformes e EPIS'!$E48+'TABELA 4 Uniformes e EPIS'!$E83+'TABELA 5 - Ferramentas'!$I145</f>
        <v>234.64547101449276</v>
      </c>
      <c r="H107" s="249"/>
      <c r="I107" s="107">
        <f>'TABELA 4 Uniformes e EPIS'!$E48+'TABELA 4 Uniformes e EPIS'!$E83+'TABELA 5 - Ferramentas'!$I145</f>
        <v>234.64547101449276</v>
      </c>
      <c r="J107" s="107">
        <f>'TABELA 4 Uniformes e EPIS'!$E48+'TABELA 4 Uniformes e EPIS'!$E83+'TABELA 5 - Ferramentas'!$I145</f>
        <v>234.64547101449276</v>
      </c>
    </row>
    <row r="108" spans="1:10" x14ac:dyDescent="0.2">
      <c r="A108" s="8" t="s">
        <v>9</v>
      </c>
      <c r="B108" s="414" t="s">
        <v>69</v>
      </c>
      <c r="C108" s="414"/>
      <c r="D108" s="16">
        <v>0</v>
      </c>
      <c r="E108" s="249"/>
      <c r="F108" s="16">
        <v>0</v>
      </c>
      <c r="G108" s="16">
        <v>0</v>
      </c>
      <c r="H108" s="245"/>
      <c r="I108" s="16">
        <v>0</v>
      </c>
      <c r="J108" s="16">
        <v>0</v>
      </c>
    </row>
    <row r="109" spans="1:10" x14ac:dyDescent="0.2">
      <c r="A109" s="8" t="s">
        <v>11</v>
      </c>
      <c r="B109" s="414" t="s">
        <v>16</v>
      </c>
      <c r="C109" s="414"/>
      <c r="D109" s="16">
        <v>0</v>
      </c>
      <c r="E109" s="245"/>
      <c r="F109" s="16">
        <v>0</v>
      </c>
      <c r="G109" s="16">
        <v>0</v>
      </c>
      <c r="H109" s="245"/>
      <c r="I109" s="16">
        <v>0</v>
      </c>
      <c r="J109" s="16">
        <v>0</v>
      </c>
    </row>
    <row r="110" spans="1:10" x14ac:dyDescent="0.2">
      <c r="A110" s="463" t="s">
        <v>17</v>
      </c>
      <c r="B110" s="463"/>
      <c r="C110" s="463"/>
      <c r="D110" s="18">
        <f>SUM(D106:D109)</f>
        <v>296.29547101449276</v>
      </c>
      <c r="E110" s="245"/>
      <c r="F110" s="18">
        <f>SUM(F106:F109)</f>
        <v>296.29547101449276</v>
      </c>
      <c r="G110" s="18">
        <f>SUM(G106:G109)</f>
        <v>296.29547101449276</v>
      </c>
      <c r="H110" s="246"/>
      <c r="I110" s="18">
        <f>SUM(I106:I109)</f>
        <v>296.29547101449276</v>
      </c>
      <c r="J110" s="18">
        <f>SUM(J106:J109)</f>
        <v>296.29547101449276</v>
      </c>
    </row>
    <row r="111" spans="1:10" x14ac:dyDescent="0.2">
      <c r="A111" s="464" t="s">
        <v>78</v>
      </c>
      <c r="B111" s="464"/>
      <c r="C111" s="464"/>
      <c r="D111" s="464"/>
      <c r="E111" s="250"/>
      <c r="F111" s="221"/>
      <c r="G111" s="221"/>
      <c r="H111" s="221"/>
      <c r="I111" s="221"/>
      <c r="J111" s="221"/>
    </row>
    <row r="112" spans="1:10" x14ac:dyDescent="0.2">
      <c r="E112" s="233"/>
      <c r="F112" s="221"/>
      <c r="G112" s="221"/>
      <c r="H112" s="221"/>
      <c r="I112" s="221"/>
      <c r="J112" s="221"/>
    </row>
    <row r="113" spans="1:10" ht="14.45" customHeight="1" x14ac:dyDescent="0.2">
      <c r="A113" s="415" t="s">
        <v>70</v>
      </c>
      <c r="B113" s="415"/>
      <c r="C113" s="415"/>
      <c r="D113" s="415"/>
      <c r="E113" s="221"/>
      <c r="F113" s="221"/>
      <c r="G113" s="221"/>
      <c r="H113" s="221"/>
      <c r="I113" s="221"/>
      <c r="J113" s="221"/>
    </row>
    <row r="114" spans="1:10" ht="25.5" customHeight="1" x14ac:dyDescent="0.2">
      <c r="A114" s="469" t="s">
        <v>116</v>
      </c>
      <c r="B114" s="469"/>
      <c r="C114" s="460" t="s">
        <v>117</v>
      </c>
      <c r="D114" s="460"/>
      <c r="E114" s="461" t="s">
        <v>117</v>
      </c>
      <c r="F114" s="462"/>
      <c r="G114" s="241" t="s">
        <v>117</v>
      </c>
      <c r="H114" s="461" t="s">
        <v>117</v>
      </c>
      <c r="I114" s="462"/>
      <c r="J114" s="241" t="s">
        <v>117</v>
      </c>
    </row>
    <row r="115" spans="1:10" ht="12.75" customHeight="1" x14ac:dyDescent="0.2">
      <c r="A115" s="40">
        <v>6</v>
      </c>
      <c r="B115" s="42" t="s">
        <v>71</v>
      </c>
      <c r="C115" s="42" t="s">
        <v>28</v>
      </c>
      <c r="D115" s="40" t="s">
        <v>5</v>
      </c>
      <c r="E115" s="218" t="s">
        <v>28</v>
      </c>
      <c r="F115" s="217" t="s">
        <v>5</v>
      </c>
      <c r="G115" s="217" t="s">
        <v>5</v>
      </c>
      <c r="H115" s="343" t="s">
        <v>28</v>
      </c>
      <c r="I115" s="346" t="s">
        <v>5</v>
      </c>
      <c r="J115" s="217" t="s">
        <v>5</v>
      </c>
    </row>
    <row r="116" spans="1:10" x14ac:dyDescent="0.2">
      <c r="A116" s="8" t="s">
        <v>6</v>
      </c>
      <c r="B116" s="14" t="s">
        <v>72</v>
      </c>
      <c r="C116" s="19">
        <v>0.06</v>
      </c>
      <c r="D116" s="20">
        <f>C116*D134</f>
        <v>309.76849448531294</v>
      </c>
      <c r="E116" s="19">
        <v>0.06</v>
      </c>
      <c r="F116" s="205">
        <f t="shared" ref="F116:J117" si="23">$E116*F$134</f>
        <v>306.82276035238692</v>
      </c>
      <c r="G116" s="205">
        <f t="shared" si="23"/>
        <v>322.41188511742035</v>
      </c>
      <c r="H116" s="19">
        <v>0.06</v>
      </c>
      <c r="I116" s="205">
        <f>H116*I$134</f>
        <v>318.94211057939197</v>
      </c>
      <c r="J116" s="205">
        <f t="shared" si="23"/>
        <v>331.2483466244334</v>
      </c>
    </row>
    <row r="117" spans="1:10" x14ac:dyDescent="0.2">
      <c r="A117" s="8" t="s">
        <v>8</v>
      </c>
      <c r="B117" s="14" t="s">
        <v>73</v>
      </c>
      <c r="C117" s="19">
        <v>0.05</v>
      </c>
      <c r="D117" s="20">
        <f>C117*D134</f>
        <v>258.14041207109415</v>
      </c>
      <c r="E117" s="19">
        <v>0.05</v>
      </c>
      <c r="F117" s="205">
        <f t="shared" si="23"/>
        <v>255.6856336269891</v>
      </c>
      <c r="G117" s="205">
        <f t="shared" si="23"/>
        <v>268.67657093118368</v>
      </c>
      <c r="H117" s="19">
        <v>0.05</v>
      </c>
      <c r="I117" s="205">
        <f>H117*I$134</f>
        <v>265.78509214949332</v>
      </c>
      <c r="J117" s="205">
        <f t="shared" si="23"/>
        <v>276.04028885369456</v>
      </c>
    </row>
    <row r="118" spans="1:10" x14ac:dyDescent="0.2">
      <c r="A118" s="8" t="s">
        <v>9</v>
      </c>
      <c r="B118" s="14" t="s">
        <v>125</v>
      </c>
      <c r="C118" s="34">
        <f>SUM(C119:C121)</f>
        <v>5.6499999999999995E-2</v>
      </c>
      <c r="D118" s="20">
        <f>(D134+D117+D116)*(C118/IF(C114="Lucro presumido",91.45%,85.75%))</f>
        <v>354.0574290440386</v>
      </c>
      <c r="E118" s="34">
        <f>SUM(E119:E121)</f>
        <v>5.6499999999999995E-2</v>
      </c>
      <c r="F118" s="205">
        <f>(F$134+F$117+F$116)*($E118/IF($E114="Lucro presumido",91.45%,85.75%))</f>
        <v>350.69053062693536</v>
      </c>
      <c r="G118" s="205">
        <f>(G$134+G$117+G$116)*($E118/IF($E114="Lucro presumido",91.45%,85.75%))</f>
        <v>368.50849963803569</v>
      </c>
      <c r="H118" s="34">
        <f>SUM(H119:H121)</f>
        <v>5.6499999999999995E-2</v>
      </c>
      <c r="I118" s="205">
        <f>(I$134+I$117+I$116)*($H118/IF($H114="Lucro presumido",91.45%,85.75%))</f>
        <v>364.54263650422024</v>
      </c>
      <c r="J118" s="205">
        <f>(J$134+J$117+J$116)*($E118/IF($E114="Lucro presumido",91.45%,85.75%))</f>
        <v>378.60834806909673</v>
      </c>
    </row>
    <row r="119" spans="1:10" x14ac:dyDescent="0.2">
      <c r="A119" s="8" t="s">
        <v>120</v>
      </c>
      <c r="B119" s="14" t="s">
        <v>119</v>
      </c>
      <c r="C119" s="34">
        <f>IF(C114="Lucro presumido",0.65%,1.65%)</f>
        <v>6.5000000000000006E-3</v>
      </c>
      <c r="D119" s="35" t="s">
        <v>118</v>
      </c>
      <c r="E119" s="34">
        <f>IF(E114="Lucro presumido",0.65%,1.65%)</f>
        <v>6.5000000000000006E-3</v>
      </c>
      <c r="F119" s="35" t="s">
        <v>118</v>
      </c>
      <c r="G119" s="35" t="s">
        <v>118</v>
      </c>
      <c r="H119" s="34">
        <f>IF(H114="Lucro presumido",0.65%,1.65%)</f>
        <v>6.5000000000000006E-3</v>
      </c>
      <c r="I119" s="35" t="s">
        <v>118</v>
      </c>
      <c r="J119" s="35" t="s">
        <v>118</v>
      </c>
    </row>
    <row r="120" spans="1:10" x14ac:dyDescent="0.2">
      <c r="A120" s="8" t="s">
        <v>122</v>
      </c>
      <c r="B120" s="14" t="s">
        <v>121</v>
      </c>
      <c r="C120" s="34">
        <f>IF(C114="Lucro presumido",3%,7.6%)</f>
        <v>0.03</v>
      </c>
      <c r="D120" s="35" t="s">
        <v>118</v>
      </c>
      <c r="E120" s="34">
        <f>IF(E114="Lucro presumido",3%,7.6%)</f>
        <v>0.03</v>
      </c>
      <c r="F120" s="35" t="s">
        <v>118</v>
      </c>
      <c r="G120" s="35" t="s">
        <v>118</v>
      </c>
      <c r="H120" s="34">
        <f>IF(H114="Lucro presumido",3%,7.6%)</f>
        <v>0.03</v>
      </c>
      <c r="I120" s="35" t="s">
        <v>118</v>
      </c>
      <c r="J120" s="35" t="s">
        <v>118</v>
      </c>
    </row>
    <row r="121" spans="1:10" x14ac:dyDescent="0.2">
      <c r="A121" s="8" t="s">
        <v>124</v>
      </c>
      <c r="B121" s="14" t="s">
        <v>123</v>
      </c>
      <c r="C121" s="34">
        <v>0.02</v>
      </c>
      <c r="D121" s="35" t="s">
        <v>118</v>
      </c>
      <c r="E121" s="34">
        <v>0.02</v>
      </c>
      <c r="F121" s="35" t="s">
        <v>118</v>
      </c>
      <c r="G121" s="35" t="s">
        <v>118</v>
      </c>
      <c r="H121" s="34">
        <v>0.02</v>
      </c>
      <c r="I121" s="35" t="s">
        <v>118</v>
      </c>
      <c r="J121" s="35" t="s">
        <v>118</v>
      </c>
    </row>
    <row r="122" spans="1:10" ht="25.5" x14ac:dyDescent="0.2">
      <c r="A122" s="26" t="s">
        <v>11</v>
      </c>
      <c r="B122" s="5" t="s">
        <v>127</v>
      </c>
      <c r="C122" s="36">
        <v>4.4999999999999998E-2</v>
      </c>
      <c r="D122" s="37">
        <f>(D134+D117+D116)*(C122/IF(C114="Lucro presumido",91.45%,85.75%))</f>
        <v>281.99264260144673</v>
      </c>
      <c r="E122" s="36">
        <v>4.4999999999999998E-2</v>
      </c>
      <c r="F122" s="208">
        <f>(F$134+F$117+F$116)*($E122/IF($E114="Lucro presumido",91.45%,85.75%))</f>
        <v>279.31104209224947</v>
      </c>
      <c r="G122" s="208">
        <f>(G$134+G$117+G$116)*($E122/IF($E114="Lucro presumido",91.45%,85.75%))</f>
        <v>293.50234484445326</v>
      </c>
      <c r="H122" s="36">
        <v>4.4999999999999998E-2</v>
      </c>
      <c r="I122" s="208">
        <f>(I$134+I$117+I$116)*($H122/IF($H114="Lucro presumido",91.45%,85.75%))</f>
        <v>290.34369279097194</v>
      </c>
      <c r="J122" s="208">
        <f>(J$134+J$117+J$116)*($E122/IF($E114="Lucro presumido",91.45%,85.75%))</f>
        <v>301.54647191343997</v>
      </c>
    </row>
    <row r="123" spans="1:10" x14ac:dyDescent="0.2">
      <c r="A123" s="463" t="s">
        <v>17</v>
      </c>
      <c r="B123" s="463"/>
      <c r="C123" s="21">
        <f>SUM(C116:C118)+(C122)</f>
        <v>0.21149999999999997</v>
      </c>
      <c r="D123" s="22">
        <f>SUM(D116:D122)</f>
        <v>1203.9589782018925</v>
      </c>
      <c r="E123" s="21">
        <f>SUM(E116:E118)+(E122)</f>
        <v>0.21149999999999997</v>
      </c>
      <c r="F123" s="207">
        <f>SUM(F116:F122)</f>
        <v>1192.5099666985609</v>
      </c>
      <c r="G123" s="207">
        <f>SUM(G116:G122)</f>
        <v>1253.0993005310929</v>
      </c>
      <c r="H123" s="21">
        <f>SUM(H116:H118)+(H122)</f>
        <v>0.21149999999999997</v>
      </c>
      <c r="I123" s="207">
        <f>SUM(I116:I122)</f>
        <v>1239.6135320240774</v>
      </c>
      <c r="J123" s="207">
        <f>SUM(J116:J122)</f>
        <v>1287.4434554606646</v>
      </c>
    </row>
    <row r="124" spans="1:10" x14ac:dyDescent="0.2">
      <c r="A124" s="464" t="s">
        <v>79</v>
      </c>
      <c r="B124" s="464"/>
      <c r="C124" s="464"/>
      <c r="D124" s="464"/>
      <c r="E124" s="221"/>
      <c r="F124" s="221"/>
      <c r="G124" s="221"/>
      <c r="H124" s="221"/>
      <c r="I124" s="221"/>
      <c r="J124" s="221"/>
    </row>
    <row r="125" spans="1:10" ht="27" customHeight="1" x14ac:dyDescent="0.2">
      <c r="A125" s="464" t="s">
        <v>126</v>
      </c>
      <c r="B125" s="464"/>
      <c r="C125" s="464"/>
      <c r="D125" s="464"/>
      <c r="E125" s="233"/>
      <c r="F125" s="283"/>
      <c r="G125" s="283"/>
      <c r="H125" s="283"/>
      <c r="I125" s="283"/>
      <c r="J125" s="283"/>
    </row>
    <row r="126" spans="1:10" x14ac:dyDescent="0.2">
      <c r="E126" s="233"/>
      <c r="F126" s="221"/>
      <c r="G126" s="221"/>
      <c r="H126" s="221"/>
      <c r="I126" s="221"/>
      <c r="J126" s="221"/>
    </row>
    <row r="127" spans="1:10" ht="14.45" customHeight="1" x14ac:dyDescent="0.2">
      <c r="A127" s="415" t="s">
        <v>112</v>
      </c>
      <c r="B127" s="415"/>
      <c r="C127" s="415"/>
      <c r="D127" s="415"/>
      <c r="E127" s="221"/>
      <c r="F127" s="221"/>
      <c r="G127" s="221"/>
      <c r="H127" s="221"/>
      <c r="I127" s="221"/>
      <c r="J127" s="221"/>
    </row>
    <row r="128" spans="1:10" x14ac:dyDescent="0.2">
      <c r="A128" s="466" t="s">
        <v>80</v>
      </c>
      <c r="B128" s="467"/>
      <c r="C128" s="468"/>
      <c r="D128" s="43" t="s">
        <v>74</v>
      </c>
      <c r="E128" s="231"/>
      <c r="F128" s="219" t="s">
        <v>74</v>
      </c>
      <c r="G128" s="344" t="s">
        <v>74</v>
      </c>
      <c r="H128" s="242"/>
      <c r="I128" s="344" t="s">
        <v>74</v>
      </c>
      <c r="J128" s="219" t="s">
        <v>74</v>
      </c>
    </row>
    <row r="129" spans="1:10" x14ac:dyDescent="0.2">
      <c r="A129" s="26" t="s">
        <v>6</v>
      </c>
      <c r="B129" s="438" t="s">
        <v>75</v>
      </c>
      <c r="C129" s="438"/>
      <c r="D129" s="16">
        <f>D19</f>
        <v>2590.09</v>
      </c>
      <c r="E129" s="242"/>
      <c r="F129" s="211">
        <f>F19</f>
        <v>2590.09</v>
      </c>
      <c r="G129" s="203">
        <f>G19</f>
        <v>2732.54495</v>
      </c>
      <c r="H129" s="360"/>
      <c r="I129" s="211">
        <f>I19</f>
        <v>2732.54495</v>
      </c>
      <c r="J129" s="203">
        <f>J19</f>
        <v>2874.9998999999998</v>
      </c>
    </row>
    <row r="130" spans="1:10" ht="30" customHeight="1" x14ac:dyDescent="0.2">
      <c r="A130" s="26" t="s">
        <v>8</v>
      </c>
      <c r="B130" s="438" t="s">
        <v>19</v>
      </c>
      <c r="C130" s="438"/>
      <c r="D130" s="16">
        <f>D64</f>
        <v>1956.8238154991004</v>
      </c>
      <c r="E130" s="245"/>
      <c r="F130" s="203">
        <f>F64</f>
        <v>1907.728246617</v>
      </c>
      <c r="G130" s="203">
        <f>G64</f>
        <v>2007.5141001809352</v>
      </c>
      <c r="H130" s="360"/>
      <c r="I130" s="211">
        <f>I64</f>
        <v>2007.5141001809352</v>
      </c>
      <c r="J130" s="203">
        <f>J64</f>
        <v>2055.5999537448702</v>
      </c>
    </row>
    <row r="131" spans="1:10" x14ac:dyDescent="0.2">
      <c r="A131" s="26" t="s">
        <v>9</v>
      </c>
      <c r="B131" s="438" t="s">
        <v>76</v>
      </c>
      <c r="C131" s="438"/>
      <c r="D131" s="16">
        <f>D75</f>
        <v>207.20671332208906</v>
      </c>
      <c r="E131" s="245"/>
      <c r="F131" s="211">
        <f>F75</f>
        <v>207.20671332208906</v>
      </c>
      <c r="G131" s="203">
        <f>G75</f>
        <v>218.6030825548039</v>
      </c>
      <c r="H131" s="360"/>
      <c r="I131" s="203">
        <f>I75</f>
        <v>160.77350692099719</v>
      </c>
      <c r="J131" s="203">
        <f>J75</f>
        <v>169.15506415384539</v>
      </c>
    </row>
    <row r="132" spans="1:10" ht="30" customHeight="1" x14ac:dyDescent="0.2">
      <c r="A132" s="26" t="s">
        <v>11</v>
      </c>
      <c r="B132" s="438" t="s">
        <v>53</v>
      </c>
      <c r="C132" s="438"/>
      <c r="D132" s="16">
        <f>D102</f>
        <v>112.39224158620002</v>
      </c>
      <c r="E132" s="245"/>
      <c r="F132" s="211">
        <f>F102</f>
        <v>112.39224158620002</v>
      </c>
      <c r="G132" s="203">
        <f>G102</f>
        <v>118.57381487344102</v>
      </c>
      <c r="H132" s="360"/>
      <c r="I132" s="211">
        <f>I102</f>
        <v>118.57381487344102</v>
      </c>
      <c r="J132" s="203">
        <f>J102</f>
        <v>124.75538816068199</v>
      </c>
    </row>
    <row r="133" spans="1:10" x14ac:dyDescent="0.2">
      <c r="A133" s="26" t="s">
        <v>13</v>
      </c>
      <c r="B133" s="438" t="s">
        <v>66</v>
      </c>
      <c r="C133" s="438"/>
      <c r="D133" s="16">
        <f>D110</f>
        <v>296.29547101449276</v>
      </c>
      <c r="E133" s="245"/>
      <c r="F133" s="211">
        <f>F110</f>
        <v>296.29547101449276</v>
      </c>
      <c r="G133" s="211">
        <f>G110</f>
        <v>296.29547101449276</v>
      </c>
      <c r="H133" s="292"/>
      <c r="I133" s="211">
        <f>I110</f>
        <v>296.29547101449276</v>
      </c>
      <c r="J133" s="211">
        <f>J110</f>
        <v>296.29547101449276</v>
      </c>
    </row>
    <row r="134" spans="1:10" x14ac:dyDescent="0.2">
      <c r="A134" s="463" t="s">
        <v>77</v>
      </c>
      <c r="B134" s="463"/>
      <c r="C134" s="463"/>
      <c r="D134" s="18">
        <f>SUM(D129:D133)</f>
        <v>5162.8082414218825</v>
      </c>
      <c r="E134" s="245"/>
      <c r="F134" s="204">
        <f>SUM(F129:F133)</f>
        <v>5113.712672539782</v>
      </c>
      <c r="G134" s="204">
        <f>SUM(G129:G133)</f>
        <v>5373.5314186236728</v>
      </c>
      <c r="H134" s="361"/>
      <c r="I134" s="204">
        <f>SUM(I129:I133)</f>
        <v>5315.7018429898662</v>
      </c>
      <c r="J134" s="204">
        <f>SUM(J129:J133)</f>
        <v>5520.8057770738906</v>
      </c>
    </row>
    <row r="135" spans="1:10" x14ac:dyDescent="0.2">
      <c r="A135" s="8" t="s">
        <v>15</v>
      </c>
      <c r="B135" s="414" t="s">
        <v>70</v>
      </c>
      <c r="C135" s="414"/>
      <c r="D135" s="16">
        <f>D123</f>
        <v>1203.9589782018925</v>
      </c>
      <c r="E135" s="246"/>
      <c r="F135" s="203">
        <f>F123</f>
        <v>1192.5099666985609</v>
      </c>
      <c r="G135" s="203">
        <f>G123</f>
        <v>1253.0993005310929</v>
      </c>
      <c r="H135" s="360"/>
      <c r="I135" s="203">
        <f>I123</f>
        <v>1239.6135320240774</v>
      </c>
      <c r="J135" s="203">
        <f>J123</f>
        <v>1287.4434554606646</v>
      </c>
    </row>
    <row r="136" spans="1:10" x14ac:dyDescent="0.2">
      <c r="A136" s="415" t="s">
        <v>440</v>
      </c>
      <c r="B136" s="415"/>
      <c r="C136" s="415"/>
      <c r="D136" s="123">
        <f>SUM(D134:D135)</f>
        <v>6366.7672196237745</v>
      </c>
      <c r="E136" s="245"/>
      <c r="F136" s="209">
        <f>SUM(F134:F135)</f>
        <v>6306.2226392383427</v>
      </c>
      <c r="G136" s="209">
        <f>SUM(G134:G135)</f>
        <v>6626.6307191547658</v>
      </c>
      <c r="H136" s="363"/>
      <c r="I136" s="209">
        <f>SUM(I134:I135)</f>
        <v>6555.3153750139436</v>
      </c>
      <c r="J136" s="209">
        <f>SUM(J134:J135)</f>
        <v>6808.2492325345556</v>
      </c>
    </row>
    <row r="139" spans="1:10" ht="163.5" customHeight="1" x14ac:dyDescent="0.2">
      <c r="A139" s="465" t="s">
        <v>469</v>
      </c>
      <c r="B139" s="465"/>
      <c r="C139" s="465"/>
      <c r="D139" s="465"/>
    </row>
  </sheetData>
  <mergeCells count="83">
    <mergeCell ref="B13:C13"/>
    <mergeCell ref="C7:D7"/>
    <mergeCell ref="C8:D8"/>
    <mergeCell ref="C9:D9"/>
    <mergeCell ref="A11:D11"/>
    <mergeCell ref="B12:C12"/>
    <mergeCell ref="A1:D1"/>
    <mergeCell ref="A3:D3"/>
    <mergeCell ref="C4:D4"/>
    <mergeCell ref="C5:D5"/>
    <mergeCell ref="C6:D6"/>
    <mergeCell ref="A29:D29"/>
    <mergeCell ref="B14:C14"/>
    <mergeCell ref="B15:C15"/>
    <mergeCell ref="B16:C16"/>
    <mergeCell ref="B17:C17"/>
    <mergeCell ref="B18:C18"/>
    <mergeCell ref="A19:C19"/>
    <mergeCell ref="A20:D20"/>
    <mergeCell ref="A22:D22"/>
    <mergeCell ref="A23:D23"/>
    <mergeCell ref="A27:B27"/>
    <mergeCell ref="A28:D28"/>
    <mergeCell ref="A57:D57"/>
    <mergeCell ref="A30:D30"/>
    <mergeCell ref="A32:D32"/>
    <mergeCell ref="A42:B42"/>
    <mergeCell ref="A43:D43"/>
    <mergeCell ref="A44:D44"/>
    <mergeCell ref="A45:D45"/>
    <mergeCell ref="A46:D46"/>
    <mergeCell ref="A47:D47"/>
    <mergeCell ref="A49:D49"/>
    <mergeCell ref="A55:C55"/>
    <mergeCell ref="A56:D56"/>
    <mergeCell ref="A80:D80"/>
    <mergeCell ref="A59:D59"/>
    <mergeCell ref="B60:C60"/>
    <mergeCell ref="B61:C61"/>
    <mergeCell ref="B62:C62"/>
    <mergeCell ref="B63:C63"/>
    <mergeCell ref="A64:C64"/>
    <mergeCell ref="A66:D66"/>
    <mergeCell ref="A75:B75"/>
    <mergeCell ref="A76:D76"/>
    <mergeCell ref="A77:D77"/>
    <mergeCell ref="A79:D79"/>
    <mergeCell ref="B106:C106"/>
    <mergeCell ref="A82:D82"/>
    <mergeCell ref="A90:B90"/>
    <mergeCell ref="A91:D91"/>
    <mergeCell ref="A93:D93"/>
    <mergeCell ref="A96:B96"/>
    <mergeCell ref="A98:D98"/>
    <mergeCell ref="B99:C99"/>
    <mergeCell ref="B100:C100"/>
    <mergeCell ref="A102:C102"/>
    <mergeCell ref="A104:D104"/>
    <mergeCell ref="B105:C105"/>
    <mergeCell ref="A113:D113"/>
    <mergeCell ref="A114:B114"/>
    <mergeCell ref="C114:D114"/>
    <mergeCell ref="A123:B123"/>
    <mergeCell ref="A124:D124"/>
    <mergeCell ref="B107:C107"/>
    <mergeCell ref="B108:C108"/>
    <mergeCell ref="B109:C109"/>
    <mergeCell ref="A110:C110"/>
    <mergeCell ref="A111:D111"/>
    <mergeCell ref="H114:I114"/>
    <mergeCell ref="A139:D139"/>
    <mergeCell ref="A128:C128"/>
    <mergeCell ref="B129:C129"/>
    <mergeCell ref="B130:C130"/>
    <mergeCell ref="B131:C131"/>
    <mergeCell ref="B132:C132"/>
    <mergeCell ref="B133:C133"/>
    <mergeCell ref="E114:F114"/>
    <mergeCell ref="A134:C134"/>
    <mergeCell ref="B135:C135"/>
    <mergeCell ref="A136:C136"/>
    <mergeCell ref="A127:D127"/>
    <mergeCell ref="A125:D125"/>
  </mergeCells>
  <dataValidations disablePrompts="1" count="1">
    <dataValidation type="list" allowBlank="1" showInputMessage="1" showErrorMessage="1" sqref="C114:E114 G114:H114 J114" xr:uid="{00000000-0002-0000-0E00-000000000000}">
      <formula1>"Lucro presumido,Lucro real"</formula1>
    </dataValidation>
  </dataValidations>
  <pageMargins left="0.511811024" right="0.511811024" top="0.78740157499999996" bottom="0.78740157499999996" header="0.31496062000000002" footer="0.31496062000000002"/>
  <pageSetup paperSize="9" scale="4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H140"/>
  <sheetViews>
    <sheetView showGridLines="0" zoomScaleNormal="100" workbookViewId="0">
      <selection activeCell="P23" sqref="P23"/>
    </sheetView>
  </sheetViews>
  <sheetFormatPr defaultColWidth="8.7109375" defaultRowHeight="12.75" x14ac:dyDescent="0.25"/>
  <cols>
    <col min="1" max="1" width="8.85546875" style="12" bestFit="1" customWidth="1"/>
    <col min="2" max="2" width="46.42578125" style="12" customWidth="1"/>
    <col min="3" max="3" width="17.7109375" style="12" customWidth="1"/>
    <col min="4" max="4" width="16.85546875" style="12" customWidth="1"/>
    <col min="5" max="5" width="14.140625" style="319" bestFit="1" customWidth="1"/>
    <col min="6" max="6" width="20.28515625" style="319" bestFit="1" customWidth="1"/>
    <col min="7" max="7" width="14.140625" style="319" bestFit="1" customWidth="1"/>
    <col min="8" max="8" width="18.28515625" style="319" bestFit="1" customWidth="1"/>
    <col min="9" max="16384" width="8.7109375" style="12"/>
  </cols>
  <sheetData>
    <row r="1" spans="1:8" x14ac:dyDescent="0.25">
      <c r="A1" s="415" t="s">
        <v>92</v>
      </c>
      <c r="B1" s="415"/>
      <c r="C1" s="415"/>
      <c r="D1" s="415"/>
      <c r="E1" s="231"/>
    </row>
    <row r="3" spans="1:8" x14ac:dyDescent="0.25">
      <c r="A3" s="429" t="s">
        <v>0</v>
      </c>
      <c r="B3" s="429"/>
      <c r="C3" s="429"/>
      <c r="D3" s="429"/>
      <c r="E3" s="320"/>
    </row>
    <row r="4" spans="1:8" ht="25.5" x14ac:dyDescent="0.25">
      <c r="A4" s="304">
        <v>1</v>
      </c>
      <c r="B4" s="3" t="s">
        <v>1</v>
      </c>
      <c r="C4" s="454" t="s">
        <v>138</v>
      </c>
      <c r="D4" s="454"/>
      <c r="E4" s="301"/>
    </row>
    <row r="5" spans="1:8" x14ac:dyDescent="0.25">
      <c r="A5" s="4">
        <v>2</v>
      </c>
      <c r="B5" s="306" t="s">
        <v>2</v>
      </c>
      <c r="C5" s="455"/>
      <c r="D5" s="455"/>
      <c r="E5" s="225"/>
    </row>
    <row r="6" spans="1:8" x14ac:dyDescent="0.25">
      <c r="A6" s="4">
        <v>3</v>
      </c>
      <c r="B6" s="306" t="s">
        <v>95</v>
      </c>
      <c r="C6" s="459">
        <v>1287.96</v>
      </c>
      <c r="D6" s="459"/>
      <c r="E6" s="226"/>
      <c r="F6" s="321"/>
    </row>
    <row r="7" spans="1:8" ht="48" customHeight="1" x14ac:dyDescent="0.25">
      <c r="A7" s="4">
        <v>4</v>
      </c>
      <c r="B7" s="306" t="s">
        <v>96</v>
      </c>
      <c r="C7" s="456" t="s">
        <v>461</v>
      </c>
      <c r="D7" s="487"/>
      <c r="E7" s="322"/>
    </row>
    <row r="8" spans="1:8" x14ac:dyDescent="0.25">
      <c r="A8" s="4">
        <v>5</v>
      </c>
      <c r="B8" s="306" t="s">
        <v>3</v>
      </c>
      <c r="C8" s="427" t="s">
        <v>451</v>
      </c>
      <c r="D8" s="428"/>
      <c r="E8" s="228"/>
      <c r="F8" s="296">
        <v>44562</v>
      </c>
    </row>
    <row r="9" spans="1:8" x14ac:dyDescent="0.25">
      <c r="A9" s="4">
        <v>6</v>
      </c>
      <c r="B9" s="306" t="s">
        <v>97</v>
      </c>
      <c r="C9" s="427" t="s">
        <v>452</v>
      </c>
      <c r="D9" s="428"/>
      <c r="E9" s="228"/>
      <c r="F9" s="324" t="s">
        <v>566</v>
      </c>
    </row>
    <row r="10" spans="1:8" x14ac:dyDescent="0.25">
      <c r="F10" s="319" t="s">
        <v>567</v>
      </c>
      <c r="H10" s="319" t="s">
        <v>568</v>
      </c>
    </row>
    <row r="11" spans="1:8" ht="127.5" x14ac:dyDescent="0.25">
      <c r="A11" s="415" t="s">
        <v>75</v>
      </c>
      <c r="B11" s="415"/>
      <c r="C11" s="415"/>
      <c r="D11" s="415"/>
      <c r="E11" s="231"/>
      <c r="F11" s="252" t="s">
        <v>575</v>
      </c>
      <c r="H11" s="252" t="s">
        <v>569</v>
      </c>
    </row>
    <row r="12" spans="1:8" x14ac:dyDescent="0.25">
      <c r="A12" s="303">
        <v>1</v>
      </c>
      <c r="B12" s="429" t="s">
        <v>4</v>
      </c>
      <c r="C12" s="429"/>
      <c r="D12" s="303" t="s">
        <v>5</v>
      </c>
      <c r="E12" s="242"/>
      <c r="F12" s="303" t="s">
        <v>5</v>
      </c>
      <c r="H12" s="303" t="s">
        <v>5</v>
      </c>
    </row>
    <row r="13" spans="1:8" x14ac:dyDescent="0.25">
      <c r="A13" s="26" t="s">
        <v>6</v>
      </c>
      <c r="B13" s="414" t="s">
        <v>7</v>
      </c>
      <c r="C13" s="414"/>
      <c r="D13" s="114">
        <v>1889.62</v>
      </c>
      <c r="E13" s="243"/>
      <c r="F13" s="200">
        <f>D13*1.1</f>
        <v>2078.5819999999999</v>
      </c>
      <c r="H13" s="114">
        <f>F13</f>
        <v>2078.5819999999999</v>
      </c>
    </row>
    <row r="14" spans="1:8" x14ac:dyDescent="0.25">
      <c r="A14" s="26" t="s">
        <v>8</v>
      </c>
      <c r="B14" s="414" t="s">
        <v>401</v>
      </c>
      <c r="C14" s="414"/>
      <c r="D14" s="10" t="s">
        <v>118</v>
      </c>
      <c r="E14" s="244"/>
      <c r="F14" s="10" t="s">
        <v>118</v>
      </c>
      <c r="H14" s="10" t="s">
        <v>118</v>
      </c>
    </row>
    <row r="15" spans="1:8" x14ac:dyDescent="0.25">
      <c r="A15" s="26" t="s">
        <v>9</v>
      </c>
      <c r="B15" s="414" t="s">
        <v>10</v>
      </c>
      <c r="C15" s="414"/>
      <c r="D15" s="10" t="s">
        <v>118</v>
      </c>
      <c r="E15" s="244"/>
      <c r="F15" s="10" t="s">
        <v>118</v>
      </c>
      <c r="H15" s="10" t="s">
        <v>118</v>
      </c>
    </row>
    <row r="16" spans="1:8" x14ac:dyDescent="0.25">
      <c r="A16" s="26" t="s">
        <v>11</v>
      </c>
      <c r="B16" s="414" t="s">
        <v>12</v>
      </c>
      <c r="C16" s="414"/>
      <c r="D16" s="10" t="s">
        <v>118</v>
      </c>
      <c r="E16" s="244"/>
      <c r="F16" s="10" t="s">
        <v>118</v>
      </c>
      <c r="H16" s="10" t="s">
        <v>118</v>
      </c>
    </row>
    <row r="17" spans="1:8" x14ac:dyDescent="0.25">
      <c r="A17" s="26" t="s">
        <v>13</v>
      </c>
      <c r="B17" s="414" t="s">
        <v>14</v>
      </c>
      <c r="C17" s="414"/>
      <c r="D17" s="10" t="s">
        <v>118</v>
      </c>
      <c r="E17" s="244"/>
      <c r="F17" s="10" t="s">
        <v>118</v>
      </c>
      <c r="H17" s="10" t="s">
        <v>118</v>
      </c>
    </row>
    <row r="18" spans="1:8" x14ac:dyDescent="0.25">
      <c r="A18" s="26" t="s">
        <v>15</v>
      </c>
      <c r="B18" s="414" t="s">
        <v>16</v>
      </c>
      <c r="C18" s="414"/>
      <c r="D18" s="10" t="s">
        <v>118</v>
      </c>
      <c r="E18" s="244"/>
      <c r="F18" s="10" t="s">
        <v>118</v>
      </c>
      <c r="H18" s="10" t="s">
        <v>118</v>
      </c>
    </row>
    <row r="19" spans="1:8" x14ac:dyDescent="0.25">
      <c r="A19" s="430" t="s">
        <v>17</v>
      </c>
      <c r="B19" s="430"/>
      <c r="C19" s="430"/>
      <c r="D19" s="11">
        <f>SUM(D13:D18)</f>
        <v>1889.62</v>
      </c>
      <c r="E19" s="243"/>
      <c r="F19" s="202">
        <f>SUM(F13:F18)</f>
        <v>2078.5819999999999</v>
      </c>
      <c r="H19" s="11">
        <f>SUM(H13:H18)</f>
        <v>2078.5819999999999</v>
      </c>
    </row>
    <row r="20" spans="1:8" ht="24" customHeight="1" x14ac:dyDescent="0.25">
      <c r="A20" s="431" t="s">
        <v>18</v>
      </c>
      <c r="B20" s="431"/>
      <c r="C20" s="431"/>
      <c r="D20" s="431"/>
      <c r="E20" s="322"/>
    </row>
    <row r="22" spans="1:8" x14ac:dyDescent="0.25">
      <c r="A22" s="415" t="s">
        <v>19</v>
      </c>
      <c r="B22" s="415"/>
      <c r="C22" s="415"/>
      <c r="D22" s="415"/>
      <c r="E22" s="231"/>
    </row>
    <row r="23" spans="1:8" x14ac:dyDescent="0.25">
      <c r="A23" s="430" t="s">
        <v>24</v>
      </c>
      <c r="B23" s="430"/>
      <c r="C23" s="430"/>
      <c r="D23" s="430"/>
      <c r="E23" s="242"/>
    </row>
    <row r="24" spans="1:8" ht="25.5" x14ac:dyDescent="0.25">
      <c r="A24" s="305" t="s">
        <v>20</v>
      </c>
      <c r="B24" s="305" t="s">
        <v>21</v>
      </c>
      <c r="C24" s="304" t="s">
        <v>28</v>
      </c>
      <c r="D24" s="305" t="s">
        <v>5</v>
      </c>
      <c r="E24" s="304" t="s">
        <v>28</v>
      </c>
      <c r="F24" s="305" t="s">
        <v>5</v>
      </c>
      <c r="G24" s="304" t="s">
        <v>28</v>
      </c>
      <c r="H24" s="305" t="s">
        <v>5</v>
      </c>
    </row>
    <row r="25" spans="1:8" x14ac:dyDescent="0.25">
      <c r="A25" s="26" t="s">
        <v>6</v>
      </c>
      <c r="B25" s="14" t="s">
        <v>22</v>
      </c>
      <c r="C25" s="15">
        <v>9.0899999999999995E-2</v>
      </c>
      <c r="D25" s="16">
        <f>C25*$D$19</f>
        <v>171.76645799999997</v>
      </c>
      <c r="E25" s="352">
        <v>9.0899999999999995E-2</v>
      </c>
      <c r="F25" s="203">
        <f>E25*F$19</f>
        <v>188.94310379999999</v>
      </c>
      <c r="G25" s="352">
        <v>9.0899999999999995E-2</v>
      </c>
      <c r="H25" s="211">
        <f>G25*H$19</f>
        <v>188.94310379999999</v>
      </c>
    </row>
    <row r="26" spans="1:8" x14ac:dyDescent="0.25">
      <c r="A26" s="26" t="s">
        <v>8</v>
      </c>
      <c r="B26" s="14" t="s">
        <v>23</v>
      </c>
      <c r="C26" s="15">
        <v>0.1212</v>
      </c>
      <c r="D26" s="16">
        <f>C26*$D$19</f>
        <v>229.02194399999999</v>
      </c>
      <c r="E26" s="352">
        <v>0.1212</v>
      </c>
      <c r="F26" s="203">
        <f>E26*F$19</f>
        <v>251.9241384</v>
      </c>
      <c r="G26" s="352">
        <v>0.1212</v>
      </c>
      <c r="H26" s="211">
        <f>G26*H$19</f>
        <v>251.9241384</v>
      </c>
    </row>
    <row r="27" spans="1:8" x14ac:dyDescent="0.25">
      <c r="A27" s="430" t="s">
        <v>17</v>
      </c>
      <c r="B27" s="430"/>
      <c r="C27" s="17">
        <f>SUM(C25:C26)</f>
        <v>0.21210000000000001</v>
      </c>
      <c r="D27" s="18">
        <f>SUM(D25:D26)</f>
        <v>400.78840199999996</v>
      </c>
      <c r="E27" s="353">
        <f t="shared" ref="E27:H27" si="0">SUM(E25:E26)</f>
        <v>0.21210000000000001</v>
      </c>
      <c r="F27" s="204">
        <f t="shared" si="0"/>
        <v>440.86724219999996</v>
      </c>
      <c r="G27" s="353">
        <f t="shared" si="0"/>
        <v>0.21210000000000001</v>
      </c>
      <c r="H27" s="212">
        <f t="shared" si="0"/>
        <v>440.86724219999996</v>
      </c>
    </row>
    <row r="28" spans="1:8" ht="39" customHeight="1" x14ac:dyDescent="0.25">
      <c r="A28" s="432" t="s">
        <v>468</v>
      </c>
      <c r="B28" s="432"/>
      <c r="C28" s="432"/>
      <c r="D28" s="432"/>
      <c r="E28" s="322"/>
    </row>
    <row r="29" spans="1:8" ht="24.75" customHeight="1" x14ac:dyDescent="0.25">
      <c r="A29" s="432" t="s">
        <v>99</v>
      </c>
      <c r="B29" s="432"/>
      <c r="C29" s="432"/>
      <c r="D29" s="432"/>
      <c r="E29" s="322"/>
    </row>
    <row r="30" spans="1:8" ht="40.5" customHeight="1" x14ac:dyDescent="0.25">
      <c r="A30" s="432" t="s">
        <v>100</v>
      </c>
      <c r="B30" s="432"/>
      <c r="C30" s="432"/>
      <c r="D30" s="432"/>
      <c r="E30" s="322"/>
    </row>
    <row r="32" spans="1:8" ht="33" customHeight="1" x14ac:dyDescent="0.25">
      <c r="A32" s="434" t="s">
        <v>25</v>
      </c>
      <c r="B32" s="434"/>
      <c r="C32" s="434"/>
      <c r="D32" s="434"/>
      <c r="E32" s="301"/>
    </row>
    <row r="33" spans="1:8" x14ac:dyDescent="0.25">
      <c r="A33" s="303" t="s">
        <v>26</v>
      </c>
      <c r="B33" s="303" t="s">
        <v>27</v>
      </c>
      <c r="C33" s="303" t="s">
        <v>28</v>
      </c>
      <c r="D33" s="303" t="s">
        <v>5</v>
      </c>
      <c r="E33" s="303" t="s">
        <v>28</v>
      </c>
      <c r="F33" s="303" t="s">
        <v>5</v>
      </c>
      <c r="G33" s="303" t="s">
        <v>28</v>
      </c>
      <c r="H33" s="303" t="s">
        <v>5</v>
      </c>
    </row>
    <row r="34" spans="1:8" x14ac:dyDescent="0.25">
      <c r="A34" s="26" t="s">
        <v>6</v>
      </c>
      <c r="B34" s="14" t="s">
        <v>29</v>
      </c>
      <c r="C34" s="19">
        <v>0</v>
      </c>
      <c r="D34" s="16">
        <f t="shared" ref="D34:D41" si="1">C34*($D$19+$D$27)</f>
        <v>0</v>
      </c>
      <c r="E34" s="19">
        <v>0</v>
      </c>
      <c r="F34" s="16">
        <f>E34*(F$19+F$27)</f>
        <v>0</v>
      </c>
      <c r="G34" s="19">
        <v>0</v>
      </c>
      <c r="H34" s="16">
        <f>G34*(H$19+H$27)</f>
        <v>0</v>
      </c>
    </row>
    <row r="35" spans="1:8" x14ac:dyDescent="0.25">
      <c r="A35" s="26" t="s">
        <v>8</v>
      </c>
      <c r="B35" s="14" t="s">
        <v>30</v>
      </c>
      <c r="C35" s="19">
        <v>2.5000000000000001E-2</v>
      </c>
      <c r="D35" s="16">
        <f t="shared" si="1"/>
        <v>57.260210050000005</v>
      </c>
      <c r="E35" s="19">
        <v>2.5000000000000001E-2</v>
      </c>
      <c r="F35" s="203">
        <f t="shared" ref="F35:F41" si="2">$E35*(F$19+F$27)</f>
        <v>62.986231054999998</v>
      </c>
      <c r="G35" s="19">
        <v>2.5000000000000001E-2</v>
      </c>
      <c r="H35" s="16">
        <f t="shared" ref="H35:H41" si="3">$G35*(H$19+H$27)</f>
        <v>62.986231054999998</v>
      </c>
    </row>
    <row r="36" spans="1:8" x14ac:dyDescent="0.25">
      <c r="A36" s="26" t="s">
        <v>9</v>
      </c>
      <c r="B36" s="14" t="s">
        <v>101</v>
      </c>
      <c r="C36" s="19">
        <v>3.39E-2</v>
      </c>
      <c r="D36" s="16">
        <f t="shared" si="1"/>
        <v>77.6448448278</v>
      </c>
      <c r="E36" s="287">
        <v>1.4999999999999999E-2</v>
      </c>
      <c r="F36" s="203">
        <f t="shared" si="2"/>
        <v>37.791738632999994</v>
      </c>
      <c r="G36" s="19">
        <v>1.4999999999999999E-2</v>
      </c>
      <c r="H36" s="16">
        <f t="shared" si="3"/>
        <v>37.791738632999994</v>
      </c>
    </row>
    <row r="37" spans="1:8" x14ac:dyDescent="0.25">
      <c r="A37" s="26" t="s">
        <v>11</v>
      </c>
      <c r="B37" s="14" t="s">
        <v>31</v>
      </c>
      <c r="C37" s="19">
        <v>1.4999999999999999E-2</v>
      </c>
      <c r="D37" s="16">
        <f t="shared" si="1"/>
        <v>34.356126029999999</v>
      </c>
      <c r="E37" s="19">
        <v>1.4999999999999999E-2</v>
      </c>
      <c r="F37" s="203">
        <f t="shared" si="2"/>
        <v>37.791738632999994</v>
      </c>
      <c r="G37" s="19">
        <v>1.4999999999999999E-2</v>
      </c>
      <c r="H37" s="16">
        <f t="shared" si="3"/>
        <v>37.791738632999994</v>
      </c>
    </row>
    <row r="38" spans="1:8" x14ac:dyDescent="0.25">
      <c r="A38" s="26" t="s">
        <v>13</v>
      </c>
      <c r="B38" s="14" t="s">
        <v>32</v>
      </c>
      <c r="C38" s="19">
        <v>0.01</v>
      </c>
      <c r="D38" s="16">
        <f t="shared" si="1"/>
        <v>22.904084019999999</v>
      </c>
      <c r="E38" s="19">
        <v>0.01</v>
      </c>
      <c r="F38" s="203">
        <f t="shared" si="2"/>
        <v>25.194492422</v>
      </c>
      <c r="G38" s="19">
        <v>0.01</v>
      </c>
      <c r="H38" s="16">
        <f t="shared" si="3"/>
        <v>25.194492422</v>
      </c>
    </row>
    <row r="39" spans="1:8" x14ac:dyDescent="0.25">
      <c r="A39" s="26" t="s">
        <v>15</v>
      </c>
      <c r="B39" s="14" t="s">
        <v>33</v>
      </c>
      <c r="C39" s="19">
        <v>6.0000000000000001E-3</v>
      </c>
      <c r="D39" s="16">
        <f t="shared" si="1"/>
        <v>13.742450412</v>
      </c>
      <c r="E39" s="19">
        <v>6.0000000000000001E-3</v>
      </c>
      <c r="F39" s="203">
        <f t="shared" si="2"/>
        <v>15.1166954532</v>
      </c>
      <c r="G39" s="19">
        <v>6.0000000000000001E-3</v>
      </c>
      <c r="H39" s="16">
        <f t="shared" si="3"/>
        <v>15.1166954532</v>
      </c>
    </row>
    <row r="40" spans="1:8" x14ac:dyDescent="0.25">
      <c r="A40" s="26" t="s">
        <v>34</v>
      </c>
      <c r="B40" s="14" t="s">
        <v>35</v>
      </c>
      <c r="C40" s="19">
        <v>2E-3</v>
      </c>
      <c r="D40" s="16">
        <f t="shared" si="1"/>
        <v>4.5808168040000004</v>
      </c>
      <c r="E40" s="19">
        <v>2E-3</v>
      </c>
      <c r="F40" s="203">
        <f t="shared" si="2"/>
        <v>5.0388984843999998</v>
      </c>
      <c r="G40" s="19">
        <v>2E-3</v>
      </c>
      <c r="H40" s="16">
        <f t="shared" si="3"/>
        <v>5.0388984843999998</v>
      </c>
    </row>
    <row r="41" spans="1:8" x14ac:dyDescent="0.25">
      <c r="A41" s="26" t="s">
        <v>36</v>
      </c>
      <c r="B41" s="14" t="s">
        <v>37</v>
      </c>
      <c r="C41" s="19">
        <v>0.08</v>
      </c>
      <c r="D41" s="16">
        <f t="shared" si="1"/>
        <v>183.23267215999999</v>
      </c>
      <c r="E41" s="19">
        <v>0.08</v>
      </c>
      <c r="F41" s="203">
        <f t="shared" si="2"/>
        <v>201.555939376</v>
      </c>
      <c r="G41" s="19">
        <v>0.08</v>
      </c>
      <c r="H41" s="16">
        <f t="shared" si="3"/>
        <v>201.555939376</v>
      </c>
    </row>
    <row r="42" spans="1:8" x14ac:dyDescent="0.25">
      <c r="A42" s="435" t="s">
        <v>17</v>
      </c>
      <c r="B42" s="436"/>
      <c r="C42" s="21">
        <f>SUM(C34:C41)</f>
        <v>0.1719</v>
      </c>
      <c r="D42" s="18">
        <f>SUM(D34:D41)</f>
        <v>393.72120430379999</v>
      </c>
      <c r="E42" s="288">
        <f t="shared" ref="E42:H42" si="4">SUM(E34:E41)</f>
        <v>0.15300000000000002</v>
      </c>
      <c r="F42" s="204">
        <f t="shared" si="4"/>
        <v>385.4757340566</v>
      </c>
      <c r="G42" s="21">
        <f t="shared" si="4"/>
        <v>0.15300000000000002</v>
      </c>
      <c r="H42" s="18">
        <f t="shared" si="4"/>
        <v>385.4757340566</v>
      </c>
    </row>
    <row r="43" spans="1:8" ht="25.5" customHeight="1" x14ac:dyDescent="0.25">
      <c r="A43" s="432" t="s">
        <v>104</v>
      </c>
      <c r="B43" s="432"/>
      <c r="C43" s="432"/>
      <c r="D43" s="432"/>
      <c r="E43" s="322"/>
    </row>
    <row r="44" spans="1:8" ht="26.25" customHeight="1" x14ac:dyDescent="0.25">
      <c r="A44" s="432" t="s">
        <v>102</v>
      </c>
      <c r="B44" s="432"/>
      <c r="C44" s="432"/>
      <c r="D44" s="432"/>
      <c r="E44" s="322"/>
    </row>
    <row r="45" spans="1:8" ht="25.5" customHeight="1" x14ac:dyDescent="0.25">
      <c r="A45" s="432" t="s">
        <v>103</v>
      </c>
      <c r="B45" s="432"/>
      <c r="C45" s="432"/>
      <c r="D45" s="432"/>
      <c r="E45" s="322"/>
    </row>
    <row r="46" spans="1:8" ht="14.25" customHeight="1" x14ac:dyDescent="0.25">
      <c r="A46" s="432" t="s">
        <v>108</v>
      </c>
      <c r="B46" s="432"/>
      <c r="C46" s="432"/>
      <c r="D46" s="432"/>
      <c r="E46" s="322"/>
    </row>
    <row r="47" spans="1:8" ht="14.25" customHeight="1" x14ac:dyDescent="0.25">
      <c r="A47" s="432" t="s">
        <v>113</v>
      </c>
      <c r="B47" s="432"/>
      <c r="C47" s="432"/>
      <c r="D47" s="432"/>
      <c r="E47" s="322"/>
    </row>
    <row r="49" spans="1:8" ht="15" customHeight="1" x14ac:dyDescent="0.25">
      <c r="A49" s="434" t="s">
        <v>38</v>
      </c>
      <c r="B49" s="434"/>
      <c r="C49" s="434"/>
      <c r="D49" s="434"/>
      <c r="E49" s="301"/>
    </row>
    <row r="50" spans="1:8" x14ac:dyDescent="0.25">
      <c r="A50" s="304" t="s">
        <v>39</v>
      </c>
      <c r="B50" s="304" t="s">
        <v>40</v>
      </c>
      <c r="C50" s="304" t="s">
        <v>89</v>
      </c>
      <c r="D50" s="304" t="s">
        <v>5</v>
      </c>
      <c r="E50" s="242"/>
      <c r="F50" s="304" t="s">
        <v>5</v>
      </c>
      <c r="H50" s="304" t="s">
        <v>5</v>
      </c>
    </row>
    <row r="51" spans="1:8" x14ac:dyDescent="0.25">
      <c r="A51" s="26" t="s">
        <v>6</v>
      </c>
      <c r="B51" s="14" t="s">
        <v>135</v>
      </c>
      <c r="C51" s="325">
        <v>22</v>
      </c>
      <c r="D51" s="16">
        <f>(18.6*C51)-0.06*D13</f>
        <v>295.82280000000003</v>
      </c>
      <c r="E51" s="245"/>
      <c r="F51" s="203">
        <f>(18.6*$C51)-0.06*F$13</f>
        <v>284.48508000000004</v>
      </c>
      <c r="H51" s="16">
        <f>(18.6*$C51)-0.06*H$13</f>
        <v>284.48508000000004</v>
      </c>
    </row>
    <row r="52" spans="1:8" x14ac:dyDescent="0.25">
      <c r="A52" s="26" t="s">
        <v>8</v>
      </c>
      <c r="B52" s="14" t="s">
        <v>456</v>
      </c>
      <c r="C52" s="325">
        <v>22</v>
      </c>
      <c r="D52" s="16">
        <f>35*C52</f>
        <v>770</v>
      </c>
      <c r="E52" s="245"/>
      <c r="F52" s="203">
        <f>38*$C52</f>
        <v>836</v>
      </c>
      <c r="H52" s="16">
        <f>38*$C52</f>
        <v>836</v>
      </c>
    </row>
    <row r="53" spans="1:8" x14ac:dyDescent="0.25">
      <c r="A53" s="26" t="s">
        <v>9</v>
      </c>
      <c r="B53" s="14" t="s">
        <v>42</v>
      </c>
      <c r="C53" s="325"/>
      <c r="D53" s="16">
        <v>160.07</v>
      </c>
      <c r="E53" s="245"/>
      <c r="F53" s="203">
        <v>169.67</v>
      </c>
      <c r="H53" s="16">
        <v>169.67</v>
      </c>
    </row>
    <row r="54" spans="1:8" x14ac:dyDescent="0.25">
      <c r="A54" s="26" t="s">
        <v>11</v>
      </c>
      <c r="B54" s="14" t="s">
        <v>90</v>
      </c>
      <c r="C54" s="325"/>
      <c r="D54" s="16">
        <v>10.63</v>
      </c>
      <c r="E54" s="245"/>
      <c r="F54" s="203">
        <v>11.27</v>
      </c>
      <c r="H54" s="16">
        <v>11.27</v>
      </c>
    </row>
    <row r="55" spans="1:8" x14ac:dyDescent="0.25">
      <c r="A55" s="26" t="s">
        <v>13</v>
      </c>
      <c r="B55" s="14" t="s">
        <v>453</v>
      </c>
      <c r="C55" s="325"/>
      <c r="D55" s="16">
        <v>2.2999999999999998</v>
      </c>
      <c r="E55" s="245"/>
      <c r="F55" s="203">
        <v>2.5</v>
      </c>
      <c r="H55" s="16">
        <v>2.5</v>
      </c>
    </row>
    <row r="56" spans="1:8" x14ac:dyDescent="0.25">
      <c r="A56" s="437" t="s">
        <v>17</v>
      </c>
      <c r="B56" s="437"/>
      <c r="C56" s="437"/>
      <c r="D56" s="25">
        <f>SUM(D51:D55)</f>
        <v>1238.8227999999999</v>
      </c>
      <c r="E56" s="246"/>
      <c r="F56" s="206">
        <f>SUM(F51:F55)</f>
        <v>1303.92508</v>
      </c>
      <c r="H56" s="25">
        <f>SUM(H51:H55)</f>
        <v>1303.92508</v>
      </c>
    </row>
    <row r="57" spans="1:8" ht="28.5" customHeight="1" x14ac:dyDescent="0.25">
      <c r="A57" s="432" t="s">
        <v>45</v>
      </c>
      <c r="B57" s="432"/>
      <c r="C57" s="432"/>
      <c r="D57" s="432"/>
      <c r="E57" s="322"/>
    </row>
    <row r="58" spans="1:8" ht="19.5" customHeight="1" x14ac:dyDescent="0.25">
      <c r="A58" s="432" t="s">
        <v>105</v>
      </c>
      <c r="B58" s="432"/>
      <c r="C58" s="432"/>
      <c r="D58" s="432"/>
      <c r="E58" s="322"/>
    </row>
    <row r="60" spans="1:8" ht="15" customHeight="1" x14ac:dyDescent="0.25">
      <c r="A60" s="415" t="s">
        <v>43</v>
      </c>
      <c r="B60" s="415"/>
      <c r="C60" s="415"/>
      <c r="D60" s="415"/>
      <c r="E60" s="231"/>
    </row>
    <row r="61" spans="1:8" x14ac:dyDescent="0.25">
      <c r="A61" s="303">
        <v>2</v>
      </c>
      <c r="B61" s="430" t="s">
        <v>44</v>
      </c>
      <c r="C61" s="430"/>
      <c r="D61" s="303" t="s">
        <v>5</v>
      </c>
      <c r="E61" s="242"/>
      <c r="F61" s="303" t="s">
        <v>5</v>
      </c>
      <c r="H61" s="303" t="s">
        <v>5</v>
      </c>
    </row>
    <row r="62" spans="1:8" ht="30" customHeight="1" x14ac:dyDescent="0.25">
      <c r="A62" s="26" t="s">
        <v>20</v>
      </c>
      <c r="B62" s="438" t="s">
        <v>21</v>
      </c>
      <c r="C62" s="438"/>
      <c r="D62" s="16">
        <f>D27</f>
        <v>400.78840199999996</v>
      </c>
      <c r="E62" s="245"/>
      <c r="F62" s="203">
        <f>F27</f>
        <v>440.86724219999996</v>
      </c>
      <c r="H62" s="16">
        <f>H27</f>
        <v>440.86724219999996</v>
      </c>
    </row>
    <row r="63" spans="1:8" x14ac:dyDescent="0.25">
      <c r="A63" s="26" t="s">
        <v>26</v>
      </c>
      <c r="B63" s="414" t="s">
        <v>27</v>
      </c>
      <c r="C63" s="414"/>
      <c r="D63" s="16">
        <f>D42</f>
        <v>393.72120430379999</v>
      </c>
      <c r="E63" s="245"/>
      <c r="F63" s="203">
        <f>F42</f>
        <v>385.4757340566</v>
      </c>
      <c r="H63" s="16">
        <f>H42</f>
        <v>385.4757340566</v>
      </c>
    </row>
    <row r="64" spans="1:8" x14ac:dyDescent="0.25">
      <c r="A64" s="26" t="s">
        <v>39</v>
      </c>
      <c r="B64" s="414" t="s">
        <v>40</v>
      </c>
      <c r="C64" s="414"/>
      <c r="D64" s="16">
        <f>D56</f>
        <v>1238.8227999999999</v>
      </c>
      <c r="E64" s="245"/>
      <c r="F64" s="203">
        <f>F56</f>
        <v>1303.92508</v>
      </c>
      <c r="H64" s="16">
        <f>H56</f>
        <v>1303.92508</v>
      </c>
    </row>
    <row r="65" spans="1:8" x14ac:dyDescent="0.25">
      <c r="A65" s="435" t="s">
        <v>17</v>
      </c>
      <c r="B65" s="449"/>
      <c r="C65" s="436"/>
      <c r="D65" s="18">
        <f>SUM(D62:D64)</f>
        <v>2033.3324063037999</v>
      </c>
      <c r="E65" s="246"/>
      <c r="F65" s="204">
        <f>SUM(F62:F64)</f>
        <v>2130.2680562566002</v>
      </c>
      <c r="H65" s="18">
        <f>SUM(H62:H64)</f>
        <v>2130.2680562566002</v>
      </c>
    </row>
    <row r="67" spans="1:8" ht="14.45" customHeight="1" x14ac:dyDescent="0.25">
      <c r="A67" s="415" t="s">
        <v>76</v>
      </c>
      <c r="B67" s="415"/>
      <c r="C67" s="415"/>
      <c r="D67" s="415"/>
      <c r="E67" s="231"/>
    </row>
    <row r="68" spans="1:8" x14ac:dyDescent="0.25">
      <c r="A68" s="303">
        <v>3</v>
      </c>
      <c r="B68" s="303" t="s">
        <v>46</v>
      </c>
      <c r="C68" s="303" t="s">
        <v>28</v>
      </c>
      <c r="D68" s="303" t="s">
        <v>5</v>
      </c>
      <c r="E68" s="303" t="s">
        <v>28</v>
      </c>
      <c r="F68" s="232" t="s">
        <v>5</v>
      </c>
      <c r="G68" s="232" t="s">
        <v>28</v>
      </c>
      <c r="H68" s="232" t="s">
        <v>5</v>
      </c>
    </row>
    <row r="69" spans="1:8" x14ac:dyDescent="0.25">
      <c r="A69" s="26" t="s">
        <v>6</v>
      </c>
      <c r="B69" s="306" t="s">
        <v>47</v>
      </c>
      <c r="C69" s="19">
        <v>4.1999999999999997E-3</v>
      </c>
      <c r="D69" s="16">
        <f t="shared" ref="D69:D74" si="5">C69*($D$19+$D$27)</f>
        <v>9.6197152884000001</v>
      </c>
      <c r="E69" s="28">
        <v>4.1999999999999997E-3</v>
      </c>
      <c r="F69" s="257">
        <f t="shared" ref="F69:F75" si="6">$E69*(F$19+F$27)</f>
        <v>10.581686817239998</v>
      </c>
      <c r="G69" s="28">
        <v>4.1999999999999997E-3</v>
      </c>
      <c r="H69" s="9">
        <f t="shared" ref="H69:H75" si="7">$G69*(H$19+H$27)</f>
        <v>10.581686817239998</v>
      </c>
    </row>
    <row r="70" spans="1:8" x14ac:dyDescent="0.25">
      <c r="A70" s="26" t="s">
        <v>8</v>
      </c>
      <c r="B70" s="306" t="s">
        <v>48</v>
      </c>
      <c r="C70" s="19">
        <v>2.9999999999999997E-4</v>
      </c>
      <c r="D70" s="16">
        <f t="shared" si="5"/>
        <v>0.6871225205999999</v>
      </c>
      <c r="E70" s="28">
        <v>2.9999999999999997E-4</v>
      </c>
      <c r="F70" s="257">
        <f t="shared" si="6"/>
        <v>0.75583477265999988</v>
      </c>
      <c r="G70" s="28">
        <v>2.9999999999999997E-4</v>
      </c>
      <c r="H70" s="9">
        <f t="shared" si="7"/>
        <v>0.75583477265999988</v>
      </c>
    </row>
    <row r="71" spans="1:8" ht="25.5" x14ac:dyDescent="0.25">
      <c r="A71" s="26" t="s">
        <v>9</v>
      </c>
      <c r="B71" s="306" t="s">
        <v>49</v>
      </c>
      <c r="C71" s="27">
        <v>9.9999999999999995E-7</v>
      </c>
      <c r="D71" s="16">
        <f t="shared" si="5"/>
        <v>2.290408402E-3</v>
      </c>
      <c r="E71" s="351">
        <v>9.9999999999999995E-7</v>
      </c>
      <c r="F71" s="260">
        <f t="shared" si="6"/>
        <v>2.5194492421999996E-3</v>
      </c>
      <c r="G71" s="351">
        <v>9.9999999999999995E-7</v>
      </c>
      <c r="H71" s="258">
        <f t="shared" si="7"/>
        <v>2.5194492421999996E-3</v>
      </c>
    </row>
    <row r="72" spans="1:8" x14ac:dyDescent="0.25">
      <c r="A72" s="26" t="s">
        <v>11</v>
      </c>
      <c r="B72" s="306" t="s">
        <v>50</v>
      </c>
      <c r="C72" s="28">
        <v>1.9400000000000001E-2</v>
      </c>
      <c r="D72" s="326">
        <f>C72*($D$19+$D$27)</f>
        <v>44.4339229988</v>
      </c>
      <c r="E72" s="348">
        <v>1.9400000000000001E-2</v>
      </c>
      <c r="F72" s="260">
        <f t="shared" si="6"/>
        <v>48.877315298679996</v>
      </c>
      <c r="G72" s="347">
        <v>1.9400000000000001E-3</v>
      </c>
      <c r="H72" s="260">
        <f t="shared" si="7"/>
        <v>4.8877315298679997</v>
      </c>
    </row>
    <row r="73" spans="1:8" ht="25.5" x14ac:dyDescent="0.25">
      <c r="A73" s="26" t="s">
        <v>13</v>
      </c>
      <c r="B73" s="306" t="s">
        <v>51</v>
      </c>
      <c r="C73" s="19">
        <v>7.1000000000000004E-3</v>
      </c>
      <c r="D73" s="16">
        <f>C73*($D$19+$D$27)</f>
        <v>16.2618996542</v>
      </c>
      <c r="E73" s="28">
        <v>7.1000000000000004E-3</v>
      </c>
      <c r="F73" s="257">
        <f t="shared" si="6"/>
        <v>17.888089619620001</v>
      </c>
      <c r="G73" s="28">
        <v>7.1000000000000004E-3</v>
      </c>
      <c r="H73" s="258">
        <f t="shared" si="7"/>
        <v>17.888089619620001</v>
      </c>
    </row>
    <row r="74" spans="1:8" ht="25.5" x14ac:dyDescent="0.25">
      <c r="A74" s="26" t="s">
        <v>15</v>
      </c>
      <c r="B74" s="306" t="s">
        <v>52</v>
      </c>
      <c r="C74" s="19">
        <v>1E-4</v>
      </c>
      <c r="D74" s="16">
        <f t="shared" si="5"/>
        <v>0.22904084020000001</v>
      </c>
      <c r="E74" s="28">
        <v>1E-4</v>
      </c>
      <c r="F74" s="257">
        <f t="shared" si="6"/>
        <v>0.25194492421999998</v>
      </c>
      <c r="G74" s="28">
        <v>1E-4</v>
      </c>
      <c r="H74" s="258">
        <f t="shared" si="7"/>
        <v>0.25194492421999998</v>
      </c>
    </row>
    <row r="75" spans="1:8" x14ac:dyDescent="0.25">
      <c r="A75" s="30" t="s">
        <v>34</v>
      </c>
      <c r="B75" s="31" t="s">
        <v>128</v>
      </c>
      <c r="C75" s="19">
        <v>3.49E-2</v>
      </c>
      <c r="D75" s="16">
        <f>C75*($D$19+$D$27)</f>
        <v>79.935253229799997</v>
      </c>
      <c r="E75" s="28">
        <v>3.49E-2</v>
      </c>
      <c r="F75" s="257">
        <f t="shared" si="6"/>
        <v>87.928778552780003</v>
      </c>
      <c r="G75" s="28">
        <v>3.49E-2</v>
      </c>
      <c r="H75" s="258">
        <f t="shared" si="7"/>
        <v>87.928778552780003</v>
      </c>
    </row>
    <row r="76" spans="1:8" x14ac:dyDescent="0.25">
      <c r="A76" s="435" t="s">
        <v>17</v>
      </c>
      <c r="B76" s="436"/>
      <c r="C76" s="17">
        <f>SUM(C69:C75)</f>
        <v>6.6001000000000004E-2</v>
      </c>
      <c r="D76" s="18">
        <f>SUM(D69:D75)</f>
        <v>151.169244940402</v>
      </c>
      <c r="E76" s="350">
        <f t="shared" ref="E76:H76" si="8">SUM(E69:E75)</f>
        <v>6.6001000000000004E-2</v>
      </c>
      <c r="F76" s="202">
        <f t="shared" si="8"/>
        <v>166.2861694344422</v>
      </c>
      <c r="G76" s="350">
        <f t="shared" si="8"/>
        <v>4.8541000000000001E-2</v>
      </c>
      <c r="H76" s="202">
        <f t="shared" si="8"/>
        <v>122.2965856656302</v>
      </c>
    </row>
    <row r="77" spans="1:8" ht="26.25" customHeight="1" x14ac:dyDescent="0.25">
      <c r="A77" s="432" t="s">
        <v>106</v>
      </c>
      <c r="B77" s="432"/>
      <c r="C77" s="432"/>
      <c r="D77" s="432"/>
      <c r="E77" s="322"/>
    </row>
    <row r="78" spans="1:8" ht="17.25" customHeight="1" x14ac:dyDescent="0.25">
      <c r="A78" s="432" t="s">
        <v>114</v>
      </c>
      <c r="B78" s="432"/>
      <c r="C78" s="432"/>
      <c r="D78" s="432"/>
      <c r="E78" s="322"/>
    </row>
    <row r="80" spans="1:8" ht="23.1" customHeight="1" x14ac:dyDescent="0.25">
      <c r="A80" s="415" t="s">
        <v>53</v>
      </c>
      <c r="B80" s="415"/>
      <c r="C80" s="415"/>
      <c r="D80" s="415"/>
      <c r="E80" s="231"/>
    </row>
    <row r="81" spans="1:8" ht="39.75" customHeight="1" x14ac:dyDescent="0.25">
      <c r="A81" s="438" t="s">
        <v>107</v>
      </c>
      <c r="B81" s="438"/>
      <c r="C81" s="438"/>
      <c r="D81" s="438"/>
      <c r="E81" s="322"/>
    </row>
    <row r="83" spans="1:8" ht="16.5" customHeight="1" x14ac:dyDescent="0.25">
      <c r="A83" s="434" t="s">
        <v>109</v>
      </c>
      <c r="B83" s="434"/>
      <c r="C83" s="434"/>
      <c r="D83" s="434"/>
      <c r="E83" s="301"/>
    </row>
    <row r="84" spans="1:8" x14ac:dyDescent="0.25">
      <c r="A84" s="304" t="s">
        <v>54</v>
      </c>
      <c r="B84" s="304" t="s">
        <v>55</v>
      </c>
      <c r="C84" s="304" t="s">
        <v>28</v>
      </c>
      <c r="D84" s="304" t="s">
        <v>5</v>
      </c>
      <c r="E84" s="304" t="s">
        <v>28</v>
      </c>
      <c r="F84" s="304" t="s">
        <v>5</v>
      </c>
      <c r="G84" s="304" t="s">
        <v>28</v>
      </c>
      <c r="H84" s="304" t="s">
        <v>5</v>
      </c>
    </row>
    <row r="85" spans="1:8" x14ac:dyDescent="0.25">
      <c r="A85" s="26" t="s">
        <v>6</v>
      </c>
      <c r="B85" s="306" t="s">
        <v>56</v>
      </c>
      <c r="C85" s="19">
        <v>7.6E-3</v>
      </c>
      <c r="D85" s="16">
        <f t="shared" ref="D85:D90" si="9">C85*($D$19+$D$27)</f>
        <v>17.407103855199999</v>
      </c>
      <c r="E85" s="19">
        <v>7.6E-3</v>
      </c>
      <c r="F85" s="203">
        <f>E85*(F$19+F$27)</f>
        <v>19.147814240719999</v>
      </c>
      <c r="G85" s="19">
        <v>7.6E-3</v>
      </c>
      <c r="H85" s="16">
        <f>G85*(H$19+H$27)</f>
        <v>19.147814240719999</v>
      </c>
    </row>
    <row r="86" spans="1:8" x14ac:dyDescent="0.25">
      <c r="A86" s="26" t="s">
        <v>8</v>
      </c>
      <c r="B86" s="306" t="s">
        <v>57</v>
      </c>
      <c r="C86" s="19">
        <v>8.2000000000000007E-3</v>
      </c>
      <c r="D86" s="16">
        <f t="shared" si="9"/>
        <v>18.781348896400001</v>
      </c>
      <c r="E86" s="19">
        <v>8.2000000000000007E-3</v>
      </c>
      <c r="F86" s="203">
        <f t="shared" ref="F86:F90" si="10">E86*(F$19+F$27)</f>
        <v>20.659483786039999</v>
      </c>
      <c r="G86" s="19">
        <v>8.2000000000000007E-3</v>
      </c>
      <c r="H86" s="16">
        <f t="shared" ref="H86:H90" si="11">$G86*(H$19+H$27)</f>
        <v>20.659483786039999</v>
      </c>
    </row>
    <row r="87" spans="1:8" x14ac:dyDescent="0.25">
      <c r="A87" s="26" t="s">
        <v>9</v>
      </c>
      <c r="B87" s="306" t="s">
        <v>58</v>
      </c>
      <c r="C87" s="19">
        <v>2.0000000000000001E-4</v>
      </c>
      <c r="D87" s="16">
        <f t="shared" si="9"/>
        <v>0.45808168040000002</v>
      </c>
      <c r="E87" s="19">
        <v>2.0000000000000001E-4</v>
      </c>
      <c r="F87" s="203">
        <f t="shared" si="10"/>
        <v>0.50388984843999995</v>
      </c>
      <c r="G87" s="19">
        <v>2.0000000000000001E-4</v>
      </c>
      <c r="H87" s="16">
        <f t="shared" si="11"/>
        <v>0.50388984843999995</v>
      </c>
    </row>
    <row r="88" spans="1:8" ht="25.5" x14ac:dyDescent="0.25">
      <c r="A88" s="26" t="s">
        <v>11</v>
      </c>
      <c r="B88" s="306" t="s">
        <v>59</v>
      </c>
      <c r="C88" s="19">
        <v>2.9999999999999997E-4</v>
      </c>
      <c r="D88" s="16">
        <f t="shared" si="9"/>
        <v>0.6871225205999999</v>
      </c>
      <c r="E88" s="19">
        <v>2.9999999999999997E-4</v>
      </c>
      <c r="F88" s="203">
        <f t="shared" si="10"/>
        <v>0.75583477265999988</v>
      </c>
      <c r="G88" s="19">
        <v>2.9999999999999997E-4</v>
      </c>
      <c r="H88" s="16">
        <f t="shared" si="11"/>
        <v>0.75583477265999988</v>
      </c>
    </row>
    <row r="89" spans="1:8" x14ac:dyDescent="0.25">
      <c r="A89" s="26" t="s">
        <v>13</v>
      </c>
      <c r="B89" s="306" t="s">
        <v>60</v>
      </c>
      <c r="C89" s="19">
        <v>2.8999999999999998E-3</v>
      </c>
      <c r="D89" s="16">
        <f t="shared" si="9"/>
        <v>6.6421843657999995</v>
      </c>
      <c r="E89" s="19">
        <v>2.8999999999999998E-3</v>
      </c>
      <c r="F89" s="203">
        <f t="shared" si="10"/>
        <v>7.3064028023799992</v>
      </c>
      <c r="G89" s="19">
        <v>2.8999999999999998E-3</v>
      </c>
      <c r="H89" s="16">
        <f t="shared" si="11"/>
        <v>7.3064028023799992</v>
      </c>
    </row>
    <row r="90" spans="1:8" ht="25.5" x14ac:dyDescent="0.25">
      <c r="A90" s="26" t="s">
        <v>15</v>
      </c>
      <c r="B90" s="306" t="s">
        <v>134</v>
      </c>
      <c r="C90" s="19">
        <v>1.66E-2</v>
      </c>
      <c r="D90" s="16">
        <f t="shared" si="9"/>
        <v>38.020779473200001</v>
      </c>
      <c r="E90" s="19">
        <v>1.66E-2</v>
      </c>
      <c r="F90" s="203">
        <f t="shared" si="10"/>
        <v>41.822857420519995</v>
      </c>
      <c r="G90" s="19">
        <v>1.66E-2</v>
      </c>
      <c r="H90" s="16">
        <f t="shared" si="11"/>
        <v>41.822857420519995</v>
      </c>
    </row>
    <row r="91" spans="1:8" x14ac:dyDescent="0.25">
      <c r="A91" s="435" t="s">
        <v>17</v>
      </c>
      <c r="B91" s="436"/>
      <c r="C91" s="17">
        <f>SUM(C85:C90)</f>
        <v>3.5799999999999998E-2</v>
      </c>
      <c r="D91" s="18">
        <f>SUM(D85:D90)</f>
        <v>81.996620791599995</v>
      </c>
      <c r="E91" s="17">
        <f t="shared" ref="E91:H91" si="12">SUM(E85:E90)</f>
        <v>3.5799999999999998E-2</v>
      </c>
      <c r="F91" s="207">
        <f t="shared" si="12"/>
        <v>90.196282870759987</v>
      </c>
      <c r="G91" s="17">
        <f t="shared" si="12"/>
        <v>3.5799999999999998E-2</v>
      </c>
      <c r="H91" s="137">
        <f t="shared" si="12"/>
        <v>90.196282870759987</v>
      </c>
    </row>
    <row r="92" spans="1:8" ht="30.75" customHeight="1" x14ac:dyDescent="0.25">
      <c r="A92" s="432" t="s">
        <v>115</v>
      </c>
      <c r="B92" s="432"/>
      <c r="C92" s="432"/>
      <c r="D92" s="432"/>
      <c r="E92" s="322"/>
    </row>
    <row r="94" spans="1:8" hidden="1" x14ac:dyDescent="0.25">
      <c r="A94" s="437" t="s">
        <v>110</v>
      </c>
      <c r="B94" s="437"/>
      <c r="C94" s="437"/>
      <c r="D94" s="437"/>
      <c r="E94" s="242"/>
    </row>
    <row r="95" spans="1:8" hidden="1" x14ac:dyDescent="0.25">
      <c r="A95" s="304" t="s">
        <v>61</v>
      </c>
      <c r="B95" s="304" t="s">
        <v>62</v>
      </c>
      <c r="C95" s="304" t="s">
        <v>5</v>
      </c>
      <c r="D95" s="304"/>
      <c r="E95" s="242"/>
      <c r="F95" s="242"/>
      <c r="G95" s="327"/>
      <c r="H95" s="242"/>
    </row>
    <row r="96" spans="1:8" ht="25.5" hidden="1" x14ac:dyDescent="0.25">
      <c r="A96" s="26" t="s">
        <v>6</v>
      </c>
      <c r="B96" s="306" t="s">
        <v>63</v>
      </c>
      <c r="C96" s="32"/>
      <c r="D96" s="328"/>
      <c r="E96" s="327"/>
      <c r="F96" s="327"/>
      <c r="G96" s="327"/>
      <c r="H96" s="327"/>
    </row>
    <row r="97" spans="1:8" hidden="1" x14ac:dyDescent="0.25">
      <c r="A97" s="444" t="s">
        <v>17</v>
      </c>
      <c r="B97" s="446"/>
      <c r="C97" s="16">
        <f>SUM(C96)</f>
        <v>0</v>
      </c>
      <c r="D97" s="328"/>
      <c r="E97" s="327"/>
      <c r="F97" s="327"/>
      <c r="G97" s="327"/>
      <c r="H97" s="327"/>
    </row>
    <row r="98" spans="1:8" hidden="1" x14ac:dyDescent="0.25"/>
    <row r="99" spans="1:8" ht="18.600000000000001" customHeight="1" x14ac:dyDescent="0.25">
      <c r="A99" s="415" t="s">
        <v>111</v>
      </c>
      <c r="B99" s="415"/>
      <c r="C99" s="415"/>
      <c r="D99" s="415"/>
      <c r="E99" s="231"/>
    </row>
    <row r="100" spans="1:8" x14ac:dyDescent="0.25">
      <c r="A100" s="303">
        <v>4</v>
      </c>
      <c r="B100" s="430" t="s">
        <v>64</v>
      </c>
      <c r="C100" s="430"/>
      <c r="D100" s="303" t="s">
        <v>5</v>
      </c>
      <c r="E100" s="242"/>
      <c r="F100" s="303" t="s">
        <v>5</v>
      </c>
      <c r="H100" s="303" t="s">
        <v>5</v>
      </c>
    </row>
    <row r="101" spans="1:8" x14ac:dyDescent="0.25">
      <c r="A101" s="26" t="s">
        <v>54</v>
      </c>
      <c r="B101" s="414" t="s">
        <v>55</v>
      </c>
      <c r="C101" s="414"/>
      <c r="D101" s="16">
        <f>D91</f>
        <v>81.996620791599995</v>
      </c>
      <c r="E101" s="245"/>
      <c r="F101" s="16">
        <f>F91</f>
        <v>90.196282870759987</v>
      </c>
      <c r="H101" s="16">
        <f>H91</f>
        <v>90.196282870759987</v>
      </c>
    </row>
    <row r="102" spans="1:8" hidden="1" x14ac:dyDescent="0.25">
      <c r="A102" s="26" t="s">
        <v>61</v>
      </c>
      <c r="B102" s="14" t="s">
        <v>65</v>
      </c>
      <c r="C102" s="14"/>
      <c r="D102" s="32">
        <f>C97</f>
        <v>0</v>
      </c>
      <c r="E102" s="245"/>
      <c r="F102" s="32">
        <f>D97</f>
        <v>0</v>
      </c>
      <c r="H102" s="32">
        <f>G97</f>
        <v>0</v>
      </c>
    </row>
    <row r="103" spans="1:8" x14ac:dyDescent="0.25">
      <c r="A103" s="430" t="s">
        <v>17</v>
      </c>
      <c r="B103" s="430"/>
      <c r="C103" s="430"/>
      <c r="D103" s="18">
        <f>SUM(D101:D102)</f>
        <v>81.996620791599995</v>
      </c>
      <c r="E103" s="246"/>
      <c r="F103" s="18">
        <f>SUM(F101:F102)</f>
        <v>90.196282870759987</v>
      </c>
      <c r="H103" s="18">
        <f>SUM(H101:H102)</f>
        <v>90.196282870759987</v>
      </c>
    </row>
    <row r="104" spans="1:8" x14ac:dyDescent="0.25">
      <c r="E104" s="327"/>
    </row>
    <row r="105" spans="1:8" ht="14.45" customHeight="1" x14ac:dyDescent="0.25">
      <c r="A105" s="415" t="s">
        <v>66</v>
      </c>
      <c r="B105" s="415"/>
      <c r="C105" s="415"/>
      <c r="D105" s="415"/>
      <c r="E105" s="248"/>
    </row>
    <row r="106" spans="1:8" x14ac:dyDescent="0.25">
      <c r="A106" s="304">
        <v>5</v>
      </c>
      <c r="B106" s="437" t="s">
        <v>67</v>
      </c>
      <c r="C106" s="437"/>
      <c r="D106" s="304" t="s">
        <v>5</v>
      </c>
      <c r="E106" s="242"/>
      <c r="F106" s="304" t="s">
        <v>5</v>
      </c>
      <c r="H106" s="304" t="s">
        <v>5</v>
      </c>
    </row>
    <row r="107" spans="1:8" x14ac:dyDescent="0.25">
      <c r="A107" s="26" t="s">
        <v>6</v>
      </c>
      <c r="B107" s="414" t="s">
        <v>68</v>
      </c>
      <c r="C107" s="414"/>
      <c r="D107" s="107">
        <f>'TABELA 4 Uniformes e EPIS'!$E29</f>
        <v>61.65</v>
      </c>
      <c r="E107" s="249"/>
      <c r="F107" s="107">
        <f>'TABELA 4 Uniformes e EPIS'!$E29</f>
        <v>61.65</v>
      </c>
      <c r="H107" s="107">
        <f>'TABELA 4 Uniformes e EPIS'!$E29</f>
        <v>61.65</v>
      </c>
    </row>
    <row r="108" spans="1:8" x14ac:dyDescent="0.25">
      <c r="A108" s="26" t="s">
        <v>8</v>
      </c>
      <c r="B108" s="414" t="s">
        <v>386</v>
      </c>
      <c r="C108" s="414"/>
      <c r="D108" s="107">
        <f>'TABELA 4 Uniformes e EPIS'!$E48+'TABELA 4 Uniformes e EPIS'!$E102+'TABELA 5 - Ferramentas'!$I145</f>
        <v>34.248804347826081</v>
      </c>
      <c r="E108" s="249"/>
      <c r="F108" s="107">
        <f>'TABELA 4 Uniformes e EPIS'!$E48+'TABELA 4 Uniformes e EPIS'!$E102+'TABELA 5 - Ferramentas'!$I145</f>
        <v>34.248804347826081</v>
      </c>
      <c r="H108" s="107">
        <f>'TABELA 4 Uniformes e EPIS'!$E48+'TABELA 4 Uniformes e EPIS'!$E102+'TABELA 5 - Ferramentas'!$I145</f>
        <v>34.248804347826081</v>
      </c>
    </row>
    <row r="109" spans="1:8" x14ac:dyDescent="0.25">
      <c r="A109" s="26" t="s">
        <v>9</v>
      </c>
      <c r="B109" s="414" t="s">
        <v>69</v>
      </c>
      <c r="C109" s="414"/>
      <c r="D109" s="9" t="s">
        <v>118</v>
      </c>
      <c r="E109" s="245"/>
      <c r="F109" s="9" t="s">
        <v>118</v>
      </c>
      <c r="H109" s="9" t="s">
        <v>118</v>
      </c>
    </row>
    <row r="110" spans="1:8" x14ac:dyDescent="0.25">
      <c r="A110" s="26" t="s">
        <v>11</v>
      </c>
      <c r="B110" s="414" t="s">
        <v>16</v>
      </c>
      <c r="C110" s="414"/>
      <c r="D110" s="9" t="s">
        <v>118</v>
      </c>
      <c r="E110" s="245"/>
      <c r="F110" s="9" t="s">
        <v>118</v>
      </c>
      <c r="H110" s="9" t="s">
        <v>118</v>
      </c>
    </row>
    <row r="111" spans="1:8" x14ac:dyDescent="0.25">
      <c r="A111" s="430" t="s">
        <v>17</v>
      </c>
      <c r="B111" s="430"/>
      <c r="C111" s="430"/>
      <c r="D111" s="18">
        <f>SUM(D107:D110)</f>
        <v>95.898804347826086</v>
      </c>
      <c r="E111" s="250"/>
      <c r="F111" s="18">
        <f>SUM(F107:F110)</f>
        <v>95.898804347826086</v>
      </c>
      <c r="H111" s="18">
        <f>SUM(H107:H110)</f>
        <v>95.898804347826086</v>
      </c>
    </row>
    <row r="112" spans="1:8" x14ac:dyDescent="0.25">
      <c r="A112" s="432" t="s">
        <v>78</v>
      </c>
      <c r="B112" s="432"/>
      <c r="C112" s="432"/>
      <c r="D112" s="432"/>
      <c r="E112" s="322"/>
    </row>
    <row r="114" spans="1:8" ht="14.45" customHeight="1" x14ac:dyDescent="0.25">
      <c r="A114" s="415" t="s">
        <v>70</v>
      </c>
      <c r="B114" s="415"/>
      <c r="C114" s="415"/>
      <c r="D114" s="415"/>
      <c r="E114" s="231"/>
    </row>
    <row r="115" spans="1:8" x14ac:dyDescent="0.25">
      <c r="A115" s="443" t="s">
        <v>116</v>
      </c>
      <c r="B115" s="443"/>
      <c r="C115" s="439" t="s">
        <v>117</v>
      </c>
      <c r="D115" s="439"/>
      <c r="E115" s="440" t="s">
        <v>117</v>
      </c>
      <c r="F115" s="441"/>
      <c r="G115" s="439" t="s">
        <v>117</v>
      </c>
      <c r="H115" s="439"/>
    </row>
    <row r="116" spans="1:8" x14ac:dyDescent="0.25">
      <c r="A116" s="303">
        <v>6</v>
      </c>
      <c r="B116" s="303" t="s">
        <v>71</v>
      </c>
      <c r="C116" s="303" t="s">
        <v>28</v>
      </c>
      <c r="D116" s="303" t="s">
        <v>5</v>
      </c>
      <c r="E116" s="303" t="s">
        <v>28</v>
      </c>
      <c r="F116" s="303" t="s">
        <v>5</v>
      </c>
      <c r="G116" s="303" t="s">
        <v>28</v>
      </c>
      <c r="H116" s="303" t="s">
        <v>5</v>
      </c>
    </row>
    <row r="117" spans="1:8" x14ac:dyDescent="0.25">
      <c r="A117" s="26" t="s">
        <v>6</v>
      </c>
      <c r="B117" s="14" t="s">
        <v>72</v>
      </c>
      <c r="C117" s="19">
        <v>0.06</v>
      </c>
      <c r="D117" s="16">
        <f>C117*D135</f>
        <v>255.12102458301766</v>
      </c>
      <c r="E117" s="19">
        <v>0.06</v>
      </c>
      <c r="F117" s="203">
        <f>$E117*F$135</f>
        <v>273.6738787745777</v>
      </c>
      <c r="G117" s="19">
        <v>0.06</v>
      </c>
      <c r="H117" s="203">
        <f>$G117*H$135</f>
        <v>271.03450374844897</v>
      </c>
    </row>
    <row r="118" spans="1:8" x14ac:dyDescent="0.25">
      <c r="A118" s="26" t="s">
        <v>8</v>
      </c>
      <c r="B118" s="14" t="s">
        <v>73</v>
      </c>
      <c r="C118" s="19">
        <v>0.05</v>
      </c>
      <c r="D118" s="16">
        <f>C118*D135</f>
        <v>212.6008538191814</v>
      </c>
      <c r="E118" s="19">
        <v>0.05</v>
      </c>
      <c r="F118" s="203">
        <f>$E118*F$135</f>
        <v>228.06156564548144</v>
      </c>
      <c r="G118" s="19">
        <v>0.05</v>
      </c>
      <c r="H118" s="203">
        <f>$G118*H$135</f>
        <v>225.86208645704085</v>
      </c>
    </row>
    <row r="119" spans="1:8" x14ac:dyDescent="0.25">
      <c r="A119" s="26" t="s">
        <v>9</v>
      </c>
      <c r="B119" s="14" t="s">
        <v>125</v>
      </c>
      <c r="C119" s="118">
        <f>SUM(C120:C122)</f>
        <v>5.6499999999999995E-2</v>
      </c>
      <c r="D119" s="25">
        <f>(D135+D118+D117)*(C119/IF(C115="Lucro presumido",91.45%,85.75%))</f>
        <v>291.59677522733648</v>
      </c>
      <c r="E119" s="34">
        <f>SUM(E120:E122)</f>
        <v>5.6499999999999995E-2</v>
      </c>
      <c r="F119" s="203">
        <f>(F$135+F$118+F$117)*($E119/IF($E115="Lucro presumido",91.45%,85.75%))</f>
        <v>312.80221081369854</v>
      </c>
      <c r="G119" s="34">
        <f>SUM(G120:G122)</f>
        <v>5.6499999999999995E-2</v>
      </c>
      <c r="H119" s="203">
        <f>(H$135+H$118+H$117)*($G119/IF($G115="Lucro presumido",91.45%,85.75%))</f>
        <v>309.78547298312333</v>
      </c>
    </row>
    <row r="120" spans="1:8" x14ac:dyDescent="0.25">
      <c r="A120" s="26" t="s">
        <v>120</v>
      </c>
      <c r="B120" s="14" t="s">
        <v>119</v>
      </c>
      <c r="C120" s="34">
        <f>IF(C115="Lucro presumido",0.65%,1.65%)</f>
        <v>6.5000000000000006E-3</v>
      </c>
      <c r="D120" s="9" t="s">
        <v>118</v>
      </c>
      <c r="E120" s="34">
        <f>IF(E115="Lucro presumido",0.65%,1.65%)</f>
        <v>6.5000000000000006E-3</v>
      </c>
      <c r="F120" s="9" t="s">
        <v>118</v>
      </c>
      <c r="G120" s="34">
        <f>IF(G115="Lucro presumido",0.65%,1.65%)</f>
        <v>6.5000000000000006E-3</v>
      </c>
      <c r="H120" s="9" t="s">
        <v>118</v>
      </c>
    </row>
    <row r="121" spans="1:8" x14ac:dyDescent="0.25">
      <c r="A121" s="26" t="s">
        <v>122</v>
      </c>
      <c r="B121" s="14" t="s">
        <v>121</v>
      </c>
      <c r="C121" s="34">
        <f>IF(C115="Lucro presumido",3%,7.6%)</f>
        <v>0.03</v>
      </c>
      <c r="D121" s="9" t="s">
        <v>118</v>
      </c>
      <c r="E121" s="34">
        <f>IF(E115="Lucro presumido",3%,7.6%)</f>
        <v>0.03</v>
      </c>
      <c r="F121" s="9" t="s">
        <v>118</v>
      </c>
      <c r="G121" s="34">
        <f>IF(G115="Lucro presumido",3%,7.6%)</f>
        <v>0.03</v>
      </c>
      <c r="H121" s="9" t="s">
        <v>118</v>
      </c>
    </row>
    <row r="122" spans="1:8" x14ac:dyDescent="0.25">
      <c r="A122" s="26" t="s">
        <v>124</v>
      </c>
      <c r="B122" s="14" t="s">
        <v>123</v>
      </c>
      <c r="C122" s="34">
        <v>0.02</v>
      </c>
      <c r="D122" s="9" t="s">
        <v>118</v>
      </c>
      <c r="E122" s="34">
        <v>0.02</v>
      </c>
      <c r="F122" s="9" t="s">
        <v>118</v>
      </c>
      <c r="G122" s="34">
        <v>0.02</v>
      </c>
      <c r="H122" s="9" t="s">
        <v>118</v>
      </c>
    </row>
    <row r="123" spans="1:8" ht="25.5" x14ac:dyDescent="0.25">
      <c r="A123" s="26" t="s">
        <v>11</v>
      </c>
      <c r="B123" s="306" t="s">
        <v>127</v>
      </c>
      <c r="C123" s="36">
        <v>4.4999999999999998E-2</v>
      </c>
      <c r="D123" s="37">
        <f>(D135+D118+D117)*(C123/IF(C115="Lucro presumido",91.45%,85.75%))</f>
        <v>232.24521920761316</v>
      </c>
      <c r="E123" s="36">
        <v>4.4999999999999998E-2</v>
      </c>
      <c r="F123" s="208">
        <f>(F$135+F$118+F$117)*($E123/IF($E115="Lucro presumido",91.45%,85.75%))</f>
        <v>249.13450418790151</v>
      </c>
      <c r="G123" s="36">
        <v>4.4999999999999998E-2</v>
      </c>
      <c r="H123" s="208">
        <f>(H$135+H$118+H$117)*($G123/IF($G115="Lucro presumido",91.45%,85.75%))</f>
        <v>246.7317926414257</v>
      </c>
    </row>
    <row r="124" spans="1:8" x14ac:dyDescent="0.25">
      <c r="A124" s="430" t="s">
        <v>17</v>
      </c>
      <c r="B124" s="430"/>
      <c r="C124" s="21">
        <f>SUM(C117:C119)+(C123)</f>
        <v>0.21149999999999997</v>
      </c>
      <c r="D124" s="18">
        <f>SUM(D117:D123)</f>
        <v>991.56387283714866</v>
      </c>
      <c r="E124" s="21">
        <f>SUM(E117:E119)+(E123)</f>
        <v>0.21149999999999997</v>
      </c>
      <c r="F124" s="207">
        <f>SUM(F117:F123)</f>
        <v>1063.6721594216592</v>
      </c>
      <c r="G124" s="21">
        <f>SUM(G117:G119)+(G123)</f>
        <v>0.21149999999999997</v>
      </c>
      <c r="H124" s="207">
        <f>SUM(H117:H123)</f>
        <v>1053.4138558300388</v>
      </c>
    </row>
    <row r="125" spans="1:8" x14ac:dyDescent="0.25">
      <c r="A125" s="432" t="s">
        <v>79</v>
      </c>
      <c r="B125" s="432"/>
      <c r="C125" s="432"/>
      <c r="D125" s="432"/>
      <c r="E125" s="322"/>
    </row>
    <row r="126" spans="1:8" ht="23.25" customHeight="1" x14ac:dyDescent="0.25">
      <c r="A126" s="432" t="s">
        <v>126</v>
      </c>
      <c r="B126" s="432"/>
      <c r="C126" s="432"/>
      <c r="D126" s="432"/>
      <c r="E126" s="322"/>
    </row>
    <row r="128" spans="1:8" ht="14.45" customHeight="1" x14ac:dyDescent="0.25">
      <c r="A128" s="415" t="s">
        <v>112</v>
      </c>
      <c r="B128" s="415"/>
      <c r="C128" s="415"/>
      <c r="D128" s="415"/>
      <c r="E128" s="231"/>
    </row>
    <row r="129" spans="1:8" x14ac:dyDescent="0.25">
      <c r="A129" s="444" t="s">
        <v>80</v>
      </c>
      <c r="B129" s="445"/>
      <c r="C129" s="446"/>
      <c r="D129" s="304" t="s">
        <v>74</v>
      </c>
      <c r="E129" s="242"/>
      <c r="F129" s="304" t="s">
        <v>74</v>
      </c>
      <c r="H129" s="304" t="s">
        <v>74</v>
      </c>
    </row>
    <row r="130" spans="1:8" x14ac:dyDescent="0.25">
      <c r="A130" s="26" t="s">
        <v>6</v>
      </c>
      <c r="B130" s="438" t="s">
        <v>75</v>
      </c>
      <c r="C130" s="438"/>
      <c r="D130" s="16">
        <f>D19</f>
        <v>1889.62</v>
      </c>
      <c r="E130" s="292"/>
      <c r="F130" s="203">
        <f>F19</f>
        <v>2078.5819999999999</v>
      </c>
      <c r="G130" s="329"/>
      <c r="H130" s="211">
        <f>H19</f>
        <v>2078.5819999999999</v>
      </c>
    </row>
    <row r="131" spans="1:8" ht="30" customHeight="1" x14ac:dyDescent="0.25">
      <c r="A131" s="26" t="s">
        <v>8</v>
      </c>
      <c r="B131" s="438" t="s">
        <v>19</v>
      </c>
      <c r="C131" s="438"/>
      <c r="D131" s="16">
        <f>D65</f>
        <v>2033.3324063037999</v>
      </c>
      <c r="E131" s="292"/>
      <c r="F131" s="203">
        <f>F65</f>
        <v>2130.2680562566002</v>
      </c>
      <c r="G131" s="329"/>
      <c r="H131" s="211">
        <f>H65</f>
        <v>2130.2680562566002</v>
      </c>
    </row>
    <row r="132" spans="1:8" x14ac:dyDescent="0.25">
      <c r="A132" s="26" t="s">
        <v>9</v>
      </c>
      <c r="B132" s="438" t="s">
        <v>76</v>
      </c>
      <c r="C132" s="438"/>
      <c r="D132" s="16">
        <f>D76</f>
        <v>151.169244940402</v>
      </c>
      <c r="E132" s="292"/>
      <c r="F132" s="203">
        <f>F76</f>
        <v>166.2861694344422</v>
      </c>
      <c r="G132" s="329"/>
      <c r="H132" s="203">
        <f>H76</f>
        <v>122.2965856656302</v>
      </c>
    </row>
    <row r="133" spans="1:8" ht="30" customHeight="1" x14ac:dyDescent="0.25">
      <c r="A133" s="26" t="s">
        <v>11</v>
      </c>
      <c r="B133" s="438" t="s">
        <v>53</v>
      </c>
      <c r="C133" s="438"/>
      <c r="D133" s="16">
        <f>D103</f>
        <v>81.996620791599995</v>
      </c>
      <c r="E133" s="292"/>
      <c r="F133" s="203">
        <f>F103</f>
        <v>90.196282870759987</v>
      </c>
      <c r="G133" s="329"/>
      <c r="H133" s="211">
        <f>H103</f>
        <v>90.196282870759987</v>
      </c>
    </row>
    <row r="134" spans="1:8" x14ac:dyDescent="0.25">
      <c r="A134" s="26" t="s">
        <v>13</v>
      </c>
      <c r="B134" s="438" t="s">
        <v>66</v>
      </c>
      <c r="C134" s="438"/>
      <c r="D134" s="16">
        <f>D111</f>
        <v>95.898804347826086</v>
      </c>
      <c r="E134" s="292"/>
      <c r="F134" s="211">
        <f>F111</f>
        <v>95.898804347826086</v>
      </c>
      <c r="G134" s="329"/>
      <c r="H134" s="211">
        <f>H111</f>
        <v>95.898804347826086</v>
      </c>
    </row>
    <row r="135" spans="1:8" x14ac:dyDescent="0.25">
      <c r="A135" s="430" t="s">
        <v>77</v>
      </c>
      <c r="B135" s="430"/>
      <c r="C135" s="430"/>
      <c r="D135" s="18">
        <f>SUM(D130:D134)</f>
        <v>4252.0170763836277</v>
      </c>
      <c r="E135" s="294"/>
      <c r="F135" s="204">
        <f>SUM(F130:F134)</f>
        <v>4561.2313129096283</v>
      </c>
      <c r="G135" s="329"/>
      <c r="H135" s="204">
        <f>SUM(H130:H134)</f>
        <v>4517.2417291408165</v>
      </c>
    </row>
    <row r="136" spans="1:8" x14ac:dyDescent="0.25">
      <c r="A136" s="26" t="s">
        <v>15</v>
      </c>
      <c r="B136" s="414" t="s">
        <v>70</v>
      </c>
      <c r="C136" s="414"/>
      <c r="D136" s="16">
        <f>D124</f>
        <v>991.56387283714866</v>
      </c>
      <c r="E136" s="292"/>
      <c r="F136" s="203">
        <f>F124</f>
        <v>1063.6721594216592</v>
      </c>
      <c r="G136" s="329"/>
      <c r="H136" s="203">
        <f>H124</f>
        <v>1053.4138558300388</v>
      </c>
    </row>
    <row r="137" spans="1:8" x14ac:dyDescent="0.25">
      <c r="A137" s="415" t="s">
        <v>436</v>
      </c>
      <c r="B137" s="415"/>
      <c r="C137" s="415"/>
      <c r="D137" s="38">
        <f>SUM(D135:D136)</f>
        <v>5243.5809492207763</v>
      </c>
      <c r="E137" s="251"/>
      <c r="F137" s="209">
        <f>SUM(F135:F136)</f>
        <v>5624.903472331287</v>
      </c>
      <c r="H137" s="209">
        <f>SUM(H135:H136)</f>
        <v>5570.6555849708548</v>
      </c>
    </row>
    <row r="139" spans="1:8" ht="154.5" customHeight="1" x14ac:dyDescent="0.25">
      <c r="A139" s="442" t="s">
        <v>469</v>
      </c>
      <c r="B139" s="442"/>
      <c r="C139" s="442"/>
      <c r="D139" s="442"/>
    </row>
    <row r="140" spans="1:8" x14ac:dyDescent="0.25">
      <c r="E140" s="252"/>
    </row>
  </sheetData>
  <mergeCells count="83">
    <mergeCell ref="A137:C137"/>
    <mergeCell ref="B131:C131"/>
    <mergeCell ref="B132:C132"/>
    <mergeCell ref="B133:C133"/>
    <mergeCell ref="B134:C134"/>
    <mergeCell ref="A135:C135"/>
    <mergeCell ref="B136:C136"/>
    <mergeCell ref="B130:C130"/>
    <mergeCell ref="B109:C109"/>
    <mergeCell ref="B110:C110"/>
    <mergeCell ref="A111:C111"/>
    <mergeCell ref="A112:D112"/>
    <mergeCell ref="A114:D114"/>
    <mergeCell ref="A115:B115"/>
    <mergeCell ref="C115:D115"/>
    <mergeCell ref="A124:B124"/>
    <mergeCell ref="A125:D125"/>
    <mergeCell ref="A126:D126"/>
    <mergeCell ref="A128:D128"/>
    <mergeCell ref="A129:C129"/>
    <mergeCell ref="B108:C108"/>
    <mergeCell ref="A91:B91"/>
    <mergeCell ref="A92:D92"/>
    <mergeCell ref="A94:D94"/>
    <mergeCell ref="A97:B97"/>
    <mergeCell ref="A99:D99"/>
    <mergeCell ref="B100:C100"/>
    <mergeCell ref="B101:C101"/>
    <mergeCell ref="A103:C103"/>
    <mergeCell ref="A105:D105"/>
    <mergeCell ref="B106:C106"/>
    <mergeCell ref="B107:C107"/>
    <mergeCell ref="A83:D83"/>
    <mergeCell ref="B61:C61"/>
    <mergeCell ref="B62:C62"/>
    <mergeCell ref="B63:C63"/>
    <mergeCell ref="B64:C64"/>
    <mergeCell ref="A65:C65"/>
    <mergeCell ref="A67:D67"/>
    <mergeCell ref="A76:B76"/>
    <mergeCell ref="A77:D77"/>
    <mergeCell ref="A78:D78"/>
    <mergeCell ref="A80:D80"/>
    <mergeCell ref="A81:D81"/>
    <mergeCell ref="B13:C13"/>
    <mergeCell ref="A30:D30"/>
    <mergeCell ref="B15:C15"/>
    <mergeCell ref="B16:C16"/>
    <mergeCell ref="B17:C17"/>
    <mergeCell ref="B18:C18"/>
    <mergeCell ref="A19:C19"/>
    <mergeCell ref="A20:D20"/>
    <mergeCell ref="A22:D22"/>
    <mergeCell ref="A23:D23"/>
    <mergeCell ref="A27:B27"/>
    <mergeCell ref="A28:D28"/>
    <mergeCell ref="A29:D29"/>
    <mergeCell ref="C7:D7"/>
    <mergeCell ref="C8:D8"/>
    <mergeCell ref="C9:D9"/>
    <mergeCell ref="A11:D11"/>
    <mergeCell ref="B12:C12"/>
    <mergeCell ref="A1:D1"/>
    <mergeCell ref="A3:D3"/>
    <mergeCell ref="C4:D4"/>
    <mergeCell ref="C5:D5"/>
    <mergeCell ref="C6:D6"/>
    <mergeCell ref="E115:F115"/>
    <mergeCell ref="G115:H115"/>
    <mergeCell ref="A139:D139"/>
    <mergeCell ref="B14:C14"/>
    <mergeCell ref="A60:D60"/>
    <mergeCell ref="A32:D32"/>
    <mergeCell ref="A42:B42"/>
    <mergeCell ref="A43:D43"/>
    <mergeCell ref="A44:D44"/>
    <mergeCell ref="A45:D45"/>
    <mergeCell ref="A46:D46"/>
    <mergeCell ref="A47:D47"/>
    <mergeCell ref="A49:D49"/>
    <mergeCell ref="A56:C56"/>
    <mergeCell ref="A57:D57"/>
    <mergeCell ref="A58:D58"/>
  </mergeCells>
  <dataValidations disablePrompts="1" count="1">
    <dataValidation type="list" allowBlank="1" showInputMessage="1" showErrorMessage="1" sqref="G115 C115:E115" xr:uid="{00000000-0002-0000-0F00-000000000000}">
      <formula1>"Lucro presumido,Lucro real"</formula1>
    </dataValidation>
  </dataValidations>
  <pageMargins left="0.511811024" right="0.511811024" top="0.78740157499999996" bottom="0.78740157499999996" header="0.31496062000000002" footer="0.31496062000000002"/>
  <pageSetup paperSize="9" scale="4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L137"/>
  <sheetViews>
    <sheetView showGridLines="0" view="pageBreakPreview" topLeftCell="A3" zoomScaleNormal="100" zoomScaleSheetLayoutView="100" workbookViewId="0">
      <selection activeCell="O15" sqref="O15"/>
    </sheetView>
  </sheetViews>
  <sheetFormatPr defaultColWidth="9" defaultRowHeight="12.75" x14ac:dyDescent="0.25"/>
  <cols>
    <col min="1" max="1" width="55.7109375" style="52" customWidth="1"/>
    <col min="2" max="2" width="4.7109375" style="65" customWidth="1"/>
    <col min="3" max="3" width="11.85546875" style="66" bestFit="1" customWidth="1"/>
    <col min="4" max="4" width="9.85546875" style="67" bestFit="1" customWidth="1"/>
    <col min="5" max="5" width="11.28515625" style="66" bestFit="1" customWidth="1"/>
    <col min="6" max="11" width="0" style="52" hidden="1" customWidth="1"/>
    <col min="12" max="16384" width="9" style="52"/>
  </cols>
  <sheetData>
    <row r="1" spans="1:11" ht="19.899999999999999" customHeight="1" x14ac:dyDescent="0.25">
      <c r="A1" s="494" t="s">
        <v>160</v>
      </c>
      <c r="B1" s="494"/>
      <c r="C1" s="494"/>
      <c r="D1" s="494"/>
      <c r="E1" s="494"/>
    </row>
    <row r="2" spans="1:11" ht="28.15" customHeight="1" x14ac:dyDescent="0.25">
      <c r="A2" s="489" t="s">
        <v>161</v>
      </c>
      <c r="B2" s="489"/>
      <c r="C2" s="489"/>
      <c r="D2" s="489"/>
      <c r="E2" s="489"/>
    </row>
    <row r="3" spans="1:11" ht="38.25" x14ac:dyDescent="0.25">
      <c r="A3" s="53" t="s">
        <v>162</v>
      </c>
      <c r="B3" s="53" t="s">
        <v>163</v>
      </c>
      <c r="C3" s="53" t="s">
        <v>130</v>
      </c>
      <c r="D3" s="53" t="s">
        <v>164</v>
      </c>
      <c r="E3" s="53" t="s">
        <v>131</v>
      </c>
    </row>
    <row r="4" spans="1:11" ht="25.5" x14ac:dyDescent="0.25">
      <c r="A4" s="54" t="s">
        <v>165</v>
      </c>
      <c r="B4" s="46">
        <v>2</v>
      </c>
      <c r="C4" s="119">
        <v>35</v>
      </c>
      <c r="D4" s="55">
        <f>C4*B4</f>
        <v>70</v>
      </c>
      <c r="E4" s="55">
        <f>D4*2</f>
        <v>140</v>
      </c>
      <c r="F4" s="486"/>
      <c r="G4" s="492"/>
      <c r="H4" s="492"/>
      <c r="I4" s="492"/>
      <c r="J4" s="492"/>
      <c r="K4" s="492"/>
    </row>
    <row r="5" spans="1:11" ht="25.5" x14ac:dyDescent="0.25">
      <c r="A5" s="54" t="s">
        <v>166</v>
      </c>
      <c r="B5" s="46">
        <v>4</v>
      </c>
      <c r="C5" s="119">
        <v>35</v>
      </c>
      <c r="D5" s="55">
        <f t="shared" ref="D5:D14" si="0">C5*B5</f>
        <v>140</v>
      </c>
      <c r="E5" s="55">
        <f t="shared" ref="E5:E13" si="1">D5*2</f>
        <v>280</v>
      </c>
      <c r="F5" s="486"/>
      <c r="G5" s="492"/>
      <c r="H5" s="492"/>
      <c r="I5" s="492"/>
      <c r="J5" s="492"/>
      <c r="K5" s="492"/>
    </row>
    <row r="6" spans="1:11" ht="25.5" x14ac:dyDescent="0.25">
      <c r="A6" s="54" t="s">
        <v>167</v>
      </c>
      <c r="B6" s="46">
        <v>1</v>
      </c>
      <c r="C6" s="119">
        <v>40</v>
      </c>
      <c r="D6" s="55">
        <f t="shared" si="0"/>
        <v>40</v>
      </c>
      <c r="E6" s="55">
        <f t="shared" si="1"/>
        <v>80</v>
      </c>
      <c r="F6" s="486"/>
      <c r="G6" s="492"/>
      <c r="H6" s="492"/>
      <c r="I6" s="492"/>
      <c r="J6" s="492"/>
      <c r="K6" s="492"/>
    </row>
    <row r="7" spans="1:11" ht="28.9" customHeight="1" x14ac:dyDescent="0.25">
      <c r="A7" s="54" t="s">
        <v>168</v>
      </c>
      <c r="B7" s="46">
        <v>1</v>
      </c>
      <c r="C7" s="119">
        <v>30</v>
      </c>
      <c r="D7" s="55">
        <f t="shared" si="0"/>
        <v>30</v>
      </c>
      <c r="E7" s="55">
        <f t="shared" si="1"/>
        <v>60</v>
      </c>
      <c r="F7" s="486"/>
      <c r="G7" s="492"/>
      <c r="H7" s="492"/>
      <c r="I7" s="492"/>
      <c r="J7" s="492"/>
      <c r="K7" s="492"/>
    </row>
    <row r="8" spans="1:11" x14ac:dyDescent="0.25">
      <c r="A8" s="54" t="s">
        <v>169</v>
      </c>
      <c r="B8" s="46">
        <v>4</v>
      </c>
      <c r="C8" s="119">
        <v>5</v>
      </c>
      <c r="D8" s="55">
        <f t="shared" si="0"/>
        <v>20</v>
      </c>
      <c r="E8" s="55">
        <f t="shared" si="1"/>
        <v>40</v>
      </c>
      <c r="F8" s="486"/>
      <c r="G8" s="492"/>
      <c r="H8" s="492"/>
      <c r="I8" s="492"/>
      <c r="J8" s="492"/>
      <c r="K8" s="492"/>
    </row>
    <row r="9" spans="1:11" ht="25.5" x14ac:dyDescent="0.25">
      <c r="A9" s="54" t="s">
        <v>170</v>
      </c>
      <c r="B9" s="46">
        <v>1</v>
      </c>
      <c r="C9" s="119">
        <v>10.9</v>
      </c>
      <c r="D9" s="55">
        <f t="shared" si="0"/>
        <v>10.9</v>
      </c>
      <c r="E9" s="55">
        <f t="shared" si="1"/>
        <v>21.8</v>
      </c>
      <c r="F9" s="486" t="s">
        <v>171</v>
      </c>
      <c r="G9" s="492"/>
      <c r="H9" s="492"/>
      <c r="I9" s="492"/>
      <c r="J9" s="492"/>
      <c r="K9" s="492"/>
    </row>
    <row r="10" spans="1:11" ht="63.75" x14ac:dyDescent="0.25">
      <c r="A10" s="54" t="s">
        <v>172</v>
      </c>
      <c r="B10" s="46">
        <v>1</v>
      </c>
      <c r="C10" s="119">
        <v>62.66</v>
      </c>
      <c r="D10" s="55">
        <f t="shared" si="0"/>
        <v>62.66</v>
      </c>
      <c r="E10" s="55">
        <f t="shared" si="1"/>
        <v>125.32</v>
      </c>
      <c r="F10" s="486"/>
      <c r="G10" s="492"/>
      <c r="H10" s="492"/>
      <c r="I10" s="492"/>
      <c r="J10" s="492"/>
      <c r="K10" s="492"/>
    </row>
    <row r="11" spans="1:11" ht="25.5" x14ac:dyDescent="0.25">
      <c r="A11" s="54" t="s">
        <v>173</v>
      </c>
      <c r="B11" s="46">
        <v>2</v>
      </c>
      <c r="C11" s="119">
        <v>25.2</v>
      </c>
      <c r="D11" s="55">
        <f t="shared" si="0"/>
        <v>50.4</v>
      </c>
      <c r="E11" s="55">
        <f t="shared" si="1"/>
        <v>100.8</v>
      </c>
      <c r="F11" s="486"/>
      <c r="G11" s="492"/>
      <c r="H11" s="492"/>
      <c r="I11" s="492"/>
      <c r="J11" s="492"/>
      <c r="K11" s="492"/>
    </row>
    <row r="12" spans="1:11" x14ac:dyDescent="0.25">
      <c r="A12" s="54" t="s">
        <v>174</v>
      </c>
      <c r="B12" s="46">
        <v>1</v>
      </c>
      <c r="C12" s="119">
        <v>8.76</v>
      </c>
      <c r="D12" s="55">
        <f t="shared" si="0"/>
        <v>8.76</v>
      </c>
      <c r="E12" s="55">
        <f t="shared" si="1"/>
        <v>17.52</v>
      </c>
      <c r="F12" s="486"/>
      <c r="G12" s="492"/>
      <c r="H12" s="492"/>
      <c r="I12" s="492"/>
      <c r="J12" s="492"/>
      <c r="K12" s="492"/>
    </row>
    <row r="13" spans="1:11" x14ac:dyDescent="0.25">
      <c r="A13" s="54" t="s">
        <v>175</v>
      </c>
      <c r="B13" s="46">
        <v>1</v>
      </c>
      <c r="C13" s="119">
        <v>8.76</v>
      </c>
      <c r="D13" s="55">
        <f t="shared" si="0"/>
        <v>8.76</v>
      </c>
      <c r="E13" s="55">
        <f t="shared" si="1"/>
        <v>17.52</v>
      </c>
      <c r="F13" s="486"/>
      <c r="G13" s="492"/>
      <c r="H13" s="492"/>
      <c r="I13" s="492"/>
      <c r="J13" s="492"/>
      <c r="K13" s="492"/>
    </row>
    <row r="14" spans="1:11" ht="37.5" customHeight="1" x14ac:dyDescent="0.25">
      <c r="A14" s="54" t="s">
        <v>176</v>
      </c>
      <c r="B14" s="46">
        <v>1</v>
      </c>
      <c r="C14" s="119">
        <v>32.869999999999997</v>
      </c>
      <c r="D14" s="55">
        <f t="shared" si="0"/>
        <v>32.869999999999997</v>
      </c>
      <c r="E14" s="55">
        <f>D14*2</f>
        <v>65.739999999999995</v>
      </c>
    </row>
    <row r="15" spans="1:11" s="57" customFormat="1" x14ac:dyDescent="0.25">
      <c r="A15" s="495" t="s">
        <v>234</v>
      </c>
      <c r="B15" s="495"/>
      <c r="C15" s="495"/>
      <c r="D15" s="495"/>
      <c r="E15" s="56">
        <f>SUM(E4:E14)</f>
        <v>948.69999999999982</v>
      </c>
    </row>
    <row r="16" spans="1:11" s="57" customFormat="1" x14ac:dyDescent="0.25">
      <c r="A16" s="495" t="s">
        <v>178</v>
      </c>
      <c r="B16" s="495"/>
      <c r="C16" s="495"/>
      <c r="D16" s="495"/>
      <c r="E16" s="56">
        <f>E15/12</f>
        <v>79.058333333333323</v>
      </c>
    </row>
    <row r="17" spans="1:11" s="57" customFormat="1" x14ac:dyDescent="0.25">
      <c r="A17" s="58"/>
      <c r="B17" s="58"/>
      <c r="C17" s="58"/>
      <c r="D17" s="58"/>
      <c r="E17" s="59"/>
    </row>
    <row r="18" spans="1:11" x14ac:dyDescent="0.25">
      <c r="A18" s="57"/>
      <c r="B18" s="57"/>
      <c r="C18" s="57"/>
      <c r="D18" s="57"/>
      <c r="E18" s="57"/>
    </row>
    <row r="19" spans="1:11" ht="42" customHeight="1" x14ac:dyDescent="0.25">
      <c r="A19" s="489" t="s">
        <v>179</v>
      </c>
      <c r="B19" s="489"/>
      <c r="C19" s="489"/>
      <c r="D19" s="489"/>
      <c r="E19" s="489"/>
    </row>
    <row r="20" spans="1:11" ht="38.25" x14ac:dyDescent="0.25">
      <c r="A20" s="53" t="s">
        <v>162</v>
      </c>
      <c r="B20" s="53" t="s">
        <v>163</v>
      </c>
      <c r="C20" s="53" t="s">
        <v>130</v>
      </c>
      <c r="D20" s="53" t="s">
        <v>164</v>
      </c>
      <c r="E20" s="53" t="s">
        <v>131</v>
      </c>
      <c r="F20" s="486" t="s">
        <v>180</v>
      </c>
      <c r="G20" s="492"/>
      <c r="H20" s="492"/>
      <c r="I20" s="492"/>
      <c r="J20" s="492"/>
      <c r="K20" s="492"/>
    </row>
    <row r="21" spans="1:11" ht="37.15" customHeight="1" x14ac:dyDescent="0.25">
      <c r="A21" s="60" t="s">
        <v>181</v>
      </c>
      <c r="B21" s="61">
        <v>1</v>
      </c>
      <c r="C21" s="120">
        <v>40</v>
      </c>
      <c r="D21" s="62">
        <f>C21*B21</f>
        <v>40</v>
      </c>
      <c r="E21" s="62">
        <f>D21*2</f>
        <v>80</v>
      </c>
      <c r="F21" s="486"/>
      <c r="G21" s="492"/>
      <c r="H21" s="492"/>
      <c r="I21" s="492"/>
      <c r="J21" s="492"/>
      <c r="K21" s="492"/>
    </row>
    <row r="22" spans="1:11" ht="25.5" x14ac:dyDescent="0.25">
      <c r="A22" s="60" t="s">
        <v>165</v>
      </c>
      <c r="B22" s="61">
        <v>2</v>
      </c>
      <c r="C22" s="120">
        <v>35</v>
      </c>
      <c r="D22" s="62">
        <f t="shared" ref="D22:D25" si="2">C22*B22</f>
        <v>70</v>
      </c>
      <c r="E22" s="62">
        <f t="shared" ref="E22:E26" si="3">D22*2</f>
        <v>140</v>
      </c>
      <c r="F22" s="486"/>
      <c r="G22" s="492"/>
      <c r="H22" s="492"/>
      <c r="I22" s="492"/>
      <c r="J22" s="492"/>
      <c r="K22" s="492"/>
    </row>
    <row r="23" spans="1:11" ht="25.5" x14ac:dyDescent="0.25">
      <c r="A23" s="60" t="s">
        <v>182</v>
      </c>
      <c r="B23" s="61">
        <v>4</v>
      </c>
      <c r="C23" s="120">
        <v>35</v>
      </c>
      <c r="D23" s="62">
        <f t="shared" si="2"/>
        <v>140</v>
      </c>
      <c r="E23" s="62">
        <f t="shared" si="3"/>
        <v>280</v>
      </c>
      <c r="F23" s="486"/>
      <c r="G23" s="492"/>
      <c r="H23" s="492"/>
      <c r="I23" s="492"/>
      <c r="J23" s="492"/>
      <c r="K23" s="492"/>
    </row>
    <row r="24" spans="1:11" ht="25.5" x14ac:dyDescent="0.25">
      <c r="A24" s="60" t="s">
        <v>183</v>
      </c>
      <c r="B24" s="61">
        <v>1</v>
      </c>
      <c r="C24" s="120">
        <v>40</v>
      </c>
      <c r="D24" s="62">
        <f t="shared" si="2"/>
        <v>40</v>
      </c>
      <c r="E24" s="62">
        <f t="shared" si="3"/>
        <v>80</v>
      </c>
      <c r="F24" s="486"/>
      <c r="G24" s="492"/>
      <c r="H24" s="492"/>
      <c r="I24" s="492"/>
      <c r="J24" s="492"/>
      <c r="K24" s="492"/>
    </row>
    <row r="25" spans="1:11" ht="76.5" x14ac:dyDescent="0.25">
      <c r="A25" s="60" t="s">
        <v>168</v>
      </c>
      <c r="B25" s="61">
        <v>2</v>
      </c>
      <c r="C25" s="120">
        <v>30</v>
      </c>
      <c r="D25" s="62">
        <f t="shared" si="2"/>
        <v>60</v>
      </c>
      <c r="E25" s="62">
        <f t="shared" si="3"/>
        <v>120</v>
      </c>
      <c r="F25" s="486"/>
      <c r="G25" s="492"/>
      <c r="H25" s="492"/>
      <c r="I25" s="492"/>
      <c r="J25" s="492"/>
      <c r="K25" s="492"/>
    </row>
    <row r="26" spans="1:11" ht="18" customHeight="1" x14ac:dyDescent="0.25">
      <c r="A26" s="60" t="s">
        <v>169</v>
      </c>
      <c r="B26" s="61">
        <v>3</v>
      </c>
      <c r="C26" s="120">
        <v>3</v>
      </c>
      <c r="D26" s="62">
        <f>C26*B26</f>
        <v>9</v>
      </c>
      <c r="E26" s="62">
        <f t="shared" si="3"/>
        <v>18</v>
      </c>
      <c r="F26" s="57"/>
      <c r="G26" s="57"/>
      <c r="H26" s="57"/>
      <c r="I26" s="57"/>
      <c r="J26" s="57"/>
      <c r="K26" s="57"/>
    </row>
    <row r="27" spans="1:11" ht="25.5" x14ac:dyDescent="0.25">
      <c r="A27" s="60" t="s">
        <v>170</v>
      </c>
      <c r="B27" s="61">
        <v>1</v>
      </c>
      <c r="C27" s="120">
        <v>10.9</v>
      </c>
      <c r="D27" s="62">
        <f>C27*B27</f>
        <v>10.9</v>
      </c>
      <c r="E27" s="62">
        <f>D27*2</f>
        <v>21.8</v>
      </c>
      <c r="F27" s="57"/>
      <c r="G27" s="57"/>
      <c r="H27" s="57"/>
      <c r="I27" s="57"/>
      <c r="J27" s="57"/>
      <c r="K27" s="57"/>
    </row>
    <row r="28" spans="1:11" x14ac:dyDescent="0.25">
      <c r="A28" s="495" t="s">
        <v>234</v>
      </c>
      <c r="B28" s="495"/>
      <c r="C28" s="495"/>
      <c r="D28" s="495"/>
      <c r="E28" s="56">
        <f>SUM(E21:E27)</f>
        <v>739.8</v>
      </c>
    </row>
    <row r="29" spans="1:11" ht="18" customHeight="1" x14ac:dyDescent="0.25">
      <c r="A29" s="495" t="s">
        <v>178</v>
      </c>
      <c r="B29" s="495"/>
      <c r="C29" s="495"/>
      <c r="D29" s="495"/>
      <c r="E29" s="56">
        <f>E28/12</f>
        <v>61.65</v>
      </c>
    </row>
    <row r="30" spans="1:11" ht="28.5" customHeight="1" x14ac:dyDescent="0.25">
      <c r="A30" s="57"/>
      <c r="B30" s="57"/>
      <c r="C30" s="57"/>
      <c r="D30" s="57"/>
      <c r="E30" s="57"/>
    </row>
    <row r="31" spans="1:11" ht="18.75" customHeight="1" x14ac:dyDescent="0.25">
      <c r="A31" s="489" t="s">
        <v>184</v>
      </c>
      <c r="B31" s="489"/>
      <c r="C31" s="489"/>
      <c r="D31" s="489"/>
      <c r="E31" s="489"/>
      <c r="F31" s="486" t="s">
        <v>180</v>
      </c>
      <c r="G31" s="492"/>
      <c r="H31" s="492"/>
      <c r="I31" s="492"/>
      <c r="J31" s="492"/>
      <c r="K31" s="492"/>
    </row>
    <row r="32" spans="1:11" ht="38.25" x14ac:dyDescent="0.25">
      <c r="A32" s="53" t="s">
        <v>162</v>
      </c>
      <c r="B32" s="53" t="s">
        <v>163</v>
      </c>
      <c r="C32" s="53" t="s">
        <v>130</v>
      </c>
      <c r="D32" s="53" t="s">
        <v>164</v>
      </c>
      <c r="E32" s="53" t="s">
        <v>131</v>
      </c>
      <c r="F32" s="486"/>
      <c r="G32" s="492"/>
      <c r="H32" s="492"/>
      <c r="I32" s="492"/>
      <c r="J32" s="492"/>
      <c r="K32" s="492"/>
    </row>
    <row r="33" spans="1:12" ht="25.5" x14ac:dyDescent="0.25">
      <c r="A33" s="60" t="s">
        <v>185</v>
      </c>
      <c r="B33" s="61">
        <v>2</v>
      </c>
      <c r="C33" s="120">
        <v>35</v>
      </c>
      <c r="D33" s="62">
        <f>C33*B33</f>
        <v>70</v>
      </c>
      <c r="E33" s="62">
        <f>D33*2</f>
        <v>140</v>
      </c>
      <c r="F33" s="486"/>
      <c r="G33" s="492"/>
      <c r="H33" s="492"/>
      <c r="I33" s="492"/>
      <c r="J33" s="492"/>
      <c r="K33" s="492"/>
    </row>
    <row r="34" spans="1:12" ht="30.75" customHeight="1" x14ac:dyDescent="0.25">
      <c r="A34" s="60" t="s">
        <v>182</v>
      </c>
      <c r="B34" s="61">
        <v>4</v>
      </c>
      <c r="C34" s="120">
        <v>35</v>
      </c>
      <c r="D34" s="62">
        <f t="shared" ref="D34:D38" si="4">C34*B34</f>
        <v>140</v>
      </c>
      <c r="E34" s="62">
        <f t="shared" ref="E34:E38" si="5">D34*2</f>
        <v>280</v>
      </c>
      <c r="F34" s="486"/>
      <c r="G34" s="492"/>
      <c r="H34" s="492"/>
      <c r="I34" s="492"/>
      <c r="J34" s="492"/>
      <c r="K34" s="492"/>
    </row>
    <row r="35" spans="1:12" ht="44.25" customHeight="1" x14ac:dyDescent="0.25">
      <c r="A35" s="60" t="s">
        <v>183</v>
      </c>
      <c r="B35" s="61">
        <v>1</v>
      </c>
      <c r="C35" s="120">
        <v>40</v>
      </c>
      <c r="D35" s="62">
        <f t="shared" si="4"/>
        <v>40</v>
      </c>
      <c r="E35" s="62">
        <f t="shared" si="5"/>
        <v>80</v>
      </c>
      <c r="F35" s="486"/>
      <c r="G35" s="492"/>
      <c r="H35" s="492"/>
      <c r="I35" s="492"/>
      <c r="J35" s="492"/>
      <c r="K35" s="492"/>
    </row>
    <row r="36" spans="1:12" ht="44.25" customHeight="1" x14ac:dyDescent="0.25">
      <c r="A36" s="60" t="s">
        <v>186</v>
      </c>
      <c r="B36" s="61">
        <v>2</v>
      </c>
      <c r="C36" s="120">
        <v>30</v>
      </c>
      <c r="D36" s="62">
        <f t="shared" si="4"/>
        <v>60</v>
      </c>
      <c r="E36" s="62">
        <f t="shared" si="5"/>
        <v>120</v>
      </c>
      <c r="F36" s="57"/>
      <c r="G36" s="57"/>
      <c r="H36" s="57"/>
      <c r="I36" s="57"/>
      <c r="J36" s="57"/>
      <c r="K36" s="57"/>
      <c r="L36" s="57"/>
    </row>
    <row r="37" spans="1:12" ht="15.75" customHeight="1" x14ac:dyDescent="0.25">
      <c r="A37" s="60" t="s">
        <v>169</v>
      </c>
      <c r="B37" s="61">
        <v>3</v>
      </c>
      <c r="C37" s="120">
        <v>5</v>
      </c>
      <c r="D37" s="62">
        <f>C37*B37</f>
        <v>15</v>
      </c>
      <c r="E37" s="62">
        <f t="shared" si="5"/>
        <v>30</v>
      </c>
      <c r="F37" s="57"/>
      <c r="G37" s="57"/>
      <c r="H37" s="57"/>
      <c r="I37" s="57"/>
      <c r="J37" s="57"/>
      <c r="K37" s="57"/>
      <c r="L37" s="57"/>
    </row>
    <row r="38" spans="1:12" ht="25.5" x14ac:dyDescent="0.25">
      <c r="A38" s="60" t="s">
        <v>170</v>
      </c>
      <c r="B38" s="61">
        <v>1</v>
      </c>
      <c r="C38" s="120">
        <v>10.9</v>
      </c>
      <c r="D38" s="62">
        <f t="shared" si="4"/>
        <v>10.9</v>
      </c>
      <c r="E38" s="62">
        <f t="shared" si="5"/>
        <v>21.8</v>
      </c>
      <c r="F38" s="57"/>
      <c r="G38" s="57"/>
      <c r="H38" s="57"/>
      <c r="I38" s="57"/>
      <c r="J38" s="57"/>
      <c r="K38" s="57"/>
      <c r="L38" s="57"/>
    </row>
    <row r="39" spans="1:12" x14ac:dyDescent="0.25">
      <c r="A39" s="488" t="s">
        <v>177</v>
      </c>
      <c r="B39" s="488"/>
      <c r="C39" s="488"/>
      <c r="D39" s="488"/>
      <c r="E39" s="68">
        <f>SUM(E33:E38)</f>
        <v>671.8</v>
      </c>
    </row>
    <row r="40" spans="1:12" x14ac:dyDescent="0.25">
      <c r="A40" s="488" t="s">
        <v>178</v>
      </c>
      <c r="B40" s="488"/>
      <c r="C40" s="488"/>
      <c r="D40" s="488"/>
      <c r="E40" s="68">
        <f>E39/12</f>
        <v>55.983333333333327</v>
      </c>
    </row>
    <row r="41" spans="1:12" ht="18" customHeight="1" x14ac:dyDescent="0.25">
      <c r="A41" s="493"/>
      <c r="B41" s="493"/>
      <c r="C41" s="493"/>
      <c r="D41" s="493"/>
      <c r="E41" s="493"/>
    </row>
    <row r="42" spans="1:12" ht="15.75" x14ac:dyDescent="0.25">
      <c r="A42" s="494" t="s">
        <v>187</v>
      </c>
      <c r="B42" s="494"/>
      <c r="C42" s="494"/>
      <c r="D42" s="494"/>
      <c r="E42" s="494"/>
      <c r="F42" s="486" t="s">
        <v>188</v>
      </c>
      <c r="G42" s="492"/>
      <c r="H42" s="492"/>
      <c r="I42" s="492"/>
      <c r="J42" s="492"/>
      <c r="K42" s="492"/>
    </row>
    <row r="43" spans="1:12" x14ac:dyDescent="0.25">
      <c r="A43" s="489" t="s">
        <v>189</v>
      </c>
      <c r="B43" s="489"/>
      <c r="C43" s="489"/>
      <c r="D43" s="489"/>
      <c r="E43" s="489"/>
      <c r="F43" s="486"/>
      <c r="G43" s="492"/>
      <c r="H43" s="492"/>
      <c r="I43" s="492"/>
      <c r="J43" s="492"/>
      <c r="K43" s="492"/>
    </row>
    <row r="44" spans="1:12" ht="38.25" x14ac:dyDescent="0.25">
      <c r="A44" s="53" t="s">
        <v>190</v>
      </c>
      <c r="B44" s="53" t="s">
        <v>163</v>
      </c>
      <c r="C44" s="53" t="s">
        <v>130</v>
      </c>
      <c r="D44" s="53" t="s">
        <v>164</v>
      </c>
      <c r="E44" s="53" t="s">
        <v>131</v>
      </c>
    </row>
    <row r="45" spans="1:12" ht="38.25" x14ac:dyDescent="0.25">
      <c r="A45" s="64" t="s">
        <v>191</v>
      </c>
      <c r="B45" s="61">
        <v>1</v>
      </c>
      <c r="C45" s="121">
        <v>4.49</v>
      </c>
      <c r="D45" s="62">
        <f>C45*B45</f>
        <v>4.49</v>
      </c>
      <c r="E45" s="62">
        <f>D45*2</f>
        <v>8.98</v>
      </c>
    </row>
    <row r="46" spans="1:12" ht="25.5" x14ac:dyDescent="0.25">
      <c r="A46" s="64" t="s">
        <v>192</v>
      </c>
      <c r="B46" s="61">
        <v>1</v>
      </c>
      <c r="C46" s="121">
        <v>8.49</v>
      </c>
      <c r="D46" s="62">
        <f>C46*B46</f>
        <v>8.49</v>
      </c>
      <c r="E46" s="62">
        <f>D46*2</f>
        <v>16.98</v>
      </c>
    </row>
    <row r="47" spans="1:12" x14ac:dyDescent="0.25">
      <c r="A47" s="488" t="s">
        <v>234</v>
      </c>
      <c r="B47" s="488"/>
      <c r="C47" s="488"/>
      <c r="D47" s="488"/>
      <c r="E47" s="68">
        <f>SUM(E45:E46)</f>
        <v>25.96</v>
      </c>
    </row>
    <row r="48" spans="1:12" ht="18" customHeight="1" x14ac:dyDescent="0.25">
      <c r="A48" s="488" t="s">
        <v>178</v>
      </c>
      <c r="B48" s="488"/>
      <c r="C48" s="488"/>
      <c r="D48" s="488"/>
      <c r="E48" s="68">
        <f>E47/12</f>
        <v>2.1633333333333336</v>
      </c>
      <c r="F48" s="486" t="s">
        <v>188</v>
      </c>
      <c r="G48" s="492"/>
      <c r="H48" s="492"/>
      <c r="I48" s="492"/>
      <c r="J48" s="492"/>
      <c r="K48" s="492"/>
    </row>
    <row r="49" spans="1:11" x14ac:dyDescent="0.25">
      <c r="A49" s="57"/>
      <c r="B49" s="57"/>
      <c r="C49" s="57"/>
      <c r="D49" s="57"/>
      <c r="E49" s="57"/>
      <c r="F49" s="486"/>
      <c r="G49" s="492"/>
      <c r="H49" s="492"/>
      <c r="I49" s="492"/>
      <c r="J49" s="492"/>
      <c r="K49" s="492"/>
    </row>
    <row r="50" spans="1:11" x14ac:dyDescent="0.25">
      <c r="A50" s="489" t="s">
        <v>193</v>
      </c>
      <c r="B50" s="489"/>
      <c r="C50" s="489"/>
      <c r="D50" s="489"/>
      <c r="E50" s="489"/>
      <c r="F50" s="486"/>
      <c r="G50" s="492"/>
      <c r="H50" s="492"/>
      <c r="I50" s="492"/>
      <c r="J50" s="492"/>
      <c r="K50" s="492"/>
    </row>
    <row r="51" spans="1:11" ht="38.25" x14ac:dyDescent="0.25">
      <c r="A51" s="53" t="s">
        <v>190</v>
      </c>
      <c r="B51" s="53" t="s">
        <v>163</v>
      </c>
      <c r="C51" s="53" t="s">
        <v>130</v>
      </c>
      <c r="D51" s="53" t="s">
        <v>164</v>
      </c>
      <c r="E51" s="53" t="s">
        <v>131</v>
      </c>
      <c r="F51" s="486"/>
      <c r="G51" s="492"/>
      <c r="H51" s="492"/>
      <c r="I51" s="492"/>
      <c r="J51" s="492"/>
      <c r="K51" s="492"/>
    </row>
    <row r="52" spans="1:11" ht="25.5" x14ac:dyDescent="0.25">
      <c r="A52" s="45" t="s">
        <v>194</v>
      </c>
      <c r="B52" s="46">
        <v>1</v>
      </c>
      <c r="C52" s="122">
        <v>46.99</v>
      </c>
      <c r="D52" s="62">
        <f>C52*B52</f>
        <v>46.99</v>
      </c>
      <c r="E52" s="62">
        <f>D52*2</f>
        <v>93.98</v>
      </c>
    </row>
    <row r="53" spans="1:11" ht="38.25" x14ac:dyDescent="0.25">
      <c r="A53" s="45" t="s">
        <v>195</v>
      </c>
      <c r="B53" s="46">
        <v>1</v>
      </c>
      <c r="C53" s="122">
        <v>32</v>
      </c>
      <c r="D53" s="62">
        <f t="shared" ref="D53:D55" si="6">C53*B53</f>
        <v>32</v>
      </c>
      <c r="E53" s="62">
        <f t="shared" ref="E53:E55" si="7">D53*2</f>
        <v>64</v>
      </c>
    </row>
    <row r="54" spans="1:11" ht="25.5" x14ac:dyDescent="0.25">
      <c r="A54" s="45" t="s">
        <v>196</v>
      </c>
      <c r="B54" s="46">
        <v>1</v>
      </c>
      <c r="C54" s="122">
        <v>204.9</v>
      </c>
      <c r="D54" s="62">
        <f t="shared" si="6"/>
        <v>204.9</v>
      </c>
      <c r="E54" s="62">
        <f t="shared" si="7"/>
        <v>409.8</v>
      </c>
    </row>
    <row r="55" spans="1:11" ht="38.25" x14ac:dyDescent="0.25">
      <c r="A55" s="45" t="s">
        <v>197</v>
      </c>
      <c r="B55" s="46">
        <v>1</v>
      </c>
      <c r="C55" s="122">
        <v>9.0500000000000007</v>
      </c>
      <c r="D55" s="62">
        <f t="shared" si="6"/>
        <v>9.0500000000000007</v>
      </c>
      <c r="E55" s="62">
        <f t="shared" si="7"/>
        <v>18.100000000000001</v>
      </c>
    </row>
    <row r="56" spans="1:11" x14ac:dyDescent="0.25">
      <c r="A56" s="488" t="s">
        <v>234</v>
      </c>
      <c r="B56" s="488"/>
      <c r="C56" s="488"/>
      <c r="D56" s="488"/>
      <c r="E56" s="68">
        <f>SUM(E52:E55)</f>
        <v>585.88</v>
      </c>
      <c r="F56" s="486" t="s">
        <v>188</v>
      </c>
      <c r="G56" s="492"/>
      <c r="H56" s="492"/>
      <c r="I56" s="492"/>
      <c r="J56" s="492"/>
      <c r="K56" s="492"/>
    </row>
    <row r="57" spans="1:11" x14ac:dyDescent="0.25">
      <c r="A57" s="488" t="s">
        <v>178</v>
      </c>
      <c r="B57" s="488"/>
      <c r="C57" s="488"/>
      <c r="D57" s="488"/>
      <c r="E57" s="68">
        <f>E56/12</f>
        <v>48.823333333333331</v>
      </c>
      <c r="F57" s="486"/>
      <c r="G57" s="492"/>
      <c r="H57" s="492"/>
      <c r="I57" s="492"/>
      <c r="J57" s="492"/>
      <c r="K57" s="492"/>
    </row>
    <row r="58" spans="1:11" ht="21" customHeight="1" x14ac:dyDescent="0.25">
      <c r="A58" s="57"/>
      <c r="B58" s="57"/>
      <c r="C58" s="57"/>
      <c r="D58" s="57"/>
      <c r="E58" s="57"/>
      <c r="F58" s="486"/>
      <c r="G58" s="492"/>
      <c r="H58" s="492"/>
      <c r="I58" s="492"/>
      <c r="J58" s="492"/>
      <c r="K58" s="492"/>
    </row>
    <row r="59" spans="1:11" x14ac:dyDescent="0.25">
      <c r="A59" s="489" t="s">
        <v>198</v>
      </c>
      <c r="B59" s="489"/>
      <c r="C59" s="489"/>
      <c r="D59" s="489"/>
      <c r="E59" s="489"/>
      <c r="F59" s="486"/>
      <c r="G59" s="492"/>
      <c r="H59" s="492"/>
      <c r="I59" s="492"/>
      <c r="J59" s="492"/>
      <c r="K59" s="492"/>
    </row>
    <row r="60" spans="1:11" ht="38.25" x14ac:dyDescent="0.25">
      <c r="A60" s="53" t="s">
        <v>190</v>
      </c>
      <c r="B60" s="53" t="s">
        <v>163</v>
      </c>
      <c r="C60" s="53" t="s">
        <v>130</v>
      </c>
      <c r="D60" s="53" t="s">
        <v>164</v>
      </c>
      <c r="E60" s="53" t="s">
        <v>131</v>
      </c>
      <c r="F60" s="486"/>
      <c r="G60" s="492"/>
      <c r="H60" s="492"/>
      <c r="I60" s="492"/>
      <c r="J60" s="492"/>
      <c r="K60" s="492"/>
    </row>
    <row r="61" spans="1:11" ht="25.5" x14ac:dyDescent="0.25">
      <c r="A61" s="45" t="s">
        <v>199</v>
      </c>
      <c r="B61" s="46">
        <v>2</v>
      </c>
      <c r="C61" s="119">
        <v>4.6900000000000004</v>
      </c>
      <c r="D61" s="62">
        <f>C61*B61</f>
        <v>9.3800000000000008</v>
      </c>
      <c r="E61" s="62">
        <f>D61*2</f>
        <v>18.760000000000002</v>
      </c>
      <c r="F61" s="486"/>
      <c r="G61" s="492"/>
      <c r="H61" s="492"/>
      <c r="I61" s="492"/>
      <c r="J61" s="492"/>
      <c r="K61" s="492"/>
    </row>
    <row r="62" spans="1:11" ht="25.5" x14ac:dyDescent="0.25">
      <c r="A62" s="45" t="s">
        <v>200</v>
      </c>
      <c r="B62" s="46">
        <v>2</v>
      </c>
      <c r="C62" s="119">
        <v>34.9</v>
      </c>
      <c r="D62" s="62">
        <f t="shared" ref="D62:D68" si="8">C62*B62</f>
        <v>69.8</v>
      </c>
      <c r="E62" s="62">
        <f t="shared" ref="E62:E68" si="9">D62*2</f>
        <v>139.6</v>
      </c>
      <c r="F62" s="486"/>
      <c r="G62" s="492"/>
      <c r="H62" s="492"/>
      <c r="I62" s="492"/>
      <c r="J62" s="492"/>
      <c r="K62" s="492"/>
    </row>
    <row r="63" spans="1:11" ht="25.5" x14ac:dyDescent="0.25">
      <c r="A63" s="45" t="s">
        <v>201</v>
      </c>
      <c r="B63" s="46">
        <v>2</v>
      </c>
      <c r="C63" s="119">
        <v>16.91</v>
      </c>
      <c r="D63" s="62">
        <f t="shared" si="8"/>
        <v>33.82</v>
      </c>
      <c r="E63" s="62">
        <f t="shared" si="9"/>
        <v>67.64</v>
      </c>
    </row>
    <row r="64" spans="1:11" ht="25.5" x14ac:dyDescent="0.25">
      <c r="A64" s="45" t="s">
        <v>202</v>
      </c>
      <c r="B64" s="46">
        <v>2</v>
      </c>
      <c r="C64" s="119">
        <v>2.29</v>
      </c>
      <c r="D64" s="62">
        <f t="shared" si="8"/>
        <v>4.58</v>
      </c>
      <c r="E64" s="62">
        <f t="shared" si="9"/>
        <v>9.16</v>
      </c>
    </row>
    <row r="65" spans="1:11" ht="63.75" x14ac:dyDescent="0.25">
      <c r="A65" s="45" t="s">
        <v>203</v>
      </c>
      <c r="B65" s="46">
        <v>1</v>
      </c>
      <c r="C65" s="119">
        <v>99.75</v>
      </c>
      <c r="D65" s="62">
        <f t="shared" si="8"/>
        <v>99.75</v>
      </c>
      <c r="E65" s="62">
        <f t="shared" si="9"/>
        <v>199.5</v>
      </c>
    </row>
    <row r="66" spans="1:11" x14ac:dyDescent="0.25">
      <c r="A66" s="45" t="s">
        <v>204</v>
      </c>
      <c r="B66" s="46">
        <v>1</v>
      </c>
      <c r="C66" s="119">
        <v>28</v>
      </c>
      <c r="D66" s="62">
        <f t="shared" si="8"/>
        <v>28</v>
      </c>
      <c r="E66" s="62">
        <f t="shared" si="9"/>
        <v>56</v>
      </c>
    </row>
    <row r="67" spans="1:11" x14ac:dyDescent="0.25">
      <c r="A67" s="45" t="s">
        <v>205</v>
      </c>
      <c r="B67" s="46">
        <v>1</v>
      </c>
      <c r="C67" s="119">
        <v>15</v>
      </c>
      <c r="D67" s="62">
        <f t="shared" si="8"/>
        <v>15</v>
      </c>
      <c r="E67" s="62">
        <f t="shared" si="9"/>
        <v>30</v>
      </c>
    </row>
    <row r="68" spans="1:11" x14ac:dyDescent="0.25">
      <c r="A68" s="45" t="s">
        <v>206</v>
      </c>
      <c r="B68" s="46">
        <v>1</v>
      </c>
      <c r="C68" s="119">
        <v>8.6</v>
      </c>
      <c r="D68" s="62">
        <f t="shared" si="8"/>
        <v>8.6</v>
      </c>
      <c r="E68" s="62">
        <f t="shared" si="9"/>
        <v>17.2</v>
      </c>
      <c r="F68" s="486" t="s">
        <v>188</v>
      </c>
      <c r="G68" s="492"/>
      <c r="H68" s="492"/>
      <c r="I68" s="492"/>
      <c r="J68" s="492"/>
      <c r="K68" s="492"/>
    </row>
    <row r="69" spans="1:11" x14ac:dyDescent="0.25">
      <c r="A69" s="488" t="s">
        <v>234</v>
      </c>
      <c r="B69" s="488"/>
      <c r="C69" s="488"/>
      <c r="D69" s="488"/>
      <c r="E69" s="68">
        <f>SUM(E61:E68)</f>
        <v>537.86</v>
      </c>
      <c r="F69" s="486"/>
      <c r="G69" s="492"/>
      <c r="H69" s="492"/>
      <c r="I69" s="492"/>
      <c r="J69" s="492"/>
      <c r="K69" s="492"/>
    </row>
    <row r="70" spans="1:11" x14ac:dyDescent="0.25">
      <c r="A70" s="488" t="s">
        <v>178</v>
      </c>
      <c r="B70" s="488"/>
      <c r="C70" s="488"/>
      <c r="D70" s="488"/>
      <c r="E70" s="68">
        <f>E69/12</f>
        <v>44.821666666666665</v>
      </c>
      <c r="F70" s="486"/>
      <c r="G70" s="492"/>
      <c r="H70" s="492"/>
      <c r="I70" s="492"/>
      <c r="J70" s="492"/>
      <c r="K70" s="492"/>
    </row>
    <row r="71" spans="1:11" x14ac:dyDescent="0.25">
      <c r="A71" s="57"/>
      <c r="B71" s="57"/>
      <c r="C71" s="57"/>
      <c r="D71" s="57"/>
      <c r="E71" s="57"/>
      <c r="F71" s="486"/>
      <c r="G71" s="492"/>
      <c r="H71" s="492"/>
      <c r="I71" s="492"/>
      <c r="J71" s="492"/>
      <c r="K71" s="492"/>
    </row>
    <row r="72" spans="1:11" x14ac:dyDescent="0.25">
      <c r="A72" s="489" t="s">
        <v>207</v>
      </c>
      <c r="B72" s="489"/>
      <c r="C72" s="489"/>
      <c r="D72" s="489"/>
      <c r="E72" s="489"/>
      <c r="F72" s="486"/>
      <c r="G72" s="492"/>
      <c r="H72" s="492"/>
      <c r="I72" s="492"/>
      <c r="J72" s="492"/>
      <c r="K72" s="492"/>
    </row>
    <row r="73" spans="1:11" ht="38.25" x14ac:dyDescent="0.25">
      <c r="A73" s="53" t="s">
        <v>190</v>
      </c>
      <c r="B73" s="53" t="s">
        <v>163</v>
      </c>
      <c r="C73" s="53" t="s">
        <v>130</v>
      </c>
      <c r="D73" s="53" t="s">
        <v>164</v>
      </c>
      <c r="E73" s="53" t="s">
        <v>131</v>
      </c>
      <c r="F73" s="486"/>
      <c r="G73" s="492"/>
      <c r="H73" s="492"/>
      <c r="I73" s="492"/>
      <c r="J73" s="492"/>
      <c r="K73" s="492"/>
    </row>
    <row r="74" spans="1:11" ht="25.5" x14ac:dyDescent="0.25">
      <c r="A74" s="45" t="s">
        <v>194</v>
      </c>
      <c r="B74" s="46">
        <v>1</v>
      </c>
      <c r="C74" s="119">
        <v>46.99</v>
      </c>
      <c r="D74" s="62">
        <f>C74*B74</f>
        <v>46.99</v>
      </c>
      <c r="E74" s="62">
        <f>D74*2</f>
        <v>93.98</v>
      </c>
      <c r="F74" s="486"/>
      <c r="G74" s="492"/>
      <c r="H74" s="492"/>
      <c r="I74" s="492"/>
      <c r="J74" s="492"/>
      <c r="K74" s="492"/>
    </row>
    <row r="75" spans="1:11" x14ac:dyDescent="0.25">
      <c r="A75" s="45" t="s">
        <v>208</v>
      </c>
      <c r="B75" s="46">
        <v>1</v>
      </c>
      <c r="C75" s="119">
        <v>2.69</v>
      </c>
      <c r="D75" s="62">
        <f t="shared" ref="D75:D80" si="10">C75*B75</f>
        <v>2.69</v>
      </c>
      <c r="E75" s="62">
        <f t="shared" ref="E75:E81" si="11">D75*2</f>
        <v>5.38</v>
      </c>
    </row>
    <row r="76" spans="1:11" x14ac:dyDescent="0.25">
      <c r="A76" s="45" t="s">
        <v>209</v>
      </c>
      <c r="B76" s="46">
        <v>1</v>
      </c>
      <c r="C76" s="119">
        <v>48.14</v>
      </c>
      <c r="D76" s="62">
        <f t="shared" si="10"/>
        <v>48.14</v>
      </c>
      <c r="E76" s="62">
        <f t="shared" si="11"/>
        <v>96.28</v>
      </c>
    </row>
    <row r="77" spans="1:11" ht="25.5" x14ac:dyDescent="0.25">
      <c r="A77" s="45" t="s">
        <v>210</v>
      </c>
      <c r="B77" s="46">
        <v>1</v>
      </c>
      <c r="C77" s="119">
        <v>204.9</v>
      </c>
      <c r="D77" s="62">
        <f t="shared" si="10"/>
        <v>204.9</v>
      </c>
      <c r="E77" s="62">
        <f t="shared" si="11"/>
        <v>409.8</v>
      </c>
    </row>
    <row r="78" spans="1:11" ht="38.25" x14ac:dyDescent="0.25">
      <c r="A78" s="45" t="s">
        <v>195</v>
      </c>
      <c r="B78" s="46">
        <v>1</v>
      </c>
      <c r="C78" s="119">
        <v>32</v>
      </c>
      <c r="D78" s="62">
        <f t="shared" si="10"/>
        <v>32</v>
      </c>
      <c r="E78" s="62">
        <f t="shared" si="11"/>
        <v>64</v>
      </c>
    </row>
    <row r="79" spans="1:11" ht="25.5" x14ac:dyDescent="0.25">
      <c r="A79" s="45" t="s">
        <v>211</v>
      </c>
      <c r="B79" s="46">
        <v>1</v>
      </c>
      <c r="C79" s="119">
        <v>291.89999999999998</v>
      </c>
      <c r="D79" s="62">
        <f t="shared" si="10"/>
        <v>291.89999999999998</v>
      </c>
      <c r="E79" s="62">
        <f t="shared" si="11"/>
        <v>583.79999999999995</v>
      </c>
    </row>
    <row r="80" spans="1:11" ht="25.5" x14ac:dyDescent="0.25">
      <c r="A80" s="45" t="s">
        <v>212</v>
      </c>
      <c r="B80" s="46">
        <v>1</v>
      </c>
      <c r="C80" s="119">
        <v>203.86</v>
      </c>
      <c r="D80" s="62">
        <f t="shared" si="10"/>
        <v>203.86</v>
      </c>
      <c r="E80" s="62">
        <f t="shared" si="11"/>
        <v>407.72</v>
      </c>
      <c r="F80" s="486" t="s">
        <v>188</v>
      </c>
      <c r="G80" s="492"/>
      <c r="H80" s="492"/>
      <c r="I80" s="492"/>
      <c r="J80" s="492"/>
      <c r="K80" s="492"/>
    </row>
    <row r="81" spans="1:11" ht="25.5" x14ac:dyDescent="0.25">
      <c r="A81" s="45" t="s">
        <v>213</v>
      </c>
      <c r="B81" s="46">
        <v>1</v>
      </c>
      <c r="C81" s="119">
        <v>389.9</v>
      </c>
      <c r="D81" s="62">
        <f>C81*B81</f>
        <v>389.9</v>
      </c>
      <c r="E81" s="62">
        <f t="shared" si="11"/>
        <v>779.8</v>
      </c>
      <c r="F81" s="486"/>
      <c r="G81" s="492"/>
      <c r="H81" s="492"/>
      <c r="I81" s="492"/>
      <c r="J81" s="492"/>
      <c r="K81" s="492"/>
    </row>
    <row r="82" spans="1:11" x14ac:dyDescent="0.25">
      <c r="A82" s="488" t="s">
        <v>234</v>
      </c>
      <c r="B82" s="488"/>
      <c r="C82" s="488"/>
      <c r="D82" s="488"/>
      <c r="E82" s="68">
        <f>SUM(E74:E81)</f>
        <v>2440.7600000000002</v>
      </c>
      <c r="F82" s="486"/>
      <c r="G82" s="492"/>
      <c r="H82" s="492"/>
      <c r="I82" s="492"/>
      <c r="J82" s="492"/>
      <c r="K82" s="492"/>
    </row>
    <row r="83" spans="1:11" x14ac:dyDescent="0.25">
      <c r="A83" s="488" t="s">
        <v>178</v>
      </c>
      <c r="B83" s="488"/>
      <c r="C83" s="488"/>
      <c r="D83" s="488"/>
      <c r="E83" s="68">
        <f>E82/12</f>
        <v>203.39666666666668</v>
      </c>
      <c r="F83" s="486"/>
      <c r="G83" s="492"/>
      <c r="H83" s="492"/>
      <c r="I83" s="492"/>
      <c r="J83" s="492"/>
      <c r="K83" s="492"/>
    </row>
    <row r="84" spans="1:11" x14ac:dyDescent="0.25">
      <c r="A84" s="57"/>
      <c r="B84" s="57"/>
      <c r="C84" s="57"/>
      <c r="D84" s="57"/>
      <c r="E84" s="57"/>
      <c r="F84" s="486"/>
      <c r="G84" s="492"/>
      <c r="H84" s="492"/>
      <c r="I84" s="492"/>
      <c r="J84" s="492"/>
      <c r="K84" s="492"/>
    </row>
    <row r="85" spans="1:11" x14ac:dyDescent="0.25">
      <c r="A85" s="489" t="s">
        <v>214</v>
      </c>
      <c r="B85" s="489"/>
      <c r="C85" s="489"/>
      <c r="D85" s="489"/>
      <c r="E85" s="489"/>
      <c r="F85" s="486"/>
      <c r="G85" s="492"/>
      <c r="H85" s="492"/>
      <c r="I85" s="492"/>
      <c r="J85" s="492"/>
      <c r="K85" s="492"/>
    </row>
    <row r="86" spans="1:11" ht="38.25" x14ac:dyDescent="0.25">
      <c r="A86" s="53" t="s">
        <v>190</v>
      </c>
      <c r="B86" s="53" t="s">
        <v>163</v>
      </c>
      <c r="C86" s="53" t="s">
        <v>130</v>
      </c>
      <c r="D86" s="53" t="s">
        <v>164</v>
      </c>
      <c r="E86" s="53" t="s">
        <v>131</v>
      </c>
      <c r="F86" s="486"/>
      <c r="G86" s="492"/>
      <c r="H86" s="492"/>
      <c r="I86" s="492"/>
      <c r="J86" s="492"/>
      <c r="K86" s="492"/>
    </row>
    <row r="87" spans="1:11" ht="25.5" x14ac:dyDescent="0.25">
      <c r="A87" s="45" t="s">
        <v>215</v>
      </c>
      <c r="B87" s="46">
        <v>2</v>
      </c>
      <c r="C87" s="119">
        <v>201.9</v>
      </c>
      <c r="D87" s="55">
        <f>C87*B87</f>
        <v>403.8</v>
      </c>
      <c r="E87" s="62">
        <f>D87*2</f>
        <v>807.6</v>
      </c>
    </row>
    <row r="88" spans="1:11" x14ac:dyDescent="0.25">
      <c r="A88" s="45" t="s">
        <v>216</v>
      </c>
      <c r="B88" s="46">
        <v>2</v>
      </c>
      <c r="C88" s="119">
        <v>9</v>
      </c>
      <c r="D88" s="55">
        <f t="shared" ref="D88:D94" si="12">C88*B88</f>
        <v>18</v>
      </c>
      <c r="E88" s="62">
        <f t="shared" ref="E88:E94" si="13">D88*2</f>
        <v>36</v>
      </c>
    </row>
    <row r="89" spans="1:11" ht="25.5" x14ac:dyDescent="0.25">
      <c r="A89" s="45" t="s">
        <v>217</v>
      </c>
      <c r="B89" s="46">
        <v>1</v>
      </c>
      <c r="C89" s="119">
        <v>21.9</v>
      </c>
      <c r="D89" s="55">
        <f t="shared" si="12"/>
        <v>21.9</v>
      </c>
      <c r="E89" s="62">
        <f t="shared" si="13"/>
        <v>43.8</v>
      </c>
    </row>
    <row r="90" spans="1:11" ht="25.5" x14ac:dyDescent="0.25">
      <c r="A90" s="45" t="s">
        <v>201</v>
      </c>
      <c r="B90" s="46">
        <v>1</v>
      </c>
      <c r="C90" s="119">
        <v>18.899999999999999</v>
      </c>
      <c r="D90" s="55">
        <f t="shared" si="12"/>
        <v>18.899999999999999</v>
      </c>
      <c r="E90" s="62">
        <f t="shared" si="13"/>
        <v>37.799999999999997</v>
      </c>
    </row>
    <row r="91" spans="1:11" ht="25.5" x14ac:dyDescent="0.25">
      <c r="A91" s="45" t="s">
        <v>202</v>
      </c>
      <c r="B91" s="46">
        <v>50</v>
      </c>
      <c r="C91" s="119">
        <v>2.29</v>
      </c>
      <c r="D91" s="55">
        <f t="shared" si="12"/>
        <v>114.5</v>
      </c>
      <c r="E91" s="62">
        <f t="shared" si="13"/>
        <v>229</v>
      </c>
    </row>
    <row r="92" spans="1:11" ht="25.5" customHeight="1" x14ac:dyDescent="0.25">
      <c r="A92" s="45" t="s">
        <v>218</v>
      </c>
      <c r="B92" s="46">
        <v>6</v>
      </c>
      <c r="C92" s="119">
        <v>11.2</v>
      </c>
      <c r="D92" s="55">
        <f t="shared" si="12"/>
        <v>67.199999999999989</v>
      </c>
      <c r="E92" s="62">
        <f t="shared" si="13"/>
        <v>134.39999999999998</v>
      </c>
      <c r="F92" s="486" t="s">
        <v>188</v>
      </c>
      <c r="G92" s="492"/>
      <c r="H92" s="492"/>
      <c r="I92" s="492"/>
      <c r="J92" s="492"/>
      <c r="K92" s="492"/>
    </row>
    <row r="93" spans="1:11" ht="25.5" x14ac:dyDescent="0.25">
      <c r="A93" s="45" t="s">
        <v>219</v>
      </c>
      <c r="B93" s="46">
        <v>10</v>
      </c>
      <c r="C93" s="119">
        <v>2.1</v>
      </c>
      <c r="D93" s="55">
        <f t="shared" si="12"/>
        <v>21</v>
      </c>
      <c r="E93" s="62">
        <f t="shared" si="13"/>
        <v>42</v>
      </c>
      <c r="F93" s="57"/>
      <c r="G93" s="57"/>
      <c r="H93" s="57"/>
      <c r="I93" s="57"/>
      <c r="J93" s="57"/>
      <c r="K93" s="57"/>
    </row>
    <row r="94" spans="1:11" ht="19.5" customHeight="1" x14ac:dyDescent="0.25">
      <c r="A94" s="45" t="s">
        <v>220</v>
      </c>
      <c r="B94" s="46">
        <v>1</v>
      </c>
      <c r="C94" s="119">
        <v>45.1</v>
      </c>
      <c r="D94" s="55">
        <f t="shared" si="12"/>
        <v>45.1</v>
      </c>
      <c r="E94" s="62">
        <f t="shared" si="13"/>
        <v>90.2</v>
      </c>
      <c r="F94" s="57"/>
      <c r="G94" s="57"/>
      <c r="H94" s="57"/>
      <c r="I94" s="57"/>
      <c r="J94" s="57"/>
      <c r="K94" s="57"/>
    </row>
    <row r="95" spans="1:11" x14ac:dyDescent="0.25">
      <c r="A95" s="488" t="s">
        <v>234</v>
      </c>
      <c r="B95" s="488"/>
      <c r="C95" s="488"/>
      <c r="D95" s="488"/>
      <c r="E95" s="68">
        <f>SUM(E87:E94)</f>
        <v>1420.8</v>
      </c>
    </row>
    <row r="96" spans="1:11" x14ac:dyDescent="0.25">
      <c r="A96" s="488" t="s">
        <v>178</v>
      </c>
      <c r="B96" s="488"/>
      <c r="C96" s="488"/>
      <c r="D96" s="488"/>
      <c r="E96" s="68">
        <f>E95/12</f>
        <v>118.39999999999999</v>
      </c>
    </row>
    <row r="97" spans="1:11" ht="20.25" customHeight="1" x14ac:dyDescent="0.25">
      <c r="A97" s="57"/>
      <c r="B97" s="57"/>
      <c r="C97" s="57"/>
      <c r="D97" s="57"/>
      <c r="E97" s="57"/>
    </row>
    <row r="98" spans="1:11" x14ac:dyDescent="0.25">
      <c r="A98" s="489" t="s">
        <v>221</v>
      </c>
      <c r="B98" s="489"/>
      <c r="C98" s="489"/>
      <c r="D98" s="489"/>
      <c r="E98" s="489"/>
      <c r="F98" s="486" t="s">
        <v>188</v>
      </c>
      <c r="G98" s="492"/>
      <c r="H98" s="492"/>
      <c r="I98" s="492"/>
      <c r="J98" s="492"/>
      <c r="K98" s="492"/>
    </row>
    <row r="99" spans="1:11" ht="38.25" x14ac:dyDescent="0.25">
      <c r="A99" s="53" t="s">
        <v>190</v>
      </c>
      <c r="B99" s="53" t="s">
        <v>163</v>
      </c>
      <c r="C99" s="53" t="s">
        <v>130</v>
      </c>
      <c r="D99" s="53" t="s">
        <v>164</v>
      </c>
      <c r="E99" s="53" t="s">
        <v>131</v>
      </c>
      <c r="F99" s="486"/>
      <c r="G99" s="492"/>
      <c r="H99" s="492"/>
      <c r="I99" s="492"/>
      <c r="J99" s="492"/>
      <c r="K99" s="492"/>
    </row>
    <row r="100" spans="1:11" x14ac:dyDescent="0.25">
      <c r="A100" s="45" t="s">
        <v>216</v>
      </c>
      <c r="B100" s="46">
        <v>2</v>
      </c>
      <c r="C100" s="119">
        <v>9</v>
      </c>
      <c r="D100" s="55">
        <f>C100*B100</f>
        <v>18</v>
      </c>
      <c r="E100" s="55">
        <f>D100*2</f>
        <v>36</v>
      </c>
    </row>
    <row r="101" spans="1:11" x14ac:dyDescent="0.25">
      <c r="A101" s="488" t="s">
        <v>177</v>
      </c>
      <c r="B101" s="488"/>
      <c r="C101" s="488"/>
      <c r="D101" s="488"/>
      <c r="E101" s="68">
        <f>E100</f>
        <v>36</v>
      </c>
    </row>
    <row r="102" spans="1:11" x14ac:dyDescent="0.25">
      <c r="A102" s="488" t="s">
        <v>178</v>
      </c>
      <c r="B102" s="488"/>
      <c r="C102" s="488"/>
      <c r="D102" s="488"/>
      <c r="E102" s="68">
        <f>E100/12</f>
        <v>3</v>
      </c>
    </row>
    <row r="103" spans="1:11" ht="25.5" customHeight="1" x14ac:dyDescent="0.25">
      <c r="A103" s="57"/>
      <c r="B103" s="57"/>
      <c r="C103" s="57"/>
      <c r="D103" s="57"/>
      <c r="E103" s="57"/>
    </row>
    <row r="104" spans="1:11" ht="12.75" customHeight="1" x14ac:dyDescent="0.25">
      <c r="A104" s="489" t="s">
        <v>222</v>
      </c>
      <c r="B104" s="489"/>
      <c r="C104" s="489"/>
      <c r="D104" s="489"/>
      <c r="E104" s="489"/>
      <c r="F104" s="486" t="s">
        <v>188</v>
      </c>
      <c r="G104" s="492"/>
      <c r="H104" s="492"/>
      <c r="I104" s="492"/>
      <c r="J104" s="492"/>
      <c r="K104" s="492"/>
    </row>
    <row r="105" spans="1:11" ht="38.25" x14ac:dyDescent="0.25">
      <c r="A105" s="53" t="s">
        <v>190</v>
      </c>
      <c r="B105" s="53" t="s">
        <v>163</v>
      </c>
      <c r="C105" s="53" t="s">
        <v>130</v>
      </c>
      <c r="D105" s="53" t="s">
        <v>164</v>
      </c>
      <c r="E105" s="53" t="s">
        <v>131</v>
      </c>
      <c r="F105" s="486"/>
      <c r="G105" s="492"/>
      <c r="H105" s="492"/>
      <c r="I105" s="492"/>
      <c r="J105" s="492"/>
      <c r="K105" s="492"/>
    </row>
    <row r="106" spans="1:11" ht="25.5" x14ac:dyDescent="0.25">
      <c r="A106" s="45" t="s">
        <v>223</v>
      </c>
      <c r="B106" s="46">
        <v>2</v>
      </c>
      <c r="C106" s="119">
        <v>16.579999999999998</v>
      </c>
      <c r="D106" s="55">
        <f>C106*B106</f>
        <v>33.159999999999997</v>
      </c>
      <c r="E106" s="55">
        <f>D106*2</f>
        <v>66.319999999999993</v>
      </c>
      <c r="F106" s="486"/>
      <c r="G106" s="492"/>
      <c r="H106" s="492"/>
      <c r="I106" s="492"/>
      <c r="J106" s="492"/>
      <c r="K106" s="492"/>
    </row>
    <row r="107" spans="1:11" x14ac:dyDescent="0.25">
      <c r="A107" s="45" t="s">
        <v>206</v>
      </c>
      <c r="B107" s="46">
        <v>1</v>
      </c>
      <c r="C107" s="119">
        <v>8.6</v>
      </c>
      <c r="D107" s="55">
        <f>C107*B107</f>
        <v>8.6</v>
      </c>
      <c r="E107" s="55">
        <f>D107*2</f>
        <v>17.2</v>
      </c>
      <c r="F107" s="486"/>
      <c r="G107" s="492"/>
      <c r="H107" s="492"/>
      <c r="I107" s="492"/>
      <c r="J107" s="492"/>
      <c r="K107" s="492"/>
    </row>
    <row r="108" spans="1:11" x14ac:dyDescent="0.25">
      <c r="A108" s="488" t="s">
        <v>234</v>
      </c>
      <c r="B108" s="488"/>
      <c r="C108" s="488"/>
      <c r="D108" s="488"/>
      <c r="E108" s="68">
        <f>SUM(E106:E107)</f>
        <v>83.52</v>
      </c>
    </row>
    <row r="109" spans="1:11" x14ac:dyDescent="0.25">
      <c r="A109" s="488" t="s">
        <v>178</v>
      </c>
      <c r="B109" s="488"/>
      <c r="C109" s="488"/>
      <c r="D109" s="488"/>
      <c r="E109" s="68">
        <f>E108/12</f>
        <v>6.96</v>
      </c>
    </row>
    <row r="110" spans="1:11" ht="24.75" customHeight="1" x14ac:dyDescent="0.25">
      <c r="A110" s="57"/>
      <c r="B110" s="57"/>
      <c r="C110" s="57"/>
      <c r="D110" s="57"/>
      <c r="E110" s="57"/>
    </row>
    <row r="111" spans="1:11" x14ac:dyDescent="0.25">
      <c r="A111" s="489" t="s">
        <v>224</v>
      </c>
      <c r="B111" s="489"/>
      <c r="C111" s="489"/>
      <c r="D111" s="489"/>
      <c r="E111" s="489"/>
    </row>
    <row r="112" spans="1:11" ht="38.25" x14ac:dyDescent="0.25">
      <c r="A112" s="53" t="s">
        <v>190</v>
      </c>
      <c r="B112" s="53" t="s">
        <v>163</v>
      </c>
      <c r="C112" s="53" t="s">
        <v>130</v>
      </c>
      <c r="D112" s="53" t="s">
        <v>164</v>
      </c>
      <c r="E112" s="53" t="s">
        <v>131</v>
      </c>
    </row>
    <row r="113" spans="1:11" x14ac:dyDescent="0.25">
      <c r="A113" s="45" t="s">
        <v>225</v>
      </c>
      <c r="B113" s="46">
        <v>1</v>
      </c>
      <c r="C113" s="119">
        <v>47.5</v>
      </c>
      <c r="D113" s="55">
        <f>C113*B113</f>
        <v>47.5</v>
      </c>
      <c r="E113" s="55">
        <f>D113*2</f>
        <v>95</v>
      </c>
      <c r="F113" s="490"/>
      <c r="G113" s="490"/>
      <c r="H113" s="490"/>
      <c r="I113" s="490"/>
      <c r="J113" s="490"/>
      <c r="K113" s="491"/>
    </row>
    <row r="114" spans="1:11" ht="25.5" x14ac:dyDescent="0.25">
      <c r="A114" s="45" t="s">
        <v>226</v>
      </c>
      <c r="B114" s="46">
        <v>1</v>
      </c>
      <c r="C114" s="119">
        <v>24.9</v>
      </c>
      <c r="D114" s="55">
        <f t="shared" ref="D114:D117" si="14">C114*B114</f>
        <v>24.9</v>
      </c>
      <c r="E114" s="55">
        <f t="shared" ref="E114:E117" si="15">D114*2</f>
        <v>49.8</v>
      </c>
    </row>
    <row r="115" spans="1:11" ht="25.5" x14ac:dyDescent="0.25">
      <c r="A115" s="45" t="s">
        <v>227</v>
      </c>
      <c r="B115" s="46">
        <v>1</v>
      </c>
      <c r="C115" s="119">
        <v>82.84</v>
      </c>
      <c r="D115" s="55">
        <f t="shared" si="14"/>
        <v>82.84</v>
      </c>
      <c r="E115" s="55">
        <f t="shared" si="15"/>
        <v>165.68</v>
      </c>
    </row>
    <row r="116" spans="1:11" ht="25.5" x14ac:dyDescent="0.25">
      <c r="A116" s="45" t="s">
        <v>228</v>
      </c>
      <c r="B116" s="46">
        <v>4</v>
      </c>
      <c r="C116" s="119">
        <v>3.69</v>
      </c>
      <c r="D116" s="55">
        <f t="shared" si="14"/>
        <v>14.76</v>
      </c>
      <c r="E116" s="55">
        <f t="shared" si="15"/>
        <v>29.52</v>
      </c>
    </row>
    <row r="117" spans="1:11" x14ac:dyDescent="0.25">
      <c r="A117" s="45" t="s">
        <v>220</v>
      </c>
      <c r="B117" s="46">
        <v>1</v>
      </c>
      <c r="C117" s="119">
        <v>45.1</v>
      </c>
      <c r="D117" s="55">
        <f t="shared" si="14"/>
        <v>45.1</v>
      </c>
      <c r="E117" s="55">
        <f t="shared" si="15"/>
        <v>90.2</v>
      </c>
    </row>
    <row r="118" spans="1:11" x14ac:dyDescent="0.25">
      <c r="A118" s="488" t="s">
        <v>177</v>
      </c>
      <c r="B118" s="488"/>
      <c r="C118" s="488"/>
      <c r="D118" s="488"/>
      <c r="E118" s="68">
        <f>SUM(E113:E117)</f>
        <v>430.2</v>
      </c>
    </row>
    <row r="119" spans="1:11" x14ac:dyDescent="0.25">
      <c r="A119" s="488" t="s">
        <v>178</v>
      </c>
      <c r="B119" s="488"/>
      <c r="C119" s="488"/>
      <c r="D119" s="488"/>
      <c r="E119" s="68">
        <f>E118/12</f>
        <v>35.85</v>
      </c>
      <c r="F119" s="486" t="s">
        <v>188</v>
      </c>
      <c r="G119" s="492"/>
      <c r="H119" s="492"/>
      <c r="I119" s="492"/>
      <c r="J119" s="492"/>
      <c r="K119" s="492"/>
    </row>
    <row r="120" spans="1:11" ht="23.25" customHeight="1" x14ac:dyDescent="0.25">
      <c r="A120" s="57"/>
      <c r="B120" s="57"/>
      <c r="C120" s="57"/>
      <c r="D120" s="57"/>
      <c r="E120" s="57"/>
      <c r="F120" s="486"/>
      <c r="G120" s="492"/>
      <c r="H120" s="492"/>
      <c r="I120" s="492"/>
      <c r="J120" s="492"/>
      <c r="K120" s="492"/>
    </row>
    <row r="121" spans="1:11" x14ac:dyDescent="0.25">
      <c r="A121" s="489" t="s">
        <v>229</v>
      </c>
      <c r="B121" s="489"/>
      <c r="C121" s="489"/>
      <c r="D121" s="489"/>
      <c r="E121" s="489"/>
      <c r="F121" s="486"/>
      <c r="G121" s="492"/>
      <c r="H121" s="492"/>
      <c r="I121" s="492"/>
      <c r="J121" s="492"/>
      <c r="K121" s="492"/>
    </row>
    <row r="122" spans="1:11" ht="38.25" x14ac:dyDescent="0.25">
      <c r="A122" s="53" t="s">
        <v>190</v>
      </c>
      <c r="B122" s="53" t="s">
        <v>163</v>
      </c>
      <c r="C122" s="53" t="s">
        <v>130</v>
      </c>
      <c r="D122" s="53" t="s">
        <v>164</v>
      </c>
      <c r="E122" s="53" t="s">
        <v>131</v>
      </c>
      <c r="F122" s="486"/>
      <c r="G122" s="492"/>
      <c r="H122" s="492"/>
      <c r="I122" s="492"/>
      <c r="J122" s="492"/>
      <c r="K122" s="492"/>
    </row>
    <row r="123" spans="1:11" x14ac:dyDescent="0.25">
      <c r="A123" s="45" t="s">
        <v>216</v>
      </c>
      <c r="B123" s="46">
        <v>2</v>
      </c>
      <c r="C123" s="119">
        <v>9</v>
      </c>
      <c r="D123" s="55">
        <f>C123*B123</f>
        <v>18</v>
      </c>
      <c r="E123" s="55">
        <f>D123*2</f>
        <v>36</v>
      </c>
      <c r="F123" s="486"/>
      <c r="G123" s="492"/>
      <c r="H123" s="492"/>
      <c r="I123" s="492"/>
      <c r="J123" s="492"/>
      <c r="K123" s="492"/>
    </row>
    <row r="124" spans="1:11" x14ac:dyDescent="0.25">
      <c r="A124" s="45" t="s">
        <v>220</v>
      </c>
      <c r="B124" s="46">
        <v>1</v>
      </c>
      <c r="C124" s="119">
        <v>45.1</v>
      </c>
      <c r="D124" s="55">
        <f t="shared" ref="D124" si="16">C124*B124</f>
        <v>45.1</v>
      </c>
      <c r="E124" s="55">
        <f t="shared" ref="E124" si="17">D124*2</f>
        <v>90.2</v>
      </c>
    </row>
    <row r="125" spans="1:11" x14ac:dyDescent="0.25">
      <c r="A125" s="488" t="s">
        <v>177</v>
      </c>
      <c r="B125" s="488"/>
      <c r="C125" s="488"/>
      <c r="D125" s="488"/>
      <c r="E125" s="68">
        <f>SUM(E123:E124)</f>
        <v>126.2</v>
      </c>
    </row>
    <row r="126" spans="1:11" x14ac:dyDescent="0.25">
      <c r="A126" s="488" t="s">
        <v>178</v>
      </c>
      <c r="B126" s="488"/>
      <c r="C126" s="488"/>
      <c r="D126" s="488"/>
      <c r="E126" s="68">
        <f>E125/12</f>
        <v>10.516666666666667</v>
      </c>
    </row>
    <row r="127" spans="1:11" ht="22.5" customHeight="1" x14ac:dyDescent="0.25">
      <c r="A127" s="57"/>
      <c r="B127" s="57"/>
      <c r="C127" s="57"/>
      <c r="D127" s="57"/>
      <c r="E127" s="57"/>
    </row>
    <row r="128" spans="1:11" x14ac:dyDescent="0.25">
      <c r="A128" s="489" t="s">
        <v>230</v>
      </c>
      <c r="B128" s="489"/>
      <c r="C128" s="489"/>
      <c r="D128" s="489"/>
      <c r="E128" s="489"/>
    </row>
    <row r="129" spans="1:5" ht="38.25" x14ac:dyDescent="0.25">
      <c r="A129" s="53" t="s">
        <v>190</v>
      </c>
      <c r="B129" s="53" t="s">
        <v>163</v>
      </c>
      <c r="C129" s="53" t="s">
        <v>130</v>
      </c>
      <c r="D129" s="53" t="s">
        <v>164</v>
      </c>
      <c r="E129" s="53" t="s">
        <v>231</v>
      </c>
    </row>
    <row r="130" spans="1:5" x14ac:dyDescent="0.25">
      <c r="A130" s="45" t="s">
        <v>216</v>
      </c>
      <c r="B130" s="46">
        <v>2</v>
      </c>
      <c r="C130" s="119">
        <v>9</v>
      </c>
      <c r="D130" s="55">
        <f>C130*B130</f>
        <v>18</v>
      </c>
      <c r="E130" s="55">
        <f>D130*2</f>
        <v>36</v>
      </c>
    </row>
    <row r="131" spans="1:5" ht="25.5" x14ac:dyDescent="0.25">
      <c r="A131" s="45" t="s">
        <v>201</v>
      </c>
      <c r="B131" s="46">
        <v>1</v>
      </c>
      <c r="C131" s="119">
        <v>18.899999999999999</v>
      </c>
      <c r="D131" s="55">
        <f t="shared" ref="D131:D135" si="18">C131*B131</f>
        <v>18.899999999999999</v>
      </c>
      <c r="E131" s="55">
        <f t="shared" ref="E131:E135" si="19">D131*2</f>
        <v>37.799999999999997</v>
      </c>
    </row>
    <row r="132" spans="1:5" ht="25.5" x14ac:dyDescent="0.25">
      <c r="A132" s="45" t="s">
        <v>219</v>
      </c>
      <c r="B132" s="46">
        <v>1</v>
      </c>
      <c r="C132" s="119">
        <v>2.1</v>
      </c>
      <c r="D132" s="55">
        <f t="shared" si="18"/>
        <v>2.1</v>
      </c>
      <c r="E132" s="55">
        <f t="shared" si="19"/>
        <v>4.2</v>
      </c>
    </row>
    <row r="133" spans="1:5" x14ac:dyDescent="0.25">
      <c r="A133" s="45" t="s">
        <v>232</v>
      </c>
      <c r="B133" s="46">
        <v>1</v>
      </c>
      <c r="C133" s="119">
        <v>15.08</v>
      </c>
      <c r="D133" s="55">
        <f t="shared" si="18"/>
        <v>15.08</v>
      </c>
      <c r="E133" s="55">
        <f t="shared" si="19"/>
        <v>30.16</v>
      </c>
    </row>
    <row r="134" spans="1:5" x14ac:dyDescent="0.25">
      <c r="A134" s="45" t="s">
        <v>220</v>
      </c>
      <c r="B134" s="46">
        <v>1</v>
      </c>
      <c r="C134" s="119">
        <v>45.1</v>
      </c>
      <c r="D134" s="55">
        <f t="shared" si="18"/>
        <v>45.1</v>
      </c>
      <c r="E134" s="55">
        <f t="shared" si="19"/>
        <v>90.2</v>
      </c>
    </row>
    <row r="135" spans="1:5" x14ac:dyDescent="0.25">
      <c r="A135" s="45" t="s">
        <v>233</v>
      </c>
      <c r="B135" s="46">
        <v>1</v>
      </c>
      <c r="C135" s="119">
        <v>94.8</v>
      </c>
      <c r="D135" s="55">
        <f t="shared" si="18"/>
        <v>94.8</v>
      </c>
      <c r="E135" s="55">
        <f t="shared" si="19"/>
        <v>189.6</v>
      </c>
    </row>
    <row r="136" spans="1:5" x14ac:dyDescent="0.25">
      <c r="A136" s="488" t="s">
        <v>177</v>
      </c>
      <c r="B136" s="488"/>
      <c r="C136" s="488"/>
      <c r="D136" s="488"/>
      <c r="E136" s="68">
        <f>SUM(E130:E135)</f>
        <v>387.96000000000004</v>
      </c>
    </row>
    <row r="137" spans="1:5" x14ac:dyDescent="0.25">
      <c r="A137" s="488" t="s">
        <v>178</v>
      </c>
      <c r="B137" s="488"/>
      <c r="C137" s="488"/>
      <c r="D137" s="488"/>
      <c r="E137" s="68">
        <f>E136/12</f>
        <v>32.330000000000005</v>
      </c>
    </row>
  </sheetData>
  <mergeCells count="56">
    <mergeCell ref="A16:D16"/>
    <mergeCell ref="A1:E1"/>
    <mergeCell ref="A2:E2"/>
    <mergeCell ref="F4:K8"/>
    <mergeCell ref="F9:K13"/>
    <mergeCell ref="A15:D15"/>
    <mergeCell ref="A19:E19"/>
    <mergeCell ref="F20:K25"/>
    <mergeCell ref="A28:D28"/>
    <mergeCell ref="A29:D29"/>
    <mergeCell ref="A31:E31"/>
    <mergeCell ref="F31:K35"/>
    <mergeCell ref="A39:D39"/>
    <mergeCell ref="A40:D40"/>
    <mergeCell ref="A41:E41"/>
    <mergeCell ref="A42:E42"/>
    <mergeCell ref="F42:K43"/>
    <mergeCell ref="A43:E43"/>
    <mergeCell ref="A47:D47"/>
    <mergeCell ref="A48:D48"/>
    <mergeCell ref="F48:K51"/>
    <mergeCell ref="A50:E50"/>
    <mergeCell ref="A56:D56"/>
    <mergeCell ref="F56:K62"/>
    <mergeCell ref="A57:D57"/>
    <mergeCell ref="A59:E59"/>
    <mergeCell ref="F68:K74"/>
    <mergeCell ref="A69:D69"/>
    <mergeCell ref="A70:D70"/>
    <mergeCell ref="A72:E72"/>
    <mergeCell ref="F80:K86"/>
    <mergeCell ref="A82:D82"/>
    <mergeCell ref="A83:D83"/>
    <mergeCell ref="A85:E85"/>
    <mergeCell ref="A111:E111"/>
    <mergeCell ref="F92:K92"/>
    <mergeCell ref="A95:D95"/>
    <mergeCell ref="A96:D96"/>
    <mergeCell ref="A98:E98"/>
    <mergeCell ref="F98:K99"/>
    <mergeCell ref="A101:D101"/>
    <mergeCell ref="A102:D102"/>
    <mergeCell ref="A104:E104"/>
    <mergeCell ref="F104:K107"/>
    <mergeCell ref="A108:D108"/>
    <mergeCell ref="A109:D109"/>
    <mergeCell ref="A126:D126"/>
    <mergeCell ref="A128:E128"/>
    <mergeCell ref="A136:D136"/>
    <mergeCell ref="A137:D137"/>
    <mergeCell ref="F113:K113"/>
    <mergeCell ref="A118:D118"/>
    <mergeCell ref="A119:D119"/>
    <mergeCell ref="F119:K123"/>
    <mergeCell ref="A121:E121"/>
    <mergeCell ref="A125:D125"/>
  </mergeCells>
  <printOptions horizontalCentered="1"/>
  <pageMargins left="0.31496062992125984" right="0.11811023622047245" top="0.78740157480314965" bottom="0.59055118110236227" header="0.31496062992125984" footer="0.31496062992125984"/>
  <pageSetup paperSize="9" scale="9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8"/>
  <sheetViews>
    <sheetView view="pageBreakPreview" zoomScaleNormal="100" zoomScaleSheetLayoutView="100" workbookViewId="0">
      <selection activeCell="B24" sqref="B24"/>
    </sheetView>
  </sheetViews>
  <sheetFormatPr defaultColWidth="9.140625" defaultRowHeight="15" x14ac:dyDescent="0.25"/>
  <cols>
    <col min="1" max="1" width="5.5703125" style="69" bestFit="1" customWidth="1"/>
    <col min="2" max="2" width="46.28515625" style="69" customWidth="1"/>
    <col min="3" max="3" width="9.140625" style="69"/>
    <col min="4" max="4" width="9.140625" style="74"/>
    <col min="5" max="5" width="11.28515625" style="73" bestFit="1" customWidth="1"/>
    <col min="6" max="6" width="14.140625" style="72" bestFit="1" customWidth="1"/>
    <col min="7" max="7" width="7.5703125" style="71" customWidth="1"/>
    <col min="8" max="8" width="11.28515625" style="71" customWidth="1"/>
    <col min="9" max="9" width="14.140625" style="70" customWidth="1"/>
    <col min="10" max="15" width="9.140625" style="69"/>
    <col min="16" max="16" width="10.5703125" style="69" bestFit="1" customWidth="1"/>
    <col min="17" max="17" width="9.5703125" style="69" bestFit="1" customWidth="1"/>
    <col min="18" max="16384" width="9.140625" style="69"/>
  </cols>
  <sheetData>
    <row r="1" spans="1:9" s="94" customFormat="1" ht="30" customHeight="1" x14ac:dyDescent="0.25">
      <c r="A1" s="496" t="s">
        <v>387</v>
      </c>
      <c r="B1" s="497"/>
      <c r="C1" s="497"/>
      <c r="D1" s="497"/>
      <c r="E1" s="497"/>
      <c r="F1" s="498"/>
      <c r="G1" s="499" t="s">
        <v>385</v>
      </c>
      <c r="H1" s="499"/>
      <c r="I1" s="499"/>
    </row>
    <row r="2" spans="1:9" ht="36" x14ac:dyDescent="0.25">
      <c r="A2" s="95" t="s">
        <v>384</v>
      </c>
      <c r="B2" s="95" t="s">
        <v>383</v>
      </c>
      <c r="C2" s="95" t="s">
        <v>382</v>
      </c>
      <c r="D2" s="96" t="s">
        <v>381</v>
      </c>
      <c r="E2" s="97" t="s">
        <v>380</v>
      </c>
      <c r="F2" s="98" t="s">
        <v>17</v>
      </c>
      <c r="G2" s="99" t="s">
        <v>379</v>
      </c>
      <c r="H2" s="99" t="s">
        <v>378</v>
      </c>
      <c r="I2" s="100" t="s">
        <v>131</v>
      </c>
    </row>
    <row r="3" spans="1:9" ht="15.75" x14ac:dyDescent="0.25">
      <c r="A3" s="80">
        <v>1</v>
      </c>
      <c r="B3" s="83" t="s">
        <v>377</v>
      </c>
      <c r="C3" s="80" t="s">
        <v>236</v>
      </c>
      <c r="D3" s="79">
        <v>1</v>
      </c>
      <c r="E3" s="82">
        <v>154.12</v>
      </c>
      <c r="F3" s="75">
        <f t="shared" ref="F3:F34" si="0">E3*D3</f>
        <v>154.12</v>
      </c>
      <c r="G3" s="77">
        <v>5</v>
      </c>
      <c r="H3" s="76">
        <v>0.2</v>
      </c>
      <c r="I3" s="75">
        <f t="shared" ref="I3:I34" si="1">TRUNC(F3/G3,2)</f>
        <v>30.82</v>
      </c>
    </row>
    <row r="4" spans="1:9" ht="15.75" x14ac:dyDescent="0.25">
      <c r="A4" s="80">
        <v>2</v>
      </c>
      <c r="B4" s="86" t="s">
        <v>376</v>
      </c>
      <c r="C4" s="80" t="s">
        <v>236</v>
      </c>
      <c r="D4" s="79">
        <v>2</v>
      </c>
      <c r="E4" s="82">
        <v>197.33</v>
      </c>
      <c r="F4" s="75">
        <f t="shared" si="0"/>
        <v>394.66</v>
      </c>
      <c r="G4" s="77">
        <v>5</v>
      </c>
      <c r="H4" s="76">
        <v>0.2</v>
      </c>
      <c r="I4" s="75">
        <f t="shared" si="1"/>
        <v>78.930000000000007</v>
      </c>
    </row>
    <row r="5" spans="1:9" ht="15.75" x14ac:dyDescent="0.25">
      <c r="A5" s="80">
        <v>3</v>
      </c>
      <c r="B5" s="83" t="s">
        <v>375</v>
      </c>
      <c r="C5" s="80" t="s">
        <v>236</v>
      </c>
      <c r="D5" s="79">
        <v>2</v>
      </c>
      <c r="E5" s="82">
        <v>75.8</v>
      </c>
      <c r="F5" s="75">
        <f t="shared" si="0"/>
        <v>151.6</v>
      </c>
      <c r="G5" s="77">
        <v>5</v>
      </c>
      <c r="H5" s="76">
        <v>0.2</v>
      </c>
      <c r="I5" s="75">
        <f t="shared" si="1"/>
        <v>30.32</v>
      </c>
    </row>
    <row r="6" spans="1:9" ht="15.75" x14ac:dyDescent="0.25">
      <c r="A6" s="80">
        <v>4</v>
      </c>
      <c r="B6" s="83" t="s">
        <v>374</v>
      </c>
      <c r="C6" s="80" t="s">
        <v>236</v>
      </c>
      <c r="D6" s="79">
        <v>1</v>
      </c>
      <c r="E6" s="82">
        <v>144.9</v>
      </c>
      <c r="F6" s="75">
        <f t="shared" si="0"/>
        <v>144.9</v>
      </c>
      <c r="G6" s="77">
        <v>5</v>
      </c>
      <c r="H6" s="76">
        <v>0.2</v>
      </c>
      <c r="I6" s="75">
        <f t="shared" si="1"/>
        <v>28.98</v>
      </c>
    </row>
    <row r="7" spans="1:9" ht="15.75" x14ac:dyDescent="0.25">
      <c r="A7" s="80">
        <v>5</v>
      </c>
      <c r="B7" s="83" t="s">
        <v>373</v>
      </c>
      <c r="C7" s="80" t="s">
        <v>236</v>
      </c>
      <c r="D7" s="79">
        <v>2</v>
      </c>
      <c r="E7" s="82">
        <v>255.83</v>
      </c>
      <c r="F7" s="75">
        <f t="shared" si="0"/>
        <v>511.66</v>
      </c>
      <c r="G7" s="77">
        <v>5</v>
      </c>
      <c r="H7" s="76">
        <v>0.2</v>
      </c>
      <c r="I7" s="75">
        <f t="shared" si="1"/>
        <v>102.33</v>
      </c>
    </row>
    <row r="8" spans="1:9" ht="15.75" x14ac:dyDescent="0.25">
      <c r="A8" s="80">
        <v>6</v>
      </c>
      <c r="B8" s="84" t="s">
        <v>372</v>
      </c>
      <c r="C8" s="80" t="s">
        <v>236</v>
      </c>
      <c r="D8" s="79">
        <v>2</v>
      </c>
      <c r="E8" s="82">
        <v>45.98</v>
      </c>
      <c r="F8" s="75">
        <f t="shared" si="0"/>
        <v>91.96</v>
      </c>
      <c r="G8" s="77">
        <v>5</v>
      </c>
      <c r="H8" s="76">
        <v>0.2</v>
      </c>
      <c r="I8" s="75">
        <f t="shared" si="1"/>
        <v>18.39</v>
      </c>
    </row>
    <row r="9" spans="1:9" ht="15.75" x14ac:dyDescent="0.25">
      <c r="A9" s="80">
        <v>7</v>
      </c>
      <c r="B9" s="83" t="s">
        <v>371</v>
      </c>
      <c r="C9" s="80" t="s">
        <v>236</v>
      </c>
      <c r="D9" s="79">
        <v>2</v>
      </c>
      <c r="E9" s="82">
        <v>40.99</v>
      </c>
      <c r="F9" s="75">
        <f t="shared" si="0"/>
        <v>81.98</v>
      </c>
      <c r="G9" s="77">
        <v>5</v>
      </c>
      <c r="H9" s="76">
        <v>0.2</v>
      </c>
      <c r="I9" s="75">
        <f t="shared" si="1"/>
        <v>16.39</v>
      </c>
    </row>
    <row r="10" spans="1:9" ht="15.75" x14ac:dyDescent="0.25">
      <c r="A10" s="80">
        <v>8</v>
      </c>
      <c r="B10" s="84" t="s">
        <v>370</v>
      </c>
      <c r="C10" s="80" t="s">
        <v>236</v>
      </c>
      <c r="D10" s="79">
        <v>2</v>
      </c>
      <c r="E10" s="82">
        <v>71.92</v>
      </c>
      <c r="F10" s="75">
        <f t="shared" si="0"/>
        <v>143.84</v>
      </c>
      <c r="G10" s="77">
        <v>5</v>
      </c>
      <c r="H10" s="76">
        <v>0.2</v>
      </c>
      <c r="I10" s="75">
        <f t="shared" si="1"/>
        <v>28.76</v>
      </c>
    </row>
    <row r="11" spans="1:9" ht="15.75" x14ac:dyDescent="0.25">
      <c r="A11" s="80">
        <v>9</v>
      </c>
      <c r="B11" s="84" t="s">
        <v>369</v>
      </c>
      <c r="C11" s="80" t="s">
        <v>236</v>
      </c>
      <c r="D11" s="79">
        <v>2</v>
      </c>
      <c r="E11" s="82">
        <v>349.99</v>
      </c>
      <c r="F11" s="75">
        <f t="shared" si="0"/>
        <v>699.98</v>
      </c>
      <c r="G11" s="77">
        <v>5</v>
      </c>
      <c r="H11" s="76">
        <v>0.2</v>
      </c>
      <c r="I11" s="75">
        <f t="shared" si="1"/>
        <v>139.99</v>
      </c>
    </row>
    <row r="12" spans="1:9" ht="15.75" x14ac:dyDescent="0.25">
      <c r="A12" s="80">
        <v>10</v>
      </c>
      <c r="B12" s="83" t="s">
        <v>368</v>
      </c>
      <c r="C12" s="80" t="s">
        <v>236</v>
      </c>
      <c r="D12" s="79">
        <v>1</v>
      </c>
      <c r="E12" s="82">
        <v>44</v>
      </c>
      <c r="F12" s="75">
        <f t="shared" si="0"/>
        <v>44</v>
      </c>
      <c r="G12" s="77">
        <v>5</v>
      </c>
      <c r="H12" s="76">
        <v>0.2</v>
      </c>
      <c r="I12" s="75">
        <f t="shared" si="1"/>
        <v>8.8000000000000007</v>
      </c>
    </row>
    <row r="13" spans="1:9" ht="15.75" x14ac:dyDescent="0.25">
      <c r="A13" s="80">
        <v>11</v>
      </c>
      <c r="B13" s="83" t="s">
        <v>367</v>
      </c>
      <c r="C13" s="80" t="s">
        <v>236</v>
      </c>
      <c r="D13" s="79">
        <v>1</v>
      </c>
      <c r="E13" s="82">
        <v>378.22</v>
      </c>
      <c r="F13" s="75">
        <f t="shared" si="0"/>
        <v>378.22</v>
      </c>
      <c r="G13" s="77">
        <v>5</v>
      </c>
      <c r="H13" s="76">
        <v>0.2</v>
      </c>
      <c r="I13" s="75">
        <f t="shared" si="1"/>
        <v>75.64</v>
      </c>
    </row>
    <row r="14" spans="1:9" ht="15.75" x14ac:dyDescent="0.25">
      <c r="A14" s="80">
        <v>12</v>
      </c>
      <c r="B14" s="84" t="s">
        <v>366</v>
      </c>
      <c r="C14" s="80" t="s">
        <v>236</v>
      </c>
      <c r="D14" s="79">
        <v>2</v>
      </c>
      <c r="E14" s="82">
        <v>104.9</v>
      </c>
      <c r="F14" s="75">
        <f t="shared" si="0"/>
        <v>209.8</v>
      </c>
      <c r="G14" s="77">
        <v>5</v>
      </c>
      <c r="H14" s="76">
        <v>0.2</v>
      </c>
      <c r="I14" s="75">
        <f t="shared" si="1"/>
        <v>41.96</v>
      </c>
    </row>
    <row r="15" spans="1:9" ht="15.75" x14ac:dyDescent="0.25">
      <c r="A15" s="80">
        <v>13</v>
      </c>
      <c r="B15" s="84" t="s">
        <v>365</v>
      </c>
      <c r="C15" s="80" t="s">
        <v>236</v>
      </c>
      <c r="D15" s="79">
        <v>1</v>
      </c>
      <c r="E15" s="82">
        <v>39</v>
      </c>
      <c r="F15" s="75">
        <f t="shared" si="0"/>
        <v>39</v>
      </c>
      <c r="G15" s="77">
        <v>5</v>
      </c>
      <c r="H15" s="76">
        <v>0.2</v>
      </c>
      <c r="I15" s="75">
        <f t="shared" si="1"/>
        <v>7.8</v>
      </c>
    </row>
    <row r="16" spans="1:9" ht="15.75" x14ac:dyDescent="0.25">
      <c r="A16" s="80">
        <v>14</v>
      </c>
      <c r="B16" s="83" t="s">
        <v>364</v>
      </c>
      <c r="C16" s="80" t="s">
        <v>236</v>
      </c>
      <c r="D16" s="79">
        <v>1</v>
      </c>
      <c r="E16" s="82">
        <v>152.34</v>
      </c>
      <c r="F16" s="75">
        <f t="shared" si="0"/>
        <v>152.34</v>
      </c>
      <c r="G16" s="77">
        <v>5</v>
      </c>
      <c r="H16" s="76">
        <v>0.2</v>
      </c>
      <c r="I16" s="75">
        <f t="shared" si="1"/>
        <v>30.46</v>
      </c>
    </row>
    <row r="17" spans="1:9" ht="15.75" x14ac:dyDescent="0.25">
      <c r="A17" s="80">
        <v>15</v>
      </c>
      <c r="B17" s="86" t="s">
        <v>363</v>
      </c>
      <c r="C17" s="80" t="s">
        <v>236</v>
      </c>
      <c r="D17" s="79">
        <v>4</v>
      </c>
      <c r="E17" s="82">
        <v>41.27</v>
      </c>
      <c r="F17" s="75">
        <f t="shared" si="0"/>
        <v>165.08</v>
      </c>
      <c r="G17" s="77">
        <v>5</v>
      </c>
      <c r="H17" s="76">
        <v>0.2</v>
      </c>
      <c r="I17" s="75">
        <f t="shared" si="1"/>
        <v>33.01</v>
      </c>
    </row>
    <row r="18" spans="1:9" ht="15.75" x14ac:dyDescent="0.25">
      <c r="A18" s="80">
        <v>16</v>
      </c>
      <c r="B18" s="83" t="s">
        <v>362</v>
      </c>
      <c r="C18" s="80" t="s">
        <v>236</v>
      </c>
      <c r="D18" s="79">
        <v>8</v>
      </c>
      <c r="E18" s="82">
        <v>48.4</v>
      </c>
      <c r="F18" s="75">
        <f t="shared" si="0"/>
        <v>387.2</v>
      </c>
      <c r="G18" s="77">
        <v>5</v>
      </c>
      <c r="H18" s="76">
        <v>0.2</v>
      </c>
      <c r="I18" s="75">
        <f t="shared" si="1"/>
        <v>77.44</v>
      </c>
    </row>
    <row r="19" spans="1:9" ht="15.75" x14ac:dyDescent="0.25">
      <c r="A19" s="80">
        <v>17</v>
      </c>
      <c r="B19" s="85" t="s">
        <v>361</v>
      </c>
      <c r="C19" s="80" t="s">
        <v>236</v>
      </c>
      <c r="D19" s="79">
        <v>2</v>
      </c>
      <c r="E19" s="78">
        <v>189.9</v>
      </c>
      <c r="F19" s="75">
        <f t="shared" si="0"/>
        <v>379.8</v>
      </c>
      <c r="G19" s="77">
        <v>5</v>
      </c>
      <c r="H19" s="76">
        <v>0.2</v>
      </c>
      <c r="I19" s="75">
        <f t="shared" si="1"/>
        <v>75.959999999999994</v>
      </c>
    </row>
    <row r="20" spans="1:9" ht="15.75" x14ac:dyDescent="0.25">
      <c r="A20" s="80">
        <v>18</v>
      </c>
      <c r="B20" s="83" t="s">
        <v>360</v>
      </c>
      <c r="C20" s="80" t="s">
        <v>236</v>
      </c>
      <c r="D20" s="79">
        <v>2</v>
      </c>
      <c r="E20" s="82">
        <v>86.16</v>
      </c>
      <c r="F20" s="75">
        <f t="shared" si="0"/>
        <v>172.32</v>
      </c>
      <c r="G20" s="77">
        <v>5</v>
      </c>
      <c r="H20" s="76">
        <v>0.2</v>
      </c>
      <c r="I20" s="75">
        <f t="shared" si="1"/>
        <v>34.46</v>
      </c>
    </row>
    <row r="21" spans="1:9" ht="15.75" x14ac:dyDescent="0.25">
      <c r="A21" s="80">
        <v>19</v>
      </c>
      <c r="B21" s="83" t="s">
        <v>359</v>
      </c>
      <c r="C21" s="80" t="s">
        <v>236</v>
      </c>
      <c r="D21" s="79">
        <v>1</v>
      </c>
      <c r="E21" s="82">
        <v>99.9</v>
      </c>
      <c r="F21" s="75">
        <f t="shared" si="0"/>
        <v>99.9</v>
      </c>
      <c r="G21" s="77">
        <v>5</v>
      </c>
      <c r="H21" s="76">
        <v>0.2</v>
      </c>
      <c r="I21" s="75">
        <f t="shared" si="1"/>
        <v>19.98</v>
      </c>
    </row>
    <row r="22" spans="1:9" ht="15.75" x14ac:dyDescent="0.25">
      <c r="A22" s="80">
        <v>20</v>
      </c>
      <c r="B22" s="83" t="s">
        <v>358</v>
      </c>
      <c r="C22" s="80" t="s">
        <v>236</v>
      </c>
      <c r="D22" s="79">
        <v>1</v>
      </c>
      <c r="E22" s="82">
        <v>217.71</v>
      </c>
      <c r="F22" s="75">
        <f t="shared" si="0"/>
        <v>217.71</v>
      </c>
      <c r="G22" s="77">
        <v>5</v>
      </c>
      <c r="H22" s="76">
        <v>0.2</v>
      </c>
      <c r="I22" s="75">
        <f t="shared" si="1"/>
        <v>43.54</v>
      </c>
    </row>
    <row r="23" spans="1:9" ht="15.75" x14ac:dyDescent="0.25">
      <c r="A23" s="80">
        <v>21</v>
      </c>
      <c r="B23" s="86" t="s">
        <v>357</v>
      </c>
      <c r="C23" s="80" t="s">
        <v>236</v>
      </c>
      <c r="D23" s="79">
        <v>4</v>
      </c>
      <c r="E23" s="82">
        <v>9.85</v>
      </c>
      <c r="F23" s="75">
        <f t="shared" si="0"/>
        <v>39.4</v>
      </c>
      <c r="G23" s="77">
        <v>5</v>
      </c>
      <c r="H23" s="76">
        <v>0.2</v>
      </c>
      <c r="I23" s="75">
        <f t="shared" si="1"/>
        <v>7.88</v>
      </c>
    </row>
    <row r="24" spans="1:9" ht="15.75" x14ac:dyDescent="0.25">
      <c r="A24" s="80">
        <v>22</v>
      </c>
      <c r="B24" s="86" t="s">
        <v>356</v>
      </c>
      <c r="C24" s="80" t="s">
        <v>236</v>
      </c>
      <c r="D24" s="79">
        <v>4</v>
      </c>
      <c r="E24" s="82">
        <v>9.0399999999999991</v>
      </c>
      <c r="F24" s="75">
        <f t="shared" si="0"/>
        <v>36.159999999999997</v>
      </c>
      <c r="G24" s="77">
        <v>5</v>
      </c>
      <c r="H24" s="76">
        <v>0.2</v>
      </c>
      <c r="I24" s="75">
        <f t="shared" si="1"/>
        <v>7.23</v>
      </c>
    </row>
    <row r="25" spans="1:9" ht="15.75" x14ac:dyDescent="0.25">
      <c r="A25" s="80">
        <v>23</v>
      </c>
      <c r="B25" s="83" t="s">
        <v>355</v>
      </c>
      <c r="C25" s="80" t="s">
        <v>236</v>
      </c>
      <c r="D25" s="79">
        <v>3</v>
      </c>
      <c r="E25" s="82">
        <v>22.14</v>
      </c>
      <c r="F25" s="75">
        <f t="shared" si="0"/>
        <v>66.42</v>
      </c>
      <c r="G25" s="77">
        <v>5</v>
      </c>
      <c r="H25" s="76">
        <v>0.2</v>
      </c>
      <c r="I25" s="75">
        <f t="shared" si="1"/>
        <v>13.28</v>
      </c>
    </row>
    <row r="26" spans="1:9" ht="15.75" x14ac:dyDescent="0.25">
      <c r="A26" s="80">
        <v>24</v>
      </c>
      <c r="B26" s="84" t="s">
        <v>354</v>
      </c>
      <c r="C26" s="80" t="s">
        <v>236</v>
      </c>
      <c r="D26" s="79">
        <v>4</v>
      </c>
      <c r="E26" s="82">
        <v>7.9</v>
      </c>
      <c r="F26" s="75">
        <f t="shared" si="0"/>
        <v>31.6</v>
      </c>
      <c r="G26" s="77">
        <v>5</v>
      </c>
      <c r="H26" s="76">
        <v>0.2</v>
      </c>
      <c r="I26" s="75">
        <f t="shared" si="1"/>
        <v>6.32</v>
      </c>
    </row>
    <row r="27" spans="1:9" ht="15.75" x14ac:dyDescent="0.25">
      <c r="A27" s="80">
        <v>25</v>
      </c>
      <c r="B27" s="83" t="s">
        <v>353</v>
      </c>
      <c r="C27" s="80" t="s">
        <v>236</v>
      </c>
      <c r="D27" s="79">
        <v>1</v>
      </c>
      <c r="E27" s="82">
        <v>16.52</v>
      </c>
      <c r="F27" s="75">
        <f t="shared" si="0"/>
        <v>16.52</v>
      </c>
      <c r="G27" s="77">
        <v>5</v>
      </c>
      <c r="H27" s="76">
        <v>0.2</v>
      </c>
      <c r="I27" s="75">
        <f t="shared" si="1"/>
        <v>3.3</v>
      </c>
    </row>
    <row r="28" spans="1:9" ht="15.75" x14ac:dyDescent="0.25">
      <c r="A28" s="80">
        <v>26</v>
      </c>
      <c r="B28" s="83" t="s">
        <v>352</v>
      </c>
      <c r="C28" s="80" t="s">
        <v>236</v>
      </c>
      <c r="D28" s="79">
        <v>3</v>
      </c>
      <c r="E28" s="82">
        <v>10.82</v>
      </c>
      <c r="F28" s="75">
        <f t="shared" si="0"/>
        <v>32.46</v>
      </c>
      <c r="G28" s="77">
        <v>5</v>
      </c>
      <c r="H28" s="76">
        <v>0.2</v>
      </c>
      <c r="I28" s="75">
        <f t="shared" si="1"/>
        <v>6.49</v>
      </c>
    </row>
    <row r="29" spans="1:9" ht="15.75" x14ac:dyDescent="0.25">
      <c r="A29" s="80">
        <v>27</v>
      </c>
      <c r="B29" s="83" t="s">
        <v>351</v>
      </c>
      <c r="C29" s="80" t="s">
        <v>236</v>
      </c>
      <c r="D29" s="79">
        <v>4</v>
      </c>
      <c r="E29" s="82">
        <v>7.81</v>
      </c>
      <c r="F29" s="75">
        <f t="shared" si="0"/>
        <v>31.24</v>
      </c>
      <c r="G29" s="77">
        <v>5</v>
      </c>
      <c r="H29" s="76">
        <v>0.2</v>
      </c>
      <c r="I29" s="75">
        <f t="shared" si="1"/>
        <v>6.24</v>
      </c>
    </row>
    <row r="30" spans="1:9" ht="15.75" x14ac:dyDescent="0.25">
      <c r="A30" s="80">
        <v>28</v>
      </c>
      <c r="B30" s="83" t="s">
        <v>350</v>
      </c>
      <c r="C30" s="80" t="s">
        <v>236</v>
      </c>
      <c r="D30" s="79">
        <v>4</v>
      </c>
      <c r="E30" s="82">
        <v>8.2799999999999994</v>
      </c>
      <c r="F30" s="75">
        <f t="shared" si="0"/>
        <v>33.119999999999997</v>
      </c>
      <c r="G30" s="77">
        <v>5</v>
      </c>
      <c r="H30" s="76">
        <v>0.2</v>
      </c>
      <c r="I30" s="75">
        <f t="shared" si="1"/>
        <v>6.62</v>
      </c>
    </row>
    <row r="31" spans="1:9" ht="15.75" x14ac:dyDescent="0.25">
      <c r="A31" s="80">
        <v>29</v>
      </c>
      <c r="B31" s="83" t="s">
        <v>349</v>
      </c>
      <c r="C31" s="80" t="s">
        <v>236</v>
      </c>
      <c r="D31" s="79">
        <v>1</v>
      </c>
      <c r="E31" s="82">
        <v>7.73</v>
      </c>
      <c r="F31" s="75">
        <f t="shared" si="0"/>
        <v>7.73</v>
      </c>
      <c r="G31" s="77">
        <v>5</v>
      </c>
      <c r="H31" s="76">
        <v>0.2</v>
      </c>
      <c r="I31" s="75">
        <f t="shared" si="1"/>
        <v>1.54</v>
      </c>
    </row>
    <row r="32" spans="1:9" ht="15.75" x14ac:dyDescent="0.25">
      <c r="A32" s="80">
        <v>30</v>
      </c>
      <c r="B32" s="83" t="s">
        <v>348</v>
      </c>
      <c r="C32" s="80" t="s">
        <v>236</v>
      </c>
      <c r="D32" s="79">
        <v>3</v>
      </c>
      <c r="E32" s="82">
        <v>5.57</v>
      </c>
      <c r="F32" s="75">
        <f t="shared" si="0"/>
        <v>16.71</v>
      </c>
      <c r="G32" s="77">
        <v>5</v>
      </c>
      <c r="H32" s="76">
        <v>0.2</v>
      </c>
      <c r="I32" s="75">
        <f t="shared" si="1"/>
        <v>3.34</v>
      </c>
    </row>
    <row r="33" spans="1:9" ht="15.75" x14ac:dyDescent="0.25">
      <c r="A33" s="80">
        <v>31</v>
      </c>
      <c r="B33" s="83" t="s">
        <v>347</v>
      </c>
      <c r="C33" s="80" t="s">
        <v>236</v>
      </c>
      <c r="D33" s="79">
        <v>1</v>
      </c>
      <c r="E33" s="82">
        <v>6.26</v>
      </c>
      <c r="F33" s="75">
        <f t="shared" si="0"/>
        <v>6.26</v>
      </c>
      <c r="G33" s="77">
        <v>5</v>
      </c>
      <c r="H33" s="76">
        <v>0.2</v>
      </c>
      <c r="I33" s="75">
        <f t="shared" si="1"/>
        <v>1.25</v>
      </c>
    </row>
    <row r="34" spans="1:9" ht="15.75" x14ac:dyDescent="0.25">
      <c r="A34" s="80">
        <v>32</v>
      </c>
      <c r="B34" s="83" t="s">
        <v>346</v>
      </c>
      <c r="C34" s="80" t="s">
        <v>236</v>
      </c>
      <c r="D34" s="79">
        <v>3</v>
      </c>
      <c r="E34" s="82">
        <v>6.5</v>
      </c>
      <c r="F34" s="75">
        <f t="shared" si="0"/>
        <v>19.5</v>
      </c>
      <c r="G34" s="77">
        <v>5</v>
      </c>
      <c r="H34" s="76">
        <v>0.2</v>
      </c>
      <c r="I34" s="75">
        <f t="shared" si="1"/>
        <v>3.9</v>
      </c>
    </row>
    <row r="35" spans="1:9" ht="15.75" x14ac:dyDescent="0.25">
      <c r="A35" s="80">
        <v>33</v>
      </c>
      <c r="B35" s="83" t="s">
        <v>345</v>
      </c>
      <c r="C35" s="80" t="s">
        <v>236</v>
      </c>
      <c r="D35" s="79">
        <v>1</v>
      </c>
      <c r="E35" s="82">
        <v>12.93</v>
      </c>
      <c r="F35" s="75">
        <f t="shared" ref="F35:F66" si="2">E35*D35</f>
        <v>12.93</v>
      </c>
      <c r="G35" s="77">
        <v>5</v>
      </c>
      <c r="H35" s="76">
        <v>0.2</v>
      </c>
      <c r="I35" s="75">
        <f t="shared" ref="I35:I66" si="3">TRUNC(F35/G35,2)</f>
        <v>2.58</v>
      </c>
    </row>
    <row r="36" spans="1:9" ht="15.75" x14ac:dyDescent="0.25">
      <c r="A36" s="80">
        <v>34</v>
      </c>
      <c r="B36" s="86" t="s">
        <v>344</v>
      </c>
      <c r="C36" s="80" t="s">
        <v>236</v>
      </c>
      <c r="D36" s="79">
        <v>4</v>
      </c>
      <c r="E36" s="82">
        <v>7.89</v>
      </c>
      <c r="F36" s="75">
        <f t="shared" si="2"/>
        <v>31.56</v>
      </c>
      <c r="G36" s="77">
        <v>5</v>
      </c>
      <c r="H36" s="76">
        <v>0.2</v>
      </c>
      <c r="I36" s="75">
        <f t="shared" si="3"/>
        <v>6.31</v>
      </c>
    </row>
    <row r="37" spans="1:9" ht="15.75" x14ac:dyDescent="0.25">
      <c r="A37" s="80">
        <v>35</v>
      </c>
      <c r="B37" s="86" t="s">
        <v>343</v>
      </c>
      <c r="C37" s="80" t="s">
        <v>236</v>
      </c>
      <c r="D37" s="79">
        <v>4</v>
      </c>
      <c r="E37" s="82">
        <v>6.44</v>
      </c>
      <c r="F37" s="75">
        <f t="shared" si="2"/>
        <v>25.76</v>
      </c>
      <c r="G37" s="77">
        <v>5</v>
      </c>
      <c r="H37" s="76">
        <v>0.2</v>
      </c>
      <c r="I37" s="75">
        <f t="shared" si="3"/>
        <v>5.15</v>
      </c>
    </row>
    <row r="38" spans="1:9" ht="15.75" x14ac:dyDescent="0.25">
      <c r="A38" s="80">
        <v>36</v>
      </c>
      <c r="B38" s="84" t="s">
        <v>342</v>
      </c>
      <c r="C38" s="80" t="s">
        <v>236</v>
      </c>
      <c r="D38" s="79">
        <v>4</v>
      </c>
      <c r="E38" s="82">
        <v>8.69</v>
      </c>
      <c r="F38" s="75">
        <f t="shared" si="2"/>
        <v>34.76</v>
      </c>
      <c r="G38" s="77">
        <v>5</v>
      </c>
      <c r="H38" s="76">
        <v>0.2</v>
      </c>
      <c r="I38" s="75">
        <f t="shared" si="3"/>
        <v>6.95</v>
      </c>
    </row>
    <row r="39" spans="1:9" ht="15.75" x14ac:dyDescent="0.25">
      <c r="A39" s="80">
        <v>37</v>
      </c>
      <c r="B39" s="84" t="s">
        <v>341</v>
      </c>
      <c r="C39" s="80" t="s">
        <v>236</v>
      </c>
      <c r="D39" s="79">
        <v>4</v>
      </c>
      <c r="E39" s="82">
        <v>7.46</v>
      </c>
      <c r="F39" s="75">
        <f t="shared" si="2"/>
        <v>29.84</v>
      </c>
      <c r="G39" s="77">
        <v>5</v>
      </c>
      <c r="H39" s="76">
        <v>0.2</v>
      </c>
      <c r="I39" s="75">
        <f t="shared" si="3"/>
        <v>5.96</v>
      </c>
    </row>
    <row r="40" spans="1:9" ht="15.75" x14ac:dyDescent="0.25">
      <c r="A40" s="80">
        <v>38</v>
      </c>
      <c r="B40" s="86" t="s">
        <v>340</v>
      </c>
      <c r="C40" s="80" t="s">
        <v>236</v>
      </c>
      <c r="D40" s="79">
        <v>2</v>
      </c>
      <c r="E40" s="82">
        <v>81.13</v>
      </c>
      <c r="F40" s="75">
        <f t="shared" si="2"/>
        <v>162.26</v>
      </c>
      <c r="G40" s="77">
        <v>5</v>
      </c>
      <c r="H40" s="76">
        <v>0.2</v>
      </c>
      <c r="I40" s="75">
        <f t="shared" si="3"/>
        <v>32.450000000000003</v>
      </c>
    </row>
    <row r="41" spans="1:9" ht="15.75" x14ac:dyDescent="0.25">
      <c r="A41" s="80">
        <v>39</v>
      </c>
      <c r="B41" s="84" t="s">
        <v>339</v>
      </c>
      <c r="C41" s="80" t="s">
        <v>236</v>
      </c>
      <c r="D41" s="79">
        <v>2</v>
      </c>
      <c r="E41" s="82">
        <v>13.49</v>
      </c>
      <c r="F41" s="75">
        <f t="shared" si="2"/>
        <v>26.98</v>
      </c>
      <c r="G41" s="77">
        <v>5</v>
      </c>
      <c r="H41" s="76">
        <v>0.2</v>
      </c>
      <c r="I41" s="75">
        <f t="shared" si="3"/>
        <v>5.39</v>
      </c>
    </row>
    <row r="42" spans="1:9" ht="15.75" x14ac:dyDescent="0.25">
      <c r="A42" s="80">
        <v>40</v>
      </c>
      <c r="B42" s="84" t="s">
        <v>338</v>
      </c>
      <c r="C42" s="80" t="s">
        <v>236</v>
      </c>
      <c r="D42" s="79">
        <v>1</v>
      </c>
      <c r="E42" s="82">
        <v>40.299999999999997</v>
      </c>
      <c r="F42" s="75">
        <f t="shared" si="2"/>
        <v>40.299999999999997</v>
      </c>
      <c r="G42" s="77">
        <v>5</v>
      </c>
      <c r="H42" s="76">
        <v>0.2</v>
      </c>
      <c r="I42" s="75">
        <f t="shared" si="3"/>
        <v>8.06</v>
      </c>
    </row>
    <row r="43" spans="1:9" ht="15.75" x14ac:dyDescent="0.25">
      <c r="A43" s="80">
        <v>41</v>
      </c>
      <c r="B43" s="83" t="s">
        <v>337</v>
      </c>
      <c r="C43" s="80" t="s">
        <v>236</v>
      </c>
      <c r="D43" s="79">
        <v>1</v>
      </c>
      <c r="E43" s="82">
        <v>14.31</v>
      </c>
      <c r="F43" s="75">
        <f t="shared" si="2"/>
        <v>14.31</v>
      </c>
      <c r="G43" s="77">
        <v>5</v>
      </c>
      <c r="H43" s="76">
        <v>0.2</v>
      </c>
      <c r="I43" s="75">
        <f t="shared" si="3"/>
        <v>2.86</v>
      </c>
    </row>
    <row r="44" spans="1:9" ht="15.75" x14ac:dyDescent="0.25">
      <c r="A44" s="80">
        <v>42</v>
      </c>
      <c r="B44" s="84" t="s">
        <v>336</v>
      </c>
      <c r="C44" s="80" t="s">
        <v>236</v>
      </c>
      <c r="D44" s="79">
        <v>4</v>
      </c>
      <c r="E44" s="82">
        <v>7.62</v>
      </c>
      <c r="F44" s="75">
        <f t="shared" si="2"/>
        <v>30.48</v>
      </c>
      <c r="G44" s="77">
        <v>5</v>
      </c>
      <c r="H44" s="76">
        <v>0.2</v>
      </c>
      <c r="I44" s="75">
        <f t="shared" si="3"/>
        <v>6.09</v>
      </c>
    </row>
    <row r="45" spans="1:9" ht="15.75" x14ac:dyDescent="0.25">
      <c r="A45" s="80">
        <v>43</v>
      </c>
      <c r="B45" s="86" t="s">
        <v>335</v>
      </c>
      <c r="C45" s="80" t="s">
        <v>236</v>
      </c>
      <c r="D45" s="79">
        <v>4</v>
      </c>
      <c r="E45" s="82">
        <v>8.69</v>
      </c>
      <c r="F45" s="75">
        <f t="shared" si="2"/>
        <v>34.76</v>
      </c>
      <c r="G45" s="77">
        <v>5</v>
      </c>
      <c r="H45" s="76">
        <v>0.2</v>
      </c>
      <c r="I45" s="75">
        <f t="shared" si="3"/>
        <v>6.95</v>
      </c>
    </row>
    <row r="46" spans="1:9" ht="15.75" x14ac:dyDescent="0.25">
      <c r="A46" s="80">
        <v>44</v>
      </c>
      <c r="B46" s="84" t="s">
        <v>334</v>
      </c>
      <c r="C46" s="80" t="s">
        <v>236</v>
      </c>
      <c r="D46" s="79">
        <v>4</v>
      </c>
      <c r="E46" s="82">
        <v>7.55</v>
      </c>
      <c r="F46" s="75">
        <f t="shared" si="2"/>
        <v>30.2</v>
      </c>
      <c r="G46" s="77">
        <v>5</v>
      </c>
      <c r="H46" s="76">
        <v>0.2</v>
      </c>
      <c r="I46" s="75">
        <f t="shared" si="3"/>
        <v>6.04</v>
      </c>
    </row>
    <row r="47" spans="1:9" ht="15.75" x14ac:dyDescent="0.25">
      <c r="A47" s="80">
        <v>45</v>
      </c>
      <c r="B47" s="93" t="s">
        <v>333</v>
      </c>
      <c r="C47" s="80" t="s">
        <v>236</v>
      </c>
      <c r="D47" s="79">
        <v>4</v>
      </c>
      <c r="E47" s="82">
        <v>9.07</v>
      </c>
      <c r="F47" s="75">
        <f t="shared" si="2"/>
        <v>36.28</v>
      </c>
      <c r="G47" s="77">
        <v>5</v>
      </c>
      <c r="H47" s="76">
        <v>0.2</v>
      </c>
      <c r="I47" s="75">
        <f t="shared" si="3"/>
        <v>7.25</v>
      </c>
    </row>
    <row r="48" spans="1:9" ht="15.75" x14ac:dyDescent="0.25">
      <c r="A48" s="80">
        <v>46</v>
      </c>
      <c r="B48" s="93" t="s">
        <v>332</v>
      </c>
      <c r="C48" s="80" t="s">
        <v>236</v>
      </c>
      <c r="D48" s="79">
        <v>4</v>
      </c>
      <c r="E48" s="82">
        <v>7.46</v>
      </c>
      <c r="F48" s="75">
        <f t="shared" si="2"/>
        <v>29.84</v>
      </c>
      <c r="G48" s="77">
        <v>5</v>
      </c>
      <c r="H48" s="76">
        <v>0.2</v>
      </c>
      <c r="I48" s="75">
        <f t="shared" si="3"/>
        <v>5.96</v>
      </c>
    </row>
    <row r="49" spans="1:9" ht="15.75" x14ac:dyDescent="0.25">
      <c r="A49" s="80">
        <v>47</v>
      </c>
      <c r="B49" s="93" t="s">
        <v>331</v>
      </c>
      <c r="C49" s="80" t="s">
        <v>236</v>
      </c>
      <c r="D49" s="79">
        <v>4</v>
      </c>
      <c r="E49" s="82">
        <v>8.14</v>
      </c>
      <c r="F49" s="75">
        <f t="shared" si="2"/>
        <v>32.56</v>
      </c>
      <c r="G49" s="77">
        <v>5</v>
      </c>
      <c r="H49" s="76">
        <v>0.2</v>
      </c>
      <c r="I49" s="75">
        <f t="shared" si="3"/>
        <v>6.51</v>
      </c>
    </row>
    <row r="50" spans="1:9" ht="15.75" x14ac:dyDescent="0.25">
      <c r="A50" s="80">
        <v>48</v>
      </c>
      <c r="B50" s="84" t="s">
        <v>330</v>
      </c>
      <c r="C50" s="80" t="s">
        <v>236</v>
      </c>
      <c r="D50" s="79">
        <v>4</v>
      </c>
      <c r="E50" s="82">
        <v>7.34</v>
      </c>
      <c r="F50" s="75">
        <f t="shared" si="2"/>
        <v>29.36</v>
      </c>
      <c r="G50" s="77">
        <v>5</v>
      </c>
      <c r="H50" s="76">
        <v>0.2</v>
      </c>
      <c r="I50" s="75">
        <f t="shared" si="3"/>
        <v>5.87</v>
      </c>
    </row>
    <row r="51" spans="1:9" ht="15.75" x14ac:dyDescent="0.25">
      <c r="A51" s="80">
        <v>49</v>
      </c>
      <c r="B51" s="83" t="s">
        <v>329</v>
      </c>
      <c r="C51" s="80" t="s">
        <v>236</v>
      </c>
      <c r="D51" s="79">
        <v>1</v>
      </c>
      <c r="E51" s="82">
        <v>7.34</v>
      </c>
      <c r="F51" s="75">
        <f t="shared" si="2"/>
        <v>7.34</v>
      </c>
      <c r="G51" s="77">
        <v>5</v>
      </c>
      <c r="H51" s="76">
        <v>0.2</v>
      </c>
      <c r="I51" s="75">
        <f t="shared" si="3"/>
        <v>1.46</v>
      </c>
    </row>
    <row r="52" spans="1:9" ht="15.75" x14ac:dyDescent="0.25">
      <c r="A52" s="80">
        <v>50</v>
      </c>
      <c r="B52" s="83" t="s">
        <v>328</v>
      </c>
      <c r="C52" s="80" t="s">
        <v>236</v>
      </c>
      <c r="D52" s="79">
        <v>1</v>
      </c>
      <c r="E52" s="82">
        <v>21.5</v>
      </c>
      <c r="F52" s="75">
        <f t="shared" si="2"/>
        <v>21.5</v>
      </c>
      <c r="G52" s="77">
        <v>5</v>
      </c>
      <c r="H52" s="76">
        <v>0.2</v>
      </c>
      <c r="I52" s="75">
        <f t="shared" si="3"/>
        <v>4.3</v>
      </c>
    </row>
    <row r="53" spans="1:9" ht="15.75" x14ac:dyDescent="0.25">
      <c r="A53" s="80">
        <v>51</v>
      </c>
      <c r="B53" s="83" t="s">
        <v>327</v>
      </c>
      <c r="C53" s="80" t="s">
        <v>236</v>
      </c>
      <c r="D53" s="79">
        <v>4</v>
      </c>
      <c r="E53" s="82">
        <v>7.57</v>
      </c>
      <c r="F53" s="75">
        <f t="shared" si="2"/>
        <v>30.28</v>
      </c>
      <c r="G53" s="77">
        <v>5</v>
      </c>
      <c r="H53" s="76">
        <v>0.2</v>
      </c>
      <c r="I53" s="75">
        <f t="shared" si="3"/>
        <v>6.05</v>
      </c>
    </row>
    <row r="54" spans="1:9" ht="15.75" x14ac:dyDescent="0.25">
      <c r="A54" s="80">
        <v>52</v>
      </c>
      <c r="B54" s="83" t="s">
        <v>326</v>
      </c>
      <c r="C54" s="80" t="s">
        <v>236</v>
      </c>
      <c r="D54" s="79">
        <v>1</v>
      </c>
      <c r="E54" s="82">
        <v>7.62</v>
      </c>
      <c r="F54" s="75">
        <f t="shared" si="2"/>
        <v>7.62</v>
      </c>
      <c r="G54" s="77">
        <v>5</v>
      </c>
      <c r="H54" s="76">
        <v>0.2</v>
      </c>
      <c r="I54" s="75">
        <f t="shared" si="3"/>
        <v>1.52</v>
      </c>
    </row>
    <row r="55" spans="1:9" ht="15.75" x14ac:dyDescent="0.25">
      <c r="A55" s="80">
        <v>53</v>
      </c>
      <c r="B55" s="83" t="s">
        <v>325</v>
      </c>
      <c r="C55" s="80" t="s">
        <v>236</v>
      </c>
      <c r="D55" s="79">
        <v>1</v>
      </c>
      <c r="E55" s="82">
        <v>7.15</v>
      </c>
      <c r="F55" s="75">
        <f t="shared" si="2"/>
        <v>7.15</v>
      </c>
      <c r="G55" s="77">
        <v>5</v>
      </c>
      <c r="H55" s="76">
        <v>0.2</v>
      </c>
      <c r="I55" s="75">
        <f t="shared" si="3"/>
        <v>1.43</v>
      </c>
    </row>
    <row r="56" spans="1:9" ht="15.75" x14ac:dyDescent="0.25">
      <c r="A56" s="80">
        <v>54</v>
      </c>
      <c r="B56" s="83" t="s">
        <v>324</v>
      </c>
      <c r="C56" s="80" t="s">
        <v>236</v>
      </c>
      <c r="D56" s="79">
        <v>2</v>
      </c>
      <c r="E56" s="82">
        <v>28.24</v>
      </c>
      <c r="F56" s="75">
        <f t="shared" si="2"/>
        <v>56.48</v>
      </c>
      <c r="G56" s="77">
        <v>5</v>
      </c>
      <c r="H56" s="76">
        <v>0.2</v>
      </c>
      <c r="I56" s="75">
        <f t="shared" si="3"/>
        <v>11.29</v>
      </c>
    </row>
    <row r="57" spans="1:9" ht="15.75" x14ac:dyDescent="0.25">
      <c r="A57" s="80">
        <v>55</v>
      </c>
      <c r="B57" s="81" t="s">
        <v>323</v>
      </c>
      <c r="C57" s="80" t="s">
        <v>236</v>
      </c>
      <c r="D57" s="79">
        <v>1</v>
      </c>
      <c r="E57" s="78">
        <v>120.56</v>
      </c>
      <c r="F57" s="75">
        <f t="shared" si="2"/>
        <v>120.56</v>
      </c>
      <c r="G57" s="77">
        <v>5</v>
      </c>
      <c r="H57" s="76">
        <v>0.2</v>
      </c>
      <c r="I57" s="75">
        <f t="shared" si="3"/>
        <v>24.11</v>
      </c>
    </row>
    <row r="58" spans="1:9" ht="15.75" x14ac:dyDescent="0.25">
      <c r="A58" s="80">
        <v>56</v>
      </c>
      <c r="B58" s="85" t="s">
        <v>322</v>
      </c>
      <c r="C58" s="80" t="s">
        <v>236</v>
      </c>
      <c r="D58" s="79">
        <v>2</v>
      </c>
      <c r="E58" s="82">
        <v>24.41</v>
      </c>
      <c r="F58" s="75">
        <f t="shared" si="2"/>
        <v>48.82</v>
      </c>
      <c r="G58" s="77">
        <v>5</v>
      </c>
      <c r="H58" s="76">
        <v>0.2</v>
      </c>
      <c r="I58" s="75">
        <f t="shared" si="3"/>
        <v>9.76</v>
      </c>
    </row>
    <row r="59" spans="1:9" ht="15.75" x14ac:dyDescent="0.25">
      <c r="A59" s="80">
        <v>57</v>
      </c>
      <c r="B59" s="91" t="s">
        <v>321</v>
      </c>
      <c r="C59" s="80" t="s">
        <v>236</v>
      </c>
      <c r="D59" s="79">
        <v>2</v>
      </c>
      <c r="E59" s="82">
        <v>12.48</v>
      </c>
      <c r="F59" s="75">
        <f t="shared" si="2"/>
        <v>24.96</v>
      </c>
      <c r="G59" s="77">
        <v>5</v>
      </c>
      <c r="H59" s="76">
        <v>0.2</v>
      </c>
      <c r="I59" s="75">
        <f t="shared" si="3"/>
        <v>4.99</v>
      </c>
    </row>
    <row r="60" spans="1:9" ht="15.75" x14ac:dyDescent="0.25">
      <c r="A60" s="80">
        <v>58</v>
      </c>
      <c r="B60" s="83" t="s">
        <v>320</v>
      </c>
      <c r="C60" s="80" t="s">
        <v>236</v>
      </c>
      <c r="D60" s="79">
        <v>4</v>
      </c>
      <c r="E60" s="82">
        <v>39.9</v>
      </c>
      <c r="F60" s="75">
        <f t="shared" si="2"/>
        <v>159.6</v>
      </c>
      <c r="G60" s="77">
        <v>5</v>
      </c>
      <c r="H60" s="76">
        <v>0.2</v>
      </c>
      <c r="I60" s="75">
        <f t="shared" si="3"/>
        <v>31.92</v>
      </c>
    </row>
    <row r="61" spans="1:9" ht="15.75" x14ac:dyDescent="0.25">
      <c r="A61" s="80">
        <v>59</v>
      </c>
      <c r="B61" s="86" t="s">
        <v>319</v>
      </c>
      <c r="C61" s="80" t="s">
        <v>236</v>
      </c>
      <c r="D61" s="79">
        <v>4</v>
      </c>
      <c r="E61" s="82">
        <v>239.9</v>
      </c>
      <c r="F61" s="75">
        <f t="shared" si="2"/>
        <v>959.6</v>
      </c>
      <c r="G61" s="77">
        <v>5</v>
      </c>
      <c r="H61" s="76">
        <v>0.2</v>
      </c>
      <c r="I61" s="75">
        <f t="shared" si="3"/>
        <v>191.92</v>
      </c>
    </row>
    <row r="62" spans="1:9" ht="15.75" x14ac:dyDescent="0.25">
      <c r="A62" s="80">
        <v>60</v>
      </c>
      <c r="B62" s="93" t="s">
        <v>318</v>
      </c>
      <c r="C62" s="80" t="s">
        <v>236</v>
      </c>
      <c r="D62" s="79">
        <v>5</v>
      </c>
      <c r="E62" s="92">
        <v>248.56</v>
      </c>
      <c r="F62" s="75">
        <f t="shared" si="2"/>
        <v>1242.8</v>
      </c>
      <c r="G62" s="77">
        <v>5</v>
      </c>
      <c r="H62" s="76">
        <v>0.2</v>
      </c>
      <c r="I62" s="75">
        <f t="shared" si="3"/>
        <v>248.56</v>
      </c>
    </row>
    <row r="63" spans="1:9" ht="15.75" x14ac:dyDescent="0.25">
      <c r="A63" s="80">
        <v>61</v>
      </c>
      <c r="B63" s="83" t="s">
        <v>317</v>
      </c>
      <c r="C63" s="80" t="s">
        <v>236</v>
      </c>
      <c r="D63" s="79">
        <v>1</v>
      </c>
      <c r="E63" s="82">
        <v>189.99</v>
      </c>
      <c r="F63" s="75">
        <f t="shared" si="2"/>
        <v>189.99</v>
      </c>
      <c r="G63" s="77">
        <v>5</v>
      </c>
      <c r="H63" s="76">
        <v>0.2</v>
      </c>
      <c r="I63" s="75">
        <f t="shared" si="3"/>
        <v>37.99</v>
      </c>
    </row>
    <row r="64" spans="1:9" ht="15.75" x14ac:dyDescent="0.25">
      <c r="A64" s="80">
        <v>62</v>
      </c>
      <c r="B64" s="83" t="s">
        <v>316</v>
      </c>
      <c r="C64" s="80" t="s">
        <v>236</v>
      </c>
      <c r="D64" s="79">
        <v>1</v>
      </c>
      <c r="E64" s="82">
        <v>599.9</v>
      </c>
      <c r="F64" s="75">
        <f t="shared" si="2"/>
        <v>599.9</v>
      </c>
      <c r="G64" s="77">
        <v>5</v>
      </c>
      <c r="H64" s="76">
        <v>0.2</v>
      </c>
      <c r="I64" s="75">
        <f t="shared" si="3"/>
        <v>119.98</v>
      </c>
    </row>
    <row r="65" spans="1:9" ht="15.75" x14ac:dyDescent="0.25">
      <c r="A65" s="80">
        <v>63</v>
      </c>
      <c r="B65" s="84" t="s">
        <v>315</v>
      </c>
      <c r="C65" s="80" t="s">
        <v>236</v>
      </c>
      <c r="D65" s="79">
        <v>4</v>
      </c>
      <c r="E65" s="92">
        <v>4.75</v>
      </c>
      <c r="F65" s="75">
        <f t="shared" si="2"/>
        <v>19</v>
      </c>
      <c r="G65" s="77">
        <v>5</v>
      </c>
      <c r="H65" s="76">
        <v>0.2</v>
      </c>
      <c r="I65" s="75">
        <f t="shared" si="3"/>
        <v>3.8</v>
      </c>
    </row>
    <row r="66" spans="1:9" ht="15.75" x14ac:dyDescent="0.25">
      <c r="A66" s="80">
        <v>64</v>
      </c>
      <c r="B66" s="86" t="s">
        <v>314</v>
      </c>
      <c r="C66" s="80" t="s">
        <v>236</v>
      </c>
      <c r="D66" s="79">
        <v>5</v>
      </c>
      <c r="E66" s="82">
        <v>7.37</v>
      </c>
      <c r="F66" s="75">
        <f t="shared" si="2"/>
        <v>36.85</v>
      </c>
      <c r="G66" s="77">
        <v>5</v>
      </c>
      <c r="H66" s="76">
        <v>0.2</v>
      </c>
      <c r="I66" s="75">
        <f t="shared" si="3"/>
        <v>7.37</v>
      </c>
    </row>
    <row r="67" spans="1:9" ht="15.75" x14ac:dyDescent="0.25">
      <c r="A67" s="80">
        <v>65</v>
      </c>
      <c r="B67" s="86" t="s">
        <v>313</v>
      </c>
      <c r="C67" s="80" t="s">
        <v>236</v>
      </c>
      <c r="D67" s="79">
        <v>5</v>
      </c>
      <c r="E67" s="82">
        <v>9.9</v>
      </c>
      <c r="F67" s="75">
        <f t="shared" ref="F67:F98" si="4">E67*D67</f>
        <v>49.5</v>
      </c>
      <c r="G67" s="77">
        <v>5</v>
      </c>
      <c r="H67" s="76">
        <v>0.2</v>
      </c>
      <c r="I67" s="75">
        <f t="shared" ref="I67:I98" si="5">TRUNC(F67/G67,2)</f>
        <v>9.9</v>
      </c>
    </row>
    <row r="68" spans="1:9" ht="15.75" x14ac:dyDescent="0.25">
      <c r="A68" s="80">
        <v>66</v>
      </c>
      <c r="B68" s="91" t="s">
        <v>312</v>
      </c>
      <c r="C68" s="80" t="s">
        <v>236</v>
      </c>
      <c r="D68" s="79">
        <v>4</v>
      </c>
      <c r="E68" s="82">
        <v>22.9</v>
      </c>
      <c r="F68" s="75">
        <f t="shared" si="4"/>
        <v>91.6</v>
      </c>
      <c r="G68" s="77">
        <v>5</v>
      </c>
      <c r="H68" s="76">
        <v>0.2</v>
      </c>
      <c r="I68" s="75">
        <f t="shared" si="5"/>
        <v>18.32</v>
      </c>
    </row>
    <row r="69" spans="1:9" ht="15.75" x14ac:dyDescent="0.25">
      <c r="A69" s="80">
        <v>67</v>
      </c>
      <c r="B69" s="86" t="s">
        <v>311</v>
      </c>
      <c r="C69" s="80" t="s">
        <v>236</v>
      </c>
      <c r="D69" s="79">
        <v>10</v>
      </c>
      <c r="E69" s="82">
        <v>19.899999999999999</v>
      </c>
      <c r="F69" s="75">
        <f t="shared" si="4"/>
        <v>199</v>
      </c>
      <c r="G69" s="77">
        <v>5</v>
      </c>
      <c r="H69" s="76">
        <v>0.2</v>
      </c>
      <c r="I69" s="75">
        <f t="shared" si="5"/>
        <v>39.799999999999997</v>
      </c>
    </row>
    <row r="70" spans="1:9" ht="15.75" x14ac:dyDescent="0.25">
      <c r="A70" s="80">
        <v>68</v>
      </c>
      <c r="B70" s="83" t="s">
        <v>310</v>
      </c>
      <c r="C70" s="80" t="s">
        <v>236</v>
      </c>
      <c r="D70" s="79">
        <v>1</v>
      </c>
      <c r="E70" s="82">
        <v>13.19</v>
      </c>
      <c r="F70" s="75">
        <f t="shared" si="4"/>
        <v>13.19</v>
      </c>
      <c r="G70" s="77">
        <v>5</v>
      </c>
      <c r="H70" s="76">
        <v>0.2</v>
      </c>
      <c r="I70" s="75">
        <f t="shared" si="5"/>
        <v>2.63</v>
      </c>
    </row>
    <row r="71" spans="1:9" s="90" customFormat="1" ht="15.75" x14ac:dyDescent="0.25">
      <c r="A71" s="80">
        <v>69</v>
      </c>
      <c r="B71" s="83" t="s">
        <v>309</v>
      </c>
      <c r="C71" s="80" t="s">
        <v>236</v>
      </c>
      <c r="D71" s="79">
        <v>1</v>
      </c>
      <c r="E71" s="82">
        <v>91.11</v>
      </c>
      <c r="F71" s="75">
        <f t="shared" si="4"/>
        <v>91.11</v>
      </c>
      <c r="G71" s="77">
        <v>5</v>
      </c>
      <c r="H71" s="76">
        <v>0.2</v>
      </c>
      <c r="I71" s="75">
        <f t="shared" si="5"/>
        <v>18.22</v>
      </c>
    </row>
    <row r="72" spans="1:9" ht="15.75" x14ac:dyDescent="0.25">
      <c r="A72" s="80">
        <v>70</v>
      </c>
      <c r="B72" s="83" t="s">
        <v>308</v>
      </c>
      <c r="C72" s="80" t="s">
        <v>236</v>
      </c>
      <c r="D72" s="79">
        <v>3</v>
      </c>
      <c r="E72" s="82">
        <v>21.62</v>
      </c>
      <c r="F72" s="75">
        <f t="shared" si="4"/>
        <v>64.86</v>
      </c>
      <c r="G72" s="77">
        <v>5</v>
      </c>
      <c r="H72" s="76">
        <v>0.2</v>
      </c>
      <c r="I72" s="75">
        <f t="shared" si="5"/>
        <v>12.97</v>
      </c>
    </row>
    <row r="73" spans="1:9" ht="15.75" x14ac:dyDescent="0.25">
      <c r="A73" s="80">
        <v>71</v>
      </c>
      <c r="B73" s="83" t="s">
        <v>307</v>
      </c>
      <c r="C73" s="80" t="s">
        <v>236</v>
      </c>
      <c r="D73" s="79">
        <v>2</v>
      </c>
      <c r="E73" s="82">
        <v>455.91</v>
      </c>
      <c r="F73" s="75">
        <f t="shared" si="4"/>
        <v>911.82</v>
      </c>
      <c r="G73" s="77">
        <v>5</v>
      </c>
      <c r="H73" s="76">
        <v>0.2</v>
      </c>
      <c r="I73" s="75">
        <f t="shared" si="5"/>
        <v>182.36</v>
      </c>
    </row>
    <row r="74" spans="1:9" s="90" customFormat="1" ht="15.75" x14ac:dyDescent="0.25">
      <c r="A74" s="80">
        <v>72</v>
      </c>
      <c r="B74" s="86" t="s">
        <v>306</v>
      </c>
      <c r="C74" s="80" t="s">
        <v>236</v>
      </c>
      <c r="D74" s="79">
        <v>2</v>
      </c>
      <c r="E74" s="82">
        <v>76.900000000000006</v>
      </c>
      <c r="F74" s="75">
        <f t="shared" si="4"/>
        <v>153.80000000000001</v>
      </c>
      <c r="G74" s="77">
        <v>5</v>
      </c>
      <c r="H74" s="76">
        <v>0.2</v>
      </c>
      <c r="I74" s="75">
        <f t="shared" si="5"/>
        <v>30.76</v>
      </c>
    </row>
    <row r="75" spans="1:9" ht="15.75" x14ac:dyDescent="0.25">
      <c r="A75" s="80">
        <v>73</v>
      </c>
      <c r="B75" s="83" t="s">
        <v>305</v>
      </c>
      <c r="C75" s="80" t="s">
        <v>236</v>
      </c>
      <c r="D75" s="79">
        <v>5</v>
      </c>
      <c r="E75" s="82">
        <v>859</v>
      </c>
      <c r="F75" s="75">
        <f t="shared" si="4"/>
        <v>4295</v>
      </c>
      <c r="G75" s="77">
        <v>5</v>
      </c>
      <c r="H75" s="76">
        <v>0.2</v>
      </c>
      <c r="I75" s="75">
        <f t="shared" si="5"/>
        <v>859</v>
      </c>
    </row>
    <row r="76" spans="1:9" ht="15.75" x14ac:dyDescent="0.25">
      <c r="A76" s="80">
        <v>74</v>
      </c>
      <c r="B76" s="83" t="s">
        <v>304</v>
      </c>
      <c r="C76" s="80" t="s">
        <v>236</v>
      </c>
      <c r="D76" s="79">
        <v>3</v>
      </c>
      <c r="E76" s="82">
        <v>350</v>
      </c>
      <c r="F76" s="75">
        <f t="shared" si="4"/>
        <v>1050</v>
      </c>
      <c r="G76" s="77">
        <v>5</v>
      </c>
      <c r="H76" s="76">
        <v>0.2</v>
      </c>
      <c r="I76" s="75">
        <f t="shared" si="5"/>
        <v>210</v>
      </c>
    </row>
    <row r="77" spans="1:9" ht="15.75" x14ac:dyDescent="0.25">
      <c r="A77" s="80">
        <v>75</v>
      </c>
      <c r="B77" s="83" t="s">
        <v>303</v>
      </c>
      <c r="C77" s="80" t="s">
        <v>236</v>
      </c>
      <c r="D77" s="79">
        <v>2</v>
      </c>
      <c r="E77" s="82">
        <v>217.55</v>
      </c>
      <c r="F77" s="75">
        <f t="shared" si="4"/>
        <v>435.1</v>
      </c>
      <c r="G77" s="77">
        <v>5</v>
      </c>
      <c r="H77" s="76">
        <v>0.2</v>
      </c>
      <c r="I77" s="75">
        <f t="shared" si="5"/>
        <v>87.02</v>
      </c>
    </row>
    <row r="78" spans="1:9" ht="15.75" x14ac:dyDescent="0.25">
      <c r="A78" s="80">
        <v>76</v>
      </c>
      <c r="B78" s="83" t="s">
        <v>302</v>
      </c>
      <c r="C78" s="80" t="s">
        <v>236</v>
      </c>
      <c r="D78" s="79">
        <v>2</v>
      </c>
      <c r="E78" s="82">
        <v>109.72</v>
      </c>
      <c r="F78" s="75">
        <f t="shared" si="4"/>
        <v>219.44</v>
      </c>
      <c r="G78" s="77">
        <v>5</v>
      </c>
      <c r="H78" s="76">
        <v>0.2</v>
      </c>
      <c r="I78" s="75">
        <f t="shared" si="5"/>
        <v>43.88</v>
      </c>
    </row>
    <row r="79" spans="1:9" ht="15.75" x14ac:dyDescent="0.25">
      <c r="A79" s="80">
        <v>77</v>
      </c>
      <c r="B79" s="86" t="s">
        <v>301</v>
      </c>
      <c r="C79" s="80" t="s">
        <v>236</v>
      </c>
      <c r="D79" s="79">
        <v>5</v>
      </c>
      <c r="E79" s="82">
        <v>49.9</v>
      </c>
      <c r="F79" s="75">
        <f t="shared" si="4"/>
        <v>249.5</v>
      </c>
      <c r="G79" s="77">
        <v>5</v>
      </c>
      <c r="H79" s="76">
        <v>0.2</v>
      </c>
      <c r="I79" s="75">
        <f t="shared" si="5"/>
        <v>49.9</v>
      </c>
    </row>
    <row r="80" spans="1:9" ht="15.75" x14ac:dyDescent="0.25">
      <c r="A80" s="80">
        <v>78</v>
      </c>
      <c r="B80" s="83" t="s">
        <v>300</v>
      </c>
      <c r="C80" s="80" t="s">
        <v>236</v>
      </c>
      <c r="D80" s="79">
        <v>2</v>
      </c>
      <c r="E80" s="82">
        <v>53.6</v>
      </c>
      <c r="F80" s="75">
        <f t="shared" si="4"/>
        <v>107.2</v>
      </c>
      <c r="G80" s="77">
        <v>5</v>
      </c>
      <c r="H80" s="76">
        <v>0.2</v>
      </c>
      <c r="I80" s="75">
        <f t="shared" si="5"/>
        <v>21.44</v>
      </c>
    </row>
    <row r="81" spans="1:9" ht="45" x14ac:dyDescent="0.25">
      <c r="A81" s="80">
        <v>79</v>
      </c>
      <c r="B81" s="89" t="s">
        <v>299</v>
      </c>
      <c r="C81" s="80" t="s">
        <v>236</v>
      </c>
      <c r="D81" s="79">
        <v>2</v>
      </c>
      <c r="E81" s="78">
        <v>39.9</v>
      </c>
      <c r="F81" s="75">
        <f t="shared" si="4"/>
        <v>79.8</v>
      </c>
      <c r="G81" s="77">
        <v>5</v>
      </c>
      <c r="H81" s="76">
        <v>0.2</v>
      </c>
      <c r="I81" s="75">
        <f t="shared" si="5"/>
        <v>15.96</v>
      </c>
    </row>
    <row r="82" spans="1:9" ht="15.75" x14ac:dyDescent="0.25">
      <c r="A82" s="80">
        <v>80</v>
      </c>
      <c r="B82" s="83" t="s">
        <v>298</v>
      </c>
      <c r="C82" s="80" t="s">
        <v>236</v>
      </c>
      <c r="D82" s="79">
        <v>2</v>
      </c>
      <c r="E82" s="82">
        <v>194.16</v>
      </c>
      <c r="F82" s="75">
        <f t="shared" si="4"/>
        <v>388.32</v>
      </c>
      <c r="G82" s="77">
        <v>5</v>
      </c>
      <c r="H82" s="76">
        <v>0.2</v>
      </c>
      <c r="I82" s="75">
        <f t="shared" si="5"/>
        <v>77.66</v>
      </c>
    </row>
    <row r="83" spans="1:9" ht="15.75" x14ac:dyDescent="0.25">
      <c r="A83" s="80">
        <v>81</v>
      </c>
      <c r="B83" s="83" t="s">
        <v>297</v>
      </c>
      <c r="C83" s="80" t="s">
        <v>236</v>
      </c>
      <c r="D83" s="79">
        <v>1</v>
      </c>
      <c r="E83" s="82">
        <v>269.8</v>
      </c>
      <c r="F83" s="75">
        <f t="shared" si="4"/>
        <v>269.8</v>
      </c>
      <c r="G83" s="77">
        <v>5</v>
      </c>
      <c r="H83" s="76">
        <v>0.2</v>
      </c>
      <c r="I83" s="75">
        <f t="shared" si="5"/>
        <v>53.96</v>
      </c>
    </row>
    <row r="84" spans="1:9" ht="15.75" x14ac:dyDescent="0.25">
      <c r="A84" s="80">
        <v>82</v>
      </c>
      <c r="B84" s="86" t="s">
        <v>296</v>
      </c>
      <c r="C84" s="80" t="s">
        <v>236</v>
      </c>
      <c r="D84" s="79">
        <v>10</v>
      </c>
      <c r="E84" s="82">
        <v>59.99</v>
      </c>
      <c r="F84" s="75">
        <f t="shared" si="4"/>
        <v>599.9</v>
      </c>
      <c r="G84" s="77">
        <v>5</v>
      </c>
      <c r="H84" s="76">
        <v>0.2</v>
      </c>
      <c r="I84" s="75">
        <f t="shared" si="5"/>
        <v>119.98</v>
      </c>
    </row>
    <row r="85" spans="1:9" ht="15.75" x14ac:dyDescent="0.25">
      <c r="A85" s="80">
        <v>83</v>
      </c>
      <c r="B85" s="84" t="s">
        <v>295</v>
      </c>
      <c r="C85" s="80" t="s">
        <v>236</v>
      </c>
      <c r="D85" s="79">
        <v>1</v>
      </c>
      <c r="E85" s="82">
        <v>29.9</v>
      </c>
      <c r="F85" s="75">
        <f t="shared" si="4"/>
        <v>29.9</v>
      </c>
      <c r="G85" s="77">
        <v>5</v>
      </c>
      <c r="H85" s="76">
        <v>0.2</v>
      </c>
      <c r="I85" s="75">
        <f t="shared" si="5"/>
        <v>5.98</v>
      </c>
    </row>
    <row r="86" spans="1:9" ht="15.75" x14ac:dyDescent="0.25">
      <c r="A86" s="80">
        <v>84</v>
      </c>
      <c r="B86" s="86" t="s">
        <v>294</v>
      </c>
      <c r="C86" s="80" t="s">
        <v>236</v>
      </c>
      <c r="D86" s="79">
        <v>10</v>
      </c>
      <c r="E86" s="82">
        <v>34.9</v>
      </c>
      <c r="F86" s="75">
        <f t="shared" si="4"/>
        <v>349</v>
      </c>
      <c r="G86" s="77">
        <v>5</v>
      </c>
      <c r="H86" s="76">
        <v>0.2</v>
      </c>
      <c r="I86" s="75">
        <f t="shared" si="5"/>
        <v>69.8</v>
      </c>
    </row>
    <row r="87" spans="1:9" ht="15.75" x14ac:dyDescent="0.25">
      <c r="A87" s="80">
        <v>85</v>
      </c>
      <c r="B87" s="86" t="s">
        <v>293</v>
      </c>
      <c r="C87" s="80" t="s">
        <v>236</v>
      </c>
      <c r="D87" s="79">
        <v>20</v>
      </c>
      <c r="E87" s="82">
        <v>15.99</v>
      </c>
      <c r="F87" s="75">
        <f t="shared" si="4"/>
        <v>319.8</v>
      </c>
      <c r="G87" s="77">
        <v>5</v>
      </c>
      <c r="H87" s="76">
        <v>0.2</v>
      </c>
      <c r="I87" s="75">
        <f t="shared" si="5"/>
        <v>63.96</v>
      </c>
    </row>
    <row r="88" spans="1:9" ht="15.75" x14ac:dyDescent="0.25">
      <c r="A88" s="80">
        <v>86</v>
      </c>
      <c r="B88" s="83" t="s">
        <v>292</v>
      </c>
      <c r="C88" s="80" t="s">
        <v>236</v>
      </c>
      <c r="D88" s="79">
        <v>2</v>
      </c>
      <c r="E88" s="82">
        <v>33.39</v>
      </c>
      <c r="F88" s="75">
        <f t="shared" si="4"/>
        <v>66.78</v>
      </c>
      <c r="G88" s="77">
        <v>5</v>
      </c>
      <c r="H88" s="76">
        <v>0.2</v>
      </c>
      <c r="I88" s="75">
        <f t="shared" si="5"/>
        <v>13.35</v>
      </c>
    </row>
    <row r="89" spans="1:9" ht="15.75" x14ac:dyDescent="0.25">
      <c r="A89" s="80">
        <v>87</v>
      </c>
      <c r="B89" s="83" t="s">
        <v>291</v>
      </c>
      <c r="C89" s="80" t="s">
        <v>236</v>
      </c>
      <c r="D89" s="79">
        <v>2</v>
      </c>
      <c r="E89" s="82">
        <v>49.79</v>
      </c>
      <c r="F89" s="75">
        <f t="shared" si="4"/>
        <v>99.58</v>
      </c>
      <c r="G89" s="77">
        <v>5</v>
      </c>
      <c r="H89" s="76">
        <v>0.2</v>
      </c>
      <c r="I89" s="75">
        <f t="shared" si="5"/>
        <v>19.91</v>
      </c>
    </row>
    <row r="90" spans="1:9" ht="15.75" x14ac:dyDescent="0.25">
      <c r="A90" s="80">
        <v>88</v>
      </c>
      <c r="B90" s="83" t="s">
        <v>290</v>
      </c>
      <c r="C90" s="80" t="s">
        <v>236</v>
      </c>
      <c r="D90" s="79">
        <v>5</v>
      </c>
      <c r="E90" s="82">
        <v>217.55</v>
      </c>
      <c r="F90" s="75">
        <f t="shared" si="4"/>
        <v>1087.75</v>
      </c>
      <c r="G90" s="77">
        <v>5</v>
      </c>
      <c r="H90" s="76">
        <v>0.2</v>
      </c>
      <c r="I90" s="75">
        <f t="shared" si="5"/>
        <v>217.55</v>
      </c>
    </row>
    <row r="91" spans="1:9" ht="15.75" x14ac:dyDescent="0.25">
      <c r="A91" s="80">
        <v>89</v>
      </c>
      <c r="B91" s="84" t="s">
        <v>289</v>
      </c>
      <c r="C91" s="80" t="s">
        <v>236</v>
      </c>
      <c r="D91" s="79">
        <v>4</v>
      </c>
      <c r="E91" s="82">
        <v>158.9</v>
      </c>
      <c r="F91" s="75">
        <f t="shared" si="4"/>
        <v>635.6</v>
      </c>
      <c r="G91" s="77">
        <v>5</v>
      </c>
      <c r="H91" s="76">
        <v>0.2</v>
      </c>
      <c r="I91" s="75">
        <f t="shared" si="5"/>
        <v>127.12</v>
      </c>
    </row>
    <row r="92" spans="1:9" ht="15.75" x14ac:dyDescent="0.25">
      <c r="A92" s="80">
        <v>90</v>
      </c>
      <c r="B92" s="83" t="s">
        <v>288</v>
      </c>
      <c r="C92" s="80" t="s">
        <v>236</v>
      </c>
      <c r="D92" s="79">
        <v>2</v>
      </c>
      <c r="E92" s="78">
        <v>59.9</v>
      </c>
      <c r="F92" s="75">
        <f t="shared" si="4"/>
        <v>119.8</v>
      </c>
      <c r="G92" s="77">
        <v>5</v>
      </c>
      <c r="H92" s="76">
        <v>0.2</v>
      </c>
      <c r="I92" s="75">
        <f t="shared" si="5"/>
        <v>23.96</v>
      </c>
    </row>
    <row r="93" spans="1:9" ht="15.75" x14ac:dyDescent="0.25">
      <c r="A93" s="80">
        <v>91</v>
      </c>
      <c r="B93" s="83" t="s">
        <v>287</v>
      </c>
      <c r="C93" s="80" t="s">
        <v>236</v>
      </c>
      <c r="D93" s="79">
        <v>2</v>
      </c>
      <c r="E93" s="82">
        <v>131.80000000000001</v>
      </c>
      <c r="F93" s="75">
        <f t="shared" si="4"/>
        <v>263.60000000000002</v>
      </c>
      <c r="G93" s="77">
        <v>5</v>
      </c>
      <c r="H93" s="76">
        <v>0.2</v>
      </c>
      <c r="I93" s="75">
        <f t="shared" si="5"/>
        <v>52.72</v>
      </c>
    </row>
    <row r="94" spans="1:9" ht="15.75" x14ac:dyDescent="0.25">
      <c r="A94" s="80">
        <v>92</v>
      </c>
      <c r="B94" s="83" t="s">
        <v>286</v>
      </c>
      <c r="C94" s="80" t="s">
        <v>236</v>
      </c>
      <c r="D94" s="79">
        <v>5</v>
      </c>
      <c r="E94" s="82">
        <v>70.27</v>
      </c>
      <c r="F94" s="75">
        <f t="shared" si="4"/>
        <v>351.34999999999997</v>
      </c>
      <c r="G94" s="77">
        <v>5</v>
      </c>
      <c r="H94" s="76">
        <v>0.2</v>
      </c>
      <c r="I94" s="75">
        <f t="shared" si="5"/>
        <v>70.27</v>
      </c>
    </row>
    <row r="95" spans="1:9" ht="15.75" x14ac:dyDescent="0.25">
      <c r="A95" s="80">
        <v>93</v>
      </c>
      <c r="B95" s="83" t="s">
        <v>285</v>
      </c>
      <c r="C95" s="80" t="s">
        <v>236</v>
      </c>
      <c r="D95" s="79">
        <v>1</v>
      </c>
      <c r="E95" s="82">
        <v>130.6</v>
      </c>
      <c r="F95" s="75">
        <f t="shared" si="4"/>
        <v>130.6</v>
      </c>
      <c r="G95" s="77">
        <v>5</v>
      </c>
      <c r="H95" s="76">
        <v>0.2</v>
      </c>
      <c r="I95" s="75">
        <f t="shared" si="5"/>
        <v>26.12</v>
      </c>
    </row>
    <row r="96" spans="1:9" ht="30" x14ac:dyDescent="0.25">
      <c r="A96" s="80">
        <v>94</v>
      </c>
      <c r="B96" s="88" t="s">
        <v>284</v>
      </c>
      <c r="C96" s="80" t="s">
        <v>236</v>
      </c>
      <c r="D96" s="79">
        <v>4</v>
      </c>
      <c r="E96" s="78">
        <v>529.89</v>
      </c>
      <c r="F96" s="75">
        <f t="shared" si="4"/>
        <v>2119.56</v>
      </c>
      <c r="G96" s="77">
        <v>5</v>
      </c>
      <c r="H96" s="76">
        <v>0.2</v>
      </c>
      <c r="I96" s="75">
        <f t="shared" si="5"/>
        <v>423.91</v>
      </c>
    </row>
    <row r="97" spans="1:9" ht="29.25" customHeight="1" x14ac:dyDescent="0.25">
      <c r="A97" s="80">
        <v>95</v>
      </c>
      <c r="B97" s="88" t="s">
        <v>283</v>
      </c>
      <c r="C97" s="80" t="s">
        <v>236</v>
      </c>
      <c r="D97" s="79">
        <v>4</v>
      </c>
      <c r="E97" s="78">
        <v>98</v>
      </c>
      <c r="F97" s="75">
        <f t="shared" si="4"/>
        <v>392</v>
      </c>
      <c r="G97" s="77">
        <v>5</v>
      </c>
      <c r="H97" s="76">
        <v>0.2</v>
      </c>
      <c r="I97" s="75">
        <f t="shared" si="5"/>
        <v>78.400000000000006</v>
      </c>
    </row>
    <row r="98" spans="1:9" ht="15.75" x14ac:dyDescent="0.25">
      <c r="A98" s="80">
        <v>96</v>
      </c>
      <c r="B98" s="83" t="s">
        <v>282</v>
      </c>
      <c r="C98" s="80" t="s">
        <v>236</v>
      </c>
      <c r="D98" s="79">
        <v>1</v>
      </c>
      <c r="E98" s="82">
        <v>1218.01</v>
      </c>
      <c r="F98" s="75">
        <f t="shared" si="4"/>
        <v>1218.01</v>
      </c>
      <c r="G98" s="77">
        <v>5</v>
      </c>
      <c r="H98" s="76">
        <v>0.2</v>
      </c>
      <c r="I98" s="75">
        <f t="shared" si="5"/>
        <v>243.6</v>
      </c>
    </row>
    <row r="99" spans="1:9" ht="15.75" x14ac:dyDescent="0.25">
      <c r="A99" s="80">
        <v>97</v>
      </c>
      <c r="B99" s="84" t="s">
        <v>281</v>
      </c>
      <c r="C99" s="80" t="s">
        <v>236</v>
      </c>
      <c r="D99" s="79">
        <v>6</v>
      </c>
      <c r="E99" s="82">
        <v>40.299999999999997</v>
      </c>
      <c r="F99" s="75">
        <f t="shared" ref="F99:F130" si="6">E99*D99</f>
        <v>241.79999999999998</v>
      </c>
      <c r="G99" s="77">
        <v>5</v>
      </c>
      <c r="H99" s="76">
        <v>0.2</v>
      </c>
      <c r="I99" s="75">
        <f t="shared" ref="I99:I130" si="7">TRUNC(F99/G99,2)</f>
        <v>48.36</v>
      </c>
    </row>
    <row r="100" spans="1:9" ht="15.75" x14ac:dyDescent="0.25">
      <c r="A100" s="80">
        <v>98</v>
      </c>
      <c r="B100" s="83" t="s">
        <v>280</v>
      </c>
      <c r="C100" s="80" t="s">
        <v>236</v>
      </c>
      <c r="D100" s="79">
        <v>2</v>
      </c>
      <c r="E100" s="82">
        <v>77.52</v>
      </c>
      <c r="F100" s="75">
        <f t="shared" si="6"/>
        <v>155.04</v>
      </c>
      <c r="G100" s="77">
        <v>5</v>
      </c>
      <c r="H100" s="76">
        <v>0.2</v>
      </c>
      <c r="I100" s="75">
        <f t="shared" si="7"/>
        <v>31</v>
      </c>
    </row>
    <row r="101" spans="1:9" ht="15.75" x14ac:dyDescent="0.25">
      <c r="A101" s="80">
        <v>99</v>
      </c>
      <c r="B101" s="84" t="s">
        <v>279</v>
      </c>
      <c r="C101" s="80" t="s">
        <v>236</v>
      </c>
      <c r="D101" s="79">
        <v>1</v>
      </c>
      <c r="E101" s="82">
        <v>73.569999999999993</v>
      </c>
      <c r="F101" s="75">
        <f t="shared" si="6"/>
        <v>73.569999999999993</v>
      </c>
      <c r="G101" s="77">
        <v>5</v>
      </c>
      <c r="H101" s="76">
        <v>0.2</v>
      </c>
      <c r="I101" s="75">
        <f t="shared" si="7"/>
        <v>14.71</v>
      </c>
    </row>
    <row r="102" spans="1:9" ht="15.75" x14ac:dyDescent="0.25">
      <c r="A102" s="80">
        <v>100</v>
      </c>
      <c r="B102" s="84" t="s">
        <v>278</v>
      </c>
      <c r="C102" s="80" t="s">
        <v>236</v>
      </c>
      <c r="D102" s="79">
        <v>2</v>
      </c>
      <c r="E102" s="82">
        <v>39.9</v>
      </c>
      <c r="F102" s="75">
        <f t="shared" si="6"/>
        <v>79.8</v>
      </c>
      <c r="G102" s="77">
        <v>5</v>
      </c>
      <c r="H102" s="76">
        <v>0.2</v>
      </c>
      <c r="I102" s="75">
        <f t="shared" si="7"/>
        <v>15.96</v>
      </c>
    </row>
    <row r="103" spans="1:9" ht="15.75" x14ac:dyDescent="0.25">
      <c r="A103" s="80">
        <v>101</v>
      </c>
      <c r="B103" s="87" t="s">
        <v>277</v>
      </c>
      <c r="C103" s="80" t="s">
        <v>236</v>
      </c>
      <c r="D103" s="79">
        <v>2</v>
      </c>
      <c r="E103" s="82">
        <v>269.92</v>
      </c>
      <c r="F103" s="75">
        <f t="shared" si="6"/>
        <v>539.84</v>
      </c>
      <c r="G103" s="77">
        <v>5</v>
      </c>
      <c r="H103" s="76">
        <v>0.2</v>
      </c>
      <c r="I103" s="75">
        <f t="shared" si="7"/>
        <v>107.96</v>
      </c>
    </row>
    <row r="104" spans="1:9" ht="15.75" x14ac:dyDescent="0.25">
      <c r="A104" s="80">
        <v>102</v>
      </c>
      <c r="B104" s="83" t="s">
        <v>276</v>
      </c>
      <c r="C104" s="80" t="s">
        <v>236</v>
      </c>
      <c r="D104" s="79">
        <v>10</v>
      </c>
      <c r="E104" s="82">
        <v>9.99</v>
      </c>
      <c r="F104" s="75">
        <f t="shared" si="6"/>
        <v>99.9</v>
      </c>
      <c r="G104" s="77">
        <v>5</v>
      </c>
      <c r="H104" s="76">
        <v>0.2</v>
      </c>
      <c r="I104" s="75">
        <f t="shared" si="7"/>
        <v>19.98</v>
      </c>
    </row>
    <row r="105" spans="1:9" ht="15.75" x14ac:dyDescent="0.25">
      <c r="A105" s="80">
        <v>103</v>
      </c>
      <c r="B105" s="84" t="s">
        <v>275</v>
      </c>
      <c r="C105" s="80" t="s">
        <v>236</v>
      </c>
      <c r="D105" s="79">
        <v>2</v>
      </c>
      <c r="E105" s="82">
        <v>51.9</v>
      </c>
      <c r="F105" s="75">
        <f t="shared" si="6"/>
        <v>103.8</v>
      </c>
      <c r="G105" s="77">
        <v>5</v>
      </c>
      <c r="H105" s="76">
        <v>0.2</v>
      </c>
      <c r="I105" s="75">
        <f t="shared" si="7"/>
        <v>20.76</v>
      </c>
    </row>
    <row r="106" spans="1:9" ht="15.75" x14ac:dyDescent="0.25">
      <c r="A106" s="80">
        <v>104</v>
      </c>
      <c r="B106" s="86" t="s">
        <v>274</v>
      </c>
      <c r="C106" s="80" t="s">
        <v>236</v>
      </c>
      <c r="D106" s="79">
        <v>2</v>
      </c>
      <c r="E106" s="82">
        <v>706</v>
      </c>
      <c r="F106" s="75">
        <f t="shared" si="6"/>
        <v>1412</v>
      </c>
      <c r="G106" s="77">
        <v>5</v>
      </c>
      <c r="H106" s="76">
        <v>0.2</v>
      </c>
      <c r="I106" s="75">
        <f t="shared" si="7"/>
        <v>282.39999999999998</v>
      </c>
    </row>
    <row r="107" spans="1:9" ht="15.75" x14ac:dyDescent="0.25">
      <c r="A107" s="80">
        <v>105</v>
      </c>
      <c r="B107" s="83" t="s">
        <v>273</v>
      </c>
      <c r="C107" s="80" t="s">
        <v>236</v>
      </c>
      <c r="D107" s="79">
        <v>1</v>
      </c>
      <c r="E107" s="82">
        <v>113.91</v>
      </c>
      <c r="F107" s="75">
        <f t="shared" si="6"/>
        <v>113.91</v>
      </c>
      <c r="G107" s="77">
        <v>5</v>
      </c>
      <c r="H107" s="76">
        <v>0.2</v>
      </c>
      <c r="I107" s="75">
        <f t="shared" si="7"/>
        <v>22.78</v>
      </c>
    </row>
    <row r="108" spans="1:9" ht="15.75" x14ac:dyDescent="0.25">
      <c r="A108" s="80">
        <v>106</v>
      </c>
      <c r="B108" s="83" t="s">
        <v>272</v>
      </c>
      <c r="C108" s="80" t="s">
        <v>236</v>
      </c>
      <c r="D108" s="79">
        <v>6</v>
      </c>
      <c r="E108" s="82">
        <v>49.7</v>
      </c>
      <c r="F108" s="75">
        <f t="shared" si="6"/>
        <v>298.20000000000005</v>
      </c>
      <c r="G108" s="77">
        <v>5</v>
      </c>
      <c r="H108" s="76">
        <v>0.2</v>
      </c>
      <c r="I108" s="75">
        <f t="shared" si="7"/>
        <v>59.64</v>
      </c>
    </row>
    <row r="109" spans="1:9" ht="15.75" x14ac:dyDescent="0.25">
      <c r="A109" s="80">
        <v>107</v>
      </c>
      <c r="B109" s="83" t="s">
        <v>271</v>
      </c>
      <c r="C109" s="80" t="s">
        <v>236</v>
      </c>
      <c r="D109" s="79">
        <v>2</v>
      </c>
      <c r="E109" s="82">
        <v>69.069999999999993</v>
      </c>
      <c r="F109" s="75">
        <f t="shared" si="6"/>
        <v>138.13999999999999</v>
      </c>
      <c r="G109" s="77">
        <v>5</v>
      </c>
      <c r="H109" s="76">
        <v>0.2</v>
      </c>
      <c r="I109" s="75">
        <f t="shared" si="7"/>
        <v>27.62</v>
      </c>
    </row>
    <row r="110" spans="1:9" ht="15.75" x14ac:dyDescent="0.25">
      <c r="A110" s="80">
        <v>108</v>
      </c>
      <c r="B110" s="84" t="s">
        <v>270</v>
      </c>
      <c r="C110" s="80" t="s">
        <v>236</v>
      </c>
      <c r="D110" s="79">
        <v>2</v>
      </c>
      <c r="E110" s="82">
        <v>80.13</v>
      </c>
      <c r="F110" s="75">
        <f t="shared" si="6"/>
        <v>160.26</v>
      </c>
      <c r="G110" s="77">
        <v>5</v>
      </c>
      <c r="H110" s="76">
        <v>0.2</v>
      </c>
      <c r="I110" s="75">
        <f t="shared" si="7"/>
        <v>32.049999999999997</v>
      </c>
    </row>
    <row r="111" spans="1:9" ht="15.75" x14ac:dyDescent="0.25">
      <c r="A111" s="80">
        <v>109</v>
      </c>
      <c r="B111" s="83" t="s">
        <v>269</v>
      </c>
      <c r="C111" s="80" t="s">
        <v>236</v>
      </c>
      <c r="D111" s="79">
        <v>1</v>
      </c>
      <c r="E111" s="82">
        <v>35.99</v>
      </c>
      <c r="F111" s="75">
        <f t="shared" si="6"/>
        <v>35.99</v>
      </c>
      <c r="G111" s="77">
        <v>5</v>
      </c>
      <c r="H111" s="76">
        <v>0.2</v>
      </c>
      <c r="I111" s="75">
        <f t="shared" si="7"/>
        <v>7.19</v>
      </c>
    </row>
    <row r="112" spans="1:9" ht="15.75" x14ac:dyDescent="0.25">
      <c r="A112" s="80">
        <v>110</v>
      </c>
      <c r="B112" s="84" t="s">
        <v>268</v>
      </c>
      <c r="C112" s="80" t="s">
        <v>236</v>
      </c>
      <c r="D112" s="79">
        <v>5</v>
      </c>
      <c r="E112" s="82">
        <v>21.9</v>
      </c>
      <c r="F112" s="75">
        <f t="shared" si="6"/>
        <v>109.5</v>
      </c>
      <c r="G112" s="77">
        <v>5</v>
      </c>
      <c r="H112" s="76">
        <v>0.2</v>
      </c>
      <c r="I112" s="75">
        <f t="shared" si="7"/>
        <v>21.9</v>
      </c>
    </row>
    <row r="113" spans="1:9" ht="15.75" x14ac:dyDescent="0.25">
      <c r="A113" s="80">
        <v>111</v>
      </c>
      <c r="B113" s="84" t="s">
        <v>267</v>
      </c>
      <c r="C113" s="80" t="s">
        <v>236</v>
      </c>
      <c r="D113" s="79">
        <v>5</v>
      </c>
      <c r="E113" s="82">
        <v>47.9</v>
      </c>
      <c r="F113" s="75">
        <f t="shared" si="6"/>
        <v>239.5</v>
      </c>
      <c r="G113" s="77">
        <v>5</v>
      </c>
      <c r="H113" s="76">
        <v>0.2</v>
      </c>
      <c r="I113" s="75">
        <f t="shared" si="7"/>
        <v>47.9</v>
      </c>
    </row>
    <row r="114" spans="1:9" ht="15.75" x14ac:dyDescent="0.25">
      <c r="A114" s="80">
        <v>112</v>
      </c>
      <c r="B114" s="83" t="s">
        <v>266</v>
      </c>
      <c r="C114" s="80" t="s">
        <v>236</v>
      </c>
      <c r="D114" s="79">
        <v>2</v>
      </c>
      <c r="E114" s="82">
        <v>209.9</v>
      </c>
      <c r="F114" s="75">
        <f t="shared" si="6"/>
        <v>419.8</v>
      </c>
      <c r="G114" s="77">
        <v>5</v>
      </c>
      <c r="H114" s="76">
        <v>0.2</v>
      </c>
      <c r="I114" s="75">
        <f t="shared" si="7"/>
        <v>83.96</v>
      </c>
    </row>
    <row r="115" spans="1:9" ht="15.75" x14ac:dyDescent="0.25">
      <c r="A115" s="80">
        <v>113</v>
      </c>
      <c r="B115" s="83" t="s">
        <v>265</v>
      </c>
      <c r="C115" s="80" t="s">
        <v>236</v>
      </c>
      <c r="D115" s="79">
        <v>2</v>
      </c>
      <c r="E115" s="82">
        <v>69.900000000000006</v>
      </c>
      <c r="F115" s="75">
        <f t="shared" si="6"/>
        <v>139.80000000000001</v>
      </c>
      <c r="G115" s="77">
        <v>5</v>
      </c>
      <c r="H115" s="76">
        <v>0.2</v>
      </c>
      <c r="I115" s="75">
        <f t="shared" si="7"/>
        <v>27.96</v>
      </c>
    </row>
    <row r="116" spans="1:9" ht="15.75" x14ac:dyDescent="0.25">
      <c r="A116" s="80">
        <v>114</v>
      </c>
      <c r="B116" s="84" t="s">
        <v>264</v>
      </c>
      <c r="C116" s="80" t="s">
        <v>236</v>
      </c>
      <c r="D116" s="79">
        <v>4</v>
      </c>
      <c r="E116" s="82">
        <v>29.9</v>
      </c>
      <c r="F116" s="75">
        <f t="shared" si="6"/>
        <v>119.6</v>
      </c>
      <c r="G116" s="77">
        <v>5</v>
      </c>
      <c r="H116" s="76">
        <v>0.2</v>
      </c>
      <c r="I116" s="75">
        <f t="shared" si="7"/>
        <v>23.92</v>
      </c>
    </row>
    <row r="117" spans="1:9" ht="15.75" x14ac:dyDescent="0.25">
      <c r="A117" s="80">
        <v>115</v>
      </c>
      <c r="B117" s="83" t="s">
        <v>263</v>
      </c>
      <c r="C117" s="80" t="s">
        <v>236</v>
      </c>
      <c r="D117" s="79">
        <v>4</v>
      </c>
      <c r="E117" s="82">
        <v>44.9</v>
      </c>
      <c r="F117" s="75">
        <f t="shared" si="6"/>
        <v>179.6</v>
      </c>
      <c r="G117" s="77">
        <v>5</v>
      </c>
      <c r="H117" s="76">
        <v>0.2</v>
      </c>
      <c r="I117" s="75">
        <f t="shared" si="7"/>
        <v>35.92</v>
      </c>
    </row>
    <row r="118" spans="1:9" ht="15.75" x14ac:dyDescent="0.25">
      <c r="A118" s="80">
        <v>116</v>
      </c>
      <c r="B118" s="83" t="s">
        <v>262</v>
      </c>
      <c r="C118" s="80" t="s">
        <v>236</v>
      </c>
      <c r="D118" s="79">
        <v>1</v>
      </c>
      <c r="E118" s="82">
        <v>29.38</v>
      </c>
      <c r="F118" s="75">
        <f t="shared" si="6"/>
        <v>29.38</v>
      </c>
      <c r="G118" s="77">
        <v>5</v>
      </c>
      <c r="H118" s="76">
        <v>0.2</v>
      </c>
      <c r="I118" s="75">
        <f t="shared" si="7"/>
        <v>5.87</v>
      </c>
    </row>
    <row r="119" spans="1:9" ht="15.75" x14ac:dyDescent="0.25">
      <c r="A119" s="80">
        <v>117</v>
      </c>
      <c r="B119" s="83" t="s">
        <v>261</v>
      </c>
      <c r="C119" s="80" t="s">
        <v>236</v>
      </c>
      <c r="D119" s="79">
        <v>3</v>
      </c>
      <c r="E119" s="82">
        <v>74.900000000000006</v>
      </c>
      <c r="F119" s="75">
        <f t="shared" si="6"/>
        <v>224.70000000000002</v>
      </c>
      <c r="G119" s="77">
        <v>5</v>
      </c>
      <c r="H119" s="76">
        <v>0.2</v>
      </c>
      <c r="I119" s="75">
        <f t="shared" si="7"/>
        <v>44.94</v>
      </c>
    </row>
    <row r="120" spans="1:9" ht="15.75" x14ac:dyDescent="0.25">
      <c r="A120" s="80">
        <v>118</v>
      </c>
      <c r="B120" s="84" t="s">
        <v>260</v>
      </c>
      <c r="C120" s="80" t="s">
        <v>236</v>
      </c>
      <c r="D120" s="79">
        <v>2</v>
      </c>
      <c r="E120" s="82">
        <v>282.31</v>
      </c>
      <c r="F120" s="75">
        <f t="shared" si="6"/>
        <v>564.62</v>
      </c>
      <c r="G120" s="77">
        <v>5</v>
      </c>
      <c r="H120" s="76">
        <v>0.2</v>
      </c>
      <c r="I120" s="75">
        <f t="shared" si="7"/>
        <v>112.92</v>
      </c>
    </row>
    <row r="121" spans="1:9" ht="15.75" x14ac:dyDescent="0.25">
      <c r="A121" s="80">
        <v>119</v>
      </c>
      <c r="B121" s="83" t="s">
        <v>259</v>
      </c>
      <c r="C121" s="80" t="s">
        <v>236</v>
      </c>
      <c r="D121" s="79">
        <v>2</v>
      </c>
      <c r="E121" s="82">
        <v>82.01</v>
      </c>
      <c r="F121" s="75">
        <f t="shared" si="6"/>
        <v>164.02</v>
      </c>
      <c r="G121" s="77">
        <v>5</v>
      </c>
      <c r="H121" s="76">
        <v>0.2</v>
      </c>
      <c r="I121" s="75">
        <f t="shared" si="7"/>
        <v>32.799999999999997</v>
      </c>
    </row>
    <row r="122" spans="1:9" ht="15.75" x14ac:dyDescent="0.25">
      <c r="A122" s="80">
        <v>120</v>
      </c>
      <c r="B122" s="83" t="s">
        <v>258</v>
      </c>
      <c r="C122" s="80" t="s">
        <v>236</v>
      </c>
      <c r="D122" s="79">
        <v>2</v>
      </c>
      <c r="E122" s="82">
        <v>39.9</v>
      </c>
      <c r="F122" s="75">
        <f t="shared" si="6"/>
        <v>79.8</v>
      </c>
      <c r="G122" s="77">
        <v>5</v>
      </c>
      <c r="H122" s="76">
        <v>0.2</v>
      </c>
      <c r="I122" s="75">
        <f t="shared" si="7"/>
        <v>15.96</v>
      </c>
    </row>
    <row r="123" spans="1:9" ht="15.75" x14ac:dyDescent="0.25">
      <c r="A123" s="80">
        <v>121</v>
      </c>
      <c r="B123" s="83" t="s">
        <v>257</v>
      </c>
      <c r="C123" s="80" t="s">
        <v>236</v>
      </c>
      <c r="D123" s="79">
        <v>1</v>
      </c>
      <c r="E123" s="82">
        <v>19.34</v>
      </c>
      <c r="F123" s="75">
        <f t="shared" si="6"/>
        <v>19.34</v>
      </c>
      <c r="G123" s="77">
        <v>5</v>
      </c>
      <c r="H123" s="76">
        <v>0.2</v>
      </c>
      <c r="I123" s="75">
        <f t="shared" si="7"/>
        <v>3.86</v>
      </c>
    </row>
    <row r="124" spans="1:9" ht="15.75" x14ac:dyDescent="0.25">
      <c r="A124" s="80">
        <v>122</v>
      </c>
      <c r="B124" s="84" t="s">
        <v>256</v>
      </c>
      <c r="C124" s="80" t="s">
        <v>236</v>
      </c>
      <c r="D124" s="79">
        <v>2</v>
      </c>
      <c r="E124" s="82">
        <v>59.9</v>
      </c>
      <c r="F124" s="75">
        <f t="shared" si="6"/>
        <v>119.8</v>
      </c>
      <c r="G124" s="77">
        <v>5</v>
      </c>
      <c r="H124" s="76">
        <v>0.2</v>
      </c>
      <c r="I124" s="75">
        <f t="shared" si="7"/>
        <v>23.96</v>
      </c>
    </row>
    <row r="125" spans="1:9" ht="15.75" x14ac:dyDescent="0.25">
      <c r="A125" s="80">
        <v>123</v>
      </c>
      <c r="B125" s="84" t="s">
        <v>255</v>
      </c>
      <c r="C125" s="80" t="s">
        <v>236</v>
      </c>
      <c r="D125" s="79">
        <v>2</v>
      </c>
      <c r="E125" s="82">
        <v>230</v>
      </c>
      <c r="F125" s="75">
        <f t="shared" si="6"/>
        <v>460</v>
      </c>
      <c r="G125" s="77">
        <v>5</v>
      </c>
      <c r="H125" s="76">
        <v>0.2</v>
      </c>
      <c r="I125" s="75">
        <f t="shared" si="7"/>
        <v>92</v>
      </c>
    </row>
    <row r="126" spans="1:9" ht="15.75" x14ac:dyDescent="0.25">
      <c r="A126" s="80">
        <v>124</v>
      </c>
      <c r="B126" s="83" t="s">
        <v>254</v>
      </c>
      <c r="C126" s="80" t="s">
        <v>236</v>
      </c>
      <c r="D126" s="79">
        <v>4</v>
      </c>
      <c r="E126" s="82">
        <v>34.5</v>
      </c>
      <c r="F126" s="75">
        <f t="shared" si="6"/>
        <v>138</v>
      </c>
      <c r="G126" s="77">
        <v>5</v>
      </c>
      <c r="H126" s="76">
        <v>0.2</v>
      </c>
      <c r="I126" s="75">
        <f t="shared" si="7"/>
        <v>27.6</v>
      </c>
    </row>
    <row r="127" spans="1:9" ht="15.75" x14ac:dyDescent="0.25">
      <c r="A127" s="80">
        <v>125</v>
      </c>
      <c r="B127" s="84" t="s">
        <v>253</v>
      </c>
      <c r="C127" s="80" t="s">
        <v>236</v>
      </c>
      <c r="D127" s="79">
        <v>4</v>
      </c>
      <c r="E127" s="82">
        <v>36.65</v>
      </c>
      <c r="F127" s="75">
        <f t="shared" si="6"/>
        <v>146.6</v>
      </c>
      <c r="G127" s="77">
        <v>5</v>
      </c>
      <c r="H127" s="76">
        <v>0.2</v>
      </c>
      <c r="I127" s="75">
        <f t="shared" si="7"/>
        <v>29.32</v>
      </c>
    </row>
    <row r="128" spans="1:9" ht="15.75" x14ac:dyDescent="0.25">
      <c r="A128" s="80">
        <v>126</v>
      </c>
      <c r="B128" s="83" t="s">
        <v>252</v>
      </c>
      <c r="C128" s="80" t="s">
        <v>236</v>
      </c>
      <c r="D128" s="79">
        <v>18</v>
      </c>
      <c r="E128" s="82">
        <v>324.74</v>
      </c>
      <c r="F128" s="75">
        <f t="shared" si="6"/>
        <v>5845.32</v>
      </c>
      <c r="G128" s="77">
        <v>5</v>
      </c>
      <c r="H128" s="76">
        <v>0.2</v>
      </c>
      <c r="I128" s="75">
        <f t="shared" si="7"/>
        <v>1169.06</v>
      </c>
    </row>
    <row r="129" spans="1:9" ht="15.75" x14ac:dyDescent="0.25">
      <c r="A129" s="80">
        <v>127</v>
      </c>
      <c r="B129" s="86" t="s">
        <v>251</v>
      </c>
      <c r="C129" s="80" t="s">
        <v>236</v>
      </c>
      <c r="D129" s="79">
        <v>1</v>
      </c>
      <c r="E129" s="82">
        <v>87</v>
      </c>
      <c r="F129" s="75">
        <f t="shared" si="6"/>
        <v>87</v>
      </c>
      <c r="G129" s="77">
        <v>5</v>
      </c>
      <c r="H129" s="76">
        <v>0.2</v>
      </c>
      <c r="I129" s="75">
        <f t="shared" si="7"/>
        <v>17.399999999999999</v>
      </c>
    </row>
    <row r="130" spans="1:9" ht="15.75" x14ac:dyDescent="0.25">
      <c r="A130" s="80">
        <v>128</v>
      </c>
      <c r="B130" s="86" t="s">
        <v>250</v>
      </c>
      <c r="C130" s="80" t="s">
        <v>236</v>
      </c>
      <c r="D130" s="79">
        <v>1</v>
      </c>
      <c r="E130" s="82">
        <v>99.9</v>
      </c>
      <c r="F130" s="75">
        <f t="shared" si="6"/>
        <v>99.9</v>
      </c>
      <c r="G130" s="77">
        <v>5</v>
      </c>
      <c r="H130" s="76">
        <v>0.2</v>
      </c>
      <c r="I130" s="75">
        <f t="shared" si="7"/>
        <v>19.98</v>
      </c>
    </row>
    <row r="131" spans="1:9" ht="15.75" x14ac:dyDescent="0.25">
      <c r="A131" s="80">
        <v>129</v>
      </c>
      <c r="B131" s="83" t="s">
        <v>249</v>
      </c>
      <c r="C131" s="80" t="s">
        <v>236</v>
      </c>
      <c r="D131" s="79">
        <v>3</v>
      </c>
      <c r="E131" s="82">
        <v>37.9</v>
      </c>
      <c r="F131" s="75">
        <f t="shared" ref="F131:F143" si="8">E131*D131</f>
        <v>113.69999999999999</v>
      </c>
      <c r="G131" s="77">
        <v>5</v>
      </c>
      <c r="H131" s="76">
        <v>0.2</v>
      </c>
      <c r="I131" s="75">
        <f t="shared" ref="I131:I143" si="9">TRUNC(F131/G131,2)</f>
        <v>22.74</v>
      </c>
    </row>
    <row r="132" spans="1:9" ht="15.75" x14ac:dyDescent="0.25">
      <c r="A132" s="80">
        <v>130</v>
      </c>
      <c r="B132" s="86" t="s">
        <v>248</v>
      </c>
      <c r="C132" s="80" t="s">
        <v>236</v>
      </c>
      <c r="D132" s="79">
        <v>4</v>
      </c>
      <c r="E132" s="82">
        <v>22.9</v>
      </c>
      <c r="F132" s="75">
        <f t="shared" si="8"/>
        <v>91.6</v>
      </c>
      <c r="G132" s="77">
        <v>5</v>
      </c>
      <c r="H132" s="76">
        <v>0.2</v>
      </c>
      <c r="I132" s="75">
        <f t="shared" si="9"/>
        <v>18.32</v>
      </c>
    </row>
    <row r="133" spans="1:9" ht="15.75" x14ac:dyDescent="0.25">
      <c r="A133" s="80">
        <v>131</v>
      </c>
      <c r="B133" s="85" t="s">
        <v>247</v>
      </c>
      <c r="C133" s="80" t="s">
        <v>236</v>
      </c>
      <c r="D133" s="79">
        <v>6</v>
      </c>
      <c r="E133" s="82">
        <v>30.89</v>
      </c>
      <c r="F133" s="75">
        <f t="shared" si="8"/>
        <v>185.34</v>
      </c>
      <c r="G133" s="77">
        <v>5</v>
      </c>
      <c r="H133" s="76">
        <v>0.2</v>
      </c>
      <c r="I133" s="75">
        <f t="shared" si="9"/>
        <v>37.06</v>
      </c>
    </row>
    <row r="134" spans="1:9" ht="15.75" x14ac:dyDescent="0.25">
      <c r="A134" s="80">
        <v>132</v>
      </c>
      <c r="B134" s="84" t="s">
        <v>246</v>
      </c>
      <c r="C134" s="80" t="s">
        <v>236</v>
      </c>
      <c r="D134" s="79">
        <v>4</v>
      </c>
      <c r="E134" s="82">
        <v>23.13</v>
      </c>
      <c r="F134" s="75">
        <f t="shared" si="8"/>
        <v>92.52</v>
      </c>
      <c r="G134" s="77">
        <v>5</v>
      </c>
      <c r="H134" s="76">
        <v>0.2</v>
      </c>
      <c r="I134" s="75">
        <f t="shared" si="9"/>
        <v>18.5</v>
      </c>
    </row>
    <row r="135" spans="1:9" ht="15.75" x14ac:dyDescent="0.25">
      <c r="A135" s="80">
        <v>133</v>
      </c>
      <c r="B135" s="83" t="s">
        <v>245</v>
      </c>
      <c r="C135" s="80" t="s">
        <v>236</v>
      </c>
      <c r="D135" s="79">
        <v>6</v>
      </c>
      <c r="E135" s="82">
        <v>37.5</v>
      </c>
      <c r="F135" s="75">
        <f t="shared" si="8"/>
        <v>225</v>
      </c>
      <c r="G135" s="77">
        <v>5</v>
      </c>
      <c r="H135" s="76">
        <v>0.2</v>
      </c>
      <c r="I135" s="75">
        <f t="shared" si="9"/>
        <v>45</v>
      </c>
    </row>
    <row r="136" spans="1:9" ht="15.75" x14ac:dyDescent="0.25">
      <c r="A136" s="80">
        <v>134</v>
      </c>
      <c r="B136" s="84" t="s">
        <v>244</v>
      </c>
      <c r="C136" s="80" t="s">
        <v>236</v>
      </c>
      <c r="D136" s="79">
        <v>3</v>
      </c>
      <c r="E136" s="82">
        <v>92.28</v>
      </c>
      <c r="F136" s="75">
        <f t="shared" si="8"/>
        <v>276.84000000000003</v>
      </c>
      <c r="G136" s="77">
        <v>5</v>
      </c>
      <c r="H136" s="76">
        <v>0.2</v>
      </c>
      <c r="I136" s="75">
        <f t="shared" si="9"/>
        <v>55.36</v>
      </c>
    </row>
    <row r="137" spans="1:9" ht="15.75" x14ac:dyDescent="0.25">
      <c r="A137" s="80">
        <v>135</v>
      </c>
      <c r="B137" s="84" t="s">
        <v>243</v>
      </c>
      <c r="C137" s="80" t="s">
        <v>236</v>
      </c>
      <c r="D137" s="79">
        <v>3</v>
      </c>
      <c r="E137" s="82">
        <v>18.899999999999999</v>
      </c>
      <c r="F137" s="75">
        <f t="shared" si="8"/>
        <v>56.699999999999996</v>
      </c>
      <c r="G137" s="77">
        <v>5</v>
      </c>
      <c r="H137" s="76">
        <v>0.2</v>
      </c>
      <c r="I137" s="75">
        <f t="shared" si="9"/>
        <v>11.34</v>
      </c>
    </row>
    <row r="138" spans="1:9" ht="15.75" x14ac:dyDescent="0.25">
      <c r="A138" s="80">
        <v>136</v>
      </c>
      <c r="B138" s="84" t="s">
        <v>242</v>
      </c>
      <c r="C138" s="80" t="s">
        <v>236</v>
      </c>
      <c r="D138" s="79">
        <v>2</v>
      </c>
      <c r="E138" s="82">
        <v>136.21</v>
      </c>
      <c r="F138" s="75">
        <f t="shared" si="8"/>
        <v>272.42</v>
      </c>
      <c r="G138" s="77">
        <v>5</v>
      </c>
      <c r="H138" s="76">
        <v>0.2</v>
      </c>
      <c r="I138" s="75">
        <f t="shared" si="9"/>
        <v>54.48</v>
      </c>
    </row>
    <row r="139" spans="1:9" ht="15.75" x14ac:dyDescent="0.25">
      <c r="A139" s="80">
        <v>137</v>
      </c>
      <c r="B139" s="84" t="s">
        <v>241</v>
      </c>
      <c r="C139" s="80" t="s">
        <v>236</v>
      </c>
      <c r="D139" s="79">
        <v>4</v>
      </c>
      <c r="E139" s="82">
        <v>38.99</v>
      </c>
      <c r="F139" s="75">
        <f t="shared" si="8"/>
        <v>155.96</v>
      </c>
      <c r="G139" s="77">
        <v>5</v>
      </c>
      <c r="H139" s="76">
        <v>0.2</v>
      </c>
      <c r="I139" s="75">
        <f t="shared" si="9"/>
        <v>31.19</v>
      </c>
    </row>
    <row r="140" spans="1:9" ht="15.75" x14ac:dyDescent="0.25">
      <c r="A140" s="80">
        <v>138</v>
      </c>
      <c r="B140" s="83" t="s">
        <v>240</v>
      </c>
      <c r="C140" s="80" t="s">
        <v>236</v>
      </c>
      <c r="D140" s="79">
        <v>4</v>
      </c>
      <c r="E140" s="82">
        <v>27.99</v>
      </c>
      <c r="F140" s="75">
        <f t="shared" si="8"/>
        <v>111.96</v>
      </c>
      <c r="G140" s="77">
        <v>5</v>
      </c>
      <c r="H140" s="76">
        <v>0.2</v>
      </c>
      <c r="I140" s="75">
        <f t="shared" si="9"/>
        <v>22.39</v>
      </c>
    </row>
    <row r="141" spans="1:9" ht="15.75" x14ac:dyDescent="0.25">
      <c r="A141" s="80">
        <v>139</v>
      </c>
      <c r="B141" s="83" t="s">
        <v>239</v>
      </c>
      <c r="C141" s="80" t="s">
        <v>236</v>
      </c>
      <c r="D141" s="79">
        <v>12</v>
      </c>
      <c r="E141" s="82">
        <v>6.43</v>
      </c>
      <c r="F141" s="75">
        <f t="shared" si="8"/>
        <v>77.16</v>
      </c>
      <c r="G141" s="77">
        <v>5</v>
      </c>
      <c r="H141" s="76">
        <v>0.2</v>
      </c>
      <c r="I141" s="75">
        <f t="shared" si="9"/>
        <v>15.43</v>
      </c>
    </row>
    <row r="142" spans="1:9" ht="15.75" x14ac:dyDescent="0.25">
      <c r="A142" s="80">
        <v>140</v>
      </c>
      <c r="B142" s="83" t="s">
        <v>238</v>
      </c>
      <c r="C142" s="80" t="s">
        <v>236</v>
      </c>
      <c r="D142" s="79">
        <v>2</v>
      </c>
      <c r="E142" s="82">
        <v>29.08</v>
      </c>
      <c r="F142" s="75">
        <f t="shared" si="8"/>
        <v>58.16</v>
      </c>
      <c r="G142" s="77">
        <v>5</v>
      </c>
      <c r="H142" s="76">
        <v>0.2</v>
      </c>
      <c r="I142" s="75">
        <f t="shared" si="9"/>
        <v>11.63</v>
      </c>
    </row>
    <row r="143" spans="1:9" ht="15.75" x14ac:dyDescent="0.25">
      <c r="A143" s="80">
        <v>141</v>
      </c>
      <c r="B143" s="81" t="s">
        <v>237</v>
      </c>
      <c r="C143" s="80" t="s">
        <v>236</v>
      </c>
      <c r="D143" s="79">
        <v>4</v>
      </c>
      <c r="E143" s="78">
        <v>59.9</v>
      </c>
      <c r="F143" s="75">
        <f t="shared" si="8"/>
        <v>239.6</v>
      </c>
      <c r="G143" s="77">
        <v>5</v>
      </c>
      <c r="H143" s="76">
        <v>0.2</v>
      </c>
      <c r="I143" s="75">
        <f t="shared" si="9"/>
        <v>47.92</v>
      </c>
    </row>
    <row r="144" spans="1:9" x14ac:dyDescent="0.25">
      <c r="A144" s="500" t="s">
        <v>235</v>
      </c>
      <c r="B144" s="501"/>
      <c r="C144" s="501"/>
      <c r="D144" s="501"/>
      <c r="E144" s="502"/>
      <c r="F144" s="102">
        <f>SUM(F3:F143)</f>
        <v>40139.579999999973</v>
      </c>
      <c r="G144" s="102"/>
      <c r="H144" s="102"/>
      <c r="I144" s="159">
        <f>SUM(I3:I143)</f>
        <v>8027.5899999999974</v>
      </c>
    </row>
    <row r="145" spans="1:17" x14ac:dyDescent="0.25">
      <c r="A145" s="503" t="s">
        <v>403</v>
      </c>
      <c r="B145" s="504"/>
      <c r="C145" s="504"/>
      <c r="D145" s="504"/>
      <c r="E145" s="504"/>
      <c r="F145" s="504"/>
      <c r="G145" s="504"/>
      <c r="H145" s="505"/>
      <c r="I145" s="101">
        <f>(I144/23)/12</f>
        <v>29.085471014492743</v>
      </c>
    </row>
    <row r="147" spans="1:17" x14ac:dyDescent="0.25">
      <c r="A147" s="69" t="s">
        <v>404</v>
      </c>
      <c r="P147" s="73"/>
      <c r="Q147" s="73"/>
    </row>
    <row r="148" spans="1:17" x14ac:dyDescent="0.25">
      <c r="P148" s="73"/>
      <c r="Q148" s="73"/>
    </row>
  </sheetData>
  <mergeCells count="4">
    <mergeCell ref="A1:F1"/>
    <mergeCell ref="G1:I1"/>
    <mergeCell ref="A144:E144"/>
    <mergeCell ref="A145:H145"/>
  </mergeCells>
  <pageMargins left="0.511811024" right="0.511811024" top="0.78740157499999996" bottom="0.78740157499999996" header="0.31496062000000002" footer="0.31496062000000002"/>
  <pageSetup paperSize="9" scale="6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D97F8-E543-4FBC-B8FC-61579E592FAD}">
  <dimension ref="A1:D5"/>
  <sheetViews>
    <sheetView workbookViewId="0">
      <selection activeCell="B5" sqref="B5"/>
    </sheetView>
  </sheetViews>
  <sheetFormatPr defaultRowHeight="15" x14ac:dyDescent="0.25"/>
  <cols>
    <col min="1" max="1" width="27.5703125" bestFit="1" customWidth="1"/>
    <col min="2" max="2" width="15.42578125" bestFit="1" customWidth="1"/>
    <col min="3" max="3" width="14.28515625" bestFit="1" customWidth="1"/>
    <col min="4" max="4" width="14.42578125" bestFit="1" customWidth="1"/>
  </cols>
  <sheetData>
    <row r="1" spans="1:4" x14ac:dyDescent="0.25">
      <c r="A1" s="389" t="s">
        <v>600</v>
      </c>
      <c r="B1" s="389"/>
      <c r="C1" s="389"/>
    </row>
    <row r="2" spans="1:4" x14ac:dyDescent="0.25">
      <c r="B2" t="s">
        <v>231</v>
      </c>
      <c r="C2" t="s">
        <v>602</v>
      </c>
      <c r="D2" t="s">
        <v>605</v>
      </c>
    </row>
    <row r="3" spans="1:4" x14ac:dyDescent="0.25">
      <c r="A3" t="s">
        <v>601</v>
      </c>
      <c r="B3" s="364">
        <f>'TABELA 1 Formação de Preço '!D9</f>
        <v>2711323.1899682283</v>
      </c>
      <c r="C3" s="364">
        <f>B3*0.05</f>
        <v>135566.15949841143</v>
      </c>
    </row>
    <row r="4" spans="1:4" x14ac:dyDescent="0.25">
      <c r="A4" t="s">
        <v>603</v>
      </c>
      <c r="B4" s="364">
        <f>'TABELA 1 Formação de Preço '!D9</f>
        <v>2711323.1899682283</v>
      </c>
      <c r="C4" s="365">
        <f>B4*0.05</f>
        <v>135566.15949841143</v>
      </c>
    </row>
    <row r="5" spans="1:4" x14ac:dyDescent="0.25">
      <c r="A5" t="s">
        <v>604</v>
      </c>
      <c r="B5" s="364">
        <f>'TABELA 1 Formação de Preço '!J9</f>
        <v>2834426.2480434952</v>
      </c>
      <c r="C5" s="365">
        <f>B5*0.05</f>
        <v>141721.31240217478</v>
      </c>
      <c r="D5" s="365">
        <f>C5-C4</f>
        <v>6155.1529037633445</v>
      </c>
    </row>
  </sheetData>
  <mergeCells count="1">
    <mergeCell ref="A1:C1"/>
  </mergeCell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22"/>
  <sheetViews>
    <sheetView showGridLines="0" view="pageBreakPreview" zoomScaleNormal="100" zoomScaleSheetLayoutView="100" workbookViewId="0">
      <selection activeCell="E19" sqref="E19"/>
    </sheetView>
  </sheetViews>
  <sheetFormatPr defaultColWidth="9.140625" defaultRowHeight="12.75" x14ac:dyDescent="0.2"/>
  <cols>
    <col min="1" max="1" width="5.28515625" style="1" customWidth="1"/>
    <col min="2" max="2" width="46" style="113" customWidth="1"/>
    <col min="3" max="3" width="8.28515625" style="1" customWidth="1"/>
    <col min="4" max="4" width="6.7109375" style="1" customWidth="1"/>
    <col min="5" max="5" width="13.42578125" style="1" customWidth="1"/>
    <col min="6" max="6" width="14.42578125" style="1" bestFit="1" customWidth="1"/>
    <col min="7" max="7" width="14.7109375" style="1" bestFit="1" customWidth="1"/>
    <col min="8" max="8" width="13.140625" style="1" customWidth="1"/>
    <col min="9" max="9" width="15.5703125" style="1" customWidth="1"/>
    <col min="10" max="10" width="17.42578125" style="1" customWidth="1"/>
    <col min="11" max="16384" width="9.140625" style="1"/>
  </cols>
  <sheetData>
    <row r="1" spans="1:6" ht="15" thickBot="1" x14ac:dyDescent="0.25">
      <c r="A1" s="506" t="s">
        <v>471</v>
      </c>
      <c r="B1" s="507"/>
      <c r="C1" s="507"/>
      <c r="D1" s="507"/>
      <c r="E1" s="507"/>
      <c r="F1" s="508"/>
    </row>
    <row r="2" spans="1:6" ht="27.75" customHeight="1" x14ac:dyDescent="0.2">
      <c r="A2" s="512" t="s">
        <v>384</v>
      </c>
      <c r="B2" s="514" t="s">
        <v>521</v>
      </c>
      <c r="C2" s="516" t="s">
        <v>447</v>
      </c>
      <c r="D2" s="516" t="s">
        <v>522</v>
      </c>
      <c r="E2" s="163" t="s">
        <v>523</v>
      </c>
      <c r="F2" s="514" t="s">
        <v>525</v>
      </c>
    </row>
    <row r="3" spans="1:6" ht="15" thickBot="1" x14ac:dyDescent="0.25">
      <c r="A3" s="513"/>
      <c r="B3" s="515"/>
      <c r="C3" s="517"/>
      <c r="D3" s="517"/>
      <c r="E3" s="160" t="s">
        <v>524</v>
      </c>
      <c r="F3" s="515"/>
    </row>
    <row r="4" spans="1:6" ht="45.75" thickBot="1" x14ac:dyDescent="0.25">
      <c r="A4" s="197">
        <v>1</v>
      </c>
      <c r="B4" s="194" t="s">
        <v>446</v>
      </c>
      <c r="C4" s="198" t="s">
        <v>441</v>
      </c>
      <c r="D4" s="198">
        <v>12</v>
      </c>
      <c r="E4" s="196">
        <v>500</v>
      </c>
      <c r="F4" s="196">
        <f>D4*E4</f>
        <v>6000</v>
      </c>
    </row>
    <row r="5" spans="1:6" ht="15.75" thickBot="1" x14ac:dyDescent="0.25">
      <c r="A5" s="197" t="s">
        <v>399</v>
      </c>
      <c r="B5" s="194" t="s">
        <v>445</v>
      </c>
      <c r="C5" s="198" t="s">
        <v>236</v>
      </c>
      <c r="D5" s="198">
        <v>3</v>
      </c>
      <c r="E5" s="196">
        <v>900</v>
      </c>
      <c r="F5" s="196">
        <f t="shared" ref="F5:F20" si="0">D5*E5</f>
        <v>2700</v>
      </c>
    </row>
    <row r="6" spans="1:6" ht="30.75" thickBot="1" x14ac:dyDescent="0.25">
      <c r="A6" s="197">
        <v>2</v>
      </c>
      <c r="B6" s="194" t="s">
        <v>444</v>
      </c>
      <c r="C6" s="198" t="s">
        <v>441</v>
      </c>
      <c r="D6" s="198">
        <v>12</v>
      </c>
      <c r="E6" s="196">
        <v>2480</v>
      </c>
      <c r="F6" s="196">
        <f t="shared" si="0"/>
        <v>29760</v>
      </c>
    </row>
    <row r="7" spans="1:6" ht="15.75" thickBot="1" x14ac:dyDescent="0.25">
      <c r="A7" s="197">
        <v>3</v>
      </c>
      <c r="B7" s="518" t="s">
        <v>443</v>
      </c>
      <c r="C7" s="519"/>
      <c r="D7" s="519"/>
      <c r="E7" s="519"/>
      <c r="F7" s="520"/>
    </row>
    <row r="8" spans="1:6" ht="15.75" thickBot="1" x14ac:dyDescent="0.25">
      <c r="A8" s="164" t="s">
        <v>395</v>
      </c>
      <c r="B8" s="165" t="s">
        <v>149</v>
      </c>
      <c r="C8" s="162" t="s">
        <v>236</v>
      </c>
      <c r="D8" s="162">
        <v>150</v>
      </c>
      <c r="E8" s="199">
        <v>8.5</v>
      </c>
      <c r="F8" s="167">
        <f t="shared" si="0"/>
        <v>1275</v>
      </c>
    </row>
    <row r="9" spans="1:6" ht="15.75" thickBot="1" x14ac:dyDescent="0.25">
      <c r="A9" s="164" t="s">
        <v>394</v>
      </c>
      <c r="B9" s="165" t="s">
        <v>150</v>
      </c>
      <c r="C9" s="162" t="s">
        <v>236</v>
      </c>
      <c r="D9" s="162">
        <v>5</v>
      </c>
      <c r="E9" s="199">
        <v>9</v>
      </c>
      <c r="F9" s="167">
        <f t="shared" si="0"/>
        <v>45</v>
      </c>
    </row>
    <row r="10" spans="1:6" ht="15.75" thickBot="1" x14ac:dyDescent="0.25">
      <c r="A10" s="164" t="s">
        <v>393</v>
      </c>
      <c r="B10" s="165" t="s">
        <v>151</v>
      </c>
      <c r="C10" s="162" t="s">
        <v>236</v>
      </c>
      <c r="D10" s="162">
        <v>20</v>
      </c>
      <c r="E10" s="199">
        <v>5</v>
      </c>
      <c r="F10" s="167">
        <f t="shared" si="0"/>
        <v>100</v>
      </c>
    </row>
    <row r="11" spans="1:6" ht="15.75" thickBot="1" x14ac:dyDescent="0.25">
      <c r="A11" s="164" t="s">
        <v>392</v>
      </c>
      <c r="B11" s="165" t="s">
        <v>152</v>
      </c>
      <c r="C11" s="162" t="s">
        <v>236</v>
      </c>
      <c r="D11" s="162">
        <v>15</v>
      </c>
      <c r="E11" s="199">
        <v>4.5</v>
      </c>
      <c r="F11" s="167">
        <f t="shared" si="0"/>
        <v>67.5</v>
      </c>
    </row>
    <row r="12" spans="1:6" ht="15.75" thickBot="1" x14ac:dyDescent="0.25">
      <c r="A12" s="164" t="s">
        <v>391</v>
      </c>
      <c r="B12" s="165" t="s">
        <v>153</v>
      </c>
      <c r="C12" s="162" t="s">
        <v>236</v>
      </c>
      <c r="D12" s="162">
        <v>30</v>
      </c>
      <c r="E12" s="199">
        <v>6.1</v>
      </c>
      <c r="F12" s="167">
        <f t="shared" si="0"/>
        <v>183</v>
      </c>
    </row>
    <row r="13" spans="1:6" ht="15.75" thickBot="1" x14ac:dyDescent="0.25">
      <c r="A13" s="164" t="s">
        <v>390</v>
      </c>
      <c r="B13" s="165" t="s">
        <v>154</v>
      </c>
      <c r="C13" s="162" t="s">
        <v>236</v>
      </c>
      <c r="D13" s="162">
        <v>10</v>
      </c>
      <c r="E13" s="199">
        <v>6.15</v>
      </c>
      <c r="F13" s="167">
        <f t="shared" si="0"/>
        <v>61.5</v>
      </c>
    </row>
    <row r="14" spans="1:6" ht="15.75" thickBot="1" x14ac:dyDescent="0.25">
      <c r="A14" s="164" t="s">
        <v>389</v>
      </c>
      <c r="B14" s="165" t="s">
        <v>155</v>
      </c>
      <c r="C14" s="162" t="s">
        <v>236</v>
      </c>
      <c r="D14" s="162">
        <v>10</v>
      </c>
      <c r="E14" s="199">
        <v>12</v>
      </c>
      <c r="F14" s="167">
        <f t="shared" si="0"/>
        <v>120</v>
      </c>
    </row>
    <row r="15" spans="1:6" ht="15.75" thickBot="1" x14ac:dyDescent="0.25">
      <c r="A15" s="164" t="s">
        <v>388</v>
      </c>
      <c r="B15" s="165" t="s">
        <v>156</v>
      </c>
      <c r="C15" s="162" t="s">
        <v>236</v>
      </c>
      <c r="D15" s="162">
        <v>10</v>
      </c>
      <c r="E15" s="199">
        <v>6</v>
      </c>
      <c r="F15" s="167">
        <f t="shared" si="0"/>
        <v>60</v>
      </c>
    </row>
    <row r="16" spans="1:6" ht="30.75" thickBot="1" x14ac:dyDescent="0.25">
      <c r="A16" s="164" t="s">
        <v>529</v>
      </c>
      <c r="B16" s="165" t="s">
        <v>157</v>
      </c>
      <c r="C16" s="162" t="s">
        <v>236</v>
      </c>
      <c r="D16" s="162">
        <v>2</v>
      </c>
      <c r="E16" s="199">
        <v>6</v>
      </c>
      <c r="F16" s="167">
        <f t="shared" si="0"/>
        <v>12</v>
      </c>
    </row>
    <row r="17" spans="1:6" ht="15.75" thickBot="1" x14ac:dyDescent="0.25">
      <c r="A17" s="164" t="s">
        <v>530</v>
      </c>
      <c r="B17" s="165" t="s">
        <v>158</v>
      </c>
      <c r="C17" s="162" t="s">
        <v>236</v>
      </c>
      <c r="D17" s="162">
        <v>2</v>
      </c>
      <c r="E17" s="199">
        <v>8</v>
      </c>
      <c r="F17" s="167">
        <f t="shared" si="0"/>
        <v>16</v>
      </c>
    </row>
    <row r="18" spans="1:6" ht="15.75" thickBot="1" x14ac:dyDescent="0.25">
      <c r="A18" s="193"/>
      <c r="B18" s="194" t="s">
        <v>526</v>
      </c>
      <c r="C18" s="195"/>
      <c r="D18" s="195"/>
      <c r="E18" s="196"/>
      <c r="F18" s="196">
        <f>SUM(F8:F17)</f>
        <v>1940</v>
      </c>
    </row>
    <row r="19" spans="1:6" ht="30.75" thickBot="1" x14ac:dyDescent="0.25">
      <c r="A19" s="197">
        <v>4</v>
      </c>
      <c r="B19" s="194" t="s">
        <v>527</v>
      </c>
      <c r="C19" s="198" t="s">
        <v>441</v>
      </c>
      <c r="D19" s="198">
        <v>12</v>
      </c>
      <c r="E19" s="196">
        <v>1550</v>
      </c>
      <c r="F19" s="196">
        <f t="shared" si="0"/>
        <v>18600</v>
      </c>
    </row>
    <row r="20" spans="1:6" ht="30.75" thickBot="1" x14ac:dyDescent="0.25">
      <c r="A20" s="197">
        <v>5</v>
      </c>
      <c r="B20" s="194" t="s">
        <v>442</v>
      </c>
      <c r="C20" s="198" t="s">
        <v>441</v>
      </c>
      <c r="D20" s="198">
        <v>12</v>
      </c>
      <c r="E20" s="196">
        <v>1000</v>
      </c>
      <c r="F20" s="196">
        <f t="shared" si="0"/>
        <v>12000</v>
      </c>
    </row>
    <row r="21" spans="1:6" ht="15" thickBot="1" x14ac:dyDescent="0.25">
      <c r="A21" s="521" t="s">
        <v>528</v>
      </c>
      <c r="B21" s="522"/>
      <c r="C21" s="522"/>
      <c r="D21" s="523"/>
      <c r="E21" s="166">
        <f>SUM(E8:E20,E4:E6)</f>
        <v>6501.25</v>
      </c>
      <c r="F21" s="166">
        <f>SUM(F18:F20,F4:F6)</f>
        <v>71000</v>
      </c>
    </row>
    <row r="22" spans="1:6" ht="41.25" customHeight="1" thickBot="1" x14ac:dyDescent="0.25">
      <c r="A22" s="509" t="s">
        <v>531</v>
      </c>
      <c r="B22" s="510"/>
      <c r="C22" s="510"/>
      <c r="D22" s="510"/>
      <c r="E22" s="510"/>
      <c r="F22" s="511"/>
    </row>
  </sheetData>
  <mergeCells count="9">
    <mergeCell ref="A1:F1"/>
    <mergeCell ref="A22:F22"/>
    <mergeCell ref="A2:A3"/>
    <mergeCell ref="B2:B3"/>
    <mergeCell ref="C2:C3"/>
    <mergeCell ref="D2:D3"/>
    <mergeCell ref="F2:F3"/>
    <mergeCell ref="B7:F7"/>
    <mergeCell ref="A21:D21"/>
  </mergeCells>
  <printOptions horizontalCentered="1" verticalCentered="1"/>
  <pageMargins left="0.51181102362204722" right="0.51181102362204722" top="0.78740157480314965" bottom="0.78740157480314965" header="0.31496062992125984" footer="0.31496062992125984"/>
  <pageSetup paperSize="9" scale="8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J14"/>
  <sheetViews>
    <sheetView showGridLines="0" view="pageBreakPreview" zoomScaleNormal="100" zoomScaleSheetLayoutView="100" workbookViewId="0">
      <selection activeCell="D11" sqref="D11"/>
    </sheetView>
  </sheetViews>
  <sheetFormatPr defaultColWidth="9.140625" defaultRowHeight="12.75" x14ac:dyDescent="0.2"/>
  <cols>
    <col min="1" max="1" width="6" style="103" bestFit="1" customWidth="1"/>
    <col min="2" max="2" width="66.5703125" style="104" customWidth="1"/>
    <col min="3" max="3" width="18.5703125" style="103" customWidth="1"/>
    <col min="4" max="4" width="12.7109375" style="105" bestFit="1" customWidth="1"/>
    <col min="5" max="5" width="15" style="106" bestFit="1" customWidth="1"/>
    <col min="6" max="6" width="26.85546875" style="106" bestFit="1" customWidth="1"/>
    <col min="7" max="7" width="19.42578125" style="1" customWidth="1"/>
    <col min="8" max="8" width="9.140625" style="1"/>
    <col min="9" max="9" width="15.28515625" style="158" bestFit="1" customWidth="1"/>
    <col min="10" max="16384" width="9.140625" style="1"/>
  </cols>
  <sheetData>
    <row r="1" spans="1:10" ht="15.75" customHeight="1" thickBot="1" x14ac:dyDescent="0.25">
      <c r="A1" s="527" t="s">
        <v>545</v>
      </c>
      <c r="B1" s="528"/>
      <c r="C1" s="528"/>
      <c r="D1" s="528"/>
      <c r="E1" s="528"/>
      <c r="F1" s="528"/>
      <c r="G1" s="529"/>
    </row>
    <row r="2" spans="1:10" ht="29.25" thickBot="1" x14ac:dyDescent="0.25">
      <c r="A2" s="177" t="s">
        <v>384</v>
      </c>
      <c r="B2" s="177" t="s">
        <v>521</v>
      </c>
      <c r="C2" s="178" t="s">
        <v>447</v>
      </c>
      <c r="D2" s="176" t="s">
        <v>559</v>
      </c>
      <c r="E2" s="176" t="s">
        <v>558</v>
      </c>
      <c r="F2" s="183" t="s">
        <v>560</v>
      </c>
      <c r="G2" s="184" t="s">
        <v>561</v>
      </c>
      <c r="I2" s="1"/>
      <c r="J2" s="158"/>
    </row>
    <row r="3" spans="1:10" ht="15.75" thickBot="1" x14ac:dyDescent="0.25">
      <c r="A3" s="185">
        <v>1</v>
      </c>
      <c r="B3" s="179" t="s">
        <v>551</v>
      </c>
      <c r="C3" s="162" t="s">
        <v>552</v>
      </c>
      <c r="D3" s="189">
        <v>1</v>
      </c>
      <c r="E3" s="191">
        <v>463234</v>
      </c>
      <c r="F3" s="192">
        <f>'TABELA 9 - Planilha BDI'!G15</f>
        <v>0.16571552531301048</v>
      </c>
      <c r="G3" s="186">
        <f>D3*E3*(1+F3)</f>
        <v>539999.06565284706</v>
      </c>
      <c r="I3" s="1"/>
      <c r="J3" s="158"/>
    </row>
    <row r="4" spans="1:10" ht="15.75" thickBot="1" x14ac:dyDescent="0.25">
      <c r="A4" s="524" t="s">
        <v>548</v>
      </c>
      <c r="B4" s="525"/>
      <c r="C4" s="525"/>
      <c r="D4" s="525"/>
      <c r="E4" s="525"/>
      <c r="F4" s="526"/>
      <c r="G4" s="187">
        <f>SUM(G3)</f>
        <v>539999.06565284706</v>
      </c>
    </row>
    <row r="5" spans="1:10" ht="13.5" thickBot="1" x14ac:dyDescent="0.25">
      <c r="A5" s="536"/>
      <c r="B5" s="537"/>
      <c r="C5" s="537"/>
      <c r="D5" s="537"/>
      <c r="E5" s="537"/>
      <c r="F5" s="537"/>
    </row>
    <row r="6" spans="1:10" ht="156" customHeight="1" thickBot="1" x14ac:dyDescent="0.25">
      <c r="A6" s="530" t="s">
        <v>557</v>
      </c>
      <c r="B6" s="531"/>
      <c r="C6" s="531"/>
      <c r="D6" s="531"/>
      <c r="E6" s="531"/>
      <c r="F6" s="531"/>
      <c r="G6" s="188"/>
    </row>
    <row r="8" spans="1:10" ht="13.5" thickBot="1" x14ac:dyDescent="0.25"/>
    <row r="9" spans="1:10" ht="15" thickBot="1" x14ac:dyDescent="0.25">
      <c r="A9" s="527" t="s">
        <v>545</v>
      </c>
      <c r="B9" s="528"/>
      <c r="C9" s="528"/>
      <c r="D9" s="528"/>
      <c r="E9" s="528"/>
      <c r="F9" s="529"/>
    </row>
    <row r="10" spans="1:10" ht="30.75" thickBot="1" x14ac:dyDescent="0.25">
      <c r="A10" s="177" t="s">
        <v>384</v>
      </c>
      <c r="B10" s="177" t="s">
        <v>521</v>
      </c>
      <c r="C10" s="178" t="s">
        <v>447</v>
      </c>
      <c r="D10" s="176" t="s">
        <v>550</v>
      </c>
      <c r="E10" s="176" t="s">
        <v>546</v>
      </c>
      <c r="F10" s="184" t="s">
        <v>547</v>
      </c>
      <c r="G10" s="161"/>
      <c r="I10" s="1"/>
      <c r="J10" s="158"/>
    </row>
    <row r="11" spans="1:10" ht="16.5" thickBot="1" x14ac:dyDescent="0.25">
      <c r="A11" s="185">
        <v>1</v>
      </c>
      <c r="B11" s="179" t="s">
        <v>551</v>
      </c>
      <c r="C11" s="162" t="s">
        <v>552</v>
      </c>
      <c r="D11" s="180">
        <v>694071.72</v>
      </c>
      <c r="E11" s="190">
        <f>(D11-F11)/D11</f>
        <v>0.2219824631379593</v>
      </c>
      <c r="F11" s="186">
        <v>539999.97</v>
      </c>
      <c r="G11" s="161"/>
      <c r="I11" s="1"/>
      <c r="J11" s="158"/>
    </row>
    <row r="12" spans="1:10" ht="15.75" thickBot="1" x14ac:dyDescent="0.25">
      <c r="A12" s="524" t="s">
        <v>548</v>
      </c>
      <c r="B12" s="525"/>
      <c r="C12" s="525"/>
      <c r="D12" s="525"/>
      <c r="E12" s="526"/>
      <c r="F12" s="187">
        <f>SUM(F11)</f>
        <v>539999.97</v>
      </c>
    </row>
    <row r="13" spans="1:10" ht="13.5" thickBot="1" x14ac:dyDescent="0.25">
      <c r="A13" s="533"/>
      <c r="B13" s="534"/>
      <c r="C13" s="534"/>
      <c r="D13" s="534"/>
      <c r="E13" s="534"/>
      <c r="F13" s="535"/>
    </row>
    <row r="14" spans="1:10" ht="15.75" thickBot="1" x14ac:dyDescent="0.25">
      <c r="A14" s="530" t="s">
        <v>549</v>
      </c>
      <c r="B14" s="531"/>
      <c r="C14" s="531"/>
      <c r="D14" s="531"/>
      <c r="E14" s="531"/>
      <c r="F14" s="532"/>
    </row>
  </sheetData>
  <mergeCells count="8">
    <mergeCell ref="A4:F4"/>
    <mergeCell ref="A1:G1"/>
    <mergeCell ref="A14:F14"/>
    <mergeCell ref="A9:F9"/>
    <mergeCell ref="A12:E12"/>
    <mergeCell ref="A13:F13"/>
    <mergeCell ref="A5:F5"/>
    <mergeCell ref="A6:F6"/>
  </mergeCells>
  <printOptions horizontalCentered="1" verticalCentered="1"/>
  <pageMargins left="0.51181102362204722" right="0.51181102362204722" top="0.78740157480314965" bottom="0.78740157480314965" header="0.31496062992125984" footer="0.31496062992125984"/>
  <pageSetup paperSize="9" scale="7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9BFAD-9BD9-42AD-8DB7-C4D36D4E159E}">
  <dimension ref="A1:J15"/>
  <sheetViews>
    <sheetView view="pageBreakPreview" zoomScaleNormal="100" zoomScaleSheetLayoutView="100" workbookViewId="0">
      <selection activeCell="G6" sqref="G6"/>
    </sheetView>
  </sheetViews>
  <sheetFormatPr defaultRowHeight="15" x14ac:dyDescent="0.25"/>
  <cols>
    <col min="2" max="2" width="27.28515625" customWidth="1"/>
    <col min="4" max="5" width="15" bestFit="1" customWidth="1"/>
    <col min="6" max="6" width="26.85546875" bestFit="1" customWidth="1"/>
    <col min="7" max="7" width="14.7109375" bestFit="1" customWidth="1"/>
  </cols>
  <sheetData>
    <row r="1" spans="1:10" s="1" customFormat="1" ht="15.75" customHeight="1" thickBot="1" x14ac:dyDescent="0.25">
      <c r="A1" s="527" t="s">
        <v>555</v>
      </c>
      <c r="B1" s="528"/>
      <c r="C1" s="528"/>
      <c r="D1" s="528"/>
      <c r="E1" s="528"/>
      <c r="F1" s="528"/>
      <c r="G1" s="529"/>
      <c r="I1" s="158"/>
    </row>
    <row r="2" spans="1:10" s="1" customFormat="1" ht="43.5" thickBot="1" x14ac:dyDescent="0.25">
      <c r="A2" s="177" t="s">
        <v>384</v>
      </c>
      <c r="B2" s="177" t="s">
        <v>521</v>
      </c>
      <c r="C2" s="178" t="s">
        <v>447</v>
      </c>
      <c r="D2" s="176" t="s">
        <v>559</v>
      </c>
      <c r="E2" s="176" t="s">
        <v>558</v>
      </c>
      <c r="F2" s="183" t="s">
        <v>560</v>
      </c>
      <c r="G2" s="184" t="s">
        <v>561</v>
      </c>
      <c r="J2" s="158"/>
    </row>
    <row r="3" spans="1:10" s="1" customFormat="1" ht="15.75" thickBot="1" x14ac:dyDescent="0.25">
      <c r="A3" s="185">
        <v>1</v>
      </c>
      <c r="B3" s="179" t="s">
        <v>563</v>
      </c>
      <c r="C3" s="162" t="s">
        <v>552</v>
      </c>
      <c r="D3" s="189">
        <v>1</v>
      </c>
      <c r="E3" s="191">
        <v>132828</v>
      </c>
      <c r="F3" s="192">
        <f>'TABELA 9 - Planilha BDI'!C17</f>
        <v>0.27984666504173639</v>
      </c>
      <c r="G3" s="186">
        <f>D3*E3*(1+F3)</f>
        <v>169999.47282416376</v>
      </c>
      <c r="J3" s="158"/>
    </row>
    <row r="4" spans="1:10" s="1" customFormat="1" ht="15.75" thickBot="1" x14ac:dyDescent="0.25">
      <c r="A4" s="524" t="s">
        <v>554</v>
      </c>
      <c r="B4" s="525"/>
      <c r="C4" s="525"/>
      <c r="D4" s="525"/>
      <c r="E4" s="525"/>
      <c r="F4" s="526"/>
      <c r="G4" s="187">
        <f>SUM(G3)</f>
        <v>169999.47282416376</v>
      </c>
      <c r="I4" s="158"/>
    </row>
    <row r="5" spans="1:10" s="1" customFormat="1" ht="13.5" thickBot="1" x14ac:dyDescent="0.25">
      <c r="A5" s="536"/>
      <c r="B5" s="537"/>
      <c r="C5" s="537"/>
      <c r="D5" s="537"/>
      <c r="E5" s="537"/>
      <c r="F5" s="537"/>
      <c r="I5" s="158"/>
    </row>
    <row r="6" spans="1:10" s="1" customFormat="1" ht="156" customHeight="1" thickBot="1" x14ac:dyDescent="0.25">
      <c r="A6" s="530" t="s">
        <v>562</v>
      </c>
      <c r="B6" s="531"/>
      <c r="C6" s="531"/>
      <c r="D6" s="531"/>
      <c r="E6" s="531"/>
      <c r="F6" s="531"/>
      <c r="G6" s="188"/>
      <c r="I6" s="158"/>
    </row>
    <row r="7" spans="1:10" s="1" customFormat="1" ht="12.75" x14ac:dyDescent="0.2">
      <c r="A7" s="103"/>
      <c r="B7" s="104"/>
      <c r="C7" s="103"/>
      <c r="D7" s="105"/>
      <c r="E7" s="106"/>
      <c r="F7" s="106"/>
      <c r="I7" s="158"/>
    </row>
    <row r="8" spans="1:10" s="1" customFormat="1" ht="13.5" thickBot="1" x14ac:dyDescent="0.25">
      <c r="A8" s="103"/>
      <c r="B8" s="104"/>
      <c r="C8" s="103"/>
      <c r="D8" s="105"/>
      <c r="E8" s="106"/>
      <c r="F8" s="106"/>
      <c r="I8" s="158"/>
    </row>
    <row r="9" spans="1:10" ht="15.75" thickBot="1" x14ac:dyDescent="0.3">
      <c r="A9" s="538" t="s">
        <v>555</v>
      </c>
      <c r="B9" s="539"/>
      <c r="C9" s="539"/>
      <c r="D9" s="539"/>
      <c r="E9" s="539"/>
      <c r="F9" s="540"/>
    </row>
    <row r="10" spans="1:10" ht="29.25" customHeight="1" x14ac:dyDescent="0.25">
      <c r="A10" s="541" t="s">
        <v>384</v>
      </c>
      <c r="B10" s="543" t="s">
        <v>521</v>
      </c>
      <c r="C10" s="545" t="s">
        <v>447</v>
      </c>
      <c r="D10" s="547" t="s">
        <v>550</v>
      </c>
      <c r="E10" s="547" t="s">
        <v>546</v>
      </c>
      <c r="F10" s="549" t="s">
        <v>547</v>
      </c>
    </row>
    <row r="11" spans="1:10" ht="15.75" thickBot="1" x14ac:dyDescent="0.3">
      <c r="A11" s="542"/>
      <c r="B11" s="544"/>
      <c r="C11" s="546"/>
      <c r="D11" s="548"/>
      <c r="E11" s="548"/>
      <c r="F11" s="550"/>
    </row>
    <row r="12" spans="1:10" ht="15.75" thickBot="1" x14ac:dyDescent="0.3">
      <c r="A12" s="164">
        <v>1</v>
      </c>
      <c r="B12" s="165" t="s">
        <v>553</v>
      </c>
      <c r="C12" s="162" t="s">
        <v>552</v>
      </c>
      <c r="D12" s="181">
        <v>226284.96</v>
      </c>
      <c r="E12" s="190">
        <f>(D12-F12)/D12</f>
        <v>0.24899029966463518</v>
      </c>
      <c r="F12" s="186">
        <v>169942.2</v>
      </c>
    </row>
    <row r="13" spans="1:10" ht="15.75" thickBot="1" x14ac:dyDescent="0.3">
      <c r="A13" s="524" t="s">
        <v>554</v>
      </c>
      <c r="B13" s="525"/>
      <c r="C13" s="525"/>
      <c r="D13" s="525"/>
      <c r="E13" s="526"/>
      <c r="F13" s="182">
        <f>SUM(F12)</f>
        <v>169942.2</v>
      </c>
    </row>
    <row r="14" spans="1:10" ht="15.75" thickBot="1" x14ac:dyDescent="0.3">
      <c r="A14" s="533"/>
      <c r="B14" s="534"/>
      <c r="C14" s="534"/>
      <c r="D14" s="534"/>
      <c r="E14" s="534"/>
      <c r="F14" s="535"/>
    </row>
    <row r="15" spans="1:10" ht="30" customHeight="1" thickBot="1" x14ac:dyDescent="0.3">
      <c r="A15" s="530" t="s">
        <v>556</v>
      </c>
      <c r="B15" s="531"/>
      <c r="C15" s="531"/>
      <c r="D15" s="531"/>
      <c r="E15" s="531"/>
      <c r="F15" s="532"/>
    </row>
  </sheetData>
  <mergeCells count="14">
    <mergeCell ref="A13:E13"/>
    <mergeCell ref="A14:F14"/>
    <mergeCell ref="A15:F15"/>
    <mergeCell ref="A9:F9"/>
    <mergeCell ref="A1:G1"/>
    <mergeCell ref="A4:F4"/>
    <mergeCell ref="A5:F5"/>
    <mergeCell ref="A6:F6"/>
    <mergeCell ref="A10:A11"/>
    <mergeCell ref="B10:B11"/>
    <mergeCell ref="C10:C11"/>
    <mergeCell ref="D10:D11"/>
    <mergeCell ref="E10:E11"/>
    <mergeCell ref="F10:F11"/>
  </mergeCells>
  <printOptions horizontalCentered="1" verticalCentered="1"/>
  <pageMargins left="0.51181102362204722" right="0.51181102362204722" top="0.78740157480314965" bottom="0.78740157480314965" header="0.31496062992125984" footer="0.31496062992125984"/>
  <pageSetup paperSize="9" scale="8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pageSetUpPr fitToPage="1"/>
  </sheetPr>
  <dimension ref="A1:M35"/>
  <sheetViews>
    <sheetView view="pageBreakPreview" topLeftCell="A7" zoomScale="115" zoomScaleNormal="100" zoomScaleSheetLayoutView="115" workbookViewId="0">
      <selection activeCell="N35" sqref="N35"/>
    </sheetView>
  </sheetViews>
  <sheetFormatPr defaultColWidth="9.140625" defaultRowHeight="12.75" x14ac:dyDescent="0.2"/>
  <cols>
    <col min="1" max="1" width="6.28515625" style="139" customWidth="1"/>
    <col min="2" max="2" width="25.42578125" style="139" customWidth="1"/>
    <col min="3" max="3" width="8.28515625" style="139" customWidth="1"/>
    <col min="4" max="4" width="2.7109375" style="139" customWidth="1"/>
    <col min="5" max="5" width="7.85546875" style="139" customWidth="1"/>
    <col min="6" max="6" width="26.28515625" style="139" customWidth="1"/>
    <col min="7" max="7" width="8.42578125" style="139" customWidth="1"/>
    <col min="8" max="8" width="2.5703125" style="139" customWidth="1"/>
    <col min="9" max="9" width="6.7109375" style="139" customWidth="1"/>
    <col min="10" max="10" width="10.28515625" style="139" customWidth="1"/>
    <col min="11" max="11" width="8.5703125" style="139" customWidth="1"/>
    <col min="12" max="12" width="0.42578125" style="139" customWidth="1"/>
    <col min="13" max="13" width="6" style="139" customWidth="1"/>
    <col min="14" max="16384" width="9.140625" style="139"/>
  </cols>
  <sheetData>
    <row r="1" spans="1:13" ht="31.5" customHeight="1" x14ac:dyDescent="0.25">
      <c r="A1" s="140"/>
      <c r="B1" s="553" t="s">
        <v>473</v>
      </c>
      <c r="C1" s="553"/>
      <c r="D1" s="553"/>
      <c r="E1" s="553"/>
      <c r="F1" s="553"/>
      <c r="G1" s="553"/>
      <c r="H1" s="553"/>
      <c r="I1" s="553"/>
      <c r="J1" s="553"/>
      <c r="K1" s="140"/>
      <c r="L1" s="141"/>
      <c r="M1" s="141"/>
    </row>
    <row r="2" spans="1:13" ht="15.75" x14ac:dyDescent="0.25">
      <c r="A2" s="554" t="s">
        <v>474</v>
      </c>
      <c r="B2" s="554"/>
      <c r="C2" s="554"/>
      <c r="D2" s="554"/>
      <c r="E2" s="554"/>
      <c r="F2" s="554"/>
      <c r="G2" s="554"/>
      <c r="H2" s="554"/>
      <c r="I2" s="554"/>
      <c r="J2" s="554"/>
      <c r="K2" s="554"/>
      <c r="L2" s="141"/>
      <c r="M2" s="141"/>
    </row>
    <row r="3" spans="1:13" ht="16.5" thickBot="1" x14ac:dyDescent="0.3">
      <c r="A3" s="141"/>
      <c r="B3" s="141"/>
      <c r="C3" s="141"/>
      <c r="D3" s="141"/>
      <c r="E3" s="141"/>
      <c r="F3" s="141"/>
      <c r="G3" s="141"/>
      <c r="H3" s="141"/>
      <c r="I3" s="141"/>
      <c r="J3" s="141"/>
      <c r="K3" s="141"/>
      <c r="L3" s="141"/>
      <c r="M3" s="141"/>
    </row>
    <row r="4" spans="1:13" ht="18.75" customHeight="1" thickBot="1" x14ac:dyDescent="0.3">
      <c r="A4" s="555" t="s">
        <v>475</v>
      </c>
      <c r="B4" s="556"/>
      <c r="C4" s="557"/>
      <c r="D4" s="141"/>
      <c r="E4" s="555" t="s">
        <v>476</v>
      </c>
      <c r="F4" s="556"/>
      <c r="G4" s="557"/>
      <c r="H4" s="141"/>
      <c r="I4" s="555" t="s">
        <v>477</v>
      </c>
      <c r="J4" s="556"/>
      <c r="K4" s="557"/>
      <c r="L4" s="141"/>
      <c r="M4" s="141"/>
    </row>
    <row r="5" spans="1:13" ht="32.25" thickBot="1" x14ac:dyDescent="0.3">
      <c r="A5" s="142" t="s">
        <v>136</v>
      </c>
      <c r="B5" s="143" t="s">
        <v>137</v>
      </c>
      <c r="C5" s="143" t="s">
        <v>478</v>
      </c>
      <c r="D5" s="141"/>
      <c r="E5" s="142" t="s">
        <v>136</v>
      </c>
      <c r="F5" s="143" t="s">
        <v>137</v>
      </c>
      <c r="G5" s="143" t="s">
        <v>478</v>
      </c>
      <c r="H5" s="141"/>
      <c r="I5" s="142" t="s">
        <v>136</v>
      </c>
      <c r="J5" s="143" t="s">
        <v>137</v>
      </c>
      <c r="K5" s="143" t="s">
        <v>478</v>
      </c>
      <c r="L5" s="141"/>
      <c r="M5" s="141"/>
    </row>
    <row r="6" spans="1:13" ht="32.25" thickBot="1" x14ac:dyDescent="0.3">
      <c r="A6" s="144">
        <v>1</v>
      </c>
      <c r="B6" s="145" t="s">
        <v>479</v>
      </c>
      <c r="C6" s="146">
        <v>0.04</v>
      </c>
      <c r="D6" s="141"/>
      <c r="E6" s="144">
        <v>1</v>
      </c>
      <c r="F6" s="145" t="s">
        <v>479</v>
      </c>
      <c r="G6" s="146">
        <v>0.04</v>
      </c>
      <c r="H6" s="141"/>
      <c r="I6" s="144">
        <v>1</v>
      </c>
      <c r="J6" s="145" t="s">
        <v>480</v>
      </c>
      <c r="K6" s="146">
        <f>SUM(K7:K9)</f>
        <v>8.1499999999999989E-2</v>
      </c>
      <c r="L6" s="141"/>
      <c r="M6" s="141"/>
    </row>
    <row r="7" spans="1:13" ht="32.25" thickBot="1" x14ac:dyDescent="0.3">
      <c r="A7" s="144">
        <v>2</v>
      </c>
      <c r="B7" s="145" t="s">
        <v>481</v>
      </c>
      <c r="C7" s="146">
        <v>7.3999999999999996E-2</v>
      </c>
      <c r="D7" s="141"/>
      <c r="E7" s="144">
        <v>2</v>
      </c>
      <c r="F7" s="145" t="s">
        <v>482</v>
      </c>
      <c r="G7" s="146">
        <v>1.23E-2</v>
      </c>
      <c r="H7" s="141"/>
      <c r="I7" s="147" t="s">
        <v>483</v>
      </c>
      <c r="J7" s="148" t="s">
        <v>484</v>
      </c>
      <c r="K7" s="149">
        <v>0.03</v>
      </c>
      <c r="L7" s="141"/>
      <c r="M7" s="141"/>
    </row>
    <row r="8" spans="1:13" ht="32.25" thickBot="1" x14ac:dyDescent="0.3">
      <c r="A8" s="144">
        <v>3</v>
      </c>
      <c r="B8" s="145" t="s">
        <v>482</v>
      </c>
      <c r="C8" s="146">
        <v>1.23E-2</v>
      </c>
      <c r="D8" s="141"/>
      <c r="E8" s="144">
        <v>3</v>
      </c>
      <c r="F8" s="145" t="s">
        <v>485</v>
      </c>
      <c r="G8" s="146">
        <f>G9+G10</f>
        <v>1.77E-2</v>
      </c>
      <c r="H8" s="141"/>
      <c r="I8" s="147" t="s">
        <v>486</v>
      </c>
      <c r="J8" s="148" t="s">
        <v>487</v>
      </c>
      <c r="K8" s="149">
        <v>6.4999999999999997E-3</v>
      </c>
      <c r="L8" s="141"/>
      <c r="M8" s="141"/>
    </row>
    <row r="9" spans="1:13" ht="30" customHeight="1" thickBot="1" x14ac:dyDescent="0.3">
      <c r="A9" s="144">
        <v>4</v>
      </c>
      <c r="B9" s="145" t="s">
        <v>485</v>
      </c>
      <c r="C9" s="146">
        <f>C10+C11</f>
        <v>1.77E-2</v>
      </c>
      <c r="D9" s="141"/>
      <c r="E9" s="147" t="s">
        <v>488</v>
      </c>
      <c r="F9" s="148" t="s">
        <v>489</v>
      </c>
      <c r="G9" s="149">
        <v>8.0000000000000002E-3</v>
      </c>
      <c r="H9" s="141"/>
      <c r="I9" s="147" t="s">
        <v>490</v>
      </c>
      <c r="J9" s="148" t="s">
        <v>491</v>
      </c>
      <c r="K9" s="149">
        <v>4.4999999999999998E-2</v>
      </c>
      <c r="L9" s="141"/>
      <c r="M9" s="141"/>
    </row>
    <row r="10" spans="1:13" ht="16.5" thickBot="1" x14ac:dyDescent="0.3">
      <c r="A10" s="147" t="s">
        <v>492</v>
      </c>
      <c r="B10" s="148" t="s">
        <v>489</v>
      </c>
      <c r="C10" s="149">
        <v>8.0000000000000002E-3</v>
      </c>
      <c r="D10" s="141"/>
      <c r="E10" s="147" t="s">
        <v>493</v>
      </c>
      <c r="F10" s="148" t="s">
        <v>494</v>
      </c>
      <c r="G10" s="149">
        <v>9.7000000000000003E-3</v>
      </c>
      <c r="H10" s="141"/>
      <c r="I10" s="551" t="s">
        <v>495</v>
      </c>
      <c r="J10" s="552"/>
      <c r="K10" s="150">
        <f>((1/(1-K6))-1)</f>
        <v>8.8731627653783285E-2</v>
      </c>
      <c r="L10" s="141"/>
      <c r="M10" s="141"/>
    </row>
    <row r="11" spans="1:13" ht="16.5" thickBot="1" x14ac:dyDescent="0.3">
      <c r="A11" s="147" t="s">
        <v>496</v>
      </c>
      <c r="B11" s="148" t="s">
        <v>494</v>
      </c>
      <c r="C11" s="149">
        <v>9.7000000000000003E-3</v>
      </c>
      <c r="D11" s="141"/>
      <c r="E11" s="144">
        <v>4</v>
      </c>
      <c r="F11" s="145" t="s">
        <v>480</v>
      </c>
      <c r="G11" s="146">
        <f>G12+G13+G14</f>
        <v>8.1499999999999989E-2</v>
      </c>
      <c r="H11" s="141"/>
      <c r="I11" s="151"/>
      <c r="J11" s="152"/>
      <c r="K11" s="153"/>
      <c r="L11" s="141"/>
      <c r="M11" s="141"/>
    </row>
    <row r="12" spans="1:13" ht="16.5" thickBot="1" x14ac:dyDescent="0.3">
      <c r="A12" s="144">
        <v>5</v>
      </c>
      <c r="B12" s="145" t="s">
        <v>480</v>
      </c>
      <c r="C12" s="146">
        <f>SUM(C13:C16)</f>
        <v>0.10149999999999999</v>
      </c>
      <c r="D12" s="141"/>
      <c r="E12" s="147" t="s">
        <v>492</v>
      </c>
      <c r="F12" s="148" t="s">
        <v>484</v>
      </c>
      <c r="G12" s="149">
        <v>0.03</v>
      </c>
      <c r="H12" s="141"/>
      <c r="I12" s="141"/>
      <c r="J12" s="141"/>
      <c r="K12" s="141"/>
      <c r="L12" s="141"/>
      <c r="M12" s="141"/>
    </row>
    <row r="13" spans="1:13" ht="16.5" thickBot="1" x14ac:dyDescent="0.3">
      <c r="A13" s="147" t="s">
        <v>497</v>
      </c>
      <c r="B13" s="148" t="s">
        <v>484</v>
      </c>
      <c r="C13" s="149">
        <v>0.03</v>
      </c>
      <c r="D13" s="141"/>
      <c r="E13" s="147" t="s">
        <v>496</v>
      </c>
      <c r="F13" s="148" t="s">
        <v>487</v>
      </c>
      <c r="G13" s="149">
        <v>6.4999999999999997E-3</v>
      </c>
      <c r="H13" s="141"/>
      <c r="I13" s="141"/>
      <c r="J13" s="141"/>
      <c r="K13" s="141"/>
      <c r="L13" s="141"/>
      <c r="M13" s="141"/>
    </row>
    <row r="14" spans="1:13" ht="16.5" thickBot="1" x14ac:dyDescent="0.3">
      <c r="A14" s="147" t="s">
        <v>498</v>
      </c>
      <c r="B14" s="148" t="s">
        <v>487</v>
      </c>
      <c r="C14" s="149">
        <v>6.4999999999999997E-3</v>
      </c>
      <c r="D14" s="141"/>
      <c r="E14" s="147" t="s">
        <v>499</v>
      </c>
      <c r="F14" s="148" t="s">
        <v>491</v>
      </c>
      <c r="G14" s="149">
        <v>4.4999999999999998E-2</v>
      </c>
      <c r="H14" s="141"/>
      <c r="I14" s="141"/>
      <c r="J14" s="141"/>
      <c r="K14" s="141"/>
      <c r="L14" s="141"/>
      <c r="M14" s="141"/>
    </row>
    <row r="15" spans="1:13" ht="16.5" thickBot="1" x14ac:dyDescent="0.3">
      <c r="A15" s="147" t="s">
        <v>500</v>
      </c>
      <c r="B15" s="148" t="s">
        <v>501</v>
      </c>
      <c r="C15" s="149">
        <v>0.02</v>
      </c>
      <c r="D15" s="141"/>
      <c r="E15" s="551" t="s">
        <v>495</v>
      </c>
      <c r="F15" s="552"/>
      <c r="G15" s="146">
        <f>(((1+G6+G8)*(1+G7))/(1-G11)-1)</f>
        <v>0.16571552531301048</v>
      </c>
      <c r="H15" s="141"/>
      <c r="I15" s="141"/>
      <c r="J15" s="141"/>
      <c r="K15" s="141"/>
      <c r="L15" s="141"/>
      <c r="M15" s="141"/>
    </row>
    <row r="16" spans="1:13" ht="16.5" thickBot="1" x14ac:dyDescent="0.3">
      <c r="A16" s="147" t="s">
        <v>502</v>
      </c>
      <c r="B16" s="148" t="s">
        <v>491</v>
      </c>
      <c r="C16" s="149">
        <v>4.4999999999999998E-2</v>
      </c>
      <c r="D16" s="141"/>
      <c r="E16" s="141"/>
      <c r="F16" s="141"/>
      <c r="G16" s="141"/>
      <c r="H16" s="141"/>
      <c r="I16" s="141"/>
      <c r="J16" s="141"/>
      <c r="K16" s="141"/>
      <c r="L16" s="141"/>
      <c r="M16" s="141"/>
    </row>
    <row r="17" spans="1:13" ht="16.5" thickBot="1" x14ac:dyDescent="0.3">
      <c r="A17" s="551" t="s">
        <v>495</v>
      </c>
      <c r="B17" s="552"/>
      <c r="C17" s="146">
        <f>(((1+C6+C9)*(1+C8)*(1+C7))/(1-C12))-1</f>
        <v>0.27984666504173639</v>
      </c>
      <c r="D17" s="141"/>
      <c r="E17" s="141"/>
      <c r="F17" s="141"/>
      <c r="G17" s="141"/>
      <c r="H17" s="141"/>
      <c r="I17" s="141"/>
      <c r="J17" s="141"/>
      <c r="K17" s="141"/>
      <c r="L17" s="141"/>
      <c r="M17" s="141"/>
    </row>
    <row r="18" spans="1:13" ht="15.75" x14ac:dyDescent="0.25">
      <c r="A18" s="141"/>
      <c r="B18" s="141"/>
      <c r="C18" s="141"/>
      <c r="D18" s="141"/>
      <c r="E18" s="141"/>
      <c r="F18" s="141"/>
      <c r="G18" s="141"/>
      <c r="H18" s="141"/>
      <c r="I18" s="141"/>
      <c r="J18" s="141"/>
      <c r="K18" s="141"/>
      <c r="L18" s="141"/>
      <c r="M18" s="141"/>
    </row>
    <row r="19" spans="1:13" ht="15.75" x14ac:dyDescent="0.25">
      <c r="A19" s="155"/>
      <c r="B19" s="155"/>
      <c r="C19" s="154"/>
      <c r="D19" s="141"/>
      <c r="E19" s="141"/>
      <c r="F19" s="141"/>
      <c r="G19" s="141"/>
      <c r="H19" s="141"/>
      <c r="I19" s="141"/>
      <c r="J19" s="141"/>
      <c r="K19" s="141"/>
      <c r="L19" s="141"/>
      <c r="M19" s="141"/>
    </row>
    <row r="20" spans="1:13" ht="15.75" x14ac:dyDescent="0.25">
      <c r="A20" s="554" t="s">
        <v>503</v>
      </c>
      <c r="B20" s="554"/>
      <c r="C20" s="554"/>
      <c r="D20" s="554"/>
      <c r="E20" s="554"/>
      <c r="F20" s="554"/>
      <c r="G20" s="554"/>
      <c r="H20" s="554"/>
      <c r="I20" s="554"/>
      <c r="J20" s="554"/>
      <c r="K20" s="554"/>
      <c r="L20" s="141"/>
      <c r="M20" s="141"/>
    </row>
    <row r="21" spans="1:13" ht="16.5" thickBot="1" x14ac:dyDescent="0.3">
      <c r="A21" s="156"/>
      <c r="B21" s="156"/>
      <c r="C21" s="156"/>
      <c r="D21" s="156"/>
      <c r="E21" s="156"/>
      <c r="F21" s="156"/>
      <c r="G21" s="156"/>
      <c r="H21" s="156"/>
      <c r="I21" s="156"/>
      <c r="J21" s="156"/>
      <c r="K21" s="156"/>
      <c r="L21" s="141"/>
      <c r="M21" s="141"/>
    </row>
    <row r="22" spans="1:13" ht="16.5" thickBot="1" x14ac:dyDescent="0.3">
      <c r="A22" s="555" t="s">
        <v>504</v>
      </c>
      <c r="B22" s="556"/>
      <c r="C22" s="557"/>
      <c r="D22" s="156"/>
      <c r="E22" s="555" t="s">
        <v>476</v>
      </c>
      <c r="F22" s="556"/>
      <c r="G22" s="557"/>
      <c r="H22" s="156"/>
      <c r="I22" s="555" t="s">
        <v>505</v>
      </c>
      <c r="J22" s="556"/>
      <c r="K22" s="557"/>
      <c r="L22" s="141"/>
      <c r="M22" s="141"/>
    </row>
    <row r="23" spans="1:13" ht="15.75" x14ac:dyDescent="0.25">
      <c r="A23" s="141"/>
      <c r="B23" s="140"/>
      <c r="C23" s="141"/>
      <c r="D23" s="141"/>
      <c r="E23" s="141"/>
      <c r="F23" s="141"/>
      <c r="G23" s="141"/>
      <c r="H23" s="141"/>
      <c r="I23" s="141"/>
      <c r="J23" s="141"/>
      <c r="K23" s="141"/>
      <c r="L23" s="141"/>
      <c r="M23" s="141"/>
    </row>
    <row r="24" spans="1:13" ht="15.75" x14ac:dyDescent="0.25">
      <c r="A24" s="141"/>
      <c r="B24" s="141"/>
      <c r="C24" s="141"/>
      <c r="D24" s="141"/>
      <c r="E24" s="141"/>
      <c r="F24" s="141"/>
      <c r="G24" s="141"/>
      <c r="H24" s="141"/>
      <c r="I24" s="141"/>
      <c r="J24" s="141"/>
      <c r="K24" s="141"/>
      <c r="L24" s="141"/>
      <c r="M24" s="141"/>
    </row>
    <row r="25" spans="1:13" ht="15.75" x14ac:dyDescent="0.25">
      <c r="A25" s="157" t="s">
        <v>515</v>
      </c>
      <c r="B25" s="141"/>
      <c r="C25" s="141"/>
      <c r="D25" s="141"/>
      <c r="E25" s="141"/>
      <c r="F25" s="157" t="s">
        <v>516</v>
      </c>
      <c r="G25" s="141"/>
      <c r="H25" s="141"/>
      <c r="I25" s="141"/>
      <c r="J25" s="157" t="s">
        <v>517</v>
      </c>
      <c r="K25" s="141"/>
      <c r="L25" s="141"/>
      <c r="M25" s="141"/>
    </row>
    <row r="26" spans="1:13" ht="15.75" x14ac:dyDescent="0.25">
      <c r="A26" s="157" t="s">
        <v>506</v>
      </c>
      <c r="B26" s="141"/>
      <c r="C26" s="141"/>
      <c r="D26" s="141"/>
      <c r="E26" s="141"/>
      <c r="F26" s="157" t="s">
        <v>507</v>
      </c>
      <c r="G26" s="141"/>
      <c r="H26" s="141"/>
      <c r="I26" s="141"/>
      <c r="J26" s="157" t="s">
        <v>508</v>
      </c>
      <c r="K26" s="141"/>
      <c r="L26" s="141"/>
      <c r="M26" s="141"/>
    </row>
    <row r="27" spans="1:13" ht="15.75" x14ac:dyDescent="0.25">
      <c r="A27" s="141"/>
      <c r="B27" s="141"/>
      <c r="C27" s="141"/>
      <c r="D27" s="141"/>
      <c r="E27" s="141"/>
      <c r="F27" s="141"/>
      <c r="G27" s="141"/>
      <c r="H27" s="141"/>
      <c r="I27" s="141"/>
      <c r="J27" s="141"/>
      <c r="K27" s="141"/>
      <c r="L27" s="141"/>
      <c r="M27" s="141"/>
    </row>
    <row r="28" spans="1:13" ht="15.75" x14ac:dyDescent="0.25">
      <c r="A28" s="141" t="s">
        <v>509</v>
      </c>
      <c r="B28" s="141"/>
      <c r="C28" s="141"/>
      <c r="D28" s="141"/>
      <c r="E28" s="141"/>
      <c r="F28" s="141"/>
      <c r="G28" s="141"/>
      <c r="H28" s="141"/>
      <c r="I28" s="141"/>
      <c r="J28" s="141"/>
      <c r="K28" s="141"/>
      <c r="L28" s="141"/>
      <c r="M28" s="141"/>
    </row>
    <row r="29" spans="1:13" ht="15.75" x14ac:dyDescent="0.25">
      <c r="A29" s="141" t="s">
        <v>510</v>
      </c>
      <c r="B29" s="141"/>
      <c r="C29" s="141"/>
      <c r="D29" s="141"/>
      <c r="E29" s="141"/>
      <c r="F29" s="141"/>
      <c r="G29" s="141"/>
      <c r="H29" s="141"/>
      <c r="I29" s="141" t="s">
        <v>148</v>
      </c>
      <c r="J29" s="141"/>
      <c r="K29" s="141"/>
      <c r="L29" s="141"/>
      <c r="M29" s="141"/>
    </row>
    <row r="30" spans="1:13" ht="15.75" x14ac:dyDescent="0.25">
      <c r="A30" s="141" t="s">
        <v>511</v>
      </c>
      <c r="B30" s="141"/>
      <c r="C30" s="141"/>
      <c r="D30" s="141"/>
      <c r="E30" s="141"/>
      <c r="F30" s="141"/>
      <c r="G30" s="141"/>
      <c r="H30" s="141"/>
      <c r="I30" s="141"/>
      <c r="J30" s="141"/>
      <c r="K30" s="141"/>
      <c r="L30" s="141"/>
      <c r="M30" s="141"/>
    </row>
    <row r="31" spans="1:13" ht="15.75" x14ac:dyDescent="0.25">
      <c r="A31" s="141" t="s">
        <v>512</v>
      </c>
      <c r="B31" s="141"/>
      <c r="C31" s="141"/>
      <c r="D31" s="141"/>
      <c r="E31" s="141"/>
      <c r="F31" s="141"/>
      <c r="G31" s="141"/>
      <c r="H31" s="141"/>
      <c r="I31" s="141"/>
      <c r="J31" s="141"/>
      <c r="K31" s="141"/>
      <c r="L31" s="141"/>
      <c r="M31" s="141"/>
    </row>
    <row r="32" spans="1:13" ht="15.75" x14ac:dyDescent="0.25">
      <c r="A32" s="141" t="s">
        <v>513</v>
      </c>
      <c r="B32" s="141"/>
      <c r="C32" s="141"/>
      <c r="D32" s="141"/>
      <c r="E32" s="141"/>
      <c r="F32" s="141"/>
      <c r="G32" s="141"/>
      <c r="H32" s="141"/>
      <c r="I32" s="141"/>
      <c r="J32" s="141"/>
      <c r="K32" s="141"/>
      <c r="L32" s="141"/>
      <c r="M32" s="141"/>
    </row>
    <row r="33" spans="1:13" ht="15.75" x14ac:dyDescent="0.25">
      <c r="A33" s="141" t="s">
        <v>514</v>
      </c>
      <c r="B33" s="141"/>
      <c r="C33" s="154"/>
      <c r="D33" s="141"/>
      <c r="E33" s="141"/>
      <c r="F33" s="141"/>
      <c r="G33" s="141"/>
      <c r="H33" s="141"/>
      <c r="I33" s="141"/>
      <c r="J33" s="141"/>
      <c r="K33" s="141"/>
      <c r="L33" s="141"/>
      <c r="M33" s="141"/>
    </row>
    <row r="34" spans="1:13" ht="15.75" x14ac:dyDescent="0.25">
      <c r="A34" s="141"/>
      <c r="B34" s="141"/>
      <c r="C34" s="141"/>
      <c r="D34" s="141"/>
      <c r="E34" s="141"/>
      <c r="F34" s="141"/>
      <c r="G34" s="141"/>
      <c r="H34" s="141"/>
      <c r="I34" s="141"/>
      <c r="J34" s="141"/>
      <c r="K34" s="141"/>
      <c r="L34" s="141"/>
      <c r="M34" s="141"/>
    </row>
    <row r="35" spans="1:13" ht="317.25" customHeight="1" x14ac:dyDescent="0.25">
      <c r="A35" s="558" t="s">
        <v>565</v>
      </c>
      <c r="B35" s="558"/>
      <c r="C35" s="558"/>
      <c r="D35" s="558"/>
      <c r="E35" s="558"/>
      <c r="F35" s="558"/>
      <c r="G35" s="558"/>
      <c r="H35" s="558"/>
      <c r="I35" s="558"/>
      <c r="J35" s="558"/>
      <c r="K35" s="558"/>
      <c r="L35" s="141"/>
      <c r="M35" s="141"/>
    </row>
  </sheetData>
  <mergeCells count="13">
    <mergeCell ref="A22:C22"/>
    <mergeCell ref="E22:G22"/>
    <mergeCell ref="I22:K22"/>
    <mergeCell ref="A35:K35"/>
    <mergeCell ref="E15:F15"/>
    <mergeCell ref="A17:B17"/>
    <mergeCell ref="A20:K20"/>
    <mergeCell ref="I10:J10"/>
    <mergeCell ref="B1:J1"/>
    <mergeCell ref="A2:K2"/>
    <mergeCell ref="A4:C4"/>
    <mergeCell ref="E4:G4"/>
    <mergeCell ref="I4:K4"/>
  </mergeCells>
  <pageMargins left="0.23622047244094491" right="0.23622047244094491" top="0.74803149606299213" bottom="0.74803149606299213" header="0.31496062992125984" footer="0.31496062992125984"/>
  <pageSetup paperSize="9" scale="7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03"/>
  <sheetViews>
    <sheetView showGridLines="0" view="pageBreakPreview" zoomScaleNormal="100" zoomScaleSheetLayoutView="100" workbookViewId="0">
      <selection activeCell="K82" sqref="K82"/>
    </sheetView>
  </sheetViews>
  <sheetFormatPr defaultRowHeight="15" x14ac:dyDescent="0.25"/>
  <cols>
    <col min="1" max="1" width="4.140625" style="331" bestFit="1" customWidth="1"/>
    <col min="2" max="2" width="30.140625" style="331" bestFit="1" customWidth="1"/>
    <col min="3" max="3" width="17.28515625" style="331" bestFit="1" customWidth="1"/>
    <col min="4" max="4" width="8.7109375" style="331" bestFit="1" customWidth="1"/>
    <col min="5" max="5" width="16.7109375" style="331" bestFit="1" customWidth="1"/>
    <col min="6" max="6" width="5.5703125" style="335" customWidth="1"/>
    <col min="7" max="7" width="4.140625" style="331" bestFit="1" customWidth="1"/>
    <col min="8" max="8" width="30.140625" style="331" bestFit="1" customWidth="1"/>
    <col min="9" max="9" width="13.5703125" style="331" bestFit="1" customWidth="1"/>
    <col min="10" max="10" width="8.7109375" style="331" bestFit="1" customWidth="1"/>
    <col min="11" max="11" width="15.85546875" style="331" bestFit="1" customWidth="1"/>
    <col min="12" max="12" width="13.5703125" style="331" bestFit="1" customWidth="1"/>
    <col min="13" max="13" width="8.7109375" style="331" bestFit="1" customWidth="1"/>
    <col min="14" max="14" width="9.42578125" style="331" bestFit="1" customWidth="1"/>
    <col min="15" max="16384" width="9.140625" style="331"/>
  </cols>
  <sheetData>
    <row r="1" spans="1:11" x14ac:dyDescent="0.25">
      <c r="A1" s="402" t="s">
        <v>132</v>
      </c>
      <c r="B1" s="403"/>
      <c r="C1" s="403"/>
      <c r="D1" s="403"/>
      <c r="E1" s="403"/>
    </row>
    <row r="2" spans="1:11" x14ac:dyDescent="0.25">
      <c r="A2" s="406" t="s">
        <v>93</v>
      </c>
      <c r="B2" s="407"/>
      <c r="C2" s="407"/>
      <c r="D2" s="407"/>
      <c r="E2" s="407"/>
    </row>
    <row r="3" spans="1:11" x14ac:dyDescent="0.25">
      <c r="A3" s="404" t="s">
        <v>472</v>
      </c>
      <c r="B3" s="405"/>
      <c r="C3" s="405"/>
      <c r="D3" s="405"/>
      <c r="E3" s="405"/>
    </row>
    <row r="4" spans="1:11" ht="15.75" thickBot="1" x14ac:dyDescent="0.3">
      <c r="A4" s="404" t="s">
        <v>94</v>
      </c>
      <c r="B4" s="405"/>
      <c r="C4" s="405"/>
      <c r="D4" s="405"/>
      <c r="E4" s="405"/>
    </row>
    <row r="5" spans="1:11" ht="90" customHeight="1" thickBot="1" x14ac:dyDescent="0.3">
      <c r="A5" s="408" t="s">
        <v>572</v>
      </c>
      <c r="B5" s="409"/>
      <c r="C5" s="409"/>
      <c r="D5" s="409"/>
      <c r="E5" s="410"/>
      <c r="F5" s="336"/>
      <c r="G5" s="401" t="s">
        <v>599</v>
      </c>
      <c r="H5" s="391"/>
      <c r="I5" s="391"/>
      <c r="J5" s="391"/>
      <c r="K5" s="392"/>
    </row>
    <row r="6" spans="1:11" ht="39" thickBot="1" x14ac:dyDescent="0.3">
      <c r="A6" s="393" t="s">
        <v>81</v>
      </c>
      <c r="B6" s="394"/>
      <c r="C6" s="110" t="s">
        <v>430</v>
      </c>
      <c r="D6" s="110" t="s">
        <v>431</v>
      </c>
      <c r="E6" s="110" t="s">
        <v>402</v>
      </c>
      <c r="F6" s="263"/>
      <c r="G6" s="393" t="s">
        <v>81</v>
      </c>
      <c r="H6" s="394"/>
      <c r="I6" s="110" t="s">
        <v>430</v>
      </c>
      <c r="J6" s="110" t="s">
        <v>431</v>
      </c>
      <c r="K6" s="110" t="s">
        <v>402</v>
      </c>
    </row>
    <row r="7" spans="1:11" ht="15.75" thickBot="1" x14ac:dyDescent="0.3">
      <c r="A7" s="395" t="s">
        <v>82</v>
      </c>
      <c r="B7" s="396"/>
      <c r="C7" s="300" t="s">
        <v>83</v>
      </c>
      <c r="D7" s="109" t="s">
        <v>84</v>
      </c>
      <c r="E7" s="108" t="s">
        <v>85</v>
      </c>
      <c r="F7" s="264"/>
      <c r="G7" s="395" t="s">
        <v>82</v>
      </c>
      <c r="H7" s="396"/>
      <c r="I7" s="300" t="s">
        <v>83</v>
      </c>
      <c r="J7" s="109" t="s">
        <v>84</v>
      </c>
      <c r="K7" s="108" t="s">
        <v>85</v>
      </c>
    </row>
    <row r="8" spans="1:11" x14ac:dyDescent="0.25">
      <c r="A8" s="127" t="s">
        <v>86</v>
      </c>
      <c r="B8" s="128" t="s">
        <v>406</v>
      </c>
      <c r="C8" s="129">
        <f>'TABELA 3.1 Bomb Hidra 5X2hs'!D137</f>
        <v>7237.5057622612076</v>
      </c>
      <c r="D8" s="130">
        <v>2</v>
      </c>
      <c r="E8" s="131">
        <f>C8*D8</f>
        <v>14475.011524522415</v>
      </c>
      <c r="F8" s="265"/>
      <c r="G8" s="127" t="s">
        <v>86</v>
      </c>
      <c r="H8" s="128" t="s">
        <v>406</v>
      </c>
      <c r="I8" s="129">
        <f>'TABELA 3.1 Bomb Hidra 5X2hs'!D137</f>
        <v>7237.5057622612076</v>
      </c>
      <c r="J8" s="130">
        <v>2</v>
      </c>
      <c r="K8" s="131">
        <f>I8*J8</f>
        <v>14475.011524522415</v>
      </c>
    </row>
    <row r="9" spans="1:11" x14ac:dyDescent="0.25">
      <c r="A9" s="44" t="s">
        <v>87</v>
      </c>
      <c r="B9" s="124" t="s">
        <v>407</v>
      </c>
      <c r="C9" s="125">
        <f>'TABELA 3.2 Eletricista'!D137</f>
        <v>8024.9219915568538</v>
      </c>
      <c r="D9" s="126">
        <v>2</v>
      </c>
      <c r="E9" s="132">
        <f t="shared" ref="E9:E21" si="0">C9*D9</f>
        <v>16049.843983113708</v>
      </c>
      <c r="F9" s="265"/>
      <c r="G9" s="44" t="s">
        <v>87</v>
      </c>
      <c r="H9" s="124" t="s">
        <v>407</v>
      </c>
      <c r="I9" s="125">
        <f>'TABELA 3.2 Eletricista'!D137</f>
        <v>8024.9219915568538</v>
      </c>
      <c r="J9" s="126">
        <v>2</v>
      </c>
      <c r="K9" s="132">
        <f t="shared" ref="K9:K21" si="1">I9*J9</f>
        <v>16049.843983113708</v>
      </c>
    </row>
    <row r="10" spans="1:11" x14ac:dyDescent="0.25">
      <c r="A10" s="44" t="s">
        <v>91</v>
      </c>
      <c r="B10" s="337" t="s">
        <v>408</v>
      </c>
      <c r="C10" s="125">
        <f>'TABELA 3.3 Encarregado de Man'!D137</f>
        <v>8861.679750390449</v>
      </c>
      <c r="D10" s="126">
        <v>1</v>
      </c>
      <c r="E10" s="132">
        <f t="shared" si="0"/>
        <v>8861.679750390449</v>
      </c>
      <c r="F10" s="265"/>
      <c r="G10" s="44" t="s">
        <v>91</v>
      </c>
      <c r="H10" s="337" t="s">
        <v>408</v>
      </c>
      <c r="I10" s="125">
        <f>'TABELA 3.3 Encarregado de Man'!D137</f>
        <v>8861.679750390449</v>
      </c>
      <c r="J10" s="126">
        <v>1</v>
      </c>
      <c r="K10" s="132">
        <f t="shared" si="1"/>
        <v>8861.679750390449</v>
      </c>
    </row>
    <row r="11" spans="1:11" x14ac:dyDescent="0.25">
      <c r="A11" s="44" t="s">
        <v>419</v>
      </c>
      <c r="B11" s="337" t="s">
        <v>409</v>
      </c>
      <c r="C11" s="125">
        <f>'TABELA 3.4 Estoquista Ferram'!D137</f>
        <v>5775.5070582890539</v>
      </c>
      <c r="D11" s="126">
        <v>2</v>
      </c>
      <c r="E11" s="132">
        <f t="shared" si="0"/>
        <v>11551.014116578108</v>
      </c>
      <c r="F11" s="265"/>
      <c r="G11" s="44" t="s">
        <v>419</v>
      </c>
      <c r="H11" s="337" t="s">
        <v>409</v>
      </c>
      <c r="I11" s="125">
        <f>'TABELA 3.4 Estoquista Ferram'!D137</f>
        <v>5775.5070582890539</v>
      </c>
      <c r="J11" s="126">
        <v>2</v>
      </c>
      <c r="K11" s="132">
        <f t="shared" si="1"/>
        <v>11551.014116578108</v>
      </c>
    </row>
    <row r="12" spans="1:11" x14ac:dyDescent="0.25">
      <c r="A12" s="44" t="s">
        <v>420</v>
      </c>
      <c r="B12" s="337" t="s">
        <v>410</v>
      </c>
      <c r="C12" s="125">
        <f>'TABELA 3.5 Jardineiro'!D137</f>
        <v>5672.612750095841</v>
      </c>
      <c r="D12" s="126">
        <v>2</v>
      </c>
      <c r="E12" s="132">
        <f t="shared" si="0"/>
        <v>11345.225500191682</v>
      </c>
      <c r="F12" s="265"/>
      <c r="G12" s="44" t="s">
        <v>420</v>
      </c>
      <c r="H12" s="337" t="s">
        <v>410</v>
      </c>
      <c r="I12" s="125">
        <f>'TABELA 3.5 Jardineiro'!D137</f>
        <v>5672.612750095841</v>
      </c>
      <c r="J12" s="126">
        <v>2</v>
      </c>
      <c r="K12" s="132">
        <f t="shared" si="1"/>
        <v>11345.225500191682</v>
      </c>
    </row>
    <row r="13" spans="1:11" x14ac:dyDescent="0.25">
      <c r="A13" s="44" t="s">
        <v>421</v>
      </c>
      <c r="B13" s="337" t="s">
        <v>411</v>
      </c>
      <c r="C13" s="125">
        <f>'TABELA 3.6  Lavador'!D137</f>
        <v>5731.8998092156035</v>
      </c>
      <c r="D13" s="126">
        <v>1</v>
      </c>
      <c r="E13" s="132">
        <f t="shared" si="0"/>
        <v>5731.8998092156035</v>
      </c>
      <c r="F13" s="265"/>
      <c r="G13" s="44" t="s">
        <v>421</v>
      </c>
      <c r="H13" s="337" t="s">
        <v>411</v>
      </c>
      <c r="I13" s="125">
        <f>'TABELA 3.6  Lavador'!D137</f>
        <v>5731.8998092156035</v>
      </c>
      <c r="J13" s="126">
        <v>1</v>
      </c>
      <c r="K13" s="132">
        <f t="shared" si="1"/>
        <v>5731.8998092156035</v>
      </c>
    </row>
    <row r="14" spans="1:11" x14ac:dyDescent="0.25">
      <c r="A14" s="44" t="s">
        <v>422</v>
      </c>
      <c r="B14" s="337" t="s">
        <v>412</v>
      </c>
      <c r="C14" s="125">
        <f>'TABELA 3.7 Marceneiro'!D137</f>
        <v>6835.2303262040732</v>
      </c>
      <c r="D14" s="126">
        <v>2</v>
      </c>
      <c r="E14" s="132">
        <f t="shared" si="0"/>
        <v>13670.460652408146</v>
      </c>
      <c r="F14" s="265"/>
      <c r="G14" s="44" t="s">
        <v>422</v>
      </c>
      <c r="H14" s="337" t="s">
        <v>412</v>
      </c>
      <c r="I14" s="125">
        <f>'TABELA 3.7 Marceneiro'!D137</f>
        <v>6835.2303262040732</v>
      </c>
      <c r="J14" s="126">
        <v>2</v>
      </c>
      <c r="K14" s="132">
        <f t="shared" si="1"/>
        <v>13670.460652408146</v>
      </c>
    </row>
    <row r="15" spans="1:11" x14ac:dyDescent="0.25">
      <c r="A15" s="44" t="s">
        <v>423</v>
      </c>
      <c r="B15" s="337" t="s">
        <v>413</v>
      </c>
      <c r="C15" s="125">
        <f>'TABELA 3.8 Pedreiro'!D137</f>
        <v>6450.1809920631995</v>
      </c>
      <c r="D15" s="126">
        <v>1</v>
      </c>
      <c r="E15" s="132">
        <f t="shared" si="0"/>
        <v>6450.1809920631995</v>
      </c>
      <c r="F15" s="265"/>
      <c r="G15" s="44" t="s">
        <v>423</v>
      </c>
      <c r="H15" s="337" t="s">
        <v>413</v>
      </c>
      <c r="I15" s="125">
        <f>'TABELA 3.8 Pedreiro'!D137</f>
        <v>6450.1809920631995</v>
      </c>
      <c r="J15" s="126">
        <v>1</v>
      </c>
      <c r="K15" s="132">
        <f t="shared" si="1"/>
        <v>6450.1809920631995</v>
      </c>
    </row>
    <row r="16" spans="1:11" x14ac:dyDescent="0.25">
      <c r="A16" s="44" t="s">
        <v>424</v>
      </c>
      <c r="B16" s="337" t="s">
        <v>414</v>
      </c>
      <c r="C16" s="125">
        <f>'TABELA 3.9 Pintor-Gesseiro'!D137</f>
        <v>6437.2118548297385</v>
      </c>
      <c r="D16" s="126">
        <v>2</v>
      </c>
      <c r="E16" s="132">
        <f t="shared" si="0"/>
        <v>12874.423709659477</v>
      </c>
      <c r="F16" s="265"/>
      <c r="G16" s="44" t="s">
        <v>424</v>
      </c>
      <c r="H16" s="337" t="s">
        <v>414</v>
      </c>
      <c r="I16" s="125">
        <f>'TABELA 3.9 Pintor-Gesseiro'!D137</f>
        <v>6437.2118548297385</v>
      </c>
      <c r="J16" s="126">
        <v>2</v>
      </c>
      <c r="K16" s="132">
        <f t="shared" si="1"/>
        <v>12874.423709659477</v>
      </c>
    </row>
    <row r="17" spans="1:11" x14ac:dyDescent="0.25">
      <c r="A17" s="44" t="s">
        <v>425</v>
      </c>
      <c r="B17" s="337" t="s">
        <v>415</v>
      </c>
      <c r="C17" s="125">
        <f>'TABELA 3.10 Serralheiro'!D137</f>
        <v>7446.367344819394</v>
      </c>
      <c r="D17" s="126">
        <v>1</v>
      </c>
      <c r="E17" s="132">
        <f t="shared" si="0"/>
        <v>7446.367344819394</v>
      </c>
      <c r="F17" s="265"/>
      <c r="G17" s="44" t="s">
        <v>425</v>
      </c>
      <c r="H17" s="337" t="s">
        <v>415</v>
      </c>
      <c r="I17" s="125">
        <f>'TABELA 3.10 Serralheiro'!D137</f>
        <v>7446.367344819394</v>
      </c>
      <c r="J17" s="126">
        <v>1</v>
      </c>
      <c r="K17" s="132">
        <f t="shared" si="1"/>
        <v>7446.367344819394</v>
      </c>
    </row>
    <row r="18" spans="1:11" x14ac:dyDescent="0.25">
      <c r="A18" s="44" t="s">
        <v>426</v>
      </c>
      <c r="B18" s="337" t="s">
        <v>416</v>
      </c>
      <c r="C18" s="125">
        <f>'TABELA 3.11 Engenheiro'!D137</f>
        <v>17002.678035379249</v>
      </c>
      <c r="D18" s="126">
        <v>1</v>
      </c>
      <c r="E18" s="132">
        <f t="shared" si="0"/>
        <v>17002.678035379249</v>
      </c>
      <c r="F18" s="265"/>
      <c r="G18" s="44" t="s">
        <v>426</v>
      </c>
      <c r="H18" s="337" t="s">
        <v>416</v>
      </c>
      <c r="I18" s="125">
        <f>'TABELA 3.11 Engenheiro'!F137</f>
        <v>18598.898506087738</v>
      </c>
      <c r="J18" s="126">
        <v>1</v>
      </c>
      <c r="K18" s="132">
        <f t="shared" si="1"/>
        <v>18598.898506087738</v>
      </c>
    </row>
    <row r="19" spans="1:11" x14ac:dyDescent="0.25">
      <c r="A19" s="44" t="s">
        <v>427</v>
      </c>
      <c r="B19" s="337" t="s">
        <v>417</v>
      </c>
      <c r="C19" s="125">
        <f>'TABELA 3.12 Técnico telefonia'!D137</f>
        <v>6942.0222921010482</v>
      </c>
      <c r="D19" s="126">
        <v>1</v>
      </c>
      <c r="E19" s="132">
        <f t="shared" si="0"/>
        <v>6942.0222921010482</v>
      </c>
      <c r="F19" s="265"/>
      <c r="G19" s="44" t="s">
        <v>427</v>
      </c>
      <c r="H19" s="337" t="s">
        <v>417</v>
      </c>
      <c r="I19" s="125">
        <f>'TABELA 3.12 Técnico telefonia'!D137</f>
        <v>6942.0222921010482</v>
      </c>
      <c r="J19" s="126">
        <v>1</v>
      </c>
      <c r="K19" s="132">
        <f t="shared" si="1"/>
        <v>6942.0222921010482</v>
      </c>
    </row>
    <row r="20" spans="1:11" x14ac:dyDescent="0.25">
      <c r="A20" s="44" t="s">
        <v>428</v>
      </c>
      <c r="B20" s="337" t="s">
        <v>418</v>
      </c>
      <c r="C20" s="125">
        <f>'TABELA 3.13 Ofi Mec Refrig'!D136</f>
        <v>6366.7672196237745</v>
      </c>
      <c r="D20" s="126">
        <v>2</v>
      </c>
      <c r="E20" s="132">
        <f t="shared" si="0"/>
        <v>12733.534439247549</v>
      </c>
      <c r="F20" s="265"/>
      <c r="G20" s="44" t="s">
        <v>428</v>
      </c>
      <c r="H20" s="337" t="s">
        <v>418</v>
      </c>
      <c r="I20" s="125">
        <f>'TABELA 3.13 Ofi Mec Refrig'!D136</f>
        <v>6366.7672196237745</v>
      </c>
      <c r="J20" s="126">
        <v>2</v>
      </c>
      <c r="K20" s="132">
        <f t="shared" si="1"/>
        <v>12733.534439247549</v>
      </c>
    </row>
    <row r="21" spans="1:11" ht="30.75" thickBot="1" x14ac:dyDescent="0.3">
      <c r="A21" s="133" t="s">
        <v>429</v>
      </c>
      <c r="B21" s="338" t="s">
        <v>433</v>
      </c>
      <c r="C21" s="134">
        <f>'TABELA 3.14 Ajud de Man e Rep'!D137</f>
        <v>5243.5809492207763</v>
      </c>
      <c r="D21" s="135">
        <v>3</v>
      </c>
      <c r="E21" s="136">
        <f t="shared" si="0"/>
        <v>15730.742847662328</v>
      </c>
      <c r="F21" s="265"/>
      <c r="G21" s="133" t="s">
        <v>429</v>
      </c>
      <c r="H21" s="338" t="s">
        <v>433</v>
      </c>
      <c r="I21" s="134">
        <f>'TABELA 3.14 Ajud de Man e Rep'!D137</f>
        <v>5243.5809492207763</v>
      </c>
      <c r="J21" s="135">
        <v>3</v>
      </c>
      <c r="K21" s="136">
        <f t="shared" si="1"/>
        <v>15730.742847662328</v>
      </c>
    </row>
    <row r="22" spans="1:11" x14ac:dyDescent="0.25">
      <c r="A22" s="397" t="s">
        <v>88</v>
      </c>
      <c r="B22" s="398"/>
      <c r="C22" s="398"/>
      <c r="D22" s="398"/>
      <c r="E22" s="111">
        <f>SUM(E8:E21)</f>
        <v>160865.08499735233</v>
      </c>
      <c r="F22" s="266"/>
      <c r="G22" s="397" t="s">
        <v>88</v>
      </c>
      <c r="H22" s="398"/>
      <c r="I22" s="398"/>
      <c r="J22" s="398"/>
      <c r="K22" s="111">
        <f>SUM(K8:K21)</f>
        <v>162461.30546806083</v>
      </c>
    </row>
    <row r="23" spans="1:11" ht="15.75" thickBot="1" x14ac:dyDescent="0.3">
      <c r="A23" s="399" t="s">
        <v>432</v>
      </c>
      <c r="B23" s="400"/>
      <c r="C23" s="400"/>
      <c r="D23" s="400"/>
      <c r="E23" s="112">
        <f>E22*12</f>
        <v>1930381.0199682279</v>
      </c>
      <c r="F23" s="267"/>
      <c r="G23" s="399" t="s">
        <v>586</v>
      </c>
      <c r="H23" s="400"/>
      <c r="I23" s="400"/>
      <c r="J23" s="400"/>
      <c r="K23" s="112">
        <f>K22*4</f>
        <v>649845.22187224333</v>
      </c>
    </row>
    <row r="24" spans="1:11" ht="15.75" thickBot="1" x14ac:dyDescent="0.3"/>
    <row r="25" spans="1:11" ht="45" customHeight="1" thickBot="1" x14ac:dyDescent="0.3">
      <c r="A25" s="413"/>
      <c r="B25" s="413"/>
      <c r="C25" s="413"/>
      <c r="D25" s="413"/>
      <c r="E25" s="413"/>
      <c r="F25" s="271"/>
      <c r="G25" s="390" t="s">
        <v>589</v>
      </c>
      <c r="H25" s="391"/>
      <c r="I25" s="391"/>
      <c r="J25" s="391"/>
      <c r="K25" s="392"/>
    </row>
    <row r="26" spans="1:11" ht="39" customHeight="1" thickBot="1" x14ac:dyDescent="0.3">
      <c r="A26" s="412"/>
      <c r="B26" s="412"/>
      <c r="C26" s="302"/>
      <c r="D26" s="302"/>
      <c r="E26" s="302"/>
      <c r="G26" s="393" t="s">
        <v>81</v>
      </c>
      <c r="H26" s="394"/>
      <c r="I26" s="110" t="s">
        <v>430</v>
      </c>
      <c r="J26" s="110" t="s">
        <v>431</v>
      </c>
      <c r="K26" s="272" t="s">
        <v>402</v>
      </c>
    </row>
    <row r="27" spans="1:11" ht="15.75" thickBot="1" x14ac:dyDescent="0.3">
      <c r="A27" s="411"/>
      <c r="B27" s="411"/>
      <c r="C27" s="301"/>
      <c r="D27" s="242"/>
      <c r="E27" s="301"/>
      <c r="G27" s="395" t="s">
        <v>82</v>
      </c>
      <c r="H27" s="396"/>
      <c r="I27" s="300" t="s">
        <v>83</v>
      </c>
      <c r="J27" s="109" t="s">
        <v>84</v>
      </c>
      <c r="K27" s="108" t="s">
        <v>85</v>
      </c>
    </row>
    <row r="28" spans="1:11" x14ac:dyDescent="0.25">
      <c r="A28" s="301"/>
      <c r="B28" s="273"/>
      <c r="C28" s="274"/>
      <c r="D28" s="275"/>
      <c r="E28" s="274"/>
      <c r="G28" s="127" t="s">
        <v>86</v>
      </c>
      <c r="H28" s="128" t="s">
        <v>406</v>
      </c>
      <c r="I28" s="129">
        <f>'TABELA 3.1 Bomb Hidra 5X2hs'!F137</f>
        <v>7782.2257086866121</v>
      </c>
      <c r="J28" s="130">
        <v>2</v>
      </c>
      <c r="K28" s="131">
        <f>I28*J28</f>
        <v>15564.451417373224</v>
      </c>
    </row>
    <row r="29" spans="1:11" x14ac:dyDescent="0.25">
      <c r="A29" s="301"/>
      <c r="B29" s="273"/>
      <c r="C29" s="274"/>
      <c r="D29" s="275"/>
      <c r="E29" s="274"/>
      <c r="G29" s="44" t="s">
        <v>87</v>
      </c>
      <c r="H29" s="124" t="s">
        <v>407</v>
      </c>
      <c r="I29" s="125">
        <f>'TABELA 3.2 Eletricista'!F137</f>
        <v>8633.6894929444225</v>
      </c>
      <c r="J29" s="126">
        <v>2</v>
      </c>
      <c r="K29" s="132">
        <f t="shared" ref="K29:K41" si="2">I29*J29</f>
        <v>17267.378985888845</v>
      </c>
    </row>
    <row r="30" spans="1:11" x14ac:dyDescent="0.25">
      <c r="A30" s="301"/>
      <c r="B30" s="339"/>
      <c r="C30" s="274"/>
      <c r="D30" s="275"/>
      <c r="E30" s="274"/>
      <c r="G30" s="44" t="s">
        <v>91</v>
      </c>
      <c r="H30" s="337" t="s">
        <v>408</v>
      </c>
      <c r="I30" s="125">
        <f>'TABELA 3.3 Encarregado de Man'!F137</f>
        <v>9263.8565086854051</v>
      </c>
      <c r="J30" s="126">
        <v>1</v>
      </c>
      <c r="K30" s="132">
        <f t="shared" si="2"/>
        <v>9263.8565086854051</v>
      </c>
    </row>
    <row r="31" spans="1:11" x14ac:dyDescent="0.25">
      <c r="A31" s="301"/>
      <c r="B31" s="339"/>
      <c r="C31" s="274"/>
      <c r="D31" s="275"/>
      <c r="E31" s="274"/>
      <c r="G31" s="44" t="s">
        <v>419</v>
      </c>
      <c r="H31" s="337" t="s">
        <v>409</v>
      </c>
      <c r="I31" s="125">
        <f>'TABELA 3.4 Estoquista Ferram'!F137</f>
        <v>6201.2958790325865</v>
      </c>
      <c r="J31" s="126">
        <v>2</v>
      </c>
      <c r="K31" s="132">
        <f t="shared" si="2"/>
        <v>12402.591758065173</v>
      </c>
    </row>
    <row r="32" spans="1:11" x14ac:dyDescent="0.25">
      <c r="A32" s="301"/>
      <c r="B32" s="339"/>
      <c r="C32" s="274"/>
      <c r="D32" s="275"/>
      <c r="E32" s="274"/>
      <c r="G32" s="44" t="s">
        <v>420</v>
      </c>
      <c r="H32" s="337" t="s">
        <v>410</v>
      </c>
      <c r="I32" s="125">
        <f>'TABELA 3.5 Jardineiro'!F137</f>
        <v>6086.1893277772342</v>
      </c>
      <c r="J32" s="126">
        <v>2</v>
      </c>
      <c r="K32" s="132">
        <f t="shared" si="2"/>
        <v>12172.378655554468</v>
      </c>
    </row>
    <row r="33" spans="1:11" x14ac:dyDescent="0.25">
      <c r="A33" s="301"/>
      <c r="B33" s="339"/>
      <c r="C33" s="274"/>
      <c r="D33" s="275"/>
      <c r="E33" s="274"/>
      <c r="G33" s="44" t="s">
        <v>421</v>
      </c>
      <c r="H33" s="337" t="s">
        <v>411</v>
      </c>
      <c r="I33" s="125">
        <f>'TABELA 3.6  Lavador'!F137</f>
        <v>6154.2574896218421</v>
      </c>
      <c r="J33" s="126">
        <v>1</v>
      </c>
      <c r="K33" s="132">
        <f t="shared" si="2"/>
        <v>6154.2574896218421</v>
      </c>
    </row>
    <row r="34" spans="1:11" x14ac:dyDescent="0.25">
      <c r="A34" s="301"/>
      <c r="B34" s="339"/>
      <c r="C34" s="274"/>
      <c r="D34" s="275"/>
      <c r="E34" s="274"/>
      <c r="G34" s="44" t="s">
        <v>422</v>
      </c>
      <c r="H34" s="337" t="s">
        <v>412</v>
      </c>
      <c r="I34" s="125">
        <f>'TABELA 3.7 Marceneiro'!F137</f>
        <v>7337.1946956494012</v>
      </c>
      <c r="J34" s="126">
        <v>2</v>
      </c>
      <c r="K34" s="132">
        <f t="shared" si="2"/>
        <v>14674.389391298802</v>
      </c>
    </row>
    <row r="35" spans="1:11" x14ac:dyDescent="0.25">
      <c r="A35" s="301"/>
      <c r="B35" s="339"/>
      <c r="C35" s="274"/>
      <c r="D35" s="275"/>
      <c r="E35" s="274"/>
      <c r="G35" s="44" t="s">
        <v>423</v>
      </c>
      <c r="H35" s="337" t="s">
        <v>413</v>
      </c>
      <c r="I35" s="125">
        <f>'TABELA 3.8 Pedreiro'!F137</f>
        <v>6930.9028792789286</v>
      </c>
      <c r="J35" s="126">
        <v>1</v>
      </c>
      <c r="K35" s="132">
        <f t="shared" si="2"/>
        <v>6930.9028792789286</v>
      </c>
    </row>
    <row r="36" spans="1:11" x14ac:dyDescent="0.25">
      <c r="A36" s="301"/>
      <c r="B36" s="339"/>
      <c r="C36" s="274"/>
      <c r="D36" s="275"/>
      <c r="E36" s="274"/>
      <c r="G36" s="44" t="s">
        <v>424</v>
      </c>
      <c r="H36" s="337" t="s">
        <v>414</v>
      </c>
      <c r="I36" s="125">
        <f>'TABELA 3.9 Pintor-Gesseiro'!F137</f>
        <v>6917.9337420454667</v>
      </c>
      <c r="J36" s="126">
        <v>2</v>
      </c>
      <c r="K36" s="132">
        <f t="shared" si="2"/>
        <v>13835.867484090933</v>
      </c>
    </row>
    <row r="37" spans="1:11" x14ac:dyDescent="0.25">
      <c r="A37" s="301"/>
      <c r="B37" s="339"/>
      <c r="C37" s="274"/>
      <c r="D37" s="275"/>
      <c r="E37" s="274"/>
      <c r="G37" s="44" t="s">
        <v>425</v>
      </c>
      <c r="H37" s="337" t="s">
        <v>415</v>
      </c>
      <c r="I37" s="125">
        <f>'TABELA 3.10 Serralheiro'!F137</f>
        <v>8007.8783622992669</v>
      </c>
      <c r="J37" s="126">
        <v>1</v>
      </c>
      <c r="K37" s="132">
        <f t="shared" si="2"/>
        <v>8007.8783622992669</v>
      </c>
    </row>
    <row r="38" spans="1:11" x14ac:dyDescent="0.25">
      <c r="A38" s="301"/>
      <c r="B38" s="339"/>
      <c r="C38" s="274"/>
      <c r="D38" s="275"/>
      <c r="E38" s="274"/>
      <c r="G38" s="44" t="s">
        <v>426</v>
      </c>
      <c r="H38" s="337" t="s">
        <v>416</v>
      </c>
      <c r="I38" s="125">
        <f>'TABELA 3.11 Engenheiro'!H137</f>
        <v>18610.310591380246</v>
      </c>
      <c r="J38" s="126">
        <v>1</v>
      </c>
      <c r="K38" s="132">
        <f t="shared" si="2"/>
        <v>18610.310591380246</v>
      </c>
    </row>
    <row r="39" spans="1:11" x14ac:dyDescent="0.25">
      <c r="A39" s="301"/>
      <c r="B39" s="339"/>
      <c r="C39" s="274"/>
      <c r="D39" s="275"/>
      <c r="E39" s="274"/>
      <c r="G39" s="44" t="s">
        <v>427</v>
      </c>
      <c r="H39" s="337" t="s">
        <v>417</v>
      </c>
      <c r="I39" s="125">
        <f>'TABELA 3.12 Técnico telefonia'!F137</f>
        <v>7464.6522710390309</v>
      </c>
      <c r="J39" s="126">
        <v>1</v>
      </c>
      <c r="K39" s="132">
        <f t="shared" si="2"/>
        <v>7464.6522710390309</v>
      </c>
    </row>
    <row r="40" spans="1:11" x14ac:dyDescent="0.25">
      <c r="A40" s="301"/>
      <c r="B40" s="339"/>
      <c r="C40" s="274"/>
      <c r="D40" s="275"/>
      <c r="E40" s="274"/>
      <c r="G40" s="44" t="s">
        <v>428</v>
      </c>
      <c r="H40" s="337" t="s">
        <v>418</v>
      </c>
      <c r="I40" s="125">
        <f>'TABELA 3.13 Ofi Mec Refrig'!F136</f>
        <v>6306.2226392383427</v>
      </c>
      <c r="J40" s="126">
        <v>2</v>
      </c>
      <c r="K40" s="132">
        <f t="shared" si="2"/>
        <v>12612.445278476685</v>
      </c>
    </row>
    <row r="41" spans="1:11" ht="30.75" thickBot="1" x14ac:dyDescent="0.3">
      <c r="A41" s="301"/>
      <c r="B41" s="340"/>
      <c r="C41" s="274"/>
      <c r="D41" s="275"/>
      <c r="E41" s="274"/>
      <c r="G41" s="133" t="s">
        <v>429</v>
      </c>
      <c r="H41" s="338" t="s">
        <v>433</v>
      </c>
      <c r="I41" s="134">
        <f>'TABELA 3.14 Ajud de Man e Rep'!F137</f>
        <v>5624.903472331287</v>
      </c>
      <c r="J41" s="135">
        <v>3</v>
      </c>
      <c r="K41" s="136">
        <f t="shared" si="2"/>
        <v>16874.710416993861</v>
      </c>
    </row>
    <row r="42" spans="1:11" ht="15" customHeight="1" x14ac:dyDescent="0.25">
      <c r="A42" s="412"/>
      <c r="B42" s="412"/>
      <c r="C42" s="412"/>
      <c r="D42" s="412"/>
      <c r="E42" s="276"/>
      <c r="G42" s="397" t="s">
        <v>88</v>
      </c>
      <c r="H42" s="398"/>
      <c r="I42" s="398"/>
      <c r="J42" s="398"/>
      <c r="K42" s="111">
        <f>SUM(K28:K41)</f>
        <v>171836.07149004671</v>
      </c>
    </row>
    <row r="43" spans="1:11" ht="15.75" customHeight="1" thickBot="1" x14ac:dyDescent="0.3">
      <c r="A43" s="412"/>
      <c r="B43" s="412"/>
      <c r="C43" s="412"/>
      <c r="D43" s="412"/>
      <c r="E43" s="277"/>
      <c r="G43" s="399" t="s">
        <v>586</v>
      </c>
      <c r="H43" s="400"/>
      <c r="I43" s="400"/>
      <c r="J43" s="400"/>
      <c r="K43" s="112">
        <f>K42*4</f>
        <v>687344.28596018685</v>
      </c>
    </row>
    <row r="44" spans="1:11" ht="15.75" thickBot="1" x14ac:dyDescent="0.3">
      <c r="A44" s="413"/>
      <c r="B44" s="413"/>
      <c r="C44" s="413"/>
      <c r="D44" s="413"/>
      <c r="E44" s="413"/>
    </row>
    <row r="45" spans="1:11" ht="45" customHeight="1" thickBot="1" x14ac:dyDescent="0.3">
      <c r="A45" s="412"/>
      <c r="B45" s="412"/>
      <c r="C45" s="302"/>
      <c r="D45" s="302"/>
      <c r="E45" s="302"/>
      <c r="G45" s="390" t="s">
        <v>590</v>
      </c>
      <c r="H45" s="391"/>
      <c r="I45" s="391"/>
      <c r="J45" s="391"/>
      <c r="K45" s="392"/>
    </row>
    <row r="46" spans="1:11" ht="39" thickBot="1" x14ac:dyDescent="0.3">
      <c r="A46" s="411"/>
      <c r="B46" s="411"/>
      <c r="C46" s="301"/>
      <c r="D46" s="242"/>
      <c r="E46" s="301"/>
      <c r="G46" s="393" t="s">
        <v>81</v>
      </c>
      <c r="H46" s="394"/>
      <c r="I46" s="110" t="s">
        <v>430</v>
      </c>
      <c r="J46" s="110" t="s">
        <v>431</v>
      </c>
      <c r="K46" s="110" t="s">
        <v>402</v>
      </c>
    </row>
    <row r="47" spans="1:11" ht="15.75" thickBot="1" x14ac:dyDescent="0.3">
      <c r="A47" s="301"/>
      <c r="B47" s="273"/>
      <c r="C47" s="274"/>
      <c r="D47" s="275"/>
      <c r="E47" s="274"/>
      <c r="G47" s="395" t="s">
        <v>82</v>
      </c>
      <c r="H47" s="396"/>
      <c r="I47" s="300" t="s">
        <v>83</v>
      </c>
      <c r="J47" s="109" t="s">
        <v>84</v>
      </c>
      <c r="K47" s="108" t="s">
        <v>85</v>
      </c>
    </row>
    <row r="48" spans="1:11" x14ac:dyDescent="0.25">
      <c r="A48" s="301"/>
      <c r="B48" s="273"/>
      <c r="C48" s="274"/>
      <c r="D48" s="275"/>
      <c r="E48" s="274"/>
      <c r="G48" s="127" t="s">
        <v>86</v>
      </c>
      <c r="H48" s="128" t="s">
        <v>406</v>
      </c>
      <c r="I48" s="129">
        <f>'TABELA 3.1 Bomb Hidra 5X2hs'!F137</f>
        <v>7782.2257086866121</v>
      </c>
      <c r="J48" s="130">
        <v>2</v>
      </c>
      <c r="K48" s="131">
        <f>I48*J48</f>
        <v>15564.451417373224</v>
      </c>
    </row>
    <row r="49" spans="1:11" x14ac:dyDescent="0.25">
      <c r="A49" s="301"/>
      <c r="B49" s="339"/>
      <c r="C49" s="274"/>
      <c r="D49" s="275"/>
      <c r="E49" s="274"/>
      <c r="G49" s="44" t="s">
        <v>87</v>
      </c>
      <c r="H49" s="124" t="s">
        <v>407</v>
      </c>
      <c r="I49" s="125">
        <f>'TABELA 3.2 Eletricista'!F137</f>
        <v>8633.6894929444225</v>
      </c>
      <c r="J49" s="126">
        <v>2</v>
      </c>
      <c r="K49" s="132">
        <f t="shared" ref="K49:K61" si="3">I49*J49</f>
        <v>17267.378985888845</v>
      </c>
    </row>
    <row r="50" spans="1:11" x14ac:dyDescent="0.25">
      <c r="A50" s="301"/>
      <c r="B50" s="339"/>
      <c r="C50" s="274"/>
      <c r="D50" s="275"/>
      <c r="E50" s="274"/>
      <c r="G50" s="44" t="s">
        <v>91</v>
      </c>
      <c r="H50" s="337" t="s">
        <v>408</v>
      </c>
      <c r="I50" s="125">
        <f>'TABELA 3.3 Encarregado de Man'!F137</f>
        <v>9263.8565086854051</v>
      </c>
      <c r="J50" s="126">
        <v>1</v>
      </c>
      <c r="K50" s="132">
        <f t="shared" si="3"/>
        <v>9263.8565086854051</v>
      </c>
    </row>
    <row r="51" spans="1:11" x14ac:dyDescent="0.25">
      <c r="A51" s="301"/>
      <c r="B51" s="339"/>
      <c r="C51" s="274"/>
      <c r="D51" s="275"/>
      <c r="E51" s="274"/>
      <c r="G51" s="44" t="s">
        <v>419</v>
      </c>
      <c r="H51" s="337" t="s">
        <v>409</v>
      </c>
      <c r="I51" s="125">
        <f>'TABELA 3.4 Estoquista Ferram'!F137</f>
        <v>6201.2958790325865</v>
      </c>
      <c r="J51" s="126">
        <v>2</v>
      </c>
      <c r="K51" s="132">
        <f t="shared" si="3"/>
        <v>12402.591758065173</v>
      </c>
    </row>
    <row r="52" spans="1:11" x14ac:dyDescent="0.25">
      <c r="A52" s="301"/>
      <c r="B52" s="339"/>
      <c r="C52" s="274"/>
      <c r="D52" s="275"/>
      <c r="E52" s="274"/>
      <c r="G52" s="44" t="s">
        <v>420</v>
      </c>
      <c r="H52" s="337" t="s">
        <v>410</v>
      </c>
      <c r="I52" s="125">
        <f>'TABELA 3.5 Jardineiro'!F137</f>
        <v>6086.1893277772342</v>
      </c>
      <c r="J52" s="126">
        <v>2</v>
      </c>
      <c r="K52" s="132">
        <f t="shared" si="3"/>
        <v>12172.378655554468</v>
      </c>
    </row>
    <row r="53" spans="1:11" x14ac:dyDescent="0.25">
      <c r="A53" s="301"/>
      <c r="B53" s="339"/>
      <c r="C53" s="274"/>
      <c r="D53" s="275"/>
      <c r="E53" s="274"/>
      <c r="G53" s="44" t="s">
        <v>421</v>
      </c>
      <c r="H53" s="337" t="s">
        <v>411</v>
      </c>
      <c r="I53" s="125">
        <f>'TABELA 3.6  Lavador'!F137</f>
        <v>6154.2574896218421</v>
      </c>
      <c r="J53" s="126">
        <v>1</v>
      </c>
      <c r="K53" s="132">
        <f t="shared" si="3"/>
        <v>6154.2574896218421</v>
      </c>
    </row>
    <row r="54" spans="1:11" x14ac:dyDescent="0.25">
      <c r="A54" s="301"/>
      <c r="B54" s="339"/>
      <c r="C54" s="274"/>
      <c r="D54" s="275"/>
      <c r="E54" s="274"/>
      <c r="G54" s="44" t="s">
        <v>422</v>
      </c>
      <c r="H54" s="337" t="s">
        <v>412</v>
      </c>
      <c r="I54" s="125">
        <f>'TABELA 3.7 Marceneiro'!F137</f>
        <v>7337.1946956494012</v>
      </c>
      <c r="J54" s="126">
        <v>2</v>
      </c>
      <c r="K54" s="132">
        <f t="shared" si="3"/>
        <v>14674.389391298802</v>
      </c>
    </row>
    <row r="55" spans="1:11" x14ac:dyDescent="0.25">
      <c r="A55" s="301"/>
      <c r="B55" s="339"/>
      <c r="C55" s="274"/>
      <c r="D55" s="275"/>
      <c r="E55" s="274"/>
      <c r="G55" s="44" t="s">
        <v>423</v>
      </c>
      <c r="H55" s="337" t="s">
        <v>413</v>
      </c>
      <c r="I55" s="125">
        <f>'TABELA 3.8 Pedreiro'!F137</f>
        <v>6930.9028792789286</v>
      </c>
      <c r="J55" s="126">
        <v>1</v>
      </c>
      <c r="K55" s="132">
        <f t="shared" si="3"/>
        <v>6930.9028792789286</v>
      </c>
    </row>
    <row r="56" spans="1:11" x14ac:dyDescent="0.25">
      <c r="A56" s="301"/>
      <c r="B56" s="339"/>
      <c r="C56" s="274"/>
      <c r="D56" s="275"/>
      <c r="E56" s="274"/>
      <c r="G56" s="44" t="s">
        <v>424</v>
      </c>
      <c r="H56" s="337" t="s">
        <v>414</v>
      </c>
      <c r="I56" s="125">
        <f>'TABELA 3.9 Pintor-Gesseiro'!F137</f>
        <v>6917.9337420454667</v>
      </c>
      <c r="J56" s="126">
        <v>2</v>
      </c>
      <c r="K56" s="132">
        <f t="shared" si="3"/>
        <v>13835.867484090933</v>
      </c>
    </row>
    <row r="57" spans="1:11" x14ac:dyDescent="0.25">
      <c r="A57" s="301"/>
      <c r="B57" s="339"/>
      <c r="C57" s="274"/>
      <c r="D57" s="275"/>
      <c r="E57" s="274"/>
      <c r="G57" s="44" t="s">
        <v>425</v>
      </c>
      <c r="H57" s="337" t="s">
        <v>415</v>
      </c>
      <c r="I57" s="125">
        <f>'TABELA 3.10 Serralheiro'!F137</f>
        <v>8007.8783622992669</v>
      </c>
      <c r="J57" s="126">
        <v>1</v>
      </c>
      <c r="K57" s="132">
        <f t="shared" si="3"/>
        <v>8007.8783622992669</v>
      </c>
    </row>
    <row r="58" spans="1:11" x14ac:dyDescent="0.25">
      <c r="A58" s="301"/>
      <c r="B58" s="339"/>
      <c r="C58" s="274"/>
      <c r="D58" s="275"/>
      <c r="E58" s="274"/>
      <c r="G58" s="44" t="s">
        <v>426</v>
      </c>
      <c r="H58" s="337" t="s">
        <v>416</v>
      </c>
      <c r="I58" s="125">
        <f>'TABELA 3.11 Engenheiro'!H137</f>
        <v>18610.310591380246</v>
      </c>
      <c r="J58" s="126">
        <v>1</v>
      </c>
      <c r="K58" s="132">
        <f t="shared" si="3"/>
        <v>18610.310591380246</v>
      </c>
    </row>
    <row r="59" spans="1:11" x14ac:dyDescent="0.25">
      <c r="A59" s="301"/>
      <c r="B59" s="339"/>
      <c r="C59" s="274"/>
      <c r="D59" s="275"/>
      <c r="E59" s="274"/>
      <c r="G59" s="44" t="s">
        <v>427</v>
      </c>
      <c r="H59" s="337" t="s">
        <v>417</v>
      </c>
      <c r="I59" s="125">
        <f>'TABELA 3.12 Técnico telefonia'!F137</f>
        <v>7464.6522710390309</v>
      </c>
      <c r="J59" s="126">
        <v>1</v>
      </c>
      <c r="K59" s="132">
        <f t="shared" si="3"/>
        <v>7464.6522710390309</v>
      </c>
    </row>
    <row r="60" spans="1:11" x14ac:dyDescent="0.25">
      <c r="A60" s="301"/>
      <c r="B60" s="340"/>
      <c r="C60" s="274"/>
      <c r="D60" s="275"/>
      <c r="E60" s="274"/>
      <c r="G60" s="44" t="s">
        <v>428</v>
      </c>
      <c r="H60" s="337" t="s">
        <v>418</v>
      </c>
      <c r="I60" s="125">
        <f>'TABELA 3.13 Ofi Mec Refrig'!G136</f>
        <v>6626.6307191547658</v>
      </c>
      <c r="J60" s="126">
        <v>2</v>
      </c>
      <c r="K60" s="132">
        <f t="shared" si="3"/>
        <v>13253.261438309532</v>
      </c>
    </row>
    <row r="61" spans="1:11" ht="30.75" thickBot="1" x14ac:dyDescent="0.3">
      <c r="A61" s="412"/>
      <c r="B61" s="412"/>
      <c r="C61" s="412"/>
      <c r="D61" s="412"/>
      <c r="E61" s="276"/>
      <c r="G61" s="133" t="s">
        <v>429</v>
      </c>
      <c r="H61" s="338" t="s">
        <v>433</v>
      </c>
      <c r="I61" s="134">
        <f>'TABELA 3.14 Ajud de Man e Rep'!F137</f>
        <v>5624.903472331287</v>
      </c>
      <c r="J61" s="135">
        <v>3</v>
      </c>
      <c r="K61" s="136">
        <f t="shared" si="3"/>
        <v>16874.710416993861</v>
      </c>
    </row>
    <row r="62" spans="1:11" x14ac:dyDescent="0.25">
      <c r="A62" s="412"/>
      <c r="B62" s="412"/>
      <c r="C62" s="412"/>
      <c r="D62" s="412"/>
      <c r="E62" s="277"/>
      <c r="G62" s="397" t="s">
        <v>88</v>
      </c>
      <c r="H62" s="398"/>
      <c r="I62" s="398"/>
      <c r="J62" s="398"/>
      <c r="K62" s="111">
        <f>SUM(K48:K61)</f>
        <v>172476.88764987956</v>
      </c>
    </row>
    <row r="63" spans="1:11" ht="15.75" thickBot="1" x14ac:dyDescent="0.3">
      <c r="G63" s="399" t="s">
        <v>586</v>
      </c>
      <c r="H63" s="400"/>
      <c r="I63" s="400"/>
      <c r="J63" s="400"/>
      <c r="K63" s="112">
        <f>K62*4</f>
        <v>689907.55059951823</v>
      </c>
    </row>
    <row r="64" spans="1:11" ht="15.75" thickBot="1" x14ac:dyDescent="0.3"/>
    <row r="65" spans="7:11" ht="45" customHeight="1" thickBot="1" x14ac:dyDescent="0.3">
      <c r="G65" s="390" t="s">
        <v>591</v>
      </c>
      <c r="H65" s="391"/>
      <c r="I65" s="391"/>
      <c r="J65" s="391"/>
      <c r="K65" s="392"/>
    </row>
    <row r="66" spans="7:11" ht="39" thickBot="1" x14ac:dyDescent="0.3">
      <c r="G66" s="393" t="s">
        <v>81</v>
      </c>
      <c r="H66" s="394"/>
      <c r="I66" s="110" t="s">
        <v>430</v>
      </c>
      <c r="J66" s="110" t="s">
        <v>431</v>
      </c>
      <c r="K66" s="110" t="s">
        <v>402</v>
      </c>
    </row>
    <row r="67" spans="7:11" ht="15.75" thickBot="1" x14ac:dyDescent="0.3">
      <c r="G67" s="395" t="s">
        <v>82</v>
      </c>
      <c r="H67" s="396"/>
      <c r="I67" s="300" t="s">
        <v>83</v>
      </c>
      <c r="J67" s="109" t="s">
        <v>84</v>
      </c>
      <c r="K67" s="108" t="s">
        <v>85</v>
      </c>
    </row>
    <row r="68" spans="7:11" x14ac:dyDescent="0.25">
      <c r="G68" s="127" t="s">
        <v>86</v>
      </c>
      <c r="H68" s="128" t="s">
        <v>406</v>
      </c>
      <c r="I68" s="129">
        <f>'TABELA 3.1 Bomb Hidra 5X2hs'!$H$137</f>
        <v>7697.3344136045744</v>
      </c>
      <c r="J68" s="130">
        <v>2</v>
      </c>
      <c r="K68" s="131">
        <f>I68*J68</f>
        <v>15394.668827209149</v>
      </c>
    </row>
    <row r="69" spans="7:11" x14ac:dyDescent="0.25">
      <c r="G69" s="44" t="s">
        <v>87</v>
      </c>
      <c r="H69" s="124" t="s">
        <v>407</v>
      </c>
      <c r="I69" s="125">
        <f>'TABELA 3.2 Eletricista'!$H$137</f>
        <v>8537.4605180551189</v>
      </c>
      <c r="J69" s="126">
        <v>2</v>
      </c>
      <c r="K69" s="132">
        <f t="shared" ref="K69:K81" si="4">I69*J69</f>
        <v>17074.921036110238</v>
      </c>
    </row>
    <row r="70" spans="7:11" x14ac:dyDescent="0.25">
      <c r="G70" s="44" t="s">
        <v>91</v>
      </c>
      <c r="H70" s="337" t="s">
        <v>408</v>
      </c>
      <c r="I70" s="125">
        <f>'TABELA 3.3 Encarregado de Man'!$H$137</f>
        <v>9157.0282351891128</v>
      </c>
      <c r="J70" s="126">
        <v>1</v>
      </c>
      <c r="K70" s="132">
        <f t="shared" si="4"/>
        <v>9157.0282351891128</v>
      </c>
    </row>
    <row r="71" spans="7:11" x14ac:dyDescent="0.25">
      <c r="G71" s="44" t="s">
        <v>419</v>
      </c>
      <c r="H71" s="337" t="s">
        <v>409</v>
      </c>
      <c r="I71" s="125">
        <f>'TABELA 3.4 Estoquista Ferram'!$H$137</f>
        <v>6138.6447682149119</v>
      </c>
      <c r="J71" s="126">
        <v>2</v>
      </c>
      <c r="K71" s="132">
        <f t="shared" si="4"/>
        <v>12277.289536429824</v>
      </c>
    </row>
    <row r="72" spans="7:11" x14ac:dyDescent="0.25">
      <c r="G72" s="44" t="s">
        <v>420</v>
      </c>
      <c r="H72" s="337" t="s">
        <v>410</v>
      </c>
      <c r="I72" s="125">
        <f>'TABELA 3.5 Jardineiro'!$H$137</f>
        <v>6025.8460818556277</v>
      </c>
      <c r="J72" s="126">
        <v>2</v>
      </c>
      <c r="K72" s="132">
        <f t="shared" si="4"/>
        <v>12051.692163711255</v>
      </c>
    </row>
    <row r="73" spans="7:11" x14ac:dyDescent="0.25">
      <c r="G73" s="44" t="s">
        <v>421</v>
      </c>
      <c r="H73" s="337" t="s">
        <v>411</v>
      </c>
      <c r="I73" s="125">
        <f>'TABELA 3.6  Lavador'!$H$137</f>
        <v>6092.614590237069</v>
      </c>
      <c r="J73" s="126">
        <v>1</v>
      </c>
      <c r="K73" s="132">
        <f t="shared" si="4"/>
        <v>6092.614590237069</v>
      </c>
    </row>
    <row r="74" spans="7:11" x14ac:dyDescent="0.25">
      <c r="G74" s="44" t="s">
        <v>422</v>
      </c>
      <c r="H74" s="337" t="s">
        <v>412</v>
      </c>
      <c r="I74" s="125">
        <f>'TABELA 3.7 Marceneiro'!$H$137</f>
        <v>7260.5077554450518</v>
      </c>
      <c r="J74" s="126">
        <v>2</v>
      </c>
      <c r="K74" s="132">
        <f t="shared" si="4"/>
        <v>14521.015510890104</v>
      </c>
    </row>
    <row r="75" spans="7:11" x14ac:dyDescent="0.25">
      <c r="G75" s="44" t="s">
        <v>423</v>
      </c>
      <c r="H75" s="337" t="s">
        <v>413</v>
      </c>
      <c r="I75" s="125">
        <f>'TABELA 3.8 Pedreiro'!$H$137</f>
        <v>6857.8705391408585</v>
      </c>
      <c r="J75" s="126">
        <v>1</v>
      </c>
      <c r="K75" s="132">
        <f t="shared" si="4"/>
        <v>6857.8705391408585</v>
      </c>
    </row>
    <row r="76" spans="7:11" x14ac:dyDescent="0.25">
      <c r="G76" s="44" t="s">
        <v>424</v>
      </c>
      <c r="H76" s="337" t="s">
        <v>414</v>
      </c>
      <c r="I76" s="125">
        <f>'TABELA 3.9 Pintor-Gesseiro'!$H$137</f>
        <v>6844.9014019073966</v>
      </c>
      <c r="J76" s="126">
        <v>2</v>
      </c>
      <c r="K76" s="132">
        <f t="shared" si="4"/>
        <v>13689.802803814793</v>
      </c>
    </row>
    <row r="77" spans="7:11" x14ac:dyDescent="0.25">
      <c r="G77" s="44" t="s">
        <v>425</v>
      </c>
      <c r="H77" s="337" t="s">
        <v>415</v>
      </c>
      <c r="I77" s="125">
        <f>'TABELA 3.10 Serralheiro'!$H$137</f>
        <v>7919.9383199434051</v>
      </c>
      <c r="J77" s="126">
        <v>1</v>
      </c>
      <c r="K77" s="132">
        <f t="shared" si="4"/>
        <v>7919.9383199434051</v>
      </c>
    </row>
    <row r="78" spans="7:11" x14ac:dyDescent="0.25">
      <c r="G78" s="44" t="s">
        <v>426</v>
      </c>
      <c r="H78" s="337" t="s">
        <v>416</v>
      </c>
      <c r="I78" s="125">
        <f>'TABELA 3.11 Engenheiro'!$J$137</f>
        <v>18374.66623144209</v>
      </c>
      <c r="J78" s="126">
        <v>1</v>
      </c>
      <c r="K78" s="132">
        <f t="shared" si="4"/>
        <v>18374.66623144209</v>
      </c>
    </row>
    <row r="79" spans="7:11" x14ac:dyDescent="0.25">
      <c r="G79" s="44" t="s">
        <v>427</v>
      </c>
      <c r="H79" s="337" t="s">
        <v>417</v>
      </c>
      <c r="I79" s="125">
        <f>'TABELA 3.12 Técnico telefonia'!$H$137</f>
        <v>7383.7001561916968</v>
      </c>
      <c r="J79" s="126">
        <v>1</v>
      </c>
      <c r="K79" s="132">
        <f t="shared" si="4"/>
        <v>7383.7001561916968</v>
      </c>
    </row>
    <row r="80" spans="7:11" x14ac:dyDescent="0.25">
      <c r="G80" s="44" t="s">
        <v>428</v>
      </c>
      <c r="H80" s="337" t="s">
        <v>418</v>
      </c>
      <c r="I80" s="125">
        <f>'TABELA 3.13 Ofi Mec Refrig'!I136</f>
        <v>6555.3153750139436</v>
      </c>
      <c r="J80" s="126">
        <v>2</v>
      </c>
      <c r="K80" s="132">
        <f t="shared" si="4"/>
        <v>13110.630750027887</v>
      </c>
    </row>
    <row r="81" spans="7:11" ht="30.75" thickBot="1" x14ac:dyDescent="0.3">
      <c r="G81" s="133" t="s">
        <v>429</v>
      </c>
      <c r="H81" s="338" t="s">
        <v>433</v>
      </c>
      <c r="I81" s="134">
        <f>'TABELA 3.14 Ajud de Man e Rep'!$H$137</f>
        <v>5570.6555849708548</v>
      </c>
      <c r="J81" s="135">
        <v>3</v>
      </c>
      <c r="K81" s="136">
        <f t="shared" si="4"/>
        <v>16711.966754912566</v>
      </c>
    </row>
    <row r="82" spans="7:11" x14ac:dyDescent="0.25">
      <c r="G82" s="397" t="s">
        <v>88</v>
      </c>
      <c r="H82" s="398"/>
      <c r="I82" s="398"/>
      <c r="J82" s="398"/>
      <c r="K82" s="111">
        <f>SUM(K68:K81)</f>
        <v>170617.80545525005</v>
      </c>
    </row>
    <row r="83" spans="7:11" ht="15.75" thickBot="1" x14ac:dyDescent="0.3">
      <c r="G83" s="399" t="s">
        <v>587</v>
      </c>
      <c r="H83" s="400"/>
      <c r="I83" s="400"/>
      <c r="J83" s="400"/>
      <c r="K83" s="112">
        <f>K82/30</f>
        <v>5687.2601818416688</v>
      </c>
    </row>
    <row r="84" spans="7:11" ht="15.75" thickBot="1" x14ac:dyDescent="0.3"/>
    <row r="85" spans="7:11" ht="45" customHeight="1" thickBot="1" x14ac:dyDescent="0.3">
      <c r="G85" s="390" t="s">
        <v>592</v>
      </c>
      <c r="H85" s="391"/>
      <c r="I85" s="391"/>
      <c r="J85" s="391"/>
      <c r="K85" s="392"/>
    </row>
    <row r="86" spans="7:11" ht="39" thickBot="1" x14ac:dyDescent="0.3">
      <c r="G86" s="393" t="s">
        <v>81</v>
      </c>
      <c r="H86" s="394"/>
      <c r="I86" s="110" t="s">
        <v>430</v>
      </c>
      <c r="J86" s="110" t="s">
        <v>431</v>
      </c>
      <c r="K86" s="110" t="s">
        <v>402</v>
      </c>
    </row>
    <row r="87" spans="7:11" ht="15.75" thickBot="1" x14ac:dyDescent="0.3">
      <c r="G87" s="395" t="s">
        <v>82</v>
      </c>
      <c r="H87" s="396"/>
      <c r="I87" s="300" t="s">
        <v>83</v>
      </c>
      <c r="J87" s="109" t="s">
        <v>84</v>
      </c>
      <c r="K87" s="108" t="s">
        <v>85</v>
      </c>
    </row>
    <row r="88" spans="7:11" x14ac:dyDescent="0.25">
      <c r="G88" s="127" t="s">
        <v>86</v>
      </c>
      <c r="H88" s="128" t="s">
        <v>406</v>
      </c>
      <c r="I88" s="129">
        <f>'TABELA 3.1 Bomb Hidra 5X2hs'!$H$137</f>
        <v>7697.3344136045744</v>
      </c>
      <c r="J88" s="130">
        <v>2</v>
      </c>
      <c r="K88" s="131">
        <f>I88*J88</f>
        <v>15394.668827209149</v>
      </c>
    </row>
    <row r="89" spans="7:11" x14ac:dyDescent="0.25">
      <c r="G89" s="44" t="s">
        <v>87</v>
      </c>
      <c r="H89" s="124" t="s">
        <v>407</v>
      </c>
      <c r="I89" s="125">
        <f>'TABELA 3.2 Eletricista'!$H$137</f>
        <v>8537.4605180551189</v>
      </c>
      <c r="J89" s="126">
        <v>2</v>
      </c>
      <c r="K89" s="132">
        <f t="shared" ref="K89:K101" si="5">I89*J89</f>
        <v>17074.921036110238</v>
      </c>
    </row>
    <row r="90" spans="7:11" x14ac:dyDescent="0.25">
      <c r="G90" s="44" t="s">
        <v>91</v>
      </c>
      <c r="H90" s="337" t="s">
        <v>408</v>
      </c>
      <c r="I90" s="125">
        <f>'TABELA 3.3 Encarregado de Man'!$H$137</f>
        <v>9157.0282351891128</v>
      </c>
      <c r="J90" s="126">
        <v>1</v>
      </c>
      <c r="K90" s="132">
        <f t="shared" si="5"/>
        <v>9157.0282351891128</v>
      </c>
    </row>
    <row r="91" spans="7:11" x14ac:dyDescent="0.25">
      <c r="G91" s="44" t="s">
        <v>419</v>
      </c>
      <c r="H91" s="337" t="s">
        <v>409</v>
      </c>
      <c r="I91" s="125">
        <f>'TABELA 3.4 Estoquista Ferram'!$H$137</f>
        <v>6138.6447682149119</v>
      </c>
      <c r="J91" s="126">
        <v>2</v>
      </c>
      <c r="K91" s="132">
        <f t="shared" si="5"/>
        <v>12277.289536429824</v>
      </c>
    </row>
    <row r="92" spans="7:11" x14ac:dyDescent="0.25">
      <c r="G92" s="44" t="s">
        <v>420</v>
      </c>
      <c r="H92" s="337" t="s">
        <v>410</v>
      </c>
      <c r="I92" s="125">
        <f>'TABELA 3.5 Jardineiro'!$H$137</f>
        <v>6025.8460818556277</v>
      </c>
      <c r="J92" s="126">
        <v>2</v>
      </c>
      <c r="K92" s="132">
        <f t="shared" si="5"/>
        <v>12051.692163711255</v>
      </c>
    </row>
    <row r="93" spans="7:11" x14ac:dyDescent="0.25">
      <c r="G93" s="44" t="s">
        <v>421</v>
      </c>
      <c r="H93" s="337" t="s">
        <v>411</v>
      </c>
      <c r="I93" s="125">
        <f>'TABELA 3.6  Lavador'!$H$137</f>
        <v>6092.614590237069</v>
      </c>
      <c r="J93" s="126">
        <v>1</v>
      </c>
      <c r="K93" s="132">
        <f t="shared" si="5"/>
        <v>6092.614590237069</v>
      </c>
    </row>
    <row r="94" spans="7:11" x14ac:dyDescent="0.25">
      <c r="G94" s="44" t="s">
        <v>422</v>
      </c>
      <c r="H94" s="337" t="s">
        <v>412</v>
      </c>
      <c r="I94" s="125">
        <f>'TABELA 3.7 Marceneiro'!$H$137</f>
        <v>7260.5077554450518</v>
      </c>
      <c r="J94" s="126">
        <v>2</v>
      </c>
      <c r="K94" s="132">
        <f t="shared" si="5"/>
        <v>14521.015510890104</v>
      </c>
    </row>
    <row r="95" spans="7:11" x14ac:dyDescent="0.25">
      <c r="G95" s="44" t="s">
        <v>423</v>
      </c>
      <c r="H95" s="337" t="s">
        <v>413</v>
      </c>
      <c r="I95" s="125">
        <f>'TABELA 3.8 Pedreiro'!$H$137</f>
        <v>6857.8705391408585</v>
      </c>
      <c r="J95" s="126">
        <v>1</v>
      </c>
      <c r="K95" s="132">
        <f t="shared" si="5"/>
        <v>6857.8705391408585</v>
      </c>
    </row>
    <row r="96" spans="7:11" x14ac:dyDescent="0.25">
      <c r="G96" s="44" t="s">
        <v>424</v>
      </c>
      <c r="H96" s="337" t="s">
        <v>414</v>
      </c>
      <c r="I96" s="125">
        <f>'TABELA 3.9 Pintor-Gesseiro'!$H$137</f>
        <v>6844.9014019073966</v>
      </c>
      <c r="J96" s="126">
        <v>2</v>
      </c>
      <c r="K96" s="132">
        <f t="shared" si="5"/>
        <v>13689.802803814793</v>
      </c>
    </row>
    <row r="97" spans="7:11" x14ac:dyDescent="0.25">
      <c r="G97" s="44" t="s">
        <v>425</v>
      </c>
      <c r="H97" s="337" t="s">
        <v>415</v>
      </c>
      <c r="I97" s="125">
        <f>'TABELA 3.10 Serralheiro'!$H$137</f>
        <v>7919.9383199434051</v>
      </c>
      <c r="J97" s="126">
        <v>1</v>
      </c>
      <c r="K97" s="132">
        <f t="shared" si="5"/>
        <v>7919.9383199434051</v>
      </c>
    </row>
    <row r="98" spans="7:11" x14ac:dyDescent="0.25">
      <c r="G98" s="44" t="s">
        <v>426</v>
      </c>
      <c r="H98" s="337" t="s">
        <v>416</v>
      </c>
      <c r="I98" s="125">
        <f>'TABELA 3.11 Engenheiro'!$J$137</f>
        <v>18374.66623144209</v>
      </c>
      <c r="J98" s="126">
        <v>1</v>
      </c>
      <c r="K98" s="132">
        <f t="shared" si="5"/>
        <v>18374.66623144209</v>
      </c>
    </row>
    <row r="99" spans="7:11" x14ac:dyDescent="0.25">
      <c r="G99" s="44" t="s">
        <v>427</v>
      </c>
      <c r="H99" s="337" t="s">
        <v>417</v>
      </c>
      <c r="I99" s="125">
        <f>'TABELA 3.12 Técnico telefonia'!$H$137</f>
        <v>7383.7001561916968</v>
      </c>
      <c r="J99" s="126">
        <v>1</v>
      </c>
      <c r="K99" s="132">
        <f t="shared" si="5"/>
        <v>7383.7001561916968</v>
      </c>
    </row>
    <row r="100" spans="7:11" x14ac:dyDescent="0.25">
      <c r="G100" s="44" t="s">
        <v>428</v>
      </c>
      <c r="H100" s="337" t="s">
        <v>418</v>
      </c>
      <c r="I100" s="125">
        <f>'TABELA 3.13 Ofi Mec Refrig'!J136</f>
        <v>6808.2492325345556</v>
      </c>
      <c r="J100" s="126">
        <v>2</v>
      </c>
      <c r="K100" s="132">
        <f t="shared" si="5"/>
        <v>13616.498465069111</v>
      </c>
    </row>
    <row r="101" spans="7:11" ht="30.75" thickBot="1" x14ac:dyDescent="0.3">
      <c r="G101" s="133" t="s">
        <v>429</v>
      </c>
      <c r="H101" s="338" t="s">
        <v>433</v>
      </c>
      <c r="I101" s="134">
        <f>'TABELA 3.14 Ajud de Man e Rep'!$H$137</f>
        <v>5570.6555849708548</v>
      </c>
      <c r="J101" s="135">
        <v>3</v>
      </c>
      <c r="K101" s="136">
        <f t="shared" si="5"/>
        <v>16711.966754912566</v>
      </c>
    </row>
    <row r="102" spans="7:11" x14ac:dyDescent="0.25">
      <c r="G102" s="397" t="s">
        <v>88</v>
      </c>
      <c r="H102" s="398"/>
      <c r="I102" s="398"/>
      <c r="J102" s="398"/>
      <c r="K102" s="111">
        <f>SUM(K88:K101)</f>
        <v>171123.67317029127</v>
      </c>
    </row>
    <row r="103" spans="7:11" ht="15.75" thickBot="1" x14ac:dyDescent="0.3">
      <c r="G103" s="399" t="s">
        <v>432</v>
      </c>
      <c r="H103" s="400"/>
      <c r="I103" s="400"/>
      <c r="J103" s="400"/>
      <c r="K103" s="112">
        <f>K102*12</f>
        <v>2053484.0780434953</v>
      </c>
    </row>
  </sheetData>
  <mergeCells count="44">
    <mergeCell ref="G85:K85"/>
    <mergeCell ref="G86:H86"/>
    <mergeCell ref="G87:H87"/>
    <mergeCell ref="G102:J102"/>
    <mergeCell ref="G103:J103"/>
    <mergeCell ref="A46:B46"/>
    <mergeCell ref="A61:D61"/>
    <mergeCell ref="A62:D62"/>
    <mergeCell ref="A25:E25"/>
    <mergeCell ref="A44:E44"/>
    <mergeCell ref="A26:B26"/>
    <mergeCell ref="A27:B27"/>
    <mergeCell ref="A42:D42"/>
    <mergeCell ref="A43:D43"/>
    <mergeCell ref="A45:B45"/>
    <mergeCell ref="A22:D22"/>
    <mergeCell ref="A23:D23"/>
    <mergeCell ref="A1:E1"/>
    <mergeCell ref="A7:B7"/>
    <mergeCell ref="A6:B6"/>
    <mergeCell ref="A3:E3"/>
    <mergeCell ref="A2:E2"/>
    <mergeCell ref="A4:E4"/>
    <mergeCell ref="A5:E5"/>
    <mergeCell ref="G5:K5"/>
    <mergeCell ref="G6:H6"/>
    <mergeCell ref="G7:H7"/>
    <mergeCell ref="G22:J22"/>
    <mergeCell ref="G23:J23"/>
    <mergeCell ref="G25:K25"/>
    <mergeCell ref="G26:H26"/>
    <mergeCell ref="G27:H27"/>
    <mergeCell ref="G42:J42"/>
    <mergeCell ref="G43:J43"/>
    <mergeCell ref="G45:K45"/>
    <mergeCell ref="G46:H46"/>
    <mergeCell ref="G47:H47"/>
    <mergeCell ref="G62:J62"/>
    <mergeCell ref="G63:J63"/>
    <mergeCell ref="G65:K65"/>
    <mergeCell ref="G66:H66"/>
    <mergeCell ref="G67:H67"/>
    <mergeCell ref="G82:J82"/>
    <mergeCell ref="G83:J83"/>
  </mergeCells>
  <printOptions horizontalCentered="1" verticalCentered="1"/>
  <pageMargins left="0.51181102362204722" right="0.51181102362204722" top="0.78740157480314965" bottom="0.78740157480314965" header="0.31496062992125984" footer="0.31496062992125984"/>
  <pageSetup paperSize="9" scale="5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pageSetUpPr fitToPage="1"/>
  </sheetPr>
  <dimension ref="A1:H140"/>
  <sheetViews>
    <sheetView showGridLines="0" view="pageBreakPreview" topLeftCell="A52" zoomScale="115" zoomScaleNormal="100" zoomScaleSheetLayoutView="115" workbookViewId="0">
      <selection activeCell="F15" sqref="F15"/>
    </sheetView>
  </sheetViews>
  <sheetFormatPr defaultColWidth="8.7109375" defaultRowHeight="12.75" x14ac:dyDescent="0.25"/>
  <cols>
    <col min="1" max="1" width="5" style="12" bestFit="1" customWidth="1"/>
    <col min="2" max="2" width="68.140625" style="12" bestFit="1" customWidth="1"/>
    <col min="3" max="3" width="14.140625" style="12" bestFit="1" customWidth="1"/>
    <col min="4" max="4" width="12.140625" style="12" bestFit="1" customWidth="1"/>
    <col min="5" max="5" width="14.140625" style="319" bestFit="1" customWidth="1"/>
    <col min="6" max="6" width="21.5703125" style="319" bestFit="1" customWidth="1"/>
    <col min="7" max="7" width="14.140625" style="319" bestFit="1" customWidth="1"/>
    <col min="8" max="8" width="20.140625" style="319" bestFit="1" customWidth="1"/>
    <col min="9" max="16384" width="8.7109375" style="12"/>
  </cols>
  <sheetData>
    <row r="1" spans="1:8" x14ac:dyDescent="0.25">
      <c r="A1" s="415" t="s">
        <v>92</v>
      </c>
      <c r="B1" s="415"/>
      <c r="C1" s="415"/>
      <c r="D1" s="415"/>
      <c r="E1" s="231"/>
    </row>
    <row r="3" spans="1:8" x14ac:dyDescent="0.25">
      <c r="A3" s="416" t="s">
        <v>0</v>
      </c>
      <c r="B3" s="417"/>
      <c r="C3" s="417"/>
      <c r="D3" s="418"/>
      <c r="E3" s="320"/>
    </row>
    <row r="4" spans="1:8" x14ac:dyDescent="0.25">
      <c r="A4" s="304">
        <v>1</v>
      </c>
      <c r="B4" s="3" t="s">
        <v>1</v>
      </c>
      <c r="C4" s="419" t="s">
        <v>159</v>
      </c>
      <c r="D4" s="420"/>
      <c r="E4" s="301"/>
    </row>
    <row r="5" spans="1:8" x14ac:dyDescent="0.25">
      <c r="A5" s="4">
        <v>2</v>
      </c>
      <c r="B5" s="306" t="s">
        <v>2</v>
      </c>
      <c r="C5" s="421"/>
      <c r="D5" s="422"/>
      <c r="E5" s="225"/>
    </row>
    <row r="6" spans="1:8" x14ac:dyDescent="0.25">
      <c r="A6" s="4">
        <v>3</v>
      </c>
      <c r="B6" s="306" t="s">
        <v>95</v>
      </c>
      <c r="C6" s="423">
        <v>1901.53</v>
      </c>
      <c r="D6" s="424"/>
      <c r="E6" s="226"/>
      <c r="F6" s="321"/>
    </row>
    <row r="7" spans="1:8" x14ac:dyDescent="0.25">
      <c r="A7" s="4">
        <v>4</v>
      </c>
      <c r="B7" s="306" t="s">
        <v>96</v>
      </c>
      <c r="C7" s="425" t="s">
        <v>450</v>
      </c>
      <c r="D7" s="426"/>
      <c r="E7" s="322"/>
    </row>
    <row r="8" spans="1:8" x14ac:dyDescent="0.25">
      <c r="A8" s="4">
        <v>5</v>
      </c>
      <c r="B8" s="306" t="s">
        <v>3</v>
      </c>
      <c r="C8" s="427" t="s">
        <v>451</v>
      </c>
      <c r="D8" s="428"/>
      <c r="E8" s="228"/>
      <c r="F8" s="323">
        <v>44562</v>
      </c>
    </row>
    <row r="9" spans="1:8" x14ac:dyDescent="0.25">
      <c r="A9" s="4">
        <v>6</v>
      </c>
      <c r="B9" s="306" t="s">
        <v>97</v>
      </c>
      <c r="C9" s="427" t="s">
        <v>452</v>
      </c>
      <c r="D9" s="428"/>
      <c r="E9" s="228"/>
      <c r="F9" s="324" t="s">
        <v>566</v>
      </c>
    </row>
    <row r="10" spans="1:8" x14ac:dyDescent="0.25">
      <c r="F10" s="319" t="s">
        <v>567</v>
      </c>
      <c r="H10" s="319" t="s">
        <v>568</v>
      </c>
    </row>
    <row r="11" spans="1:8" ht="127.5" x14ac:dyDescent="0.25">
      <c r="A11" s="415" t="s">
        <v>75</v>
      </c>
      <c r="B11" s="415"/>
      <c r="C11" s="415"/>
      <c r="D11" s="415"/>
      <c r="E11" s="231"/>
      <c r="F11" s="252" t="s">
        <v>575</v>
      </c>
      <c r="H11" s="252" t="s">
        <v>569</v>
      </c>
    </row>
    <row r="12" spans="1:8" x14ac:dyDescent="0.25">
      <c r="A12" s="303">
        <v>1</v>
      </c>
      <c r="B12" s="429" t="s">
        <v>4</v>
      </c>
      <c r="C12" s="429"/>
      <c r="D12" s="303" t="s">
        <v>5</v>
      </c>
      <c r="E12" s="242"/>
      <c r="F12" s="303" t="s">
        <v>5</v>
      </c>
      <c r="H12" s="303" t="s">
        <v>5</v>
      </c>
    </row>
    <row r="13" spans="1:8" x14ac:dyDescent="0.25">
      <c r="A13" s="26" t="s">
        <v>6</v>
      </c>
      <c r="B13" s="414" t="s">
        <v>7</v>
      </c>
      <c r="C13" s="414"/>
      <c r="D13" s="114">
        <v>2521.17</v>
      </c>
      <c r="E13" s="243"/>
      <c r="F13" s="200">
        <f>D13*1.1</f>
        <v>2773.2870000000003</v>
      </c>
      <c r="H13" s="114">
        <f>F13</f>
        <v>2773.2870000000003</v>
      </c>
    </row>
    <row r="14" spans="1:8" x14ac:dyDescent="0.25">
      <c r="A14" s="26" t="s">
        <v>8</v>
      </c>
      <c r="B14" s="414" t="s">
        <v>401</v>
      </c>
      <c r="C14" s="414"/>
      <c r="D14" s="10" t="s">
        <v>118</v>
      </c>
      <c r="E14" s="244"/>
      <c r="F14" s="10" t="s">
        <v>118</v>
      </c>
      <c r="H14" s="10" t="s">
        <v>118</v>
      </c>
    </row>
    <row r="15" spans="1:8" x14ac:dyDescent="0.25">
      <c r="A15" s="26" t="s">
        <v>9</v>
      </c>
      <c r="B15" s="414" t="s">
        <v>448</v>
      </c>
      <c r="C15" s="414"/>
      <c r="D15" s="10">
        <f>40%*1287.96</f>
        <v>515.18400000000008</v>
      </c>
      <c r="E15" s="244"/>
      <c r="F15" s="201">
        <f>40%*1416.75</f>
        <v>566.70000000000005</v>
      </c>
      <c r="H15" s="10">
        <f>40%*1416.75</f>
        <v>566.70000000000005</v>
      </c>
    </row>
    <row r="16" spans="1:8" x14ac:dyDescent="0.25">
      <c r="A16" s="26" t="s">
        <v>11</v>
      </c>
      <c r="B16" s="414" t="s">
        <v>12</v>
      </c>
      <c r="C16" s="414"/>
      <c r="D16" s="10" t="s">
        <v>118</v>
      </c>
      <c r="E16" s="244"/>
      <c r="F16" s="10">
        <v>0</v>
      </c>
      <c r="H16" s="10">
        <v>0</v>
      </c>
    </row>
    <row r="17" spans="1:8" x14ac:dyDescent="0.25">
      <c r="A17" s="26" t="s">
        <v>13</v>
      </c>
      <c r="B17" s="414" t="s">
        <v>14</v>
      </c>
      <c r="C17" s="414"/>
      <c r="D17" s="10" t="s">
        <v>118</v>
      </c>
      <c r="E17" s="244"/>
      <c r="F17" s="10">
        <v>0</v>
      </c>
      <c r="H17" s="10">
        <v>0</v>
      </c>
    </row>
    <row r="18" spans="1:8" x14ac:dyDescent="0.25">
      <c r="A18" s="26" t="s">
        <v>15</v>
      </c>
      <c r="B18" s="414" t="s">
        <v>16</v>
      </c>
      <c r="C18" s="414"/>
      <c r="D18" s="10" t="s">
        <v>118</v>
      </c>
      <c r="E18" s="244"/>
      <c r="F18" s="10">
        <v>0</v>
      </c>
      <c r="H18" s="10">
        <v>0</v>
      </c>
    </row>
    <row r="19" spans="1:8" x14ac:dyDescent="0.25">
      <c r="A19" s="430" t="s">
        <v>17</v>
      </c>
      <c r="B19" s="430"/>
      <c r="C19" s="430"/>
      <c r="D19" s="11">
        <f>SUM(D13:D18)</f>
        <v>3036.3540000000003</v>
      </c>
      <c r="E19" s="243"/>
      <c r="F19" s="202">
        <f>SUM(F13:F18)</f>
        <v>3339.9870000000001</v>
      </c>
      <c r="H19" s="11">
        <f>SUM(H13:H18)</f>
        <v>3339.9870000000001</v>
      </c>
    </row>
    <row r="20" spans="1:8" x14ac:dyDescent="0.25">
      <c r="A20" s="431" t="s">
        <v>18</v>
      </c>
      <c r="B20" s="431"/>
      <c r="C20" s="431"/>
      <c r="D20" s="431"/>
      <c r="E20" s="322"/>
    </row>
    <row r="22" spans="1:8" x14ac:dyDescent="0.25">
      <c r="A22" s="415" t="s">
        <v>19</v>
      </c>
      <c r="B22" s="415"/>
      <c r="C22" s="415"/>
      <c r="D22" s="415"/>
      <c r="E22" s="231"/>
    </row>
    <row r="23" spans="1:8" x14ac:dyDescent="0.25">
      <c r="A23" s="430" t="s">
        <v>24</v>
      </c>
      <c r="B23" s="430"/>
      <c r="C23" s="430"/>
      <c r="D23" s="430"/>
      <c r="E23" s="242"/>
    </row>
    <row r="24" spans="1:8" x14ac:dyDescent="0.25">
      <c r="A24" s="305" t="s">
        <v>20</v>
      </c>
      <c r="B24" s="305" t="s">
        <v>21</v>
      </c>
      <c r="C24" s="304" t="s">
        <v>28</v>
      </c>
      <c r="D24" s="305" t="s">
        <v>5</v>
      </c>
      <c r="E24" s="304" t="s">
        <v>28</v>
      </c>
      <c r="F24" s="305" t="s">
        <v>5</v>
      </c>
      <c r="G24" s="304" t="s">
        <v>28</v>
      </c>
      <c r="H24" s="305" t="s">
        <v>5</v>
      </c>
    </row>
    <row r="25" spans="1:8" x14ac:dyDescent="0.25">
      <c r="A25" s="26" t="s">
        <v>6</v>
      </c>
      <c r="B25" s="14" t="s">
        <v>22</v>
      </c>
      <c r="C25" s="15">
        <v>9.0899999999999995E-2</v>
      </c>
      <c r="D25" s="16">
        <f>$C25*D$19</f>
        <v>276.0045786</v>
      </c>
      <c r="E25" s="15">
        <v>9.0899999999999995E-2</v>
      </c>
      <c r="F25" s="203">
        <f>E25*F$19</f>
        <v>303.60481829999998</v>
      </c>
      <c r="G25" s="15">
        <v>9.0899999999999995E-2</v>
      </c>
      <c r="H25" s="211">
        <f>G25*H$19</f>
        <v>303.60481829999998</v>
      </c>
    </row>
    <row r="26" spans="1:8" x14ac:dyDescent="0.25">
      <c r="A26" s="26" t="s">
        <v>8</v>
      </c>
      <c r="B26" s="14" t="s">
        <v>23</v>
      </c>
      <c r="C26" s="15">
        <v>0.1212</v>
      </c>
      <c r="D26" s="16">
        <f>$C26*D$19</f>
        <v>368.00610480000006</v>
      </c>
      <c r="E26" s="15">
        <v>0.1212</v>
      </c>
      <c r="F26" s="203">
        <f>E26*F$19</f>
        <v>404.80642440000003</v>
      </c>
      <c r="G26" s="15">
        <v>0.1212</v>
      </c>
      <c r="H26" s="211">
        <f>G26*H$19</f>
        <v>404.80642440000003</v>
      </c>
    </row>
    <row r="27" spans="1:8" x14ac:dyDescent="0.25">
      <c r="A27" s="430" t="s">
        <v>17</v>
      </c>
      <c r="B27" s="430"/>
      <c r="C27" s="17">
        <f t="shared" ref="C27:H27" si="0">SUM(C25:C26)</f>
        <v>0.21210000000000001</v>
      </c>
      <c r="D27" s="18">
        <f t="shared" si="0"/>
        <v>644.01068340000006</v>
      </c>
      <c r="E27" s="17">
        <f t="shared" si="0"/>
        <v>0.21210000000000001</v>
      </c>
      <c r="F27" s="204">
        <f t="shared" si="0"/>
        <v>708.4112427</v>
      </c>
      <c r="G27" s="17">
        <f t="shared" si="0"/>
        <v>0.21210000000000001</v>
      </c>
      <c r="H27" s="212">
        <f t="shared" si="0"/>
        <v>708.4112427</v>
      </c>
    </row>
    <row r="28" spans="1:8" x14ac:dyDescent="0.25">
      <c r="A28" s="432" t="s">
        <v>98</v>
      </c>
      <c r="B28" s="432"/>
      <c r="C28" s="432"/>
      <c r="D28" s="432"/>
      <c r="E28" s="322"/>
    </row>
    <row r="29" spans="1:8" x14ac:dyDescent="0.25">
      <c r="A29" s="432" t="s">
        <v>99</v>
      </c>
      <c r="B29" s="432"/>
      <c r="C29" s="432"/>
      <c r="D29" s="432"/>
      <c r="E29" s="322"/>
    </row>
    <row r="30" spans="1:8" x14ac:dyDescent="0.25">
      <c r="A30" s="432" t="s">
        <v>100</v>
      </c>
      <c r="B30" s="432"/>
      <c r="C30" s="432"/>
      <c r="D30" s="432"/>
      <c r="E30" s="322"/>
    </row>
    <row r="32" spans="1:8" x14ac:dyDescent="0.25">
      <c r="A32" s="434" t="s">
        <v>25</v>
      </c>
      <c r="B32" s="434"/>
      <c r="C32" s="434"/>
      <c r="D32" s="434"/>
      <c r="E32" s="301"/>
    </row>
    <row r="33" spans="1:8" x14ac:dyDescent="0.25">
      <c r="A33" s="303" t="s">
        <v>26</v>
      </c>
      <c r="B33" s="303" t="s">
        <v>27</v>
      </c>
      <c r="C33" s="303" t="s">
        <v>28</v>
      </c>
      <c r="D33" s="303" t="s">
        <v>5</v>
      </c>
      <c r="E33" s="303" t="s">
        <v>28</v>
      </c>
      <c r="F33" s="303" t="s">
        <v>5</v>
      </c>
      <c r="G33" s="303" t="s">
        <v>28</v>
      </c>
      <c r="H33" s="303" t="s">
        <v>5</v>
      </c>
    </row>
    <row r="34" spans="1:8" x14ac:dyDescent="0.25">
      <c r="A34" s="26" t="s">
        <v>6</v>
      </c>
      <c r="B34" s="14" t="s">
        <v>29</v>
      </c>
      <c r="C34" s="19">
        <v>0</v>
      </c>
      <c r="D34" s="16">
        <f t="shared" ref="D34:H41" si="1">$C34*(D$19+D$27)</f>
        <v>0</v>
      </c>
      <c r="E34" s="19">
        <v>0</v>
      </c>
      <c r="F34" s="16">
        <f t="shared" si="1"/>
        <v>0</v>
      </c>
      <c r="G34" s="19">
        <v>0</v>
      </c>
      <c r="H34" s="16">
        <f t="shared" si="1"/>
        <v>0</v>
      </c>
    </row>
    <row r="35" spans="1:8" x14ac:dyDescent="0.25">
      <c r="A35" s="26" t="s">
        <v>8</v>
      </c>
      <c r="B35" s="14" t="s">
        <v>30</v>
      </c>
      <c r="C35" s="19">
        <v>2.5000000000000001E-2</v>
      </c>
      <c r="D35" s="16">
        <f t="shared" si="1"/>
        <v>92.009117085000014</v>
      </c>
      <c r="E35" s="19">
        <v>2.5000000000000001E-2</v>
      </c>
      <c r="F35" s="203">
        <f t="shared" ref="F35:F41" si="2">$E35*(F$19+F$27)</f>
        <v>101.2099560675</v>
      </c>
      <c r="G35" s="19">
        <v>2.5000000000000001E-2</v>
      </c>
      <c r="H35" s="16">
        <f t="shared" ref="H35:H41" si="3">$G35*(H$19+H$27)</f>
        <v>101.2099560675</v>
      </c>
    </row>
    <row r="36" spans="1:8" x14ac:dyDescent="0.25">
      <c r="A36" s="26" t="s">
        <v>9</v>
      </c>
      <c r="B36" s="14" t="s">
        <v>101</v>
      </c>
      <c r="C36" s="19">
        <v>3.39E-2</v>
      </c>
      <c r="D36" s="16">
        <f t="shared" si="1"/>
        <v>124.76436276726</v>
      </c>
      <c r="E36" s="287">
        <v>1.4999999999999999E-2</v>
      </c>
      <c r="F36" s="203">
        <f t="shared" si="2"/>
        <v>60.725973640500001</v>
      </c>
      <c r="G36" s="19">
        <v>1.4999999999999999E-2</v>
      </c>
      <c r="H36" s="16">
        <f t="shared" si="3"/>
        <v>60.725973640500001</v>
      </c>
    </row>
    <row r="37" spans="1:8" x14ac:dyDescent="0.25">
      <c r="A37" s="26" t="s">
        <v>11</v>
      </c>
      <c r="B37" s="14" t="s">
        <v>31</v>
      </c>
      <c r="C37" s="19">
        <v>1.4999999999999999E-2</v>
      </c>
      <c r="D37" s="16">
        <f t="shared" si="1"/>
        <v>55.205470251000001</v>
      </c>
      <c r="E37" s="19">
        <v>1.4999999999999999E-2</v>
      </c>
      <c r="F37" s="203">
        <f t="shared" si="2"/>
        <v>60.725973640500001</v>
      </c>
      <c r="G37" s="19">
        <v>1.4999999999999999E-2</v>
      </c>
      <c r="H37" s="16">
        <f t="shared" si="3"/>
        <v>60.725973640500001</v>
      </c>
    </row>
    <row r="38" spans="1:8" x14ac:dyDescent="0.25">
      <c r="A38" s="26" t="s">
        <v>13</v>
      </c>
      <c r="B38" s="14" t="s">
        <v>32</v>
      </c>
      <c r="C38" s="19">
        <v>0.01</v>
      </c>
      <c r="D38" s="16">
        <f t="shared" si="1"/>
        <v>36.803646833999998</v>
      </c>
      <c r="E38" s="19">
        <v>0.01</v>
      </c>
      <c r="F38" s="203">
        <f t="shared" si="2"/>
        <v>40.483982427000001</v>
      </c>
      <c r="G38" s="19">
        <v>0.01</v>
      </c>
      <c r="H38" s="16">
        <f t="shared" si="3"/>
        <v>40.483982427000001</v>
      </c>
    </row>
    <row r="39" spans="1:8" x14ac:dyDescent="0.25">
      <c r="A39" s="26" t="s">
        <v>15</v>
      </c>
      <c r="B39" s="14" t="s">
        <v>33</v>
      </c>
      <c r="C39" s="19">
        <v>6.0000000000000001E-3</v>
      </c>
      <c r="D39" s="16">
        <f t="shared" si="1"/>
        <v>22.0821881004</v>
      </c>
      <c r="E39" s="19">
        <v>6.0000000000000001E-3</v>
      </c>
      <c r="F39" s="203">
        <f t="shared" si="2"/>
        <v>24.2903894562</v>
      </c>
      <c r="G39" s="19">
        <v>6.0000000000000001E-3</v>
      </c>
      <c r="H39" s="16">
        <f t="shared" si="3"/>
        <v>24.2903894562</v>
      </c>
    </row>
    <row r="40" spans="1:8" x14ac:dyDescent="0.25">
      <c r="A40" s="26" t="s">
        <v>34</v>
      </c>
      <c r="B40" s="14" t="s">
        <v>35</v>
      </c>
      <c r="C40" s="19">
        <v>2E-3</v>
      </c>
      <c r="D40" s="16">
        <f t="shared" si="1"/>
        <v>7.3607293668000002</v>
      </c>
      <c r="E40" s="19">
        <v>2E-3</v>
      </c>
      <c r="F40" s="203">
        <f t="shared" si="2"/>
        <v>8.0967964854000005</v>
      </c>
      <c r="G40" s="19">
        <v>2E-3</v>
      </c>
      <c r="H40" s="16">
        <f t="shared" si="3"/>
        <v>8.0967964854000005</v>
      </c>
    </row>
    <row r="41" spans="1:8" x14ac:dyDescent="0.25">
      <c r="A41" s="26" t="s">
        <v>36</v>
      </c>
      <c r="B41" s="14" t="s">
        <v>37</v>
      </c>
      <c r="C41" s="19">
        <v>0.08</v>
      </c>
      <c r="D41" s="16">
        <f t="shared" si="1"/>
        <v>294.42917467199999</v>
      </c>
      <c r="E41" s="19">
        <v>0.08</v>
      </c>
      <c r="F41" s="203">
        <f t="shared" si="2"/>
        <v>323.87185941600001</v>
      </c>
      <c r="G41" s="19">
        <v>0.08</v>
      </c>
      <c r="H41" s="16">
        <f t="shared" si="3"/>
        <v>323.87185941600001</v>
      </c>
    </row>
    <row r="42" spans="1:8" x14ac:dyDescent="0.25">
      <c r="A42" s="435" t="s">
        <v>17</v>
      </c>
      <c r="B42" s="436"/>
      <c r="C42" s="21">
        <f t="shared" ref="C42:H42" si="4">SUM(C34:C41)</f>
        <v>0.1719</v>
      </c>
      <c r="D42" s="18">
        <f t="shared" si="4"/>
        <v>632.65468907646004</v>
      </c>
      <c r="E42" s="288">
        <f t="shared" si="4"/>
        <v>0.15300000000000002</v>
      </c>
      <c r="F42" s="204">
        <f t="shared" si="4"/>
        <v>619.40493113310004</v>
      </c>
      <c r="G42" s="21">
        <f t="shared" si="4"/>
        <v>0.15300000000000002</v>
      </c>
      <c r="H42" s="18">
        <f t="shared" si="4"/>
        <v>619.40493113310004</v>
      </c>
    </row>
    <row r="43" spans="1:8" x14ac:dyDescent="0.25">
      <c r="A43" s="432" t="s">
        <v>104</v>
      </c>
      <c r="B43" s="432"/>
      <c r="C43" s="432"/>
      <c r="D43" s="432"/>
      <c r="E43" s="322"/>
    </row>
    <row r="44" spans="1:8" x14ac:dyDescent="0.25">
      <c r="A44" s="432" t="s">
        <v>102</v>
      </c>
      <c r="B44" s="432"/>
      <c r="C44" s="432"/>
      <c r="D44" s="432"/>
      <c r="E44" s="322"/>
    </row>
    <row r="45" spans="1:8" x14ac:dyDescent="0.25">
      <c r="A45" s="432" t="s">
        <v>103</v>
      </c>
      <c r="B45" s="432"/>
      <c r="C45" s="432"/>
      <c r="D45" s="432"/>
      <c r="E45" s="322"/>
    </row>
    <row r="46" spans="1:8" x14ac:dyDescent="0.25">
      <c r="A46" s="432" t="s">
        <v>108</v>
      </c>
      <c r="B46" s="432"/>
      <c r="C46" s="432"/>
      <c r="D46" s="432"/>
      <c r="E46" s="322"/>
    </row>
    <row r="47" spans="1:8" x14ac:dyDescent="0.25">
      <c r="A47" s="432" t="s">
        <v>113</v>
      </c>
      <c r="B47" s="432"/>
      <c r="C47" s="432"/>
      <c r="D47" s="432"/>
      <c r="E47" s="322"/>
    </row>
    <row r="49" spans="1:8" x14ac:dyDescent="0.25">
      <c r="A49" s="434" t="s">
        <v>38</v>
      </c>
      <c r="B49" s="434"/>
      <c r="C49" s="434"/>
      <c r="D49" s="434"/>
      <c r="E49" s="301"/>
    </row>
    <row r="50" spans="1:8" x14ac:dyDescent="0.25">
      <c r="A50" s="304" t="s">
        <v>39</v>
      </c>
      <c r="B50" s="304" t="s">
        <v>40</v>
      </c>
      <c r="C50" s="304" t="s">
        <v>89</v>
      </c>
      <c r="D50" s="304" t="s">
        <v>5</v>
      </c>
      <c r="E50" s="242"/>
      <c r="F50" s="304" t="s">
        <v>5</v>
      </c>
      <c r="H50" s="304" t="s">
        <v>5</v>
      </c>
    </row>
    <row r="51" spans="1:8" x14ac:dyDescent="0.25">
      <c r="A51" s="26" t="s">
        <v>6</v>
      </c>
      <c r="B51" s="14" t="s">
        <v>135</v>
      </c>
      <c r="C51" s="325">
        <v>22</v>
      </c>
      <c r="D51" s="16">
        <f>(18.6*$C51)-0.06*D$13</f>
        <v>257.92980000000006</v>
      </c>
      <c r="E51" s="245"/>
      <c r="F51" s="203">
        <f>(18.6*$C51)-0.06*F$13</f>
        <v>242.80278000000004</v>
      </c>
      <c r="H51" s="16">
        <f>(18.6*$C51)-0.06*H$13</f>
        <v>242.80278000000004</v>
      </c>
    </row>
    <row r="52" spans="1:8" x14ac:dyDescent="0.25">
      <c r="A52" s="26" t="s">
        <v>8</v>
      </c>
      <c r="B52" s="14" t="s">
        <v>456</v>
      </c>
      <c r="C52" s="325">
        <v>22</v>
      </c>
      <c r="D52" s="16">
        <f>35*$C52</f>
        <v>770</v>
      </c>
      <c r="E52" s="245"/>
      <c r="F52" s="203">
        <f>38*$C52</f>
        <v>836</v>
      </c>
      <c r="H52" s="16">
        <f>38*$C52</f>
        <v>836</v>
      </c>
    </row>
    <row r="53" spans="1:8" x14ac:dyDescent="0.25">
      <c r="A53" s="26" t="s">
        <v>9</v>
      </c>
      <c r="B53" s="14" t="s">
        <v>42</v>
      </c>
      <c r="C53" s="325"/>
      <c r="D53" s="16">
        <v>160.07</v>
      </c>
      <c r="E53" s="245"/>
      <c r="F53" s="203">
        <v>169.67</v>
      </c>
      <c r="H53" s="16">
        <v>169.67</v>
      </c>
    </row>
    <row r="54" spans="1:8" x14ac:dyDescent="0.25">
      <c r="A54" s="26" t="s">
        <v>11</v>
      </c>
      <c r="B54" s="14" t="s">
        <v>90</v>
      </c>
      <c r="C54" s="325"/>
      <c r="D54" s="16">
        <v>10.63</v>
      </c>
      <c r="E54" s="245"/>
      <c r="F54" s="203">
        <v>11.27</v>
      </c>
      <c r="H54" s="16">
        <v>11.27</v>
      </c>
    </row>
    <row r="55" spans="1:8" x14ac:dyDescent="0.25">
      <c r="A55" s="26" t="s">
        <v>13</v>
      </c>
      <c r="B55" s="14" t="s">
        <v>453</v>
      </c>
      <c r="C55" s="325"/>
      <c r="D55" s="16">
        <v>2.2999999999999998</v>
      </c>
      <c r="E55" s="245"/>
      <c r="F55" s="203">
        <v>2.5</v>
      </c>
      <c r="H55" s="16">
        <v>2.5</v>
      </c>
    </row>
    <row r="56" spans="1:8" x14ac:dyDescent="0.25">
      <c r="A56" s="437" t="s">
        <v>17</v>
      </c>
      <c r="B56" s="437"/>
      <c r="C56" s="437"/>
      <c r="D56" s="25">
        <f>SUM(D51:D55)</f>
        <v>1200.9298000000001</v>
      </c>
      <c r="E56" s="246"/>
      <c r="F56" s="206">
        <f>SUM(F51:F55)</f>
        <v>1262.24278</v>
      </c>
      <c r="H56" s="25">
        <f>SUM(H51:H55)</f>
        <v>1262.24278</v>
      </c>
    </row>
    <row r="57" spans="1:8" x14ac:dyDescent="0.25">
      <c r="A57" s="432" t="s">
        <v>45</v>
      </c>
      <c r="B57" s="432"/>
      <c r="C57" s="432"/>
      <c r="D57" s="432"/>
      <c r="E57" s="322"/>
    </row>
    <row r="58" spans="1:8" x14ac:dyDescent="0.25">
      <c r="A58" s="432" t="s">
        <v>105</v>
      </c>
      <c r="B58" s="432"/>
      <c r="C58" s="432"/>
      <c r="D58" s="432"/>
      <c r="E58" s="322"/>
    </row>
    <row r="60" spans="1:8" x14ac:dyDescent="0.25">
      <c r="A60" s="433" t="s">
        <v>43</v>
      </c>
      <c r="B60" s="433"/>
      <c r="C60" s="433"/>
      <c r="D60" s="433"/>
      <c r="E60" s="231"/>
    </row>
    <row r="61" spans="1:8" x14ac:dyDescent="0.25">
      <c r="A61" s="303">
        <v>2</v>
      </c>
      <c r="B61" s="430" t="s">
        <v>44</v>
      </c>
      <c r="C61" s="430"/>
      <c r="D61" s="303" t="s">
        <v>5</v>
      </c>
      <c r="E61" s="242"/>
      <c r="F61" s="303" t="s">
        <v>5</v>
      </c>
      <c r="H61" s="303" t="s">
        <v>5</v>
      </c>
    </row>
    <row r="62" spans="1:8" x14ac:dyDescent="0.25">
      <c r="A62" s="26" t="s">
        <v>20</v>
      </c>
      <c r="B62" s="438" t="s">
        <v>21</v>
      </c>
      <c r="C62" s="438"/>
      <c r="D62" s="16">
        <f>D27</f>
        <v>644.01068340000006</v>
      </c>
      <c r="E62" s="245"/>
      <c r="F62" s="203">
        <f>F27</f>
        <v>708.4112427</v>
      </c>
      <c r="H62" s="16">
        <f>H27</f>
        <v>708.4112427</v>
      </c>
    </row>
    <row r="63" spans="1:8" x14ac:dyDescent="0.25">
      <c r="A63" s="26" t="s">
        <v>26</v>
      </c>
      <c r="B63" s="414" t="s">
        <v>27</v>
      </c>
      <c r="C63" s="414"/>
      <c r="D63" s="16">
        <f>D42</f>
        <v>632.65468907646004</v>
      </c>
      <c r="E63" s="245"/>
      <c r="F63" s="203">
        <f>F42</f>
        <v>619.40493113310004</v>
      </c>
      <c r="H63" s="16">
        <f>H42</f>
        <v>619.40493113310004</v>
      </c>
    </row>
    <row r="64" spans="1:8" x14ac:dyDescent="0.25">
      <c r="A64" s="26" t="s">
        <v>39</v>
      </c>
      <c r="B64" s="414" t="s">
        <v>40</v>
      </c>
      <c r="C64" s="414"/>
      <c r="D64" s="16">
        <f>D56</f>
        <v>1200.9298000000001</v>
      </c>
      <c r="E64" s="245"/>
      <c r="F64" s="203">
        <f>F56</f>
        <v>1262.24278</v>
      </c>
      <c r="H64" s="16">
        <f>H56</f>
        <v>1262.24278</v>
      </c>
    </row>
    <row r="65" spans="1:8" x14ac:dyDescent="0.25">
      <c r="A65" s="430" t="s">
        <v>17</v>
      </c>
      <c r="B65" s="430"/>
      <c r="C65" s="430"/>
      <c r="D65" s="18">
        <f>SUM(D62:D64)</f>
        <v>2477.59517247646</v>
      </c>
      <c r="E65" s="246"/>
      <c r="F65" s="204">
        <f>SUM(F62:F64)</f>
        <v>2590.0589538331001</v>
      </c>
      <c r="H65" s="18">
        <f>SUM(H62:H64)</f>
        <v>2590.0589538331001</v>
      </c>
    </row>
    <row r="67" spans="1:8" x14ac:dyDescent="0.25">
      <c r="A67" s="415" t="s">
        <v>76</v>
      </c>
      <c r="B67" s="415"/>
      <c r="C67" s="415"/>
      <c r="D67" s="415"/>
      <c r="E67" s="231"/>
    </row>
    <row r="68" spans="1:8" x14ac:dyDescent="0.25">
      <c r="A68" s="303">
        <v>3</v>
      </c>
      <c r="B68" s="303" t="s">
        <v>46</v>
      </c>
      <c r="C68" s="303" t="s">
        <v>28</v>
      </c>
      <c r="D68" s="303" t="s">
        <v>5</v>
      </c>
      <c r="E68" s="303" t="s">
        <v>28</v>
      </c>
      <c r="F68" s="232" t="s">
        <v>5</v>
      </c>
      <c r="G68" s="232" t="s">
        <v>28</v>
      </c>
      <c r="H68" s="232" t="s">
        <v>5</v>
      </c>
    </row>
    <row r="69" spans="1:8" x14ac:dyDescent="0.25">
      <c r="A69" s="26" t="s">
        <v>6</v>
      </c>
      <c r="B69" s="306" t="s">
        <v>47</v>
      </c>
      <c r="C69" s="253">
        <v>4.1999999999999997E-3</v>
      </c>
      <c r="D69" s="9">
        <f t="shared" ref="D69:D75" si="5">$C69*(D$19+D$27)</f>
        <v>15.45753167028</v>
      </c>
      <c r="E69" s="253">
        <v>4.1999999999999997E-3</v>
      </c>
      <c r="F69" s="257">
        <f t="shared" ref="F69:F75" si="6">$E69*(F$19+F$27)</f>
        <v>17.003272619339999</v>
      </c>
      <c r="G69" s="253">
        <v>4.1999999999999997E-3</v>
      </c>
      <c r="H69" s="9">
        <f t="shared" ref="H69:H75" si="7">$G69*(H$19+H$27)</f>
        <v>17.003272619339999</v>
      </c>
    </row>
    <row r="70" spans="1:8" x14ac:dyDescent="0.25">
      <c r="A70" s="26" t="s">
        <v>8</v>
      </c>
      <c r="B70" s="306" t="s">
        <v>48</v>
      </c>
      <c r="C70" s="253">
        <v>2.9999999999999997E-4</v>
      </c>
      <c r="D70" s="9">
        <f t="shared" si="5"/>
        <v>1.10410940502</v>
      </c>
      <c r="E70" s="253">
        <v>2.9999999999999997E-4</v>
      </c>
      <c r="F70" s="257">
        <f t="shared" si="6"/>
        <v>1.2145194728099999</v>
      </c>
      <c r="G70" s="253">
        <v>2.9999999999999997E-4</v>
      </c>
      <c r="H70" s="9">
        <f t="shared" si="7"/>
        <v>1.2145194728099999</v>
      </c>
    </row>
    <row r="71" spans="1:8" x14ac:dyDescent="0.25">
      <c r="A71" s="26" t="s">
        <v>9</v>
      </c>
      <c r="B71" s="306" t="s">
        <v>49</v>
      </c>
      <c r="C71" s="254">
        <v>9.9999999999999995E-7</v>
      </c>
      <c r="D71" s="9">
        <f t="shared" si="5"/>
        <v>3.6803646834E-3</v>
      </c>
      <c r="E71" s="254">
        <v>9.9999999999999995E-7</v>
      </c>
      <c r="F71" s="260">
        <f t="shared" si="6"/>
        <v>4.0483982426999998E-3</v>
      </c>
      <c r="G71" s="254">
        <v>9.9999999999999995E-7</v>
      </c>
      <c r="H71" s="258">
        <f t="shared" si="7"/>
        <v>4.0483982426999998E-3</v>
      </c>
    </row>
    <row r="72" spans="1:8" x14ac:dyDescent="0.25">
      <c r="A72" s="26" t="s">
        <v>11</v>
      </c>
      <c r="B72" s="306" t="s">
        <v>50</v>
      </c>
      <c r="C72" s="253">
        <v>1.9400000000000001E-2</v>
      </c>
      <c r="D72" s="259">
        <f t="shared" si="5"/>
        <v>71.399074857960002</v>
      </c>
      <c r="E72" s="253">
        <v>1.9400000000000001E-2</v>
      </c>
      <c r="F72" s="260">
        <f t="shared" si="6"/>
        <v>78.538925908380008</v>
      </c>
      <c r="G72" s="291">
        <v>1.9400000000000001E-3</v>
      </c>
      <c r="H72" s="260">
        <f t="shared" si="7"/>
        <v>7.8538925908380008</v>
      </c>
    </row>
    <row r="73" spans="1:8" ht="25.5" x14ac:dyDescent="0.25">
      <c r="A73" s="26" t="s">
        <v>13</v>
      </c>
      <c r="B73" s="306" t="s">
        <v>51</v>
      </c>
      <c r="C73" s="253">
        <v>7.1000000000000004E-3</v>
      </c>
      <c r="D73" s="9">
        <f t="shared" si="5"/>
        <v>26.130589252140002</v>
      </c>
      <c r="E73" s="253">
        <v>7.1000000000000004E-3</v>
      </c>
      <c r="F73" s="257">
        <f t="shared" si="6"/>
        <v>28.743627523170002</v>
      </c>
      <c r="G73" s="253">
        <v>7.1000000000000004E-3</v>
      </c>
      <c r="H73" s="258">
        <f t="shared" si="7"/>
        <v>28.743627523170002</v>
      </c>
    </row>
    <row r="74" spans="1:8" x14ac:dyDescent="0.25">
      <c r="A74" s="26" t="s">
        <v>15</v>
      </c>
      <c r="B74" s="306" t="s">
        <v>52</v>
      </c>
      <c r="C74" s="253">
        <v>1E-4</v>
      </c>
      <c r="D74" s="9">
        <f t="shared" si="5"/>
        <v>0.36803646834000003</v>
      </c>
      <c r="E74" s="253">
        <v>1E-4</v>
      </c>
      <c r="F74" s="257">
        <f t="shared" si="6"/>
        <v>0.40483982427000004</v>
      </c>
      <c r="G74" s="253">
        <v>1E-4</v>
      </c>
      <c r="H74" s="258">
        <f t="shared" si="7"/>
        <v>0.40483982427000004</v>
      </c>
    </row>
    <row r="75" spans="1:8" x14ac:dyDescent="0.25">
      <c r="A75" s="26" t="s">
        <v>34</v>
      </c>
      <c r="B75" s="31" t="s">
        <v>128</v>
      </c>
      <c r="C75" s="253">
        <v>3.49E-2</v>
      </c>
      <c r="D75" s="9">
        <f t="shared" si="5"/>
        <v>128.44472745066</v>
      </c>
      <c r="E75" s="253">
        <v>3.49E-2</v>
      </c>
      <c r="F75" s="257">
        <f t="shared" si="6"/>
        <v>141.28909867023</v>
      </c>
      <c r="G75" s="253">
        <v>3.49E-2</v>
      </c>
      <c r="H75" s="258">
        <f t="shared" si="7"/>
        <v>141.28909867023</v>
      </c>
    </row>
    <row r="76" spans="1:8" x14ac:dyDescent="0.25">
      <c r="A76" s="435" t="s">
        <v>17</v>
      </c>
      <c r="B76" s="436"/>
      <c r="C76" s="255">
        <f t="shared" ref="C76:H76" si="8">SUM(C69:C75)</f>
        <v>6.6001000000000004E-2</v>
      </c>
      <c r="D76" s="11">
        <f t="shared" si="8"/>
        <v>242.9077494690834</v>
      </c>
      <c r="E76" s="290">
        <f t="shared" si="8"/>
        <v>6.6001000000000004E-2</v>
      </c>
      <c r="F76" s="202">
        <f t="shared" si="8"/>
        <v>267.19833241644272</v>
      </c>
      <c r="G76" s="256">
        <f t="shared" si="8"/>
        <v>4.8541000000000001E-2</v>
      </c>
      <c r="H76" s="202">
        <f t="shared" si="8"/>
        <v>196.51329909890069</v>
      </c>
    </row>
    <row r="77" spans="1:8" x14ac:dyDescent="0.25">
      <c r="A77" s="432" t="s">
        <v>106</v>
      </c>
      <c r="B77" s="432"/>
      <c r="C77" s="432"/>
      <c r="D77" s="432"/>
      <c r="E77" s="322"/>
    </row>
    <row r="78" spans="1:8" x14ac:dyDescent="0.25">
      <c r="A78" s="432" t="s">
        <v>114</v>
      </c>
      <c r="B78" s="432"/>
      <c r="C78" s="432"/>
      <c r="D78" s="432"/>
      <c r="E78" s="322"/>
    </row>
    <row r="80" spans="1:8" x14ac:dyDescent="0.25">
      <c r="A80" s="415" t="s">
        <v>53</v>
      </c>
      <c r="B80" s="415"/>
      <c r="C80" s="415"/>
      <c r="D80" s="415"/>
      <c r="E80" s="231"/>
    </row>
    <row r="81" spans="1:8" x14ac:dyDescent="0.25">
      <c r="A81" s="438" t="s">
        <v>107</v>
      </c>
      <c r="B81" s="438"/>
      <c r="C81" s="438"/>
      <c r="D81" s="438"/>
      <c r="E81" s="322"/>
    </row>
    <row r="83" spans="1:8" x14ac:dyDescent="0.25">
      <c r="A83" s="434" t="s">
        <v>109</v>
      </c>
      <c r="B83" s="434"/>
      <c r="C83" s="434"/>
      <c r="D83" s="434"/>
      <c r="E83" s="301"/>
    </row>
    <row r="84" spans="1:8" x14ac:dyDescent="0.25">
      <c r="A84" s="304" t="s">
        <v>54</v>
      </c>
      <c r="B84" s="304" t="s">
        <v>55</v>
      </c>
      <c r="C84" s="304" t="s">
        <v>28</v>
      </c>
      <c r="D84" s="304" t="s">
        <v>5</v>
      </c>
      <c r="E84" s="304" t="s">
        <v>28</v>
      </c>
      <c r="F84" s="304" t="s">
        <v>5</v>
      </c>
      <c r="G84" s="304" t="s">
        <v>28</v>
      </c>
      <c r="H84" s="304" t="s">
        <v>5</v>
      </c>
    </row>
    <row r="85" spans="1:8" x14ac:dyDescent="0.25">
      <c r="A85" s="26" t="s">
        <v>6</v>
      </c>
      <c r="B85" s="306" t="s">
        <v>56</v>
      </c>
      <c r="C85" s="19">
        <v>7.6E-3</v>
      </c>
      <c r="D85" s="16">
        <f t="shared" ref="D85:D90" si="9">$C85*(D$19+D$27)</f>
        <v>27.970771593840002</v>
      </c>
      <c r="E85" s="19">
        <v>7.6E-3</v>
      </c>
      <c r="F85" s="203">
        <f>E85*(F$19+F$27)</f>
        <v>30.767826644519999</v>
      </c>
      <c r="G85" s="19">
        <v>7.6E-3</v>
      </c>
      <c r="H85" s="16">
        <f t="shared" ref="H85:H90" si="10">$G85*(H$19+H$27)</f>
        <v>30.767826644519999</v>
      </c>
    </row>
    <row r="86" spans="1:8" x14ac:dyDescent="0.25">
      <c r="A86" s="26" t="s">
        <v>8</v>
      </c>
      <c r="B86" s="306" t="s">
        <v>57</v>
      </c>
      <c r="C86" s="19">
        <v>8.2000000000000007E-3</v>
      </c>
      <c r="D86" s="16">
        <f t="shared" si="9"/>
        <v>30.178990403880004</v>
      </c>
      <c r="E86" s="19">
        <v>8.2000000000000007E-3</v>
      </c>
      <c r="F86" s="203">
        <f>E86*(F$19+F$27)</f>
        <v>33.196865590140007</v>
      </c>
      <c r="G86" s="19">
        <v>8.2000000000000007E-3</v>
      </c>
      <c r="H86" s="16">
        <f t="shared" si="10"/>
        <v>33.196865590140007</v>
      </c>
    </row>
    <row r="87" spans="1:8" x14ac:dyDescent="0.25">
      <c r="A87" s="26" t="s">
        <v>9</v>
      </c>
      <c r="B87" s="306" t="s">
        <v>58</v>
      </c>
      <c r="C87" s="19">
        <v>2.0000000000000001E-4</v>
      </c>
      <c r="D87" s="16">
        <f t="shared" si="9"/>
        <v>0.73607293668000007</v>
      </c>
      <c r="E87" s="19">
        <v>2.0000000000000001E-4</v>
      </c>
      <c r="F87" s="203">
        <f t="shared" ref="F87:F90" si="11">E87*(F$19+F$27)</f>
        <v>0.80967964854000007</v>
      </c>
      <c r="G87" s="19">
        <v>2.0000000000000001E-4</v>
      </c>
      <c r="H87" s="16">
        <f t="shared" si="10"/>
        <v>0.80967964854000007</v>
      </c>
    </row>
    <row r="88" spans="1:8" x14ac:dyDescent="0.25">
      <c r="A88" s="26" t="s">
        <v>11</v>
      </c>
      <c r="B88" s="306" t="s">
        <v>59</v>
      </c>
      <c r="C88" s="19">
        <v>2.9999999999999997E-4</v>
      </c>
      <c r="D88" s="16">
        <f t="shared" si="9"/>
        <v>1.10410940502</v>
      </c>
      <c r="E88" s="19">
        <v>2.9999999999999997E-4</v>
      </c>
      <c r="F88" s="203">
        <f t="shared" si="11"/>
        <v>1.2145194728099999</v>
      </c>
      <c r="G88" s="19">
        <v>2.9999999999999997E-4</v>
      </c>
      <c r="H88" s="16">
        <f t="shared" si="10"/>
        <v>1.2145194728099999</v>
      </c>
    </row>
    <row r="89" spans="1:8" x14ac:dyDescent="0.25">
      <c r="A89" s="26" t="s">
        <v>13</v>
      </c>
      <c r="B89" s="306" t="s">
        <v>60</v>
      </c>
      <c r="C89" s="19">
        <v>2.8999999999999998E-3</v>
      </c>
      <c r="D89" s="16">
        <f t="shared" si="9"/>
        <v>10.67305758186</v>
      </c>
      <c r="E89" s="19">
        <v>2.8999999999999998E-3</v>
      </c>
      <c r="F89" s="203">
        <f t="shared" si="11"/>
        <v>11.740354903829999</v>
      </c>
      <c r="G89" s="19">
        <v>2.8999999999999998E-3</v>
      </c>
      <c r="H89" s="16">
        <f t="shared" si="10"/>
        <v>11.740354903829999</v>
      </c>
    </row>
    <row r="90" spans="1:8" x14ac:dyDescent="0.25">
      <c r="A90" s="26" t="s">
        <v>15</v>
      </c>
      <c r="B90" s="306" t="s">
        <v>134</v>
      </c>
      <c r="C90" s="19">
        <v>1.66E-2</v>
      </c>
      <c r="D90" s="16">
        <f t="shared" si="9"/>
        <v>61.094053744440004</v>
      </c>
      <c r="E90" s="19">
        <v>1.66E-2</v>
      </c>
      <c r="F90" s="203">
        <f t="shared" si="11"/>
        <v>67.203410828819997</v>
      </c>
      <c r="G90" s="19">
        <v>1.66E-2</v>
      </c>
      <c r="H90" s="16">
        <f t="shared" si="10"/>
        <v>67.203410828819997</v>
      </c>
    </row>
    <row r="91" spans="1:8" x14ac:dyDescent="0.25">
      <c r="A91" s="435" t="s">
        <v>17</v>
      </c>
      <c r="B91" s="436"/>
      <c r="C91" s="17">
        <f t="shared" ref="C91:H91" si="12">SUM(C85:C90)</f>
        <v>3.5799999999999998E-2</v>
      </c>
      <c r="D91" s="137">
        <f t="shared" si="12"/>
        <v>131.75705566572</v>
      </c>
      <c r="E91" s="17">
        <f t="shared" si="12"/>
        <v>3.5799999999999998E-2</v>
      </c>
      <c r="F91" s="207">
        <f t="shared" si="12"/>
        <v>144.93265708865999</v>
      </c>
      <c r="G91" s="17">
        <f t="shared" si="12"/>
        <v>3.5799999999999998E-2</v>
      </c>
      <c r="H91" s="137">
        <f t="shared" si="12"/>
        <v>144.93265708865999</v>
      </c>
    </row>
    <row r="92" spans="1:8" x14ac:dyDescent="0.25">
      <c r="A92" s="432" t="s">
        <v>115</v>
      </c>
      <c r="B92" s="432"/>
      <c r="C92" s="432"/>
      <c r="D92" s="432"/>
      <c r="E92" s="322"/>
    </row>
    <row r="94" spans="1:8" x14ac:dyDescent="0.25">
      <c r="A94" s="437" t="s">
        <v>110</v>
      </c>
      <c r="B94" s="437"/>
      <c r="C94" s="437"/>
      <c r="D94" s="437"/>
      <c r="E94" s="242"/>
    </row>
    <row r="95" spans="1:8" x14ac:dyDescent="0.25">
      <c r="A95" s="304" t="s">
        <v>61</v>
      </c>
      <c r="B95" s="304" t="s">
        <v>62</v>
      </c>
      <c r="C95" s="304" t="s">
        <v>5</v>
      </c>
      <c r="D95" s="304"/>
      <c r="E95" s="242"/>
      <c r="F95" s="242"/>
      <c r="G95" s="327"/>
      <c r="H95" s="242"/>
    </row>
    <row r="96" spans="1:8" x14ac:dyDescent="0.25">
      <c r="A96" s="26" t="s">
        <v>6</v>
      </c>
      <c r="B96" s="306" t="s">
        <v>63</v>
      </c>
      <c r="C96" s="32"/>
      <c r="D96" s="328"/>
      <c r="E96" s="327"/>
      <c r="F96" s="327"/>
      <c r="G96" s="327"/>
      <c r="H96" s="327"/>
    </row>
    <row r="97" spans="1:8" x14ac:dyDescent="0.25">
      <c r="A97" s="437" t="s">
        <v>17</v>
      </c>
      <c r="B97" s="437"/>
      <c r="C97" s="16">
        <f>SUM(C96)</f>
        <v>0</v>
      </c>
      <c r="D97" s="328"/>
      <c r="E97" s="327"/>
      <c r="F97" s="327"/>
      <c r="G97" s="327"/>
      <c r="H97" s="327"/>
    </row>
    <row r="99" spans="1:8" x14ac:dyDescent="0.25">
      <c r="A99" s="433" t="s">
        <v>111</v>
      </c>
      <c r="B99" s="433"/>
      <c r="C99" s="433"/>
      <c r="D99" s="433"/>
      <c r="E99" s="231"/>
    </row>
    <row r="100" spans="1:8" x14ac:dyDescent="0.25">
      <c r="A100" s="303">
        <v>4</v>
      </c>
      <c r="B100" s="430" t="s">
        <v>64</v>
      </c>
      <c r="C100" s="430"/>
      <c r="D100" s="303" t="s">
        <v>5</v>
      </c>
      <c r="E100" s="242"/>
      <c r="F100" s="303" t="s">
        <v>5</v>
      </c>
      <c r="H100" s="303" t="s">
        <v>5</v>
      </c>
    </row>
    <row r="101" spans="1:8" x14ac:dyDescent="0.25">
      <c r="A101" s="26" t="s">
        <v>54</v>
      </c>
      <c r="B101" s="414" t="s">
        <v>55</v>
      </c>
      <c r="C101" s="414"/>
      <c r="D101" s="16">
        <f>D91</f>
        <v>131.75705566572</v>
      </c>
      <c r="E101" s="245"/>
      <c r="F101" s="16">
        <f>F91</f>
        <v>144.93265708865999</v>
      </c>
      <c r="H101" s="16">
        <f>H91</f>
        <v>144.93265708865999</v>
      </c>
    </row>
    <row r="102" spans="1:8" x14ac:dyDescent="0.25">
      <c r="A102" s="26" t="s">
        <v>61</v>
      </c>
      <c r="B102" s="14" t="s">
        <v>65</v>
      </c>
      <c r="C102" s="14"/>
      <c r="D102" s="32">
        <f>C97</f>
        <v>0</v>
      </c>
      <c r="E102" s="245"/>
      <c r="F102" s="32">
        <f>D97</f>
        <v>0</v>
      </c>
      <c r="H102" s="32">
        <f>G97</f>
        <v>0</v>
      </c>
    </row>
    <row r="103" spans="1:8" x14ac:dyDescent="0.25">
      <c r="A103" s="430" t="s">
        <v>17</v>
      </c>
      <c r="B103" s="430"/>
      <c r="C103" s="430"/>
      <c r="D103" s="18">
        <f>SUM(D101:D102)</f>
        <v>131.75705566572</v>
      </c>
      <c r="E103" s="246"/>
      <c r="F103" s="18">
        <f>SUM(F101:F102)</f>
        <v>144.93265708865999</v>
      </c>
      <c r="H103" s="18">
        <f>SUM(H101:H102)</f>
        <v>144.93265708865999</v>
      </c>
    </row>
    <row r="104" spans="1:8" x14ac:dyDescent="0.25">
      <c r="E104" s="327"/>
    </row>
    <row r="105" spans="1:8" x14ac:dyDescent="0.25">
      <c r="A105" s="433" t="s">
        <v>66</v>
      </c>
      <c r="B105" s="433"/>
      <c r="C105" s="433"/>
      <c r="D105" s="433"/>
      <c r="E105" s="248"/>
    </row>
    <row r="106" spans="1:8" x14ac:dyDescent="0.25">
      <c r="A106" s="304">
        <v>5</v>
      </c>
      <c r="B106" s="437" t="s">
        <v>67</v>
      </c>
      <c r="C106" s="437"/>
      <c r="D106" s="304" t="s">
        <v>5</v>
      </c>
      <c r="E106" s="242"/>
      <c r="F106" s="304" t="s">
        <v>5</v>
      </c>
      <c r="H106" s="304" t="s">
        <v>5</v>
      </c>
    </row>
    <row r="107" spans="1:8" x14ac:dyDescent="0.25">
      <c r="A107" s="26" t="s">
        <v>6</v>
      </c>
      <c r="B107" s="414" t="s">
        <v>68</v>
      </c>
      <c r="C107" s="414"/>
      <c r="D107" s="107">
        <f>'TABELA 4 Uniformes e EPIS'!E29</f>
        <v>61.65</v>
      </c>
      <c r="E107" s="249"/>
      <c r="F107" s="107">
        <f>'TABELA 4 Uniformes e EPIS'!E29</f>
        <v>61.65</v>
      </c>
      <c r="H107" s="107">
        <f>'TABELA 4 Uniformes e EPIS'!E29</f>
        <v>61.65</v>
      </c>
    </row>
    <row r="108" spans="1:8" x14ac:dyDescent="0.25">
      <c r="A108" s="26" t="s">
        <v>8</v>
      </c>
      <c r="B108" s="414" t="s">
        <v>405</v>
      </c>
      <c r="C108" s="414"/>
      <c r="D108" s="107">
        <f>'TABELA 4 Uniformes e EPIS'!E48+'TABELA 4 Uniformes e EPIS'!E70+'TABELA 5 - Ferramentas'!I145</f>
        <v>76.070471014492739</v>
      </c>
      <c r="E108" s="249"/>
      <c r="F108" s="107">
        <f>'TABELA 4 Uniformes e EPIS'!E48+'TABELA 4 Uniformes e EPIS'!E70+'TABELA 5 - Ferramentas'!I145</f>
        <v>76.070471014492739</v>
      </c>
      <c r="H108" s="107">
        <f>'TABELA 4 Uniformes e EPIS'!E48+'TABELA 4 Uniformes e EPIS'!E70+'TABELA 5 - Ferramentas'!I145</f>
        <v>76.070471014492739</v>
      </c>
    </row>
    <row r="109" spans="1:8" x14ac:dyDescent="0.25">
      <c r="A109" s="26" t="s">
        <v>9</v>
      </c>
      <c r="B109" s="414" t="s">
        <v>69</v>
      </c>
      <c r="C109" s="414"/>
      <c r="D109" s="16">
        <v>0</v>
      </c>
      <c r="E109" s="245"/>
      <c r="F109" s="16">
        <v>0</v>
      </c>
      <c r="H109" s="16">
        <v>0</v>
      </c>
    </row>
    <row r="110" spans="1:8" x14ac:dyDescent="0.25">
      <c r="A110" s="26" t="s">
        <v>11</v>
      </c>
      <c r="B110" s="414" t="s">
        <v>16</v>
      </c>
      <c r="C110" s="414"/>
      <c r="D110" s="16">
        <v>0</v>
      </c>
      <c r="E110" s="245"/>
      <c r="F110" s="16">
        <v>0</v>
      </c>
      <c r="H110" s="16">
        <v>0</v>
      </c>
    </row>
    <row r="111" spans="1:8" x14ac:dyDescent="0.25">
      <c r="A111" s="430" t="s">
        <v>17</v>
      </c>
      <c r="B111" s="430"/>
      <c r="C111" s="430"/>
      <c r="D111" s="137">
        <f>SUM(D107:D110)</f>
        <v>137.72047101449274</v>
      </c>
      <c r="E111" s="250"/>
      <c r="F111" s="137">
        <f>SUM(F107:F110)</f>
        <v>137.72047101449274</v>
      </c>
      <c r="H111" s="137">
        <f>SUM(H107:H110)</f>
        <v>137.72047101449274</v>
      </c>
    </row>
    <row r="112" spans="1:8" x14ac:dyDescent="0.25">
      <c r="A112" s="432" t="s">
        <v>78</v>
      </c>
      <c r="B112" s="432"/>
      <c r="C112" s="432"/>
      <c r="D112" s="432"/>
      <c r="E112" s="322"/>
    </row>
    <row r="114" spans="1:8" x14ac:dyDescent="0.25">
      <c r="A114" s="415" t="s">
        <v>70</v>
      </c>
      <c r="B114" s="415"/>
      <c r="C114" s="415"/>
      <c r="D114" s="415"/>
      <c r="E114" s="231"/>
    </row>
    <row r="115" spans="1:8" x14ac:dyDescent="0.25">
      <c r="A115" s="443" t="s">
        <v>116</v>
      </c>
      <c r="B115" s="443"/>
      <c r="C115" s="439" t="s">
        <v>117</v>
      </c>
      <c r="D115" s="439"/>
      <c r="E115" s="440" t="s">
        <v>117</v>
      </c>
      <c r="F115" s="441"/>
      <c r="G115" s="439" t="s">
        <v>117</v>
      </c>
      <c r="H115" s="439"/>
    </row>
    <row r="116" spans="1:8" x14ac:dyDescent="0.25">
      <c r="A116" s="303">
        <v>6</v>
      </c>
      <c r="B116" s="303" t="s">
        <v>71</v>
      </c>
      <c r="C116" s="303" t="s">
        <v>28</v>
      </c>
      <c r="D116" s="303" t="s">
        <v>5</v>
      </c>
      <c r="E116" s="303" t="s">
        <v>28</v>
      </c>
      <c r="F116" s="303" t="s">
        <v>5</v>
      </c>
      <c r="G116" s="303" t="s">
        <v>28</v>
      </c>
      <c r="H116" s="303" t="s">
        <v>5</v>
      </c>
    </row>
    <row r="117" spans="1:8" x14ac:dyDescent="0.25">
      <c r="A117" s="26" t="s">
        <v>6</v>
      </c>
      <c r="B117" s="14" t="s">
        <v>72</v>
      </c>
      <c r="C117" s="19">
        <v>4.1000000000000002E-2</v>
      </c>
      <c r="D117" s="16">
        <f>$C117*D$135</f>
        <v>247.07971239365602</v>
      </c>
      <c r="E117" s="19">
        <v>4.1000000000000002E-2</v>
      </c>
      <c r="F117" s="203">
        <f>$E117*F$135</f>
        <v>265.6757939884605</v>
      </c>
      <c r="G117" s="19">
        <v>4.1000000000000002E-2</v>
      </c>
      <c r="H117" s="203">
        <f>$G117*H$135</f>
        <v>262.77770762244126</v>
      </c>
    </row>
    <row r="118" spans="1:8" x14ac:dyDescent="0.25">
      <c r="A118" s="26" t="s">
        <v>8</v>
      </c>
      <c r="B118" s="14" t="s">
        <v>73</v>
      </c>
      <c r="C118" s="19">
        <v>0.04</v>
      </c>
      <c r="D118" s="16">
        <f>$C118*D$135</f>
        <v>241.05337794503026</v>
      </c>
      <c r="E118" s="19">
        <v>0.04</v>
      </c>
      <c r="F118" s="203">
        <f>$E118*F$135</f>
        <v>259.19589657410779</v>
      </c>
      <c r="G118" s="19">
        <v>0.04</v>
      </c>
      <c r="H118" s="203">
        <f>$G118*H$135</f>
        <v>256.36849524140609</v>
      </c>
    </row>
    <row r="119" spans="1:8" x14ac:dyDescent="0.25">
      <c r="A119" s="26" t="s">
        <v>9</v>
      </c>
      <c r="B119" s="14" t="s">
        <v>125</v>
      </c>
      <c r="C119" s="34">
        <f>SUM(C120:C122)</f>
        <v>5.6499999999999995E-2</v>
      </c>
      <c r="D119" s="16">
        <f>(D$135+D$118+D$117)*($C119/IF($C115="Lucro presumido",91.45%,85.75%))</f>
        <v>402.47940508637618</v>
      </c>
      <c r="E119" s="34">
        <f>SUM(E120:E122)</f>
        <v>5.6499999999999995E-2</v>
      </c>
      <c r="F119" s="203">
        <f>(F$135+F$118+F$117)*($E119/IF($E115="Lucro presumido",91.45%,85.75%))</f>
        <v>432.77140998109599</v>
      </c>
      <c r="G119" s="34">
        <f>SUM(G120:G122)</f>
        <v>5.6499999999999995E-2</v>
      </c>
      <c r="H119" s="203">
        <f>(H$135+H$118+H$117)*($G119/IF($G115="Lucro presumido",91.45%,85.75%))</f>
        <v>428.05058500852203</v>
      </c>
    </row>
    <row r="120" spans="1:8" x14ac:dyDescent="0.25">
      <c r="A120" s="26" t="s">
        <v>120</v>
      </c>
      <c r="B120" s="14" t="s">
        <v>119</v>
      </c>
      <c r="C120" s="34">
        <f>IF(C115="Lucro presumido",0.65%,1.65%)</f>
        <v>6.5000000000000006E-3</v>
      </c>
      <c r="D120" s="9" t="s">
        <v>118</v>
      </c>
      <c r="E120" s="34">
        <f>IF(E115="Lucro presumido",0.65%,1.65%)</f>
        <v>6.5000000000000006E-3</v>
      </c>
      <c r="F120" s="9" t="s">
        <v>118</v>
      </c>
      <c r="G120" s="34">
        <f>IF(G115="Lucro presumido",0.65%,1.65%)</f>
        <v>6.5000000000000006E-3</v>
      </c>
      <c r="H120" s="9" t="s">
        <v>118</v>
      </c>
    </row>
    <row r="121" spans="1:8" x14ac:dyDescent="0.25">
      <c r="A121" s="26" t="s">
        <v>122</v>
      </c>
      <c r="B121" s="14" t="s">
        <v>121</v>
      </c>
      <c r="C121" s="34">
        <f>IF(C115="Lucro presumido",3%,7.6%)</f>
        <v>0.03</v>
      </c>
      <c r="D121" s="9" t="s">
        <v>118</v>
      </c>
      <c r="E121" s="34">
        <f>IF(E115="Lucro presumido",3%,7.6%)</f>
        <v>0.03</v>
      </c>
      <c r="F121" s="9" t="s">
        <v>118</v>
      </c>
      <c r="G121" s="34">
        <f>IF(G115="Lucro presumido",3%,7.6%)</f>
        <v>0.03</v>
      </c>
      <c r="H121" s="9" t="s">
        <v>118</v>
      </c>
    </row>
    <row r="122" spans="1:8" x14ac:dyDescent="0.25">
      <c r="A122" s="26" t="s">
        <v>124</v>
      </c>
      <c r="B122" s="14" t="s">
        <v>123</v>
      </c>
      <c r="C122" s="34">
        <v>0.02</v>
      </c>
      <c r="D122" s="9" t="s">
        <v>118</v>
      </c>
      <c r="E122" s="34">
        <v>0.02</v>
      </c>
      <c r="F122" s="9" t="s">
        <v>118</v>
      </c>
      <c r="G122" s="34">
        <v>0.02</v>
      </c>
      <c r="H122" s="9" t="s">
        <v>118</v>
      </c>
    </row>
    <row r="123" spans="1:8" x14ac:dyDescent="0.25">
      <c r="A123" s="26" t="s">
        <v>11</v>
      </c>
      <c r="B123" s="306" t="s">
        <v>127</v>
      </c>
      <c r="C123" s="36">
        <v>4.4999999999999998E-2</v>
      </c>
      <c r="D123" s="37">
        <f>(D$135+D$118+D$117)*($C123/IF($C115="Lucro presumido",91.45%,85.75%))</f>
        <v>320.55881821038815</v>
      </c>
      <c r="E123" s="36">
        <v>4.4999999999999998E-2</v>
      </c>
      <c r="F123" s="208">
        <f>(F$135+F$118+F$117)*($E123/IF($E115="Lucro presumido",91.45%,85.75%))</f>
        <v>344.68519379025349</v>
      </c>
      <c r="G123" s="36">
        <v>4.4999999999999998E-2</v>
      </c>
      <c r="H123" s="208">
        <f>(H$135+H$118+H$117)*($G123/IF($G115="Lucro presumido",91.45%,85.75%))</f>
        <v>340.92524469705302</v>
      </c>
    </row>
    <row r="124" spans="1:8" x14ac:dyDescent="0.25">
      <c r="A124" s="430" t="s">
        <v>17</v>
      </c>
      <c r="B124" s="430"/>
      <c r="C124" s="21">
        <f>SUM(C117:C119)+(C123)</f>
        <v>0.1825</v>
      </c>
      <c r="D124" s="137">
        <f>SUM(D117:D123)</f>
        <v>1211.1713136354506</v>
      </c>
      <c r="E124" s="21">
        <f>SUM(E117:E119)+(E123)</f>
        <v>0.1825</v>
      </c>
      <c r="F124" s="207">
        <f>SUM(F117:F123)</f>
        <v>1302.3282943339177</v>
      </c>
      <c r="G124" s="21">
        <f>SUM(G117:G119)+(G123)</f>
        <v>0.1825</v>
      </c>
      <c r="H124" s="207">
        <f>SUM(H117:H123)</f>
        <v>1288.1220325694223</v>
      </c>
    </row>
    <row r="125" spans="1:8" x14ac:dyDescent="0.25">
      <c r="A125" s="432" t="s">
        <v>79</v>
      </c>
      <c r="B125" s="432"/>
      <c r="C125" s="432"/>
      <c r="D125" s="432"/>
      <c r="E125" s="322"/>
    </row>
    <row r="126" spans="1:8" x14ac:dyDescent="0.25">
      <c r="A126" s="432" t="s">
        <v>126</v>
      </c>
      <c r="B126" s="432"/>
      <c r="C126" s="432"/>
      <c r="D126" s="432"/>
      <c r="E126" s="322"/>
    </row>
    <row r="128" spans="1:8" x14ac:dyDescent="0.25">
      <c r="A128" s="433" t="s">
        <v>112</v>
      </c>
      <c r="B128" s="433"/>
      <c r="C128" s="433"/>
      <c r="D128" s="433"/>
      <c r="E128" s="231"/>
    </row>
    <row r="129" spans="1:8" x14ac:dyDescent="0.25">
      <c r="A129" s="437" t="s">
        <v>80</v>
      </c>
      <c r="B129" s="437"/>
      <c r="C129" s="437"/>
      <c r="D129" s="304" t="s">
        <v>74</v>
      </c>
      <c r="E129" s="242"/>
      <c r="F129" s="304" t="s">
        <v>74</v>
      </c>
      <c r="H129" s="304" t="s">
        <v>74</v>
      </c>
    </row>
    <row r="130" spans="1:8" x14ac:dyDescent="0.25">
      <c r="A130" s="26" t="s">
        <v>6</v>
      </c>
      <c r="B130" s="438" t="s">
        <v>75</v>
      </c>
      <c r="C130" s="438"/>
      <c r="D130" s="16">
        <f>D19</f>
        <v>3036.3540000000003</v>
      </c>
      <c r="E130" s="245"/>
      <c r="F130" s="203">
        <f>F19</f>
        <v>3339.9870000000001</v>
      </c>
      <c r="H130" s="16">
        <f>H19</f>
        <v>3339.9870000000001</v>
      </c>
    </row>
    <row r="131" spans="1:8" x14ac:dyDescent="0.25">
      <c r="A131" s="26" t="s">
        <v>8</v>
      </c>
      <c r="B131" s="438" t="s">
        <v>19</v>
      </c>
      <c r="C131" s="438"/>
      <c r="D131" s="16">
        <f>D65</f>
        <v>2477.59517247646</v>
      </c>
      <c r="E131" s="245"/>
      <c r="F131" s="203">
        <f>F65</f>
        <v>2590.0589538331001</v>
      </c>
      <c r="H131" s="211">
        <f>H65</f>
        <v>2590.0589538331001</v>
      </c>
    </row>
    <row r="132" spans="1:8" x14ac:dyDescent="0.25">
      <c r="A132" s="26" t="s">
        <v>9</v>
      </c>
      <c r="B132" s="438" t="s">
        <v>76</v>
      </c>
      <c r="C132" s="438"/>
      <c r="D132" s="16">
        <f>D76</f>
        <v>242.9077494690834</v>
      </c>
      <c r="E132" s="245"/>
      <c r="F132" s="203">
        <f>F76</f>
        <v>267.19833241644272</v>
      </c>
      <c r="H132" s="203">
        <f>H76</f>
        <v>196.51329909890069</v>
      </c>
    </row>
    <row r="133" spans="1:8" x14ac:dyDescent="0.25">
      <c r="A133" s="26" t="s">
        <v>11</v>
      </c>
      <c r="B133" s="438" t="s">
        <v>53</v>
      </c>
      <c r="C133" s="438"/>
      <c r="D133" s="16">
        <f>D103</f>
        <v>131.75705566572</v>
      </c>
      <c r="E133" s="245"/>
      <c r="F133" s="203">
        <f>F103</f>
        <v>144.93265708865999</v>
      </c>
      <c r="H133" s="16">
        <f>H103</f>
        <v>144.93265708865999</v>
      </c>
    </row>
    <row r="134" spans="1:8" x14ac:dyDescent="0.25">
      <c r="A134" s="26" t="s">
        <v>13</v>
      </c>
      <c r="B134" s="438" t="s">
        <v>66</v>
      </c>
      <c r="C134" s="438"/>
      <c r="D134" s="16">
        <f>D111</f>
        <v>137.72047101449274</v>
      </c>
      <c r="E134" s="245"/>
      <c r="F134" s="16">
        <f>F111</f>
        <v>137.72047101449274</v>
      </c>
      <c r="H134" s="16">
        <f>H111</f>
        <v>137.72047101449274</v>
      </c>
    </row>
    <row r="135" spans="1:8" x14ac:dyDescent="0.25">
      <c r="A135" s="430" t="s">
        <v>77</v>
      </c>
      <c r="B135" s="430"/>
      <c r="C135" s="430"/>
      <c r="D135" s="18">
        <f>SUM(D130:D134)</f>
        <v>6026.3344486257565</v>
      </c>
      <c r="E135" s="246"/>
      <c r="F135" s="204">
        <f>SUM(F130:F134)</f>
        <v>6479.8974143526948</v>
      </c>
      <c r="H135" s="204">
        <f>SUM(H130:H134)</f>
        <v>6409.2123810351522</v>
      </c>
    </row>
    <row r="136" spans="1:8" x14ac:dyDescent="0.25">
      <c r="A136" s="26" t="s">
        <v>15</v>
      </c>
      <c r="B136" s="414" t="s">
        <v>70</v>
      </c>
      <c r="C136" s="414"/>
      <c r="D136" s="16">
        <f>D124</f>
        <v>1211.1713136354506</v>
      </c>
      <c r="E136" s="245"/>
      <c r="F136" s="203">
        <f>F124</f>
        <v>1302.3282943339177</v>
      </c>
      <c r="H136" s="203">
        <f>H124</f>
        <v>1288.1220325694223</v>
      </c>
    </row>
    <row r="137" spans="1:8" x14ac:dyDescent="0.25">
      <c r="A137" s="433" t="s">
        <v>434</v>
      </c>
      <c r="B137" s="433"/>
      <c r="C137" s="433"/>
      <c r="D137" s="138">
        <f>SUM(D135:D136)</f>
        <v>7237.5057622612076</v>
      </c>
      <c r="E137" s="251"/>
      <c r="F137" s="209">
        <f>SUM(F135:F136)</f>
        <v>7782.2257086866121</v>
      </c>
      <c r="H137" s="209">
        <f>SUM(H135:H136)</f>
        <v>7697.3344136045744</v>
      </c>
    </row>
    <row r="140" spans="1:8" x14ac:dyDescent="0.25">
      <c r="A140" s="442" t="s">
        <v>469</v>
      </c>
      <c r="B140" s="442"/>
      <c r="C140" s="442"/>
      <c r="D140" s="442"/>
      <c r="E140" s="252"/>
    </row>
  </sheetData>
  <mergeCells count="83">
    <mergeCell ref="B130:C130"/>
    <mergeCell ref="A115:B115"/>
    <mergeCell ref="C115:D115"/>
    <mergeCell ref="A124:B124"/>
    <mergeCell ref="A125:D125"/>
    <mergeCell ref="A126:D126"/>
    <mergeCell ref="A128:D128"/>
    <mergeCell ref="A129:C129"/>
    <mergeCell ref="A140:D140"/>
    <mergeCell ref="A137:C137"/>
    <mergeCell ref="B131:C131"/>
    <mergeCell ref="B132:C132"/>
    <mergeCell ref="B133:C133"/>
    <mergeCell ref="B134:C134"/>
    <mergeCell ref="A135:C135"/>
    <mergeCell ref="B136:C136"/>
    <mergeCell ref="A111:C111"/>
    <mergeCell ref="A112:D112"/>
    <mergeCell ref="A114:D114"/>
    <mergeCell ref="G115:H115"/>
    <mergeCell ref="E115:F115"/>
    <mergeCell ref="B101:C101"/>
    <mergeCell ref="A103:C103"/>
    <mergeCell ref="A105:D105"/>
    <mergeCell ref="B106:C106"/>
    <mergeCell ref="B107:C107"/>
    <mergeCell ref="A92:D92"/>
    <mergeCell ref="A94:D94"/>
    <mergeCell ref="A97:B97"/>
    <mergeCell ref="A99:D99"/>
    <mergeCell ref="B100:C100"/>
    <mergeCell ref="B109:C109"/>
    <mergeCell ref="B110:C110"/>
    <mergeCell ref="A83:D83"/>
    <mergeCell ref="B61:C61"/>
    <mergeCell ref="B62:C62"/>
    <mergeCell ref="B63:C63"/>
    <mergeCell ref="B64:C64"/>
    <mergeCell ref="A65:C65"/>
    <mergeCell ref="A67:D67"/>
    <mergeCell ref="A76:B76"/>
    <mergeCell ref="A77:D77"/>
    <mergeCell ref="A78:D78"/>
    <mergeCell ref="A80:D80"/>
    <mergeCell ref="A81:D81"/>
    <mergeCell ref="B108:C108"/>
    <mergeCell ref="A91:B91"/>
    <mergeCell ref="A27:B27"/>
    <mergeCell ref="A28:D28"/>
    <mergeCell ref="A29:D29"/>
    <mergeCell ref="A60:D60"/>
    <mergeCell ref="A32:D32"/>
    <mergeCell ref="A42:B42"/>
    <mergeCell ref="A43:D43"/>
    <mergeCell ref="A44:D44"/>
    <mergeCell ref="A45:D45"/>
    <mergeCell ref="A46:D46"/>
    <mergeCell ref="A47:D47"/>
    <mergeCell ref="A49:D49"/>
    <mergeCell ref="A56:C56"/>
    <mergeCell ref="A57:D57"/>
    <mergeCell ref="A58:D58"/>
    <mergeCell ref="A30:D30"/>
    <mergeCell ref="B18:C18"/>
    <mergeCell ref="A19:C19"/>
    <mergeCell ref="A20:D20"/>
    <mergeCell ref="A22:D22"/>
    <mergeCell ref="A23:D23"/>
    <mergeCell ref="B17:C17"/>
    <mergeCell ref="B15:C15"/>
    <mergeCell ref="B16:C16"/>
    <mergeCell ref="B14:C14"/>
    <mergeCell ref="A1:D1"/>
    <mergeCell ref="A3:D3"/>
    <mergeCell ref="C4:D4"/>
    <mergeCell ref="C5:D5"/>
    <mergeCell ref="C6:D6"/>
    <mergeCell ref="C7:D7"/>
    <mergeCell ref="C8:D8"/>
    <mergeCell ref="C9:D9"/>
    <mergeCell ref="A11:D11"/>
    <mergeCell ref="B12:C12"/>
    <mergeCell ref="B13:C13"/>
  </mergeCells>
  <dataValidations disablePrompts="1" count="1">
    <dataValidation type="list" allowBlank="1" showInputMessage="1" showErrorMessage="1" sqref="G115 C115:E115" xr:uid="{00000000-0002-0000-0200-000000000000}">
      <formula1>"Lucro presumido,Lucro real"</formula1>
    </dataValidation>
  </dataValidations>
  <pageMargins left="0.511811024" right="0.511811024" top="0.78740157499999996" bottom="0.78740157499999996" header="0.31496062000000002" footer="0.31496062000000002"/>
  <pageSetup paperSize="9" scale="5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pageSetUpPr fitToPage="1"/>
  </sheetPr>
  <dimension ref="A1:H140"/>
  <sheetViews>
    <sheetView showGridLines="0" view="pageBreakPreview" topLeftCell="A16" zoomScaleNormal="100" zoomScaleSheetLayoutView="100" workbookViewId="0">
      <selection activeCell="N130" sqref="N130"/>
    </sheetView>
  </sheetViews>
  <sheetFormatPr defaultColWidth="8.7109375" defaultRowHeight="12.75" x14ac:dyDescent="0.25"/>
  <cols>
    <col min="1" max="1" width="5" style="12" bestFit="1" customWidth="1"/>
    <col min="2" max="2" width="45.7109375" style="12" bestFit="1" customWidth="1"/>
    <col min="3" max="3" width="14.140625" style="12" bestFit="1" customWidth="1"/>
    <col min="4" max="4" width="10" style="12" bestFit="1" customWidth="1"/>
    <col min="5" max="5" width="14.140625" style="319" bestFit="1" customWidth="1"/>
    <col min="6" max="6" width="20.28515625" style="319" bestFit="1" customWidth="1"/>
    <col min="7" max="7" width="14.140625" style="319" bestFit="1" customWidth="1"/>
    <col min="8" max="8" width="18.28515625" style="319" bestFit="1" customWidth="1"/>
    <col min="9" max="16384" width="8.7109375" style="12"/>
  </cols>
  <sheetData>
    <row r="1" spans="1:8" x14ac:dyDescent="0.25">
      <c r="A1" s="415" t="s">
        <v>92</v>
      </c>
      <c r="B1" s="415"/>
      <c r="C1" s="415"/>
      <c r="D1" s="415"/>
      <c r="E1" s="231"/>
    </row>
    <row r="3" spans="1:8" x14ac:dyDescent="0.25">
      <c r="A3" s="429" t="s">
        <v>0</v>
      </c>
      <c r="B3" s="429"/>
      <c r="C3" s="429"/>
      <c r="D3" s="429"/>
      <c r="E3" s="320"/>
    </row>
    <row r="4" spans="1:8" ht="25.5" x14ac:dyDescent="0.25">
      <c r="A4" s="304">
        <v>1</v>
      </c>
      <c r="B4" s="3" t="s">
        <v>1</v>
      </c>
      <c r="C4" s="454" t="s">
        <v>454</v>
      </c>
      <c r="D4" s="454"/>
      <c r="E4" s="301"/>
    </row>
    <row r="5" spans="1:8" x14ac:dyDescent="0.25">
      <c r="A5" s="4">
        <v>2</v>
      </c>
      <c r="B5" s="306" t="s">
        <v>2</v>
      </c>
      <c r="C5" s="455"/>
      <c r="D5" s="455"/>
      <c r="E5" s="225"/>
    </row>
    <row r="6" spans="1:8" x14ac:dyDescent="0.25">
      <c r="A6" s="4">
        <v>3</v>
      </c>
      <c r="B6" s="306" t="s">
        <v>95</v>
      </c>
      <c r="C6" s="423">
        <v>1901.53</v>
      </c>
      <c r="D6" s="424"/>
      <c r="E6" s="226"/>
      <c r="F6" s="321"/>
    </row>
    <row r="7" spans="1:8" ht="25.5" x14ac:dyDescent="0.25">
      <c r="A7" s="4">
        <v>4</v>
      </c>
      <c r="B7" s="306" t="s">
        <v>96</v>
      </c>
      <c r="C7" s="456" t="s">
        <v>449</v>
      </c>
      <c r="D7" s="457"/>
      <c r="E7" s="322"/>
    </row>
    <row r="8" spans="1:8" x14ac:dyDescent="0.25">
      <c r="A8" s="4">
        <v>5</v>
      </c>
      <c r="B8" s="306" t="s">
        <v>3</v>
      </c>
      <c r="C8" s="458" t="s">
        <v>451</v>
      </c>
      <c r="D8" s="455"/>
      <c r="E8" s="228"/>
      <c r="F8" s="323">
        <v>44562</v>
      </c>
    </row>
    <row r="9" spans="1:8" x14ac:dyDescent="0.25">
      <c r="A9" s="4">
        <v>6</v>
      </c>
      <c r="B9" s="306" t="s">
        <v>97</v>
      </c>
      <c r="C9" s="458" t="s">
        <v>452</v>
      </c>
      <c r="D9" s="455"/>
      <c r="E9" s="228"/>
      <c r="F9" s="324" t="s">
        <v>566</v>
      </c>
    </row>
    <row r="10" spans="1:8" x14ac:dyDescent="0.25">
      <c r="F10" s="319" t="s">
        <v>567</v>
      </c>
      <c r="H10" s="319" t="s">
        <v>568</v>
      </c>
    </row>
    <row r="11" spans="1:8" ht="127.5" x14ac:dyDescent="0.25">
      <c r="A11" s="415" t="s">
        <v>75</v>
      </c>
      <c r="B11" s="415"/>
      <c r="C11" s="415"/>
      <c r="D11" s="415"/>
      <c r="E11" s="231"/>
      <c r="F11" s="252" t="s">
        <v>575</v>
      </c>
      <c r="H11" s="252" t="s">
        <v>569</v>
      </c>
    </row>
    <row r="12" spans="1:8" x14ac:dyDescent="0.25">
      <c r="A12" s="303">
        <v>1</v>
      </c>
      <c r="B12" s="429" t="s">
        <v>4</v>
      </c>
      <c r="C12" s="429"/>
      <c r="D12" s="303" t="s">
        <v>5</v>
      </c>
      <c r="E12" s="242"/>
      <c r="F12" s="303" t="s">
        <v>5</v>
      </c>
      <c r="H12" s="303" t="s">
        <v>5</v>
      </c>
    </row>
    <row r="13" spans="1:8" x14ac:dyDescent="0.25">
      <c r="A13" s="26" t="s">
        <v>6</v>
      </c>
      <c r="B13" s="414" t="s">
        <v>7</v>
      </c>
      <c r="C13" s="414"/>
      <c r="D13" s="114">
        <v>2590.09</v>
      </c>
      <c r="E13" s="243"/>
      <c r="F13" s="200">
        <f>D13*1.1</f>
        <v>2849.0990000000006</v>
      </c>
      <c r="H13" s="114">
        <f>F13</f>
        <v>2849.0990000000006</v>
      </c>
    </row>
    <row r="14" spans="1:8" x14ac:dyDescent="0.25">
      <c r="A14" s="26" t="s">
        <v>8</v>
      </c>
      <c r="B14" s="414" t="s">
        <v>455</v>
      </c>
      <c r="C14" s="414"/>
      <c r="D14" s="10">
        <f>0.3*D13</f>
        <v>777.02700000000004</v>
      </c>
      <c r="E14" s="244"/>
      <c r="F14" s="201">
        <f>0.3*F13</f>
        <v>854.72970000000021</v>
      </c>
      <c r="H14" s="10">
        <f>0.3*H13</f>
        <v>854.72970000000021</v>
      </c>
    </row>
    <row r="15" spans="1:8" x14ac:dyDescent="0.25">
      <c r="A15" s="26" t="s">
        <v>9</v>
      </c>
      <c r="B15" s="414" t="s">
        <v>10</v>
      </c>
      <c r="C15" s="414"/>
      <c r="D15" s="10" t="s">
        <v>118</v>
      </c>
      <c r="E15" s="244"/>
      <c r="F15" s="201"/>
      <c r="H15" s="10"/>
    </row>
    <row r="16" spans="1:8" x14ac:dyDescent="0.25">
      <c r="A16" s="26" t="s">
        <v>11</v>
      </c>
      <c r="B16" s="414" t="s">
        <v>133</v>
      </c>
      <c r="C16" s="414"/>
      <c r="D16" s="10" t="s">
        <v>118</v>
      </c>
      <c r="E16" s="244"/>
      <c r="F16" s="10">
        <v>0</v>
      </c>
      <c r="H16" s="10">
        <v>0</v>
      </c>
    </row>
    <row r="17" spans="1:8" x14ac:dyDescent="0.25">
      <c r="A17" s="26" t="s">
        <v>13</v>
      </c>
      <c r="B17" s="414" t="s">
        <v>14</v>
      </c>
      <c r="C17" s="414"/>
      <c r="D17" s="10" t="s">
        <v>118</v>
      </c>
      <c r="E17" s="244"/>
      <c r="F17" s="10">
        <v>0</v>
      </c>
      <c r="H17" s="10">
        <v>0</v>
      </c>
    </row>
    <row r="18" spans="1:8" x14ac:dyDescent="0.25">
      <c r="A18" s="26" t="s">
        <v>15</v>
      </c>
      <c r="B18" s="414" t="s">
        <v>16</v>
      </c>
      <c r="C18" s="414"/>
      <c r="D18" s="10" t="s">
        <v>118</v>
      </c>
      <c r="E18" s="244"/>
      <c r="F18" s="10">
        <v>0</v>
      </c>
      <c r="H18" s="10">
        <v>0</v>
      </c>
    </row>
    <row r="19" spans="1:8" x14ac:dyDescent="0.25">
      <c r="A19" s="430" t="s">
        <v>17</v>
      </c>
      <c r="B19" s="430"/>
      <c r="C19" s="430"/>
      <c r="D19" s="11">
        <f>SUM(D13:D18)</f>
        <v>3367.1170000000002</v>
      </c>
      <c r="E19" s="243"/>
      <c r="F19" s="202">
        <f>SUM(F13:F18)</f>
        <v>3703.8287000000009</v>
      </c>
      <c r="H19" s="11">
        <f>SUM(H13:H18)</f>
        <v>3703.8287000000009</v>
      </c>
    </row>
    <row r="20" spans="1:8" x14ac:dyDescent="0.25">
      <c r="A20" s="431" t="s">
        <v>18</v>
      </c>
      <c r="B20" s="431"/>
      <c r="C20" s="431"/>
      <c r="D20" s="431"/>
      <c r="E20" s="322"/>
    </row>
    <row r="22" spans="1:8" x14ac:dyDescent="0.25">
      <c r="A22" s="415" t="s">
        <v>19</v>
      </c>
      <c r="B22" s="415"/>
      <c r="C22" s="415"/>
      <c r="D22" s="415"/>
      <c r="E22" s="231"/>
    </row>
    <row r="23" spans="1:8" x14ac:dyDescent="0.25">
      <c r="A23" s="430" t="s">
        <v>24</v>
      </c>
      <c r="B23" s="430"/>
      <c r="C23" s="430"/>
      <c r="D23" s="430"/>
      <c r="E23" s="242"/>
    </row>
    <row r="24" spans="1:8" ht="25.5" x14ac:dyDescent="0.25">
      <c r="A24" s="305" t="s">
        <v>20</v>
      </c>
      <c r="B24" s="305" t="s">
        <v>21</v>
      </c>
      <c r="C24" s="304" t="s">
        <v>28</v>
      </c>
      <c r="D24" s="305" t="s">
        <v>5</v>
      </c>
      <c r="E24" s="304" t="s">
        <v>28</v>
      </c>
      <c r="F24" s="305" t="s">
        <v>5</v>
      </c>
      <c r="G24" s="304" t="s">
        <v>28</v>
      </c>
      <c r="H24" s="305" t="s">
        <v>5</v>
      </c>
    </row>
    <row r="25" spans="1:8" x14ac:dyDescent="0.25">
      <c r="A25" s="26" t="s">
        <v>6</v>
      </c>
      <c r="B25" s="14" t="s">
        <v>22</v>
      </c>
      <c r="C25" s="15">
        <v>9.0899999999999995E-2</v>
      </c>
      <c r="D25" s="16">
        <f>C25*$D$19</f>
        <v>306.07093529999997</v>
      </c>
      <c r="E25" s="15">
        <v>9.0899999999999995E-2</v>
      </c>
      <c r="F25" s="203">
        <f>E25*F$19</f>
        <v>336.67802883000007</v>
      </c>
      <c r="G25" s="15">
        <v>9.0899999999999995E-2</v>
      </c>
      <c r="H25" s="211">
        <f>G25*H$19</f>
        <v>336.67802883000007</v>
      </c>
    </row>
    <row r="26" spans="1:8" x14ac:dyDescent="0.25">
      <c r="A26" s="26" t="s">
        <v>8</v>
      </c>
      <c r="B26" s="14" t="s">
        <v>23</v>
      </c>
      <c r="C26" s="15">
        <v>0.1212</v>
      </c>
      <c r="D26" s="16">
        <f>C26*$D$19</f>
        <v>408.09458040000004</v>
      </c>
      <c r="E26" s="15">
        <v>0.1212</v>
      </c>
      <c r="F26" s="203">
        <f>E26*F$19</f>
        <v>448.90403844000014</v>
      </c>
      <c r="G26" s="15">
        <v>0.1212</v>
      </c>
      <c r="H26" s="211">
        <f>G26*H$19</f>
        <v>448.90403844000014</v>
      </c>
    </row>
    <row r="27" spans="1:8" x14ac:dyDescent="0.25">
      <c r="A27" s="430" t="s">
        <v>17</v>
      </c>
      <c r="B27" s="430"/>
      <c r="C27" s="17">
        <f t="shared" ref="C27:H27" si="0">SUM(C25:C26)</f>
        <v>0.21210000000000001</v>
      </c>
      <c r="D27" s="18">
        <f t="shared" si="0"/>
        <v>714.16551570000001</v>
      </c>
      <c r="E27" s="17">
        <f t="shared" si="0"/>
        <v>0.21210000000000001</v>
      </c>
      <c r="F27" s="204">
        <f t="shared" si="0"/>
        <v>785.58206727000015</v>
      </c>
      <c r="G27" s="17">
        <f t="shared" si="0"/>
        <v>0.21210000000000001</v>
      </c>
      <c r="H27" s="212">
        <f t="shared" si="0"/>
        <v>785.58206727000015</v>
      </c>
    </row>
    <row r="28" spans="1:8" x14ac:dyDescent="0.25">
      <c r="A28" s="432" t="s">
        <v>98</v>
      </c>
      <c r="B28" s="432"/>
      <c r="C28" s="432"/>
      <c r="D28" s="432"/>
      <c r="E28" s="322"/>
    </row>
    <row r="29" spans="1:8" x14ac:dyDescent="0.25">
      <c r="A29" s="432" t="s">
        <v>99</v>
      </c>
      <c r="B29" s="432"/>
      <c r="C29" s="432"/>
      <c r="D29" s="432"/>
      <c r="E29" s="322"/>
    </row>
    <row r="30" spans="1:8" x14ac:dyDescent="0.25">
      <c r="A30" s="432" t="s">
        <v>100</v>
      </c>
      <c r="B30" s="432"/>
      <c r="C30" s="432"/>
      <c r="D30" s="432"/>
      <c r="E30" s="322"/>
    </row>
    <row r="32" spans="1:8" x14ac:dyDescent="0.25">
      <c r="A32" s="450" t="s">
        <v>25</v>
      </c>
      <c r="B32" s="450"/>
      <c r="C32" s="450"/>
      <c r="D32" s="450"/>
      <c r="E32" s="301"/>
    </row>
    <row r="33" spans="1:8" x14ac:dyDescent="0.25">
      <c r="A33" s="116" t="s">
        <v>26</v>
      </c>
      <c r="B33" s="116" t="s">
        <v>27</v>
      </c>
      <c r="C33" s="116" t="s">
        <v>28</v>
      </c>
      <c r="D33" s="116" t="s">
        <v>5</v>
      </c>
      <c r="E33" s="303" t="s">
        <v>28</v>
      </c>
      <c r="F33" s="303" t="s">
        <v>5</v>
      </c>
      <c r="G33" s="303" t="s">
        <v>28</v>
      </c>
      <c r="H33" s="303" t="s">
        <v>5</v>
      </c>
    </row>
    <row r="34" spans="1:8" x14ac:dyDescent="0.25">
      <c r="A34" s="26" t="s">
        <v>6</v>
      </c>
      <c r="B34" s="14" t="s">
        <v>29</v>
      </c>
      <c r="C34" s="19">
        <v>0</v>
      </c>
      <c r="D34" s="16">
        <f>C34*($D$19+$D$27)</f>
        <v>0</v>
      </c>
      <c r="E34" s="19">
        <v>0</v>
      </c>
      <c r="F34" s="16">
        <f>E34*(F$19+F$27)</f>
        <v>0</v>
      </c>
      <c r="G34" s="19">
        <v>0</v>
      </c>
      <c r="H34" s="16">
        <f>G34*(H$19+H$27)</f>
        <v>0</v>
      </c>
    </row>
    <row r="35" spans="1:8" x14ac:dyDescent="0.25">
      <c r="A35" s="26" t="s">
        <v>8</v>
      </c>
      <c r="B35" s="14" t="s">
        <v>30</v>
      </c>
      <c r="C35" s="19">
        <v>2.5000000000000001E-2</v>
      </c>
      <c r="D35" s="16">
        <f t="shared" ref="D35:D40" si="1">C35*($D$19+$D$27)</f>
        <v>102.03206289250001</v>
      </c>
      <c r="E35" s="19">
        <v>2.5000000000000001E-2</v>
      </c>
      <c r="F35" s="203">
        <f t="shared" ref="F35:F41" si="2">$E35*(F$19+F$27)</f>
        <v>112.23526918175003</v>
      </c>
      <c r="G35" s="19">
        <v>2.5000000000000001E-2</v>
      </c>
      <c r="H35" s="16">
        <f t="shared" ref="H35:H41" si="3">$G35*(H$19+H$27)</f>
        <v>112.23526918175003</v>
      </c>
    </row>
    <row r="36" spans="1:8" x14ac:dyDescent="0.25">
      <c r="A36" s="26" t="s">
        <v>9</v>
      </c>
      <c r="B36" s="14" t="s">
        <v>101</v>
      </c>
      <c r="C36" s="19">
        <v>3.39E-2</v>
      </c>
      <c r="D36" s="16">
        <f t="shared" si="1"/>
        <v>138.35547728223</v>
      </c>
      <c r="E36" s="287">
        <v>1.4999999999999999E-2</v>
      </c>
      <c r="F36" s="203">
        <f t="shared" si="2"/>
        <v>67.341161509050011</v>
      </c>
      <c r="G36" s="19">
        <v>1.4999999999999999E-2</v>
      </c>
      <c r="H36" s="16">
        <f t="shared" si="3"/>
        <v>67.341161509050011</v>
      </c>
    </row>
    <row r="37" spans="1:8" x14ac:dyDescent="0.25">
      <c r="A37" s="26" t="s">
        <v>11</v>
      </c>
      <c r="B37" s="14" t="s">
        <v>31</v>
      </c>
      <c r="C37" s="19">
        <v>1.4999999999999999E-2</v>
      </c>
      <c r="D37" s="16">
        <f t="shared" si="1"/>
        <v>61.219237735500002</v>
      </c>
      <c r="E37" s="19">
        <v>1.4999999999999999E-2</v>
      </c>
      <c r="F37" s="203">
        <f t="shared" si="2"/>
        <v>67.341161509050011</v>
      </c>
      <c r="G37" s="19">
        <v>1.4999999999999999E-2</v>
      </c>
      <c r="H37" s="16">
        <f t="shared" si="3"/>
        <v>67.341161509050011</v>
      </c>
    </row>
    <row r="38" spans="1:8" x14ac:dyDescent="0.25">
      <c r="A38" s="26" t="s">
        <v>13</v>
      </c>
      <c r="B38" s="14" t="s">
        <v>32</v>
      </c>
      <c r="C38" s="19">
        <v>0.01</v>
      </c>
      <c r="D38" s="16">
        <f t="shared" si="1"/>
        <v>40.812825157000006</v>
      </c>
      <c r="E38" s="19">
        <v>0.01</v>
      </c>
      <c r="F38" s="203">
        <f t="shared" si="2"/>
        <v>44.894107672700009</v>
      </c>
      <c r="G38" s="19">
        <v>0.01</v>
      </c>
      <c r="H38" s="16">
        <f t="shared" si="3"/>
        <v>44.894107672700009</v>
      </c>
    </row>
    <row r="39" spans="1:8" x14ac:dyDescent="0.25">
      <c r="A39" s="26" t="s">
        <v>15</v>
      </c>
      <c r="B39" s="14" t="s">
        <v>33</v>
      </c>
      <c r="C39" s="19">
        <v>6.0000000000000001E-3</v>
      </c>
      <c r="D39" s="16">
        <f t="shared" si="1"/>
        <v>24.487695094200003</v>
      </c>
      <c r="E39" s="19">
        <v>6.0000000000000001E-3</v>
      </c>
      <c r="F39" s="203">
        <f t="shared" si="2"/>
        <v>26.936464603620006</v>
      </c>
      <c r="G39" s="19">
        <v>6.0000000000000001E-3</v>
      </c>
      <c r="H39" s="16">
        <f t="shared" si="3"/>
        <v>26.936464603620006</v>
      </c>
    </row>
    <row r="40" spans="1:8" x14ac:dyDescent="0.25">
      <c r="A40" s="26" t="s">
        <v>34</v>
      </c>
      <c r="B40" s="14" t="s">
        <v>35</v>
      </c>
      <c r="C40" s="19">
        <v>2E-3</v>
      </c>
      <c r="D40" s="16">
        <f t="shared" si="1"/>
        <v>8.1625650313999998</v>
      </c>
      <c r="E40" s="19">
        <v>2E-3</v>
      </c>
      <c r="F40" s="203">
        <f t="shared" si="2"/>
        <v>8.9788215345400015</v>
      </c>
      <c r="G40" s="19">
        <v>2E-3</v>
      </c>
      <c r="H40" s="16">
        <f t="shared" si="3"/>
        <v>8.9788215345400015</v>
      </c>
    </row>
    <row r="41" spans="1:8" x14ac:dyDescent="0.25">
      <c r="A41" s="26" t="s">
        <v>36</v>
      </c>
      <c r="B41" s="14" t="s">
        <v>37</v>
      </c>
      <c r="C41" s="19">
        <v>0.08</v>
      </c>
      <c r="D41" s="16">
        <f>C41*($D$19+$D$27)</f>
        <v>326.50260125600005</v>
      </c>
      <c r="E41" s="19">
        <v>0.08</v>
      </c>
      <c r="F41" s="203">
        <f t="shared" si="2"/>
        <v>359.15286138160008</v>
      </c>
      <c r="G41" s="19">
        <v>0.08</v>
      </c>
      <c r="H41" s="16">
        <f t="shared" si="3"/>
        <v>359.15286138160008</v>
      </c>
    </row>
    <row r="42" spans="1:8" x14ac:dyDescent="0.25">
      <c r="A42" s="451" t="s">
        <v>17</v>
      </c>
      <c r="B42" s="452"/>
      <c r="C42" s="117">
        <f t="shared" ref="C42:H42" si="4">SUM(C34:C41)</f>
        <v>0.1719</v>
      </c>
      <c r="D42" s="115">
        <f t="shared" si="4"/>
        <v>701.57246444883003</v>
      </c>
      <c r="E42" s="288">
        <f t="shared" si="4"/>
        <v>0.15300000000000002</v>
      </c>
      <c r="F42" s="204">
        <f t="shared" si="4"/>
        <v>686.87984739231001</v>
      </c>
      <c r="G42" s="21">
        <f t="shared" si="4"/>
        <v>0.15300000000000002</v>
      </c>
      <c r="H42" s="18">
        <f t="shared" si="4"/>
        <v>686.87984739231001</v>
      </c>
    </row>
    <row r="43" spans="1:8" x14ac:dyDescent="0.25">
      <c r="A43" s="432" t="s">
        <v>104</v>
      </c>
      <c r="B43" s="432"/>
      <c r="C43" s="432"/>
      <c r="D43" s="432"/>
      <c r="E43" s="322"/>
    </row>
    <row r="44" spans="1:8" x14ac:dyDescent="0.25">
      <c r="A44" s="432" t="s">
        <v>102</v>
      </c>
      <c r="B44" s="432"/>
      <c r="C44" s="432"/>
      <c r="D44" s="432"/>
      <c r="E44" s="322"/>
    </row>
    <row r="45" spans="1:8" x14ac:dyDescent="0.25">
      <c r="A45" s="432" t="s">
        <v>103</v>
      </c>
      <c r="B45" s="432"/>
      <c r="C45" s="432"/>
      <c r="D45" s="432"/>
      <c r="E45" s="322"/>
    </row>
    <row r="46" spans="1:8" x14ac:dyDescent="0.25">
      <c r="A46" s="432" t="s">
        <v>108</v>
      </c>
      <c r="B46" s="432"/>
      <c r="C46" s="432"/>
      <c r="D46" s="432"/>
      <c r="E46" s="322"/>
    </row>
    <row r="47" spans="1:8" x14ac:dyDescent="0.25">
      <c r="A47" s="432" t="s">
        <v>113</v>
      </c>
      <c r="B47" s="432"/>
      <c r="C47" s="432"/>
      <c r="D47" s="432"/>
      <c r="E47" s="322"/>
    </row>
    <row r="49" spans="1:8" x14ac:dyDescent="0.25">
      <c r="A49" s="434" t="s">
        <v>38</v>
      </c>
      <c r="B49" s="434"/>
      <c r="C49" s="434"/>
      <c r="D49" s="434"/>
      <c r="E49" s="301"/>
    </row>
    <row r="50" spans="1:8" x14ac:dyDescent="0.25">
      <c r="A50" s="304" t="s">
        <v>39</v>
      </c>
      <c r="B50" s="304" t="s">
        <v>40</v>
      </c>
      <c r="C50" s="304" t="s">
        <v>89</v>
      </c>
      <c r="D50" s="304" t="s">
        <v>5</v>
      </c>
      <c r="E50" s="242"/>
      <c r="F50" s="304" t="s">
        <v>5</v>
      </c>
      <c r="H50" s="304" t="s">
        <v>5</v>
      </c>
    </row>
    <row r="51" spans="1:8" x14ac:dyDescent="0.25">
      <c r="A51" s="26" t="s">
        <v>6</v>
      </c>
      <c r="B51" s="14" t="s">
        <v>135</v>
      </c>
      <c r="C51" s="325">
        <v>22</v>
      </c>
      <c r="D51" s="16">
        <f>(18.6*C51)-0.06*D13</f>
        <v>253.79460000000003</v>
      </c>
      <c r="E51" s="245"/>
      <c r="F51" s="203">
        <f>(18.6*$C51)-0.06*F$13</f>
        <v>238.25406000000001</v>
      </c>
      <c r="H51" s="16">
        <f>(18.6*$C51)-0.06*H$13</f>
        <v>238.25406000000001</v>
      </c>
    </row>
    <row r="52" spans="1:8" x14ac:dyDescent="0.25">
      <c r="A52" s="26" t="s">
        <v>8</v>
      </c>
      <c r="B52" s="14" t="s">
        <v>456</v>
      </c>
      <c r="C52" s="325">
        <v>22</v>
      </c>
      <c r="D52" s="16">
        <f>35*C52</f>
        <v>770</v>
      </c>
      <c r="E52" s="245"/>
      <c r="F52" s="203">
        <f>38*$C52</f>
        <v>836</v>
      </c>
      <c r="H52" s="16">
        <f>38*$C52</f>
        <v>836</v>
      </c>
    </row>
    <row r="53" spans="1:8" x14ac:dyDescent="0.25">
      <c r="A53" s="26" t="s">
        <v>9</v>
      </c>
      <c r="B53" s="14" t="s">
        <v>42</v>
      </c>
      <c r="C53" s="325"/>
      <c r="D53" s="16">
        <v>160.07</v>
      </c>
      <c r="E53" s="245"/>
      <c r="F53" s="203">
        <v>169.67</v>
      </c>
      <c r="H53" s="16">
        <v>169.67</v>
      </c>
    </row>
    <row r="54" spans="1:8" x14ac:dyDescent="0.25">
      <c r="A54" s="26" t="s">
        <v>11</v>
      </c>
      <c r="B54" s="14" t="s">
        <v>90</v>
      </c>
      <c r="C54" s="325"/>
      <c r="D54" s="16">
        <v>10.63</v>
      </c>
      <c r="E54" s="245"/>
      <c r="F54" s="203">
        <v>11.27</v>
      </c>
      <c r="H54" s="16">
        <v>11.27</v>
      </c>
    </row>
    <row r="55" spans="1:8" x14ac:dyDescent="0.25">
      <c r="A55" s="26" t="s">
        <v>13</v>
      </c>
      <c r="B55" s="14" t="s">
        <v>453</v>
      </c>
      <c r="C55" s="325"/>
      <c r="D55" s="16">
        <v>2.2999999999999998</v>
      </c>
      <c r="E55" s="245"/>
      <c r="F55" s="203">
        <v>2.5</v>
      </c>
      <c r="H55" s="16">
        <v>2.5</v>
      </c>
    </row>
    <row r="56" spans="1:8" x14ac:dyDescent="0.25">
      <c r="A56" s="453" t="s">
        <v>17</v>
      </c>
      <c r="B56" s="453"/>
      <c r="C56" s="453"/>
      <c r="D56" s="115">
        <f>SUM(D51:D55)</f>
        <v>1196.7946000000002</v>
      </c>
      <c r="E56" s="246"/>
      <c r="F56" s="206">
        <f>SUM(F51:F55)</f>
        <v>1257.69406</v>
      </c>
      <c r="H56" s="25">
        <f>SUM(H51:H55)</f>
        <v>1257.69406</v>
      </c>
    </row>
    <row r="57" spans="1:8" x14ac:dyDescent="0.25">
      <c r="A57" s="432" t="s">
        <v>45</v>
      </c>
      <c r="B57" s="432"/>
      <c r="C57" s="432"/>
      <c r="D57" s="432"/>
      <c r="E57" s="322"/>
    </row>
    <row r="58" spans="1:8" x14ac:dyDescent="0.25">
      <c r="A58" s="432" t="s">
        <v>105</v>
      </c>
      <c r="B58" s="432"/>
      <c r="C58" s="432"/>
      <c r="D58" s="432"/>
      <c r="E58" s="322"/>
    </row>
    <row r="60" spans="1:8" x14ac:dyDescent="0.25">
      <c r="A60" s="415" t="s">
        <v>43</v>
      </c>
      <c r="B60" s="415"/>
      <c r="C60" s="415"/>
      <c r="D60" s="415"/>
      <c r="E60" s="231"/>
    </row>
    <row r="61" spans="1:8" x14ac:dyDescent="0.25">
      <c r="A61" s="303">
        <v>2</v>
      </c>
      <c r="B61" s="430" t="s">
        <v>44</v>
      </c>
      <c r="C61" s="430"/>
      <c r="D61" s="303" t="s">
        <v>5</v>
      </c>
      <c r="E61" s="242"/>
      <c r="F61" s="303" t="s">
        <v>5</v>
      </c>
      <c r="H61" s="303" t="s">
        <v>5</v>
      </c>
    </row>
    <row r="62" spans="1:8" x14ac:dyDescent="0.25">
      <c r="A62" s="26" t="s">
        <v>20</v>
      </c>
      <c r="B62" s="438" t="s">
        <v>21</v>
      </c>
      <c r="C62" s="438"/>
      <c r="D62" s="16">
        <f>D27</f>
        <v>714.16551570000001</v>
      </c>
      <c r="E62" s="245"/>
      <c r="F62" s="203">
        <f>F27</f>
        <v>785.58206727000015</v>
      </c>
      <c r="H62" s="16">
        <f>H27</f>
        <v>785.58206727000015</v>
      </c>
    </row>
    <row r="63" spans="1:8" x14ac:dyDescent="0.25">
      <c r="A63" s="26" t="s">
        <v>26</v>
      </c>
      <c r="B63" s="414" t="s">
        <v>27</v>
      </c>
      <c r="C63" s="414"/>
      <c r="D63" s="16">
        <f>D42</f>
        <v>701.57246444883003</v>
      </c>
      <c r="E63" s="245"/>
      <c r="F63" s="203">
        <f>F42</f>
        <v>686.87984739231001</v>
      </c>
      <c r="H63" s="16">
        <f>H42</f>
        <v>686.87984739231001</v>
      </c>
    </row>
    <row r="64" spans="1:8" x14ac:dyDescent="0.25">
      <c r="A64" s="26" t="s">
        <v>39</v>
      </c>
      <c r="B64" s="414" t="s">
        <v>40</v>
      </c>
      <c r="C64" s="414"/>
      <c r="D64" s="16">
        <f>D56</f>
        <v>1196.7946000000002</v>
      </c>
      <c r="E64" s="245"/>
      <c r="F64" s="203">
        <f>F56</f>
        <v>1257.69406</v>
      </c>
      <c r="H64" s="16">
        <f>H56</f>
        <v>1257.69406</v>
      </c>
    </row>
    <row r="65" spans="1:8" x14ac:dyDescent="0.25">
      <c r="A65" s="435" t="s">
        <v>17</v>
      </c>
      <c r="B65" s="449"/>
      <c r="C65" s="436"/>
      <c r="D65" s="18">
        <f>SUM(D62:D64)</f>
        <v>2612.5325801488302</v>
      </c>
      <c r="E65" s="246"/>
      <c r="F65" s="204">
        <f>SUM(F62:F64)</f>
        <v>2730.1559746623102</v>
      </c>
      <c r="H65" s="18">
        <f>SUM(H62:H64)</f>
        <v>2730.1559746623102</v>
      </c>
    </row>
    <row r="67" spans="1:8" x14ac:dyDescent="0.25">
      <c r="A67" s="415" t="s">
        <v>76</v>
      </c>
      <c r="B67" s="415"/>
      <c r="C67" s="415"/>
      <c r="D67" s="415"/>
      <c r="E67" s="231"/>
    </row>
    <row r="68" spans="1:8" x14ac:dyDescent="0.25">
      <c r="A68" s="303">
        <v>3</v>
      </c>
      <c r="B68" s="303" t="s">
        <v>46</v>
      </c>
      <c r="C68" s="303" t="s">
        <v>28</v>
      </c>
      <c r="D68" s="303" t="s">
        <v>5</v>
      </c>
      <c r="E68" s="303" t="s">
        <v>28</v>
      </c>
      <c r="F68" s="232" t="s">
        <v>5</v>
      </c>
      <c r="G68" s="232" t="s">
        <v>28</v>
      </c>
      <c r="H68" s="232" t="s">
        <v>5</v>
      </c>
    </row>
    <row r="69" spans="1:8" x14ac:dyDescent="0.25">
      <c r="A69" s="26" t="s">
        <v>6</v>
      </c>
      <c r="B69" s="306" t="s">
        <v>47</v>
      </c>
      <c r="C69" s="19">
        <v>4.1999999999999997E-3</v>
      </c>
      <c r="D69" s="16">
        <f t="shared" ref="D69:D74" si="5">C69*($D$19+$D$27)</f>
        <v>17.14138656594</v>
      </c>
      <c r="E69" s="19">
        <v>4.1999999999999997E-3</v>
      </c>
      <c r="F69" s="257">
        <f t="shared" ref="F69:F75" si="6">$E69*(F$19+F$27)</f>
        <v>18.855525222534002</v>
      </c>
      <c r="G69" s="19">
        <v>4.1999999999999997E-3</v>
      </c>
      <c r="H69" s="9">
        <f t="shared" ref="H69:H75" si="7">$G69*(H$19+H$27)</f>
        <v>18.855525222534002</v>
      </c>
    </row>
    <row r="70" spans="1:8" x14ac:dyDescent="0.25">
      <c r="A70" s="26" t="s">
        <v>8</v>
      </c>
      <c r="B70" s="306" t="s">
        <v>48</v>
      </c>
      <c r="C70" s="19">
        <v>2.9999999999999997E-4</v>
      </c>
      <c r="D70" s="16">
        <f t="shared" si="5"/>
        <v>1.22438475471</v>
      </c>
      <c r="E70" s="19">
        <v>2.9999999999999997E-4</v>
      </c>
      <c r="F70" s="257">
        <f t="shared" si="6"/>
        <v>1.3468232301810001</v>
      </c>
      <c r="G70" s="19">
        <v>2.9999999999999997E-4</v>
      </c>
      <c r="H70" s="9">
        <f t="shared" si="7"/>
        <v>1.3468232301810001</v>
      </c>
    </row>
    <row r="71" spans="1:8" ht="25.5" x14ac:dyDescent="0.25">
      <c r="A71" s="26" t="s">
        <v>9</v>
      </c>
      <c r="B71" s="306" t="s">
        <v>49</v>
      </c>
      <c r="C71" s="27">
        <v>9.9999999999999995E-7</v>
      </c>
      <c r="D71" s="16">
        <f t="shared" si="5"/>
        <v>4.0812825157000004E-3</v>
      </c>
      <c r="E71" s="27">
        <v>9.9999999999999995E-7</v>
      </c>
      <c r="F71" s="260">
        <f t="shared" si="6"/>
        <v>4.4894107672700011E-3</v>
      </c>
      <c r="G71" s="27">
        <v>9.9999999999999995E-7</v>
      </c>
      <c r="H71" s="258">
        <f t="shared" si="7"/>
        <v>4.4894107672700011E-3</v>
      </c>
    </row>
    <row r="72" spans="1:8" x14ac:dyDescent="0.25">
      <c r="A72" s="26" t="s">
        <v>11</v>
      </c>
      <c r="B72" s="306" t="s">
        <v>50</v>
      </c>
      <c r="C72" s="28">
        <v>1.9400000000000001E-2</v>
      </c>
      <c r="D72" s="326">
        <f>C72*($D$19+$D$27)</f>
        <v>79.176880804580009</v>
      </c>
      <c r="E72" s="28">
        <v>1.9400000000000001E-2</v>
      </c>
      <c r="F72" s="260">
        <f t="shared" si="6"/>
        <v>87.094568885038029</v>
      </c>
      <c r="G72" s="347">
        <v>1.9400000000000001E-3</v>
      </c>
      <c r="H72" s="260">
        <f t="shared" si="7"/>
        <v>8.7094568885038033</v>
      </c>
    </row>
    <row r="73" spans="1:8" ht="25.5" x14ac:dyDescent="0.25">
      <c r="A73" s="26" t="s">
        <v>13</v>
      </c>
      <c r="B73" s="306" t="s">
        <v>51</v>
      </c>
      <c r="C73" s="19">
        <v>7.1000000000000004E-3</v>
      </c>
      <c r="D73" s="16">
        <f>C73*($D$19+$D$27)</f>
        <v>28.977105861470005</v>
      </c>
      <c r="E73" s="19">
        <v>7.1000000000000004E-3</v>
      </c>
      <c r="F73" s="257">
        <f t="shared" si="6"/>
        <v>31.874816447617011</v>
      </c>
      <c r="G73" s="19">
        <v>7.1000000000000004E-3</v>
      </c>
      <c r="H73" s="258">
        <f t="shared" si="7"/>
        <v>31.874816447617011</v>
      </c>
    </row>
    <row r="74" spans="1:8" ht="25.5" x14ac:dyDescent="0.25">
      <c r="A74" s="26" t="s">
        <v>15</v>
      </c>
      <c r="B74" s="306" t="s">
        <v>52</v>
      </c>
      <c r="C74" s="19">
        <v>1E-4</v>
      </c>
      <c r="D74" s="16">
        <f t="shared" si="5"/>
        <v>0.40812825157000004</v>
      </c>
      <c r="E74" s="19">
        <v>1E-4</v>
      </c>
      <c r="F74" s="257">
        <f t="shared" si="6"/>
        <v>0.44894107672700012</v>
      </c>
      <c r="G74" s="19">
        <v>1E-4</v>
      </c>
      <c r="H74" s="258">
        <f t="shared" si="7"/>
        <v>0.44894107672700012</v>
      </c>
    </row>
    <row r="75" spans="1:8" x14ac:dyDescent="0.25">
      <c r="A75" s="30" t="s">
        <v>34</v>
      </c>
      <c r="B75" s="31" t="s">
        <v>128</v>
      </c>
      <c r="C75" s="19">
        <v>3.49E-2</v>
      </c>
      <c r="D75" s="16">
        <f>C75*($D$19+$D$27)</f>
        <v>142.43675979793002</v>
      </c>
      <c r="E75" s="19">
        <v>3.49E-2</v>
      </c>
      <c r="F75" s="257">
        <f t="shared" si="6"/>
        <v>156.68043577772303</v>
      </c>
      <c r="G75" s="348">
        <v>3.49E-2</v>
      </c>
      <c r="H75" s="258">
        <f t="shared" si="7"/>
        <v>156.68043577772303</v>
      </c>
    </row>
    <row r="76" spans="1:8" x14ac:dyDescent="0.25">
      <c r="A76" s="435" t="s">
        <v>17</v>
      </c>
      <c r="B76" s="436"/>
      <c r="C76" s="17">
        <f t="shared" ref="C76:H76" si="8">SUM(C69:C75)</f>
        <v>6.6001000000000004E-2</v>
      </c>
      <c r="D76" s="18">
        <f t="shared" si="8"/>
        <v>269.36872731871574</v>
      </c>
      <c r="E76" s="349">
        <f t="shared" si="8"/>
        <v>6.6001000000000004E-2</v>
      </c>
      <c r="F76" s="202">
        <f t="shared" si="8"/>
        <v>296.30560005058737</v>
      </c>
      <c r="G76" s="350">
        <f>SUM(G69:G75)</f>
        <v>4.8541000000000001E-2</v>
      </c>
      <c r="H76" s="202">
        <f t="shared" si="8"/>
        <v>217.92048805405312</v>
      </c>
    </row>
    <row r="77" spans="1:8" x14ac:dyDescent="0.25">
      <c r="A77" s="432" t="s">
        <v>106</v>
      </c>
      <c r="B77" s="432"/>
      <c r="C77" s="432"/>
      <c r="D77" s="432"/>
      <c r="E77" s="322"/>
    </row>
    <row r="78" spans="1:8" x14ac:dyDescent="0.25">
      <c r="A78" s="432" t="s">
        <v>114</v>
      </c>
      <c r="B78" s="432"/>
      <c r="C78" s="432"/>
      <c r="D78" s="432"/>
      <c r="E78" s="322"/>
    </row>
    <row r="80" spans="1:8" x14ac:dyDescent="0.25">
      <c r="A80" s="415" t="s">
        <v>53</v>
      </c>
      <c r="B80" s="415"/>
      <c r="C80" s="415"/>
      <c r="D80" s="415"/>
      <c r="E80" s="231"/>
    </row>
    <row r="81" spans="1:8" x14ac:dyDescent="0.25">
      <c r="A81" s="438" t="s">
        <v>107</v>
      </c>
      <c r="B81" s="438"/>
      <c r="C81" s="438"/>
      <c r="D81" s="438"/>
      <c r="E81" s="322"/>
    </row>
    <row r="83" spans="1:8" x14ac:dyDescent="0.25">
      <c r="A83" s="434" t="s">
        <v>109</v>
      </c>
      <c r="B83" s="434"/>
      <c r="C83" s="434"/>
      <c r="D83" s="434"/>
      <c r="E83" s="301"/>
    </row>
    <row r="84" spans="1:8" x14ac:dyDescent="0.25">
      <c r="A84" s="304" t="s">
        <v>54</v>
      </c>
      <c r="B84" s="304" t="s">
        <v>55</v>
      </c>
      <c r="C84" s="304" t="s">
        <v>28</v>
      </c>
      <c r="D84" s="304" t="s">
        <v>5</v>
      </c>
      <c r="E84" s="304" t="s">
        <v>28</v>
      </c>
      <c r="F84" s="304" t="s">
        <v>5</v>
      </c>
      <c r="G84" s="304" t="s">
        <v>28</v>
      </c>
      <c r="H84" s="304" t="s">
        <v>5</v>
      </c>
    </row>
    <row r="85" spans="1:8" x14ac:dyDescent="0.25">
      <c r="A85" s="26" t="s">
        <v>6</v>
      </c>
      <c r="B85" s="306" t="s">
        <v>56</v>
      </c>
      <c r="C85" s="19">
        <v>7.6E-3</v>
      </c>
      <c r="D85" s="16">
        <f t="shared" ref="D85:D90" si="9">C85*($D$19+$D$27)</f>
        <v>31.017747119320003</v>
      </c>
      <c r="E85" s="19">
        <v>7.6E-3</v>
      </c>
      <c r="F85" s="203">
        <f>E85*(F$19+F$27)</f>
        <v>34.119521831252008</v>
      </c>
      <c r="G85" s="19">
        <v>7.6E-3</v>
      </c>
      <c r="H85" s="16">
        <f t="shared" ref="H85:H90" si="10">$G85*(H$19+H$27)</f>
        <v>34.119521831252008</v>
      </c>
    </row>
    <row r="86" spans="1:8" x14ac:dyDescent="0.25">
      <c r="A86" s="26" t="s">
        <v>8</v>
      </c>
      <c r="B86" s="306" t="s">
        <v>57</v>
      </c>
      <c r="C86" s="19">
        <v>8.2000000000000007E-3</v>
      </c>
      <c r="D86" s="16">
        <f t="shared" si="9"/>
        <v>33.466516628740003</v>
      </c>
      <c r="E86" s="19">
        <v>8.2000000000000007E-3</v>
      </c>
      <c r="F86" s="203">
        <f t="shared" ref="F86:F90" si="11">E86*(F$19+F$27)</f>
        <v>36.813168291614012</v>
      </c>
      <c r="G86" s="19">
        <v>8.2000000000000007E-3</v>
      </c>
      <c r="H86" s="16">
        <f t="shared" si="10"/>
        <v>36.813168291614012</v>
      </c>
    </row>
    <row r="87" spans="1:8" x14ac:dyDescent="0.25">
      <c r="A87" s="26" t="s">
        <v>9</v>
      </c>
      <c r="B87" s="306" t="s">
        <v>58</v>
      </c>
      <c r="C87" s="19">
        <v>2.0000000000000001E-4</v>
      </c>
      <c r="D87" s="16">
        <f t="shared" si="9"/>
        <v>0.81625650314000009</v>
      </c>
      <c r="E87" s="19">
        <v>2.0000000000000001E-4</v>
      </c>
      <c r="F87" s="203">
        <f t="shared" si="11"/>
        <v>0.89788215345400024</v>
      </c>
      <c r="G87" s="19">
        <v>2.0000000000000001E-4</v>
      </c>
      <c r="H87" s="16">
        <f t="shared" si="10"/>
        <v>0.89788215345400024</v>
      </c>
    </row>
    <row r="88" spans="1:8" ht="25.5" x14ac:dyDescent="0.25">
      <c r="A88" s="26" t="s">
        <v>11</v>
      </c>
      <c r="B88" s="306" t="s">
        <v>59</v>
      </c>
      <c r="C88" s="19">
        <v>2.9999999999999997E-4</v>
      </c>
      <c r="D88" s="16">
        <f t="shared" si="9"/>
        <v>1.22438475471</v>
      </c>
      <c r="E88" s="19">
        <v>2.9999999999999997E-4</v>
      </c>
      <c r="F88" s="203">
        <f t="shared" si="11"/>
        <v>1.3468232301810001</v>
      </c>
      <c r="G88" s="19">
        <v>2.9999999999999997E-4</v>
      </c>
      <c r="H88" s="16">
        <f t="shared" si="10"/>
        <v>1.3468232301810001</v>
      </c>
    </row>
    <row r="89" spans="1:8" x14ac:dyDescent="0.25">
      <c r="A89" s="26" t="s">
        <v>13</v>
      </c>
      <c r="B89" s="306" t="s">
        <v>60</v>
      </c>
      <c r="C89" s="19">
        <v>2.8999999999999998E-3</v>
      </c>
      <c r="D89" s="16">
        <f t="shared" si="9"/>
        <v>11.83571929553</v>
      </c>
      <c r="E89" s="19">
        <v>2.8999999999999998E-3</v>
      </c>
      <c r="F89" s="203">
        <f t="shared" si="11"/>
        <v>13.019291225083002</v>
      </c>
      <c r="G89" s="19">
        <v>2.8999999999999998E-3</v>
      </c>
      <c r="H89" s="16">
        <f t="shared" si="10"/>
        <v>13.019291225083002</v>
      </c>
    </row>
    <row r="90" spans="1:8" ht="25.5" x14ac:dyDescent="0.25">
      <c r="A90" s="26" t="s">
        <v>15</v>
      </c>
      <c r="B90" s="306" t="s">
        <v>134</v>
      </c>
      <c r="C90" s="19">
        <v>1.66E-2</v>
      </c>
      <c r="D90" s="16">
        <f t="shared" si="9"/>
        <v>67.749289760620002</v>
      </c>
      <c r="E90" s="19">
        <v>1.66E-2</v>
      </c>
      <c r="F90" s="203">
        <f t="shared" si="11"/>
        <v>74.524218736682016</v>
      </c>
      <c r="G90" s="19">
        <v>1.66E-2</v>
      </c>
      <c r="H90" s="16">
        <f t="shared" si="10"/>
        <v>74.524218736682016</v>
      </c>
    </row>
    <row r="91" spans="1:8" x14ac:dyDescent="0.25">
      <c r="A91" s="435" t="s">
        <v>17</v>
      </c>
      <c r="B91" s="436"/>
      <c r="C91" s="17">
        <f t="shared" ref="C91:H91" si="12">SUM(C85:C90)</f>
        <v>3.5799999999999998E-2</v>
      </c>
      <c r="D91" s="18">
        <f t="shared" si="12"/>
        <v>146.10991406206</v>
      </c>
      <c r="E91" s="17">
        <f t="shared" si="12"/>
        <v>3.5799999999999998E-2</v>
      </c>
      <c r="F91" s="207">
        <f t="shared" si="12"/>
        <v>160.72090546826604</v>
      </c>
      <c r="G91" s="17">
        <f t="shared" si="12"/>
        <v>3.5799999999999998E-2</v>
      </c>
      <c r="H91" s="137">
        <f t="shared" si="12"/>
        <v>160.72090546826604</v>
      </c>
    </row>
    <row r="92" spans="1:8" x14ac:dyDescent="0.25">
      <c r="A92" s="432" t="s">
        <v>115</v>
      </c>
      <c r="B92" s="432"/>
      <c r="C92" s="432"/>
      <c r="D92" s="432"/>
      <c r="E92" s="322"/>
    </row>
    <row r="94" spans="1:8" x14ac:dyDescent="0.25">
      <c r="A94" s="437" t="s">
        <v>110</v>
      </c>
      <c r="B94" s="437"/>
      <c r="C94" s="437"/>
      <c r="D94" s="437"/>
      <c r="E94" s="242"/>
    </row>
    <row r="95" spans="1:8" x14ac:dyDescent="0.25">
      <c r="A95" s="304" t="s">
        <v>61</v>
      </c>
      <c r="B95" s="304" t="s">
        <v>62</v>
      </c>
      <c r="C95" s="304" t="s">
        <v>5</v>
      </c>
      <c r="D95" s="304"/>
      <c r="E95" s="242"/>
      <c r="F95" s="242"/>
      <c r="G95" s="327"/>
      <c r="H95" s="242"/>
    </row>
    <row r="96" spans="1:8" ht="25.5" x14ac:dyDescent="0.25">
      <c r="A96" s="26" t="s">
        <v>6</v>
      </c>
      <c r="B96" s="306" t="s">
        <v>63</v>
      </c>
      <c r="C96" s="32"/>
      <c r="D96" s="328"/>
      <c r="E96" s="327"/>
      <c r="F96" s="327"/>
      <c r="G96" s="327"/>
      <c r="H96" s="327"/>
    </row>
    <row r="97" spans="1:8" x14ac:dyDescent="0.25">
      <c r="A97" s="444" t="s">
        <v>17</v>
      </c>
      <c r="B97" s="446"/>
      <c r="C97" s="16">
        <f>SUM(C96)</f>
        <v>0</v>
      </c>
      <c r="D97" s="328"/>
      <c r="E97" s="327"/>
      <c r="F97" s="327"/>
      <c r="G97" s="327"/>
      <c r="H97" s="327"/>
    </row>
    <row r="99" spans="1:8" x14ac:dyDescent="0.25">
      <c r="A99" s="415" t="s">
        <v>111</v>
      </c>
      <c r="B99" s="415"/>
      <c r="C99" s="415"/>
      <c r="D99" s="415"/>
      <c r="E99" s="231"/>
    </row>
    <row r="100" spans="1:8" x14ac:dyDescent="0.25">
      <c r="A100" s="303">
        <v>4</v>
      </c>
      <c r="B100" s="430" t="s">
        <v>64</v>
      </c>
      <c r="C100" s="430"/>
      <c r="D100" s="303" t="s">
        <v>5</v>
      </c>
      <c r="E100" s="242"/>
      <c r="F100" s="303" t="s">
        <v>5</v>
      </c>
      <c r="H100" s="303" t="s">
        <v>5</v>
      </c>
    </row>
    <row r="101" spans="1:8" x14ac:dyDescent="0.25">
      <c r="A101" s="26" t="s">
        <v>54</v>
      </c>
      <c r="B101" s="414" t="s">
        <v>55</v>
      </c>
      <c r="C101" s="414"/>
      <c r="D101" s="16">
        <f>D91</f>
        <v>146.10991406206</v>
      </c>
      <c r="E101" s="245"/>
      <c r="F101" s="16">
        <f>F91</f>
        <v>160.72090546826604</v>
      </c>
      <c r="H101" s="16">
        <f>H91</f>
        <v>160.72090546826604</v>
      </c>
    </row>
    <row r="102" spans="1:8" x14ac:dyDescent="0.25">
      <c r="A102" s="26" t="s">
        <v>61</v>
      </c>
      <c r="B102" s="14" t="s">
        <v>65</v>
      </c>
      <c r="C102" s="14"/>
      <c r="D102" s="32">
        <f>C97</f>
        <v>0</v>
      </c>
      <c r="E102" s="245"/>
      <c r="F102" s="32">
        <f>D97</f>
        <v>0</v>
      </c>
      <c r="H102" s="32">
        <f>G97</f>
        <v>0</v>
      </c>
    </row>
    <row r="103" spans="1:8" x14ac:dyDescent="0.25">
      <c r="A103" s="430" t="s">
        <v>17</v>
      </c>
      <c r="B103" s="430"/>
      <c r="C103" s="430"/>
      <c r="D103" s="18">
        <f>SUM(D101:D102)</f>
        <v>146.10991406206</v>
      </c>
      <c r="E103" s="246"/>
      <c r="F103" s="18">
        <f>SUM(F101:F102)</f>
        <v>160.72090546826604</v>
      </c>
      <c r="H103" s="18">
        <f>SUM(H101:H102)</f>
        <v>160.72090546826604</v>
      </c>
    </row>
    <row r="104" spans="1:8" x14ac:dyDescent="0.25">
      <c r="E104" s="327"/>
    </row>
    <row r="105" spans="1:8" x14ac:dyDescent="0.25">
      <c r="A105" s="415" t="s">
        <v>66</v>
      </c>
      <c r="B105" s="415"/>
      <c r="C105" s="415"/>
      <c r="D105" s="415"/>
      <c r="E105" s="248"/>
    </row>
    <row r="106" spans="1:8" x14ac:dyDescent="0.25">
      <c r="A106" s="304">
        <v>5</v>
      </c>
      <c r="B106" s="437" t="s">
        <v>67</v>
      </c>
      <c r="C106" s="437"/>
      <c r="D106" s="304" t="s">
        <v>5</v>
      </c>
      <c r="E106" s="242"/>
      <c r="F106" s="304" t="s">
        <v>5</v>
      </c>
      <c r="H106" s="304" t="s">
        <v>5</v>
      </c>
    </row>
    <row r="107" spans="1:8" x14ac:dyDescent="0.25">
      <c r="A107" s="26" t="s">
        <v>6</v>
      </c>
      <c r="B107" s="414" t="s">
        <v>68</v>
      </c>
      <c r="C107" s="414"/>
      <c r="D107" s="107">
        <f>'TABELA 4 Uniformes e EPIS'!$E29</f>
        <v>61.65</v>
      </c>
      <c r="E107" s="249"/>
      <c r="F107" s="107">
        <f>'TABELA 4 Uniformes e EPIS'!$E29</f>
        <v>61.65</v>
      </c>
      <c r="H107" s="107">
        <f>'TABELA 4 Uniformes e EPIS'!$E29</f>
        <v>61.65</v>
      </c>
    </row>
    <row r="108" spans="1:8" x14ac:dyDescent="0.25">
      <c r="A108" s="26" t="s">
        <v>8</v>
      </c>
      <c r="B108" s="414" t="s">
        <v>405</v>
      </c>
      <c r="C108" s="414"/>
      <c r="D108" s="107">
        <f>'TABELA 4 Uniformes e EPIS'!$E48+'TABELA 4 Uniformes e EPIS'!$E57+'TABELA 5 - Ferramentas'!$I145</f>
        <v>80.072137681159404</v>
      </c>
      <c r="E108" s="249"/>
      <c r="F108" s="107">
        <f>'TABELA 4 Uniformes e EPIS'!$E48+'TABELA 4 Uniformes e EPIS'!$E57+'TABELA 5 - Ferramentas'!$I145</f>
        <v>80.072137681159404</v>
      </c>
      <c r="H108" s="107">
        <f>'TABELA 4 Uniformes e EPIS'!$E48+'TABELA 4 Uniformes e EPIS'!$E57+'TABELA 5 - Ferramentas'!$I145</f>
        <v>80.072137681159404</v>
      </c>
    </row>
    <row r="109" spans="1:8" x14ac:dyDescent="0.25">
      <c r="A109" s="26" t="s">
        <v>9</v>
      </c>
      <c r="B109" s="414" t="s">
        <v>69</v>
      </c>
      <c r="C109" s="414"/>
      <c r="D109" s="16">
        <v>0</v>
      </c>
      <c r="E109" s="245"/>
      <c r="F109" s="16">
        <v>0</v>
      </c>
      <c r="H109" s="16">
        <v>0</v>
      </c>
    </row>
    <row r="110" spans="1:8" x14ac:dyDescent="0.25">
      <c r="A110" s="26" t="s">
        <v>11</v>
      </c>
      <c r="B110" s="447" t="s">
        <v>16</v>
      </c>
      <c r="C110" s="448"/>
      <c r="D110" s="16">
        <v>0</v>
      </c>
      <c r="E110" s="245"/>
      <c r="F110" s="16">
        <v>0</v>
      </c>
      <c r="H110" s="16">
        <v>0</v>
      </c>
    </row>
    <row r="111" spans="1:8" x14ac:dyDescent="0.25">
      <c r="A111" s="430" t="s">
        <v>17</v>
      </c>
      <c r="B111" s="430"/>
      <c r="C111" s="430"/>
      <c r="D111" s="18">
        <f>SUM(D107:D110)</f>
        <v>141.72213768115941</v>
      </c>
      <c r="E111" s="250"/>
      <c r="F111" s="18">
        <f>SUM(F107:F110)</f>
        <v>141.72213768115941</v>
      </c>
      <c r="H111" s="18">
        <f>SUM(H107:H110)</f>
        <v>141.72213768115941</v>
      </c>
    </row>
    <row r="112" spans="1:8" x14ac:dyDescent="0.25">
      <c r="A112" s="432" t="s">
        <v>78</v>
      </c>
      <c r="B112" s="432"/>
      <c r="C112" s="432"/>
      <c r="D112" s="432"/>
      <c r="E112" s="322"/>
    </row>
    <row r="114" spans="1:8" x14ac:dyDescent="0.25">
      <c r="A114" s="415" t="s">
        <v>70</v>
      </c>
      <c r="B114" s="415"/>
      <c r="C114" s="415"/>
      <c r="D114" s="415"/>
      <c r="E114" s="231"/>
    </row>
    <row r="115" spans="1:8" x14ac:dyDescent="0.25">
      <c r="A115" s="443" t="s">
        <v>116</v>
      </c>
      <c r="B115" s="443"/>
      <c r="C115" s="439" t="s">
        <v>117</v>
      </c>
      <c r="D115" s="439"/>
      <c r="E115" s="440" t="s">
        <v>117</v>
      </c>
      <c r="F115" s="441"/>
      <c r="G115" s="439" t="s">
        <v>117</v>
      </c>
      <c r="H115" s="439"/>
    </row>
    <row r="116" spans="1:8" x14ac:dyDescent="0.25">
      <c r="A116" s="303">
        <v>6</v>
      </c>
      <c r="B116" s="303" t="s">
        <v>71</v>
      </c>
      <c r="C116" s="303" t="s">
        <v>28</v>
      </c>
      <c r="D116" s="303" t="s">
        <v>5</v>
      </c>
      <c r="E116" s="303" t="s">
        <v>28</v>
      </c>
      <c r="F116" s="303" t="s">
        <v>5</v>
      </c>
      <c r="G116" s="303" t="s">
        <v>28</v>
      </c>
      <c r="H116" s="303" t="s">
        <v>5</v>
      </c>
    </row>
    <row r="117" spans="1:8" x14ac:dyDescent="0.25">
      <c r="A117" s="26" t="s">
        <v>6</v>
      </c>
      <c r="B117" s="14" t="s">
        <v>72</v>
      </c>
      <c r="C117" s="19">
        <v>5.5E-2</v>
      </c>
      <c r="D117" s="16">
        <f>C117*D135</f>
        <v>359.52676975659216</v>
      </c>
      <c r="E117" s="19">
        <v>5.5E-2</v>
      </c>
      <c r="F117" s="203">
        <f>$E117*F$135</f>
        <v>386.80033248242785</v>
      </c>
      <c r="G117" s="19">
        <v>5.5E-2</v>
      </c>
      <c r="H117" s="203">
        <f>$G117*H$135</f>
        <v>382.48915132261845</v>
      </c>
    </row>
    <row r="118" spans="1:8" x14ac:dyDescent="0.25">
      <c r="A118" s="26" t="s">
        <v>8</v>
      </c>
      <c r="B118" s="14" t="s">
        <v>73</v>
      </c>
      <c r="C118" s="19">
        <v>0.05</v>
      </c>
      <c r="D118" s="16">
        <f>C118*D135</f>
        <v>326.84251796053832</v>
      </c>
      <c r="E118" s="19">
        <v>0.05</v>
      </c>
      <c r="F118" s="203">
        <f>$E118*F$135</f>
        <v>351.63666589311629</v>
      </c>
      <c r="G118" s="19">
        <v>0.05</v>
      </c>
      <c r="H118" s="203">
        <f>$G118*H$135</f>
        <v>347.7174102932895</v>
      </c>
    </row>
    <row r="119" spans="1:8" x14ac:dyDescent="0.25">
      <c r="A119" s="26" t="s">
        <v>9</v>
      </c>
      <c r="B119" s="14" t="s">
        <v>125</v>
      </c>
      <c r="C119" s="34">
        <f>SUM(C120:C122)</f>
        <v>5.6499999999999995E-2</v>
      </c>
      <c r="D119" s="16">
        <f>(D135+D118+D117)*(C119/IF(C115="Lucro presumido",91.45%,85.75%))</f>
        <v>446.26780760134079</v>
      </c>
      <c r="E119" s="34">
        <f>SUM(E120:E122)</f>
        <v>5.6499999999999995E-2</v>
      </c>
      <c r="F119" s="203">
        <f>(F$135+F$118+F$117)*($E119/IF($E115="Lucro presumido",91.45%,85.75%))</f>
        <v>480.12151215685026</v>
      </c>
      <c r="G119" s="34">
        <f>SUM(G120:G122)</f>
        <v>5.6499999999999995E-2</v>
      </c>
      <c r="H119" s="203">
        <f>(H$135+H$118+H$117)*($G119/IF($G115="Lucro presumido",91.45%,85.75%))</f>
        <v>474.77019613200207</v>
      </c>
    </row>
    <row r="120" spans="1:8" x14ac:dyDescent="0.25">
      <c r="A120" s="26" t="s">
        <v>120</v>
      </c>
      <c r="B120" s="14" t="s">
        <v>119</v>
      </c>
      <c r="C120" s="34">
        <f>IF(C115="Lucro presumido",0.65%,1.65%)</f>
        <v>6.5000000000000006E-3</v>
      </c>
      <c r="D120" s="9" t="s">
        <v>118</v>
      </c>
      <c r="E120" s="34">
        <f>IF(E115="Lucro presumido",0.65%,1.65%)</f>
        <v>6.5000000000000006E-3</v>
      </c>
      <c r="F120" s="9" t="s">
        <v>118</v>
      </c>
      <c r="G120" s="34">
        <f>IF(G115="Lucro presumido",0.65%,1.65%)</f>
        <v>6.5000000000000006E-3</v>
      </c>
      <c r="H120" s="9" t="s">
        <v>118</v>
      </c>
    </row>
    <row r="121" spans="1:8" x14ac:dyDescent="0.25">
      <c r="A121" s="26" t="s">
        <v>122</v>
      </c>
      <c r="B121" s="14" t="s">
        <v>121</v>
      </c>
      <c r="C121" s="34">
        <f>IF(C115="Lucro presumido",3%,7.6%)</f>
        <v>0.03</v>
      </c>
      <c r="D121" s="9" t="s">
        <v>118</v>
      </c>
      <c r="E121" s="34">
        <f>IF(E115="Lucro presumido",3%,7.6%)</f>
        <v>0.03</v>
      </c>
      <c r="F121" s="9" t="s">
        <v>118</v>
      </c>
      <c r="G121" s="34">
        <f>IF(G115="Lucro presumido",3%,7.6%)</f>
        <v>0.03</v>
      </c>
      <c r="H121" s="9" t="s">
        <v>118</v>
      </c>
    </row>
    <row r="122" spans="1:8" x14ac:dyDescent="0.25">
      <c r="A122" s="26" t="s">
        <v>124</v>
      </c>
      <c r="B122" s="14" t="s">
        <v>123</v>
      </c>
      <c r="C122" s="34">
        <v>0.02</v>
      </c>
      <c r="D122" s="9" t="s">
        <v>118</v>
      </c>
      <c r="E122" s="34">
        <v>0.02</v>
      </c>
      <c r="F122" s="9" t="s">
        <v>118</v>
      </c>
      <c r="G122" s="34">
        <v>0.02</v>
      </c>
      <c r="H122" s="9" t="s">
        <v>118</v>
      </c>
    </row>
    <row r="123" spans="1:8" ht="25.5" x14ac:dyDescent="0.25">
      <c r="A123" s="26" t="s">
        <v>11</v>
      </c>
      <c r="B123" s="306" t="s">
        <v>127</v>
      </c>
      <c r="C123" s="36">
        <v>4.4999999999999998E-2</v>
      </c>
      <c r="D123" s="37">
        <f>(D135+D118+D117)*(C123/IF(C115="Lucro presumido",91.45%,85.75%))</f>
        <v>355.43453702761661</v>
      </c>
      <c r="E123" s="36">
        <v>4.4999999999999998E-2</v>
      </c>
      <c r="F123" s="208">
        <f>(F$135+F$118+F$117)*($E123/IF($E115="Lucro presumido",91.45%,85.75%))</f>
        <v>382.39766454970379</v>
      </c>
      <c r="G123" s="36">
        <v>4.4999999999999998E-2</v>
      </c>
      <c r="H123" s="208">
        <f>(H$135+H$118+H$117)*($G123/IF($G115="Lucro presumido",91.45%,85.75%))</f>
        <v>378.13555444141764</v>
      </c>
    </row>
    <row r="124" spans="1:8" x14ac:dyDescent="0.25">
      <c r="A124" s="430" t="s">
        <v>17</v>
      </c>
      <c r="B124" s="430"/>
      <c r="C124" s="21">
        <f>SUM(C117:C119)+(C123)</f>
        <v>0.20650000000000002</v>
      </c>
      <c r="D124" s="18">
        <f>SUM(D117:D123)</f>
        <v>1488.0716323460879</v>
      </c>
      <c r="E124" s="21">
        <f>SUM(E117:E119)+(E123)</f>
        <v>0.20650000000000002</v>
      </c>
      <c r="F124" s="207">
        <f>SUM(F117:F123)</f>
        <v>1600.9561750820981</v>
      </c>
      <c r="G124" s="21">
        <f>SUM(G117:G119)+(G123)</f>
        <v>0.20650000000000002</v>
      </c>
      <c r="H124" s="207">
        <f>SUM(H117:H123)</f>
        <v>1583.1123121893279</v>
      </c>
    </row>
    <row r="125" spans="1:8" x14ac:dyDescent="0.25">
      <c r="A125" s="432" t="s">
        <v>79</v>
      </c>
      <c r="B125" s="432"/>
      <c r="C125" s="432"/>
      <c r="D125" s="432"/>
      <c r="E125" s="322"/>
    </row>
    <row r="126" spans="1:8" x14ac:dyDescent="0.25">
      <c r="A126" s="432" t="s">
        <v>126</v>
      </c>
      <c r="B126" s="432"/>
      <c r="C126" s="432"/>
      <c r="D126" s="432"/>
      <c r="E126" s="322"/>
    </row>
    <row r="128" spans="1:8" x14ac:dyDescent="0.25">
      <c r="A128" s="415" t="s">
        <v>112</v>
      </c>
      <c r="B128" s="415"/>
      <c r="C128" s="415"/>
      <c r="D128" s="415"/>
      <c r="E128" s="231"/>
    </row>
    <row r="129" spans="1:8" x14ac:dyDescent="0.25">
      <c r="A129" s="444" t="s">
        <v>80</v>
      </c>
      <c r="B129" s="445"/>
      <c r="C129" s="446"/>
      <c r="D129" s="304" t="s">
        <v>74</v>
      </c>
      <c r="E129" s="242"/>
      <c r="F129" s="304" t="s">
        <v>74</v>
      </c>
      <c r="H129" s="304" t="s">
        <v>74</v>
      </c>
    </row>
    <row r="130" spans="1:8" x14ac:dyDescent="0.25">
      <c r="A130" s="26" t="s">
        <v>6</v>
      </c>
      <c r="B130" s="438" t="s">
        <v>75</v>
      </c>
      <c r="C130" s="438"/>
      <c r="D130" s="16">
        <f>D19</f>
        <v>3367.1170000000002</v>
      </c>
      <c r="E130" s="245"/>
      <c r="F130" s="203">
        <f>F19</f>
        <v>3703.8287000000009</v>
      </c>
      <c r="H130" s="16">
        <f>H19</f>
        <v>3703.8287000000009</v>
      </c>
    </row>
    <row r="131" spans="1:8" x14ac:dyDescent="0.25">
      <c r="A131" s="26" t="s">
        <v>8</v>
      </c>
      <c r="B131" s="438" t="s">
        <v>19</v>
      </c>
      <c r="C131" s="438"/>
      <c r="D131" s="16">
        <f>D65</f>
        <v>2612.5325801488302</v>
      </c>
      <c r="E131" s="245"/>
      <c r="F131" s="203">
        <f>F65</f>
        <v>2730.1559746623102</v>
      </c>
      <c r="H131" s="211">
        <f>H65</f>
        <v>2730.1559746623102</v>
      </c>
    </row>
    <row r="132" spans="1:8" x14ac:dyDescent="0.25">
      <c r="A132" s="26" t="s">
        <v>9</v>
      </c>
      <c r="B132" s="438" t="s">
        <v>76</v>
      </c>
      <c r="C132" s="438"/>
      <c r="D132" s="16">
        <f>D76</f>
        <v>269.36872731871574</v>
      </c>
      <c r="E132" s="245"/>
      <c r="F132" s="203">
        <f>F76</f>
        <v>296.30560005058737</v>
      </c>
      <c r="H132" s="203">
        <f>H76</f>
        <v>217.92048805405312</v>
      </c>
    </row>
    <row r="133" spans="1:8" x14ac:dyDescent="0.25">
      <c r="A133" s="26" t="s">
        <v>11</v>
      </c>
      <c r="B133" s="438" t="s">
        <v>53</v>
      </c>
      <c r="C133" s="438"/>
      <c r="D133" s="16">
        <f>D103</f>
        <v>146.10991406206</v>
      </c>
      <c r="E133" s="245"/>
      <c r="F133" s="203">
        <f>F103</f>
        <v>160.72090546826604</v>
      </c>
      <c r="H133" s="16">
        <f>H103</f>
        <v>160.72090546826604</v>
      </c>
    </row>
    <row r="134" spans="1:8" x14ac:dyDescent="0.25">
      <c r="A134" s="26" t="s">
        <v>13</v>
      </c>
      <c r="B134" s="438" t="s">
        <v>66</v>
      </c>
      <c r="C134" s="438"/>
      <c r="D134" s="16">
        <f>D111</f>
        <v>141.72213768115941</v>
      </c>
      <c r="E134" s="245"/>
      <c r="F134" s="16">
        <f>F111</f>
        <v>141.72213768115941</v>
      </c>
      <c r="H134" s="16">
        <f>H111</f>
        <v>141.72213768115941</v>
      </c>
    </row>
    <row r="135" spans="1:8" x14ac:dyDescent="0.25">
      <c r="A135" s="430" t="s">
        <v>77</v>
      </c>
      <c r="B135" s="430"/>
      <c r="C135" s="430"/>
      <c r="D135" s="18">
        <f>SUM(D130:D134)</f>
        <v>6536.8503592107663</v>
      </c>
      <c r="E135" s="246"/>
      <c r="F135" s="204">
        <f>SUM(F130:F134)</f>
        <v>7032.7333178623248</v>
      </c>
      <c r="H135" s="204">
        <f>SUM(H130:H134)</f>
        <v>6954.3482058657901</v>
      </c>
    </row>
    <row r="136" spans="1:8" x14ac:dyDescent="0.25">
      <c r="A136" s="26" t="s">
        <v>15</v>
      </c>
      <c r="B136" s="414" t="s">
        <v>70</v>
      </c>
      <c r="C136" s="414"/>
      <c r="D136" s="16">
        <f>D124</f>
        <v>1488.0716323460879</v>
      </c>
      <c r="E136" s="245"/>
      <c r="F136" s="203">
        <f>F124</f>
        <v>1600.9561750820981</v>
      </c>
      <c r="H136" s="203">
        <f>H124</f>
        <v>1583.1123121893279</v>
      </c>
    </row>
    <row r="137" spans="1:8" x14ac:dyDescent="0.25">
      <c r="A137" s="415" t="s">
        <v>435</v>
      </c>
      <c r="B137" s="415"/>
      <c r="C137" s="415"/>
      <c r="D137" s="38">
        <f>SUM(D135:D136)</f>
        <v>8024.9219915568538</v>
      </c>
      <c r="E137" s="251"/>
      <c r="F137" s="209">
        <f>SUM(F135:F136)</f>
        <v>8633.6894929444225</v>
      </c>
      <c r="H137" s="209">
        <f>SUM(H135:H136)</f>
        <v>8537.4605180551189</v>
      </c>
    </row>
    <row r="139" spans="1:8" x14ac:dyDescent="0.25">
      <c r="A139" s="442" t="s">
        <v>469</v>
      </c>
      <c r="B139" s="442"/>
      <c r="C139" s="442"/>
      <c r="D139" s="442"/>
    </row>
    <row r="140" spans="1:8" x14ac:dyDescent="0.25">
      <c r="E140" s="252"/>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8:D58"/>
    <mergeCell ref="A30:D30"/>
    <mergeCell ref="A32:D32"/>
    <mergeCell ref="A42:B42"/>
    <mergeCell ref="A43:D43"/>
    <mergeCell ref="A44:D44"/>
    <mergeCell ref="A45:D45"/>
    <mergeCell ref="A46:D46"/>
    <mergeCell ref="A47:D47"/>
    <mergeCell ref="A49:D49"/>
    <mergeCell ref="A56:C56"/>
    <mergeCell ref="A57:D57"/>
    <mergeCell ref="A81:D81"/>
    <mergeCell ref="A60:D60"/>
    <mergeCell ref="B61:C61"/>
    <mergeCell ref="B62:C62"/>
    <mergeCell ref="B63:C63"/>
    <mergeCell ref="B64:C64"/>
    <mergeCell ref="A65:C65"/>
    <mergeCell ref="A67:D67"/>
    <mergeCell ref="A76:B76"/>
    <mergeCell ref="A77:D77"/>
    <mergeCell ref="A78:D78"/>
    <mergeCell ref="A80:D80"/>
    <mergeCell ref="B107:C107"/>
    <mergeCell ref="A83:D83"/>
    <mergeCell ref="A91:B91"/>
    <mergeCell ref="A92:D92"/>
    <mergeCell ref="A94:D94"/>
    <mergeCell ref="A97:B97"/>
    <mergeCell ref="A99:D99"/>
    <mergeCell ref="B100:C100"/>
    <mergeCell ref="B101:C101"/>
    <mergeCell ref="A103:C103"/>
    <mergeCell ref="A105:D105"/>
    <mergeCell ref="B106:C106"/>
    <mergeCell ref="A114:D114"/>
    <mergeCell ref="A115:B115"/>
    <mergeCell ref="C115:D115"/>
    <mergeCell ref="A124:B124"/>
    <mergeCell ref="A125:D125"/>
    <mergeCell ref="B108:C108"/>
    <mergeCell ref="B109:C109"/>
    <mergeCell ref="B110:C110"/>
    <mergeCell ref="A111:C111"/>
    <mergeCell ref="A112:D112"/>
    <mergeCell ref="G115:H115"/>
    <mergeCell ref="E115:F115"/>
    <mergeCell ref="A139:D139"/>
    <mergeCell ref="A135:C135"/>
    <mergeCell ref="B136:C136"/>
    <mergeCell ref="A137:C137"/>
    <mergeCell ref="A129:C129"/>
    <mergeCell ref="B130:C130"/>
    <mergeCell ref="B131:C131"/>
    <mergeCell ref="B132:C132"/>
    <mergeCell ref="B133:C133"/>
    <mergeCell ref="B134:C134"/>
    <mergeCell ref="A128:D128"/>
    <mergeCell ref="A126:D126"/>
  </mergeCells>
  <dataValidations disablePrompts="1" count="1">
    <dataValidation type="list" allowBlank="1" showInputMessage="1" showErrorMessage="1" sqref="G115 C115:E115" xr:uid="{00000000-0002-0000-0300-000000000000}">
      <formula1>"Lucro presumido,Lucro real"</formula1>
    </dataValidation>
  </dataValidations>
  <pageMargins left="0.511811024" right="0.511811024" top="0.78740157499999996" bottom="0.78740157499999996" header="0.31496062000000002" footer="0.31496062000000002"/>
  <pageSetup paperSize="9" scale="6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pageSetUpPr fitToPage="1"/>
  </sheetPr>
  <dimension ref="A1:H140"/>
  <sheetViews>
    <sheetView showGridLines="0" zoomScaleNormal="100" workbookViewId="0">
      <selection activeCell="K103" sqref="K103"/>
    </sheetView>
  </sheetViews>
  <sheetFormatPr defaultColWidth="8.7109375" defaultRowHeight="12.75" x14ac:dyDescent="0.25"/>
  <cols>
    <col min="1" max="1" width="5" style="12" bestFit="1" customWidth="1"/>
    <col min="2" max="2" width="70.140625" style="12" bestFit="1" customWidth="1"/>
    <col min="3" max="3" width="14.140625" style="12" bestFit="1" customWidth="1"/>
    <col min="4" max="4" width="9.85546875" style="12" bestFit="1" customWidth="1"/>
    <col min="5" max="5" width="14.140625" style="319" bestFit="1" customWidth="1"/>
    <col min="6" max="6" width="20.28515625" style="319" bestFit="1" customWidth="1"/>
    <col min="7" max="7" width="14.140625" style="319" bestFit="1" customWidth="1"/>
    <col min="8" max="8" width="18.28515625" style="319" bestFit="1" customWidth="1"/>
    <col min="9" max="16384" width="8.7109375" style="12"/>
  </cols>
  <sheetData>
    <row r="1" spans="1:8" x14ac:dyDescent="0.25">
      <c r="A1" s="415" t="s">
        <v>92</v>
      </c>
      <c r="B1" s="415"/>
      <c r="C1" s="415"/>
      <c r="D1" s="415"/>
      <c r="E1" s="231"/>
    </row>
    <row r="3" spans="1:8" x14ac:dyDescent="0.25">
      <c r="A3" s="429" t="s">
        <v>0</v>
      </c>
      <c r="B3" s="429"/>
      <c r="C3" s="429"/>
      <c r="D3" s="429"/>
      <c r="E3" s="320"/>
    </row>
    <row r="4" spans="1:8" x14ac:dyDescent="0.25">
      <c r="A4" s="304">
        <v>1</v>
      </c>
      <c r="B4" s="3" t="s">
        <v>1</v>
      </c>
      <c r="C4" s="454" t="s">
        <v>139</v>
      </c>
      <c r="D4" s="454"/>
      <c r="E4" s="301"/>
    </row>
    <row r="5" spans="1:8" x14ac:dyDescent="0.25">
      <c r="A5" s="4">
        <v>2</v>
      </c>
      <c r="B5" s="306" t="s">
        <v>2</v>
      </c>
      <c r="C5" s="455"/>
      <c r="D5" s="455"/>
      <c r="E5" s="225"/>
    </row>
    <row r="6" spans="1:8" x14ac:dyDescent="0.25">
      <c r="A6" s="4">
        <v>3</v>
      </c>
      <c r="B6" s="306" t="s">
        <v>95</v>
      </c>
      <c r="C6" s="459">
        <v>3289.5</v>
      </c>
      <c r="D6" s="459"/>
      <c r="E6" s="226"/>
      <c r="F6" s="321"/>
    </row>
    <row r="7" spans="1:8" x14ac:dyDescent="0.25">
      <c r="A7" s="4">
        <v>4</v>
      </c>
      <c r="B7" s="306" t="s">
        <v>96</v>
      </c>
      <c r="C7" s="425" t="s">
        <v>450</v>
      </c>
      <c r="D7" s="448"/>
      <c r="E7" s="322"/>
    </row>
    <row r="8" spans="1:8" x14ac:dyDescent="0.25">
      <c r="A8" s="4">
        <v>5</v>
      </c>
      <c r="B8" s="306" t="s">
        <v>3</v>
      </c>
      <c r="C8" s="458" t="s">
        <v>451</v>
      </c>
      <c r="D8" s="455"/>
      <c r="E8" s="228"/>
      <c r="F8" s="323">
        <v>44562</v>
      </c>
    </row>
    <row r="9" spans="1:8" x14ac:dyDescent="0.25">
      <c r="A9" s="4">
        <v>6</v>
      </c>
      <c r="B9" s="306" t="s">
        <v>97</v>
      </c>
      <c r="C9" s="458" t="s">
        <v>452</v>
      </c>
      <c r="D9" s="455"/>
      <c r="E9" s="228"/>
      <c r="F9" s="324" t="s">
        <v>566</v>
      </c>
    </row>
    <row r="10" spans="1:8" x14ac:dyDescent="0.25">
      <c r="F10" s="319" t="s">
        <v>567</v>
      </c>
      <c r="H10" s="319" t="s">
        <v>568</v>
      </c>
    </row>
    <row r="11" spans="1:8" ht="127.5" x14ac:dyDescent="0.25">
      <c r="A11" s="415" t="s">
        <v>75</v>
      </c>
      <c r="B11" s="415"/>
      <c r="C11" s="415"/>
      <c r="D11" s="415"/>
      <c r="E11" s="231"/>
      <c r="F11" s="252" t="s">
        <v>576</v>
      </c>
      <c r="H11" s="252" t="s">
        <v>569</v>
      </c>
    </row>
    <row r="12" spans="1:8" x14ac:dyDescent="0.25">
      <c r="A12" s="303">
        <v>1</v>
      </c>
      <c r="B12" s="429" t="s">
        <v>4</v>
      </c>
      <c r="C12" s="429"/>
      <c r="D12" s="303" t="s">
        <v>5</v>
      </c>
      <c r="E12" s="242"/>
      <c r="F12" s="303" t="s">
        <v>5</v>
      </c>
      <c r="H12" s="303" t="s">
        <v>5</v>
      </c>
    </row>
    <row r="13" spans="1:8" x14ac:dyDescent="0.25">
      <c r="A13" s="26" t="s">
        <v>6</v>
      </c>
      <c r="B13" s="414" t="s">
        <v>7</v>
      </c>
      <c r="C13" s="414"/>
      <c r="D13" s="114">
        <v>3879.05</v>
      </c>
      <c r="E13" s="243"/>
      <c r="F13" s="200">
        <f>D13*1.06</f>
        <v>4111.7930000000006</v>
      </c>
      <c r="H13" s="114">
        <f>F13</f>
        <v>4111.7930000000006</v>
      </c>
    </row>
    <row r="14" spans="1:8" x14ac:dyDescent="0.25">
      <c r="A14" s="26" t="s">
        <v>8</v>
      </c>
      <c r="B14" s="414" t="s">
        <v>400</v>
      </c>
      <c r="C14" s="414"/>
      <c r="D14" s="10" t="s">
        <v>118</v>
      </c>
      <c r="E14" s="244"/>
      <c r="F14" s="10" t="s">
        <v>118</v>
      </c>
      <c r="H14" s="10" t="s">
        <v>118</v>
      </c>
    </row>
    <row r="15" spans="1:8" x14ac:dyDescent="0.25">
      <c r="A15" s="26" t="s">
        <v>9</v>
      </c>
      <c r="B15" s="414" t="s">
        <v>10</v>
      </c>
      <c r="C15" s="414"/>
      <c r="D15" s="10" t="s">
        <v>118</v>
      </c>
      <c r="E15" s="244"/>
      <c r="F15" s="10" t="s">
        <v>118</v>
      </c>
      <c r="H15" s="10" t="s">
        <v>118</v>
      </c>
    </row>
    <row r="16" spans="1:8" x14ac:dyDescent="0.25">
      <c r="A16" s="26" t="s">
        <v>11</v>
      </c>
      <c r="B16" s="414" t="s">
        <v>12</v>
      </c>
      <c r="C16" s="414"/>
      <c r="D16" s="10" t="s">
        <v>118</v>
      </c>
      <c r="E16" s="244"/>
      <c r="F16" s="10" t="s">
        <v>118</v>
      </c>
      <c r="H16" s="10" t="s">
        <v>118</v>
      </c>
    </row>
    <row r="17" spans="1:8" x14ac:dyDescent="0.25">
      <c r="A17" s="26" t="s">
        <v>13</v>
      </c>
      <c r="B17" s="414" t="s">
        <v>14</v>
      </c>
      <c r="C17" s="414"/>
      <c r="D17" s="10" t="s">
        <v>118</v>
      </c>
      <c r="E17" s="244"/>
      <c r="F17" s="10" t="s">
        <v>118</v>
      </c>
      <c r="H17" s="10" t="s">
        <v>118</v>
      </c>
    </row>
    <row r="18" spans="1:8" x14ac:dyDescent="0.25">
      <c r="A18" s="26" t="s">
        <v>15</v>
      </c>
      <c r="B18" s="414" t="s">
        <v>16</v>
      </c>
      <c r="C18" s="414"/>
      <c r="D18" s="10" t="s">
        <v>118</v>
      </c>
      <c r="E18" s="244"/>
      <c r="F18" s="10" t="s">
        <v>118</v>
      </c>
      <c r="H18" s="10" t="s">
        <v>118</v>
      </c>
    </row>
    <row r="19" spans="1:8" x14ac:dyDescent="0.25">
      <c r="A19" s="430" t="s">
        <v>17</v>
      </c>
      <c r="B19" s="430"/>
      <c r="C19" s="430"/>
      <c r="D19" s="11">
        <f>SUM(D13:D18)</f>
        <v>3879.05</v>
      </c>
      <c r="E19" s="243"/>
      <c r="F19" s="202">
        <f>SUM(F13:F18)</f>
        <v>4111.7930000000006</v>
      </c>
      <c r="H19" s="11">
        <f>SUM(H13:H18)</f>
        <v>4111.7930000000006</v>
      </c>
    </row>
    <row r="20" spans="1:8" x14ac:dyDescent="0.25">
      <c r="A20" s="431" t="s">
        <v>18</v>
      </c>
      <c r="B20" s="431"/>
      <c r="C20" s="431"/>
      <c r="D20" s="431"/>
      <c r="E20" s="322"/>
    </row>
    <row r="22" spans="1:8" x14ac:dyDescent="0.25">
      <c r="A22" s="415" t="s">
        <v>19</v>
      </c>
      <c r="B22" s="415"/>
      <c r="C22" s="415"/>
      <c r="D22" s="415"/>
      <c r="E22" s="231"/>
    </row>
    <row r="23" spans="1:8" x14ac:dyDescent="0.25">
      <c r="A23" s="430" t="s">
        <v>24</v>
      </c>
      <c r="B23" s="430"/>
      <c r="C23" s="430"/>
      <c r="D23" s="430"/>
      <c r="E23" s="242"/>
    </row>
    <row r="24" spans="1:8" x14ac:dyDescent="0.25">
      <c r="A24" s="305" t="s">
        <v>20</v>
      </c>
      <c r="B24" s="305" t="s">
        <v>21</v>
      </c>
      <c r="C24" s="304" t="s">
        <v>28</v>
      </c>
      <c r="D24" s="305" t="s">
        <v>5</v>
      </c>
      <c r="E24" s="304" t="s">
        <v>28</v>
      </c>
      <c r="F24" s="305" t="s">
        <v>5</v>
      </c>
      <c r="G24" s="304" t="s">
        <v>28</v>
      </c>
      <c r="H24" s="305" t="s">
        <v>5</v>
      </c>
    </row>
    <row r="25" spans="1:8" x14ac:dyDescent="0.25">
      <c r="A25" s="26" t="s">
        <v>6</v>
      </c>
      <c r="B25" s="14" t="s">
        <v>22</v>
      </c>
      <c r="C25" s="15">
        <v>9.0899999999999995E-2</v>
      </c>
      <c r="D25" s="16">
        <f>C25*$D$19</f>
        <v>352.60564499999998</v>
      </c>
      <c r="E25" s="15">
        <v>9.0899999999999995E-2</v>
      </c>
      <c r="F25" s="203">
        <f>E25*F$19</f>
        <v>373.76198370000003</v>
      </c>
      <c r="G25" s="15">
        <v>9.0899999999999995E-2</v>
      </c>
      <c r="H25" s="211">
        <f>G25*H$19</f>
        <v>373.76198370000003</v>
      </c>
    </row>
    <row r="26" spans="1:8" x14ac:dyDescent="0.25">
      <c r="A26" s="26" t="s">
        <v>8</v>
      </c>
      <c r="B26" s="14" t="s">
        <v>23</v>
      </c>
      <c r="C26" s="15">
        <v>0.1212</v>
      </c>
      <c r="D26" s="16">
        <f>C26*$D$19</f>
        <v>470.14086000000003</v>
      </c>
      <c r="E26" s="15">
        <v>0.1212</v>
      </c>
      <c r="F26" s="203">
        <f>E26*F$19</f>
        <v>498.34931160000008</v>
      </c>
      <c r="G26" s="15">
        <v>0.1212</v>
      </c>
      <c r="H26" s="211">
        <f>G26*H$19</f>
        <v>498.34931160000008</v>
      </c>
    </row>
    <row r="27" spans="1:8" x14ac:dyDescent="0.25">
      <c r="A27" s="430" t="s">
        <v>17</v>
      </c>
      <c r="B27" s="430"/>
      <c r="C27" s="17">
        <f t="shared" ref="C27:H27" si="0">SUM(C25:C26)</f>
        <v>0.21210000000000001</v>
      </c>
      <c r="D27" s="18">
        <f t="shared" si="0"/>
        <v>822.74650500000007</v>
      </c>
      <c r="E27" s="17">
        <f t="shared" si="0"/>
        <v>0.21210000000000001</v>
      </c>
      <c r="F27" s="204">
        <f t="shared" si="0"/>
        <v>872.11129530000017</v>
      </c>
      <c r="G27" s="17">
        <f t="shared" si="0"/>
        <v>0.21210000000000001</v>
      </c>
      <c r="H27" s="212">
        <f t="shared" si="0"/>
        <v>872.11129530000017</v>
      </c>
    </row>
    <row r="28" spans="1:8" x14ac:dyDescent="0.25">
      <c r="A28" s="432" t="s">
        <v>98</v>
      </c>
      <c r="B28" s="432"/>
      <c r="C28" s="432"/>
      <c r="D28" s="432"/>
      <c r="E28" s="322"/>
    </row>
    <row r="29" spans="1:8" x14ac:dyDescent="0.25">
      <c r="A29" s="432" t="s">
        <v>99</v>
      </c>
      <c r="B29" s="432"/>
      <c r="C29" s="432"/>
      <c r="D29" s="432"/>
      <c r="E29" s="322"/>
    </row>
    <row r="30" spans="1:8" x14ac:dyDescent="0.25">
      <c r="A30" s="432" t="s">
        <v>100</v>
      </c>
      <c r="B30" s="432"/>
      <c r="C30" s="432"/>
      <c r="D30" s="432"/>
      <c r="E30" s="322"/>
    </row>
    <row r="32" spans="1:8" x14ac:dyDescent="0.25">
      <c r="A32" s="434" t="s">
        <v>25</v>
      </c>
      <c r="B32" s="434"/>
      <c r="C32" s="434"/>
      <c r="D32" s="434"/>
      <c r="E32" s="301"/>
    </row>
    <row r="33" spans="1:8" x14ac:dyDescent="0.25">
      <c r="A33" s="303" t="s">
        <v>26</v>
      </c>
      <c r="B33" s="303" t="s">
        <v>27</v>
      </c>
      <c r="C33" s="303" t="s">
        <v>28</v>
      </c>
      <c r="D33" s="303" t="s">
        <v>5</v>
      </c>
      <c r="E33" s="303" t="s">
        <v>28</v>
      </c>
      <c r="F33" s="303" t="s">
        <v>5</v>
      </c>
      <c r="G33" s="303" t="s">
        <v>28</v>
      </c>
      <c r="H33" s="303" t="s">
        <v>5</v>
      </c>
    </row>
    <row r="34" spans="1:8" x14ac:dyDescent="0.25">
      <c r="A34" s="26" t="s">
        <v>6</v>
      </c>
      <c r="B34" s="14" t="s">
        <v>29</v>
      </c>
      <c r="C34" s="19">
        <v>0</v>
      </c>
      <c r="D34" s="16">
        <f t="shared" ref="D34:D40" si="1">C34*($D$19+$D$27)</f>
        <v>0</v>
      </c>
      <c r="E34" s="19">
        <v>0</v>
      </c>
      <c r="F34" s="16">
        <f>E34*(F$19+F$27)</f>
        <v>0</v>
      </c>
      <c r="G34" s="19">
        <v>0</v>
      </c>
      <c r="H34" s="16">
        <f>G34*(H$19+H$27)</f>
        <v>0</v>
      </c>
    </row>
    <row r="35" spans="1:8" x14ac:dyDescent="0.25">
      <c r="A35" s="26" t="s">
        <v>8</v>
      </c>
      <c r="B35" s="14" t="s">
        <v>30</v>
      </c>
      <c r="C35" s="19">
        <v>2.5000000000000001E-2</v>
      </c>
      <c r="D35" s="16">
        <f t="shared" si="1"/>
        <v>117.54491262500001</v>
      </c>
      <c r="E35" s="19">
        <v>2.5000000000000001E-2</v>
      </c>
      <c r="F35" s="203">
        <f t="shared" ref="F35:F41" si="2">$E35*(F$19+F$27)</f>
        <v>124.59760738250003</v>
      </c>
      <c r="G35" s="19">
        <v>2.5000000000000001E-2</v>
      </c>
      <c r="H35" s="16">
        <f t="shared" ref="H35:H41" si="3">$G35*(H$19+H$27)</f>
        <v>124.59760738250003</v>
      </c>
    </row>
    <row r="36" spans="1:8" x14ac:dyDescent="0.25">
      <c r="A36" s="26" t="s">
        <v>9</v>
      </c>
      <c r="B36" s="14" t="s">
        <v>101</v>
      </c>
      <c r="C36" s="19">
        <v>3.39E-2</v>
      </c>
      <c r="D36" s="16">
        <f t="shared" si="1"/>
        <v>159.39090151950001</v>
      </c>
      <c r="E36" s="287">
        <v>1.4999999999999999E-2</v>
      </c>
      <c r="F36" s="203">
        <f t="shared" si="2"/>
        <v>74.758564429500012</v>
      </c>
      <c r="G36" s="19">
        <v>1.4999999999999999E-2</v>
      </c>
      <c r="H36" s="16">
        <f t="shared" si="3"/>
        <v>74.758564429500012</v>
      </c>
    </row>
    <row r="37" spans="1:8" x14ac:dyDescent="0.25">
      <c r="A37" s="26" t="s">
        <v>11</v>
      </c>
      <c r="B37" s="14" t="s">
        <v>31</v>
      </c>
      <c r="C37" s="19">
        <v>1.4999999999999999E-2</v>
      </c>
      <c r="D37" s="16">
        <f t="shared" si="1"/>
        <v>70.526947574999994</v>
      </c>
      <c r="E37" s="19">
        <v>1.4999999999999999E-2</v>
      </c>
      <c r="F37" s="203">
        <f t="shared" si="2"/>
        <v>74.758564429500012</v>
      </c>
      <c r="G37" s="19">
        <v>1.4999999999999999E-2</v>
      </c>
      <c r="H37" s="16">
        <f t="shared" si="3"/>
        <v>74.758564429500012</v>
      </c>
    </row>
    <row r="38" spans="1:8" x14ac:dyDescent="0.25">
      <c r="A38" s="26" t="s">
        <v>13</v>
      </c>
      <c r="B38" s="14" t="s">
        <v>32</v>
      </c>
      <c r="C38" s="19">
        <v>0.01</v>
      </c>
      <c r="D38" s="16">
        <f t="shared" si="1"/>
        <v>47.017965050000001</v>
      </c>
      <c r="E38" s="19">
        <v>0.01</v>
      </c>
      <c r="F38" s="203">
        <f t="shared" si="2"/>
        <v>49.839042953000011</v>
      </c>
      <c r="G38" s="19">
        <v>0.01</v>
      </c>
      <c r="H38" s="16">
        <f t="shared" si="3"/>
        <v>49.839042953000011</v>
      </c>
    </row>
    <row r="39" spans="1:8" x14ac:dyDescent="0.25">
      <c r="A39" s="26" t="s">
        <v>15</v>
      </c>
      <c r="B39" s="14" t="s">
        <v>33</v>
      </c>
      <c r="C39" s="19">
        <v>6.0000000000000001E-3</v>
      </c>
      <c r="D39" s="16">
        <f t="shared" si="1"/>
        <v>28.210779030000001</v>
      </c>
      <c r="E39" s="19">
        <v>6.0000000000000001E-3</v>
      </c>
      <c r="F39" s="203">
        <f t="shared" si="2"/>
        <v>29.903425771800006</v>
      </c>
      <c r="G39" s="19">
        <v>6.0000000000000001E-3</v>
      </c>
      <c r="H39" s="16">
        <f t="shared" si="3"/>
        <v>29.903425771800006</v>
      </c>
    </row>
    <row r="40" spans="1:8" x14ac:dyDescent="0.25">
      <c r="A40" s="26" t="s">
        <v>34</v>
      </c>
      <c r="B40" s="14" t="s">
        <v>35</v>
      </c>
      <c r="C40" s="19">
        <v>2E-3</v>
      </c>
      <c r="D40" s="16">
        <f t="shared" si="1"/>
        <v>9.4035930100000016</v>
      </c>
      <c r="E40" s="19">
        <v>2E-3</v>
      </c>
      <c r="F40" s="203">
        <f t="shared" si="2"/>
        <v>9.9678085906000025</v>
      </c>
      <c r="G40" s="19">
        <v>2E-3</v>
      </c>
      <c r="H40" s="16">
        <f t="shared" si="3"/>
        <v>9.9678085906000025</v>
      </c>
    </row>
    <row r="41" spans="1:8" x14ac:dyDescent="0.25">
      <c r="A41" s="26" t="s">
        <v>36</v>
      </c>
      <c r="B41" s="14" t="s">
        <v>37</v>
      </c>
      <c r="C41" s="19">
        <v>0.08</v>
      </c>
      <c r="D41" s="16">
        <f>C41*($D$19+$D$27)</f>
        <v>376.14372040000001</v>
      </c>
      <c r="E41" s="19">
        <v>0.08</v>
      </c>
      <c r="F41" s="203">
        <f t="shared" si="2"/>
        <v>398.71234362400008</v>
      </c>
      <c r="G41" s="19">
        <v>0.08</v>
      </c>
      <c r="H41" s="16">
        <f t="shared" si="3"/>
        <v>398.71234362400008</v>
      </c>
    </row>
    <row r="42" spans="1:8" x14ac:dyDescent="0.25">
      <c r="A42" s="435" t="s">
        <v>17</v>
      </c>
      <c r="B42" s="436"/>
      <c r="C42" s="21">
        <f t="shared" ref="C42:H42" si="4">SUM(C34:C41)</f>
        <v>0.1719</v>
      </c>
      <c r="D42" s="18">
        <f t="shared" si="4"/>
        <v>808.23881920949998</v>
      </c>
      <c r="E42" s="288">
        <f t="shared" si="4"/>
        <v>0.15300000000000002</v>
      </c>
      <c r="F42" s="204">
        <f t="shared" si="4"/>
        <v>762.53735718090013</v>
      </c>
      <c r="G42" s="21">
        <f t="shared" si="4"/>
        <v>0.15300000000000002</v>
      </c>
      <c r="H42" s="18">
        <f t="shared" si="4"/>
        <v>762.53735718090013</v>
      </c>
    </row>
    <row r="43" spans="1:8" x14ac:dyDescent="0.25">
      <c r="A43" s="432" t="s">
        <v>104</v>
      </c>
      <c r="B43" s="432"/>
      <c r="C43" s="432"/>
      <c r="D43" s="432"/>
      <c r="E43" s="322"/>
    </row>
    <row r="44" spans="1:8" x14ac:dyDescent="0.25">
      <c r="A44" s="432" t="s">
        <v>102</v>
      </c>
      <c r="B44" s="432"/>
      <c r="C44" s="432"/>
      <c r="D44" s="432"/>
      <c r="E44" s="322"/>
    </row>
    <row r="45" spans="1:8" x14ac:dyDescent="0.25">
      <c r="A45" s="432" t="s">
        <v>103</v>
      </c>
      <c r="B45" s="432"/>
      <c r="C45" s="432"/>
      <c r="D45" s="432"/>
      <c r="E45" s="322"/>
    </row>
    <row r="46" spans="1:8" x14ac:dyDescent="0.25">
      <c r="A46" s="432" t="s">
        <v>108</v>
      </c>
      <c r="B46" s="432"/>
      <c r="C46" s="432"/>
      <c r="D46" s="432"/>
      <c r="E46" s="322"/>
    </row>
    <row r="47" spans="1:8" x14ac:dyDescent="0.25">
      <c r="A47" s="432" t="s">
        <v>113</v>
      </c>
      <c r="B47" s="432"/>
      <c r="C47" s="432"/>
      <c r="D47" s="432"/>
      <c r="E47" s="322"/>
    </row>
    <row r="49" spans="1:8" x14ac:dyDescent="0.25">
      <c r="A49" s="434" t="s">
        <v>38</v>
      </c>
      <c r="B49" s="434"/>
      <c r="C49" s="434"/>
      <c r="D49" s="434"/>
      <c r="E49" s="301"/>
    </row>
    <row r="50" spans="1:8" x14ac:dyDescent="0.25">
      <c r="A50" s="304" t="s">
        <v>39</v>
      </c>
      <c r="B50" s="304" t="s">
        <v>40</v>
      </c>
      <c r="C50" s="304" t="s">
        <v>89</v>
      </c>
      <c r="D50" s="304" t="s">
        <v>5</v>
      </c>
      <c r="E50" s="242"/>
      <c r="F50" s="304" t="s">
        <v>5</v>
      </c>
      <c r="H50" s="304" t="s">
        <v>5</v>
      </c>
    </row>
    <row r="51" spans="1:8" x14ac:dyDescent="0.25">
      <c r="A51" s="26" t="s">
        <v>6</v>
      </c>
      <c r="B51" s="14" t="s">
        <v>135</v>
      </c>
      <c r="C51" s="325">
        <v>22</v>
      </c>
      <c r="D51" s="16">
        <f>(18.6*C51)-0.06*D13</f>
        <v>176.45700000000005</v>
      </c>
      <c r="E51" s="245"/>
      <c r="F51" s="203">
        <f>(18.6*$C51)-0.06*F$13</f>
        <v>162.49242000000001</v>
      </c>
      <c r="H51" s="16">
        <f>(18.6*$C51)-0.06*H$13</f>
        <v>162.49242000000001</v>
      </c>
    </row>
    <row r="52" spans="1:8" x14ac:dyDescent="0.25">
      <c r="A52" s="26" t="s">
        <v>8</v>
      </c>
      <c r="B52" s="14" t="s">
        <v>457</v>
      </c>
      <c r="C52" s="325">
        <v>22</v>
      </c>
      <c r="D52" s="16">
        <f>35*C52</f>
        <v>770</v>
      </c>
      <c r="E52" s="245"/>
      <c r="F52" s="203">
        <f>38*$C52</f>
        <v>836</v>
      </c>
      <c r="H52" s="16">
        <f>38*$C52</f>
        <v>836</v>
      </c>
    </row>
    <row r="53" spans="1:8" x14ac:dyDescent="0.25">
      <c r="A53" s="26" t="s">
        <v>9</v>
      </c>
      <c r="B53" s="14" t="s">
        <v>42</v>
      </c>
      <c r="C53" s="325"/>
      <c r="D53" s="16">
        <v>160.07</v>
      </c>
      <c r="E53" s="245"/>
      <c r="F53" s="203">
        <v>169.67</v>
      </c>
      <c r="H53" s="16">
        <v>169.67</v>
      </c>
    </row>
    <row r="54" spans="1:8" x14ac:dyDescent="0.25">
      <c r="A54" s="26" t="s">
        <v>11</v>
      </c>
      <c r="B54" s="14" t="s">
        <v>90</v>
      </c>
      <c r="C54" s="325"/>
      <c r="D54" s="16">
        <v>10.63</v>
      </c>
      <c r="E54" s="245"/>
      <c r="F54" s="203">
        <v>11.27</v>
      </c>
      <c r="H54" s="16">
        <v>11.27</v>
      </c>
    </row>
    <row r="55" spans="1:8" x14ac:dyDescent="0.25">
      <c r="A55" s="26" t="s">
        <v>13</v>
      </c>
      <c r="B55" s="14" t="s">
        <v>453</v>
      </c>
      <c r="C55" s="325"/>
      <c r="D55" s="16">
        <v>2.2999999999999998</v>
      </c>
      <c r="E55" s="245"/>
      <c r="F55" s="203">
        <v>2.5</v>
      </c>
      <c r="H55" s="16">
        <v>2.5</v>
      </c>
    </row>
    <row r="56" spans="1:8" x14ac:dyDescent="0.25">
      <c r="A56" s="430" t="s">
        <v>17</v>
      </c>
      <c r="B56" s="430"/>
      <c r="C56" s="430"/>
      <c r="D56" s="115">
        <f>SUM(D51:D55)</f>
        <v>1119.4570000000001</v>
      </c>
      <c r="E56" s="246"/>
      <c r="F56" s="206">
        <f>SUM(F51:F55)</f>
        <v>1181.9324200000001</v>
      </c>
      <c r="H56" s="25">
        <f>SUM(H51:H55)</f>
        <v>1181.9324200000001</v>
      </c>
    </row>
    <row r="57" spans="1:8" x14ac:dyDescent="0.25">
      <c r="A57" s="432" t="s">
        <v>45</v>
      </c>
      <c r="B57" s="432"/>
      <c r="C57" s="432"/>
      <c r="D57" s="432"/>
      <c r="E57" s="322"/>
    </row>
    <row r="58" spans="1:8" x14ac:dyDescent="0.25">
      <c r="A58" s="432" t="s">
        <v>105</v>
      </c>
      <c r="B58" s="432"/>
      <c r="C58" s="432"/>
      <c r="D58" s="432"/>
      <c r="E58" s="322"/>
    </row>
    <row r="60" spans="1:8" x14ac:dyDescent="0.25">
      <c r="A60" s="415" t="s">
        <v>43</v>
      </c>
      <c r="B60" s="415"/>
      <c r="C60" s="415"/>
      <c r="D60" s="415"/>
      <c r="E60" s="231"/>
    </row>
    <row r="61" spans="1:8" x14ac:dyDescent="0.25">
      <c r="A61" s="303">
        <v>2</v>
      </c>
      <c r="B61" s="430" t="s">
        <v>44</v>
      </c>
      <c r="C61" s="430"/>
      <c r="D61" s="303" t="s">
        <v>5</v>
      </c>
      <c r="E61" s="242"/>
      <c r="F61" s="303" t="s">
        <v>5</v>
      </c>
      <c r="H61" s="303" t="s">
        <v>5</v>
      </c>
    </row>
    <row r="62" spans="1:8" x14ac:dyDescent="0.25">
      <c r="A62" s="26" t="s">
        <v>20</v>
      </c>
      <c r="B62" s="438" t="s">
        <v>21</v>
      </c>
      <c r="C62" s="438"/>
      <c r="D62" s="16">
        <f>D27</f>
        <v>822.74650500000007</v>
      </c>
      <c r="E62" s="245"/>
      <c r="F62" s="203">
        <f>F27</f>
        <v>872.11129530000017</v>
      </c>
      <c r="H62" s="16">
        <f>H27</f>
        <v>872.11129530000017</v>
      </c>
    </row>
    <row r="63" spans="1:8" x14ac:dyDescent="0.25">
      <c r="A63" s="26" t="s">
        <v>26</v>
      </c>
      <c r="B63" s="414" t="s">
        <v>27</v>
      </c>
      <c r="C63" s="414"/>
      <c r="D63" s="16">
        <f>D42</f>
        <v>808.23881920949998</v>
      </c>
      <c r="E63" s="245"/>
      <c r="F63" s="203">
        <f>F42</f>
        <v>762.53735718090013</v>
      </c>
      <c r="H63" s="16">
        <f>H42</f>
        <v>762.53735718090013</v>
      </c>
    </row>
    <row r="64" spans="1:8" x14ac:dyDescent="0.25">
      <c r="A64" s="26" t="s">
        <v>39</v>
      </c>
      <c r="B64" s="414" t="s">
        <v>40</v>
      </c>
      <c r="C64" s="414"/>
      <c r="D64" s="16">
        <f>D56</f>
        <v>1119.4570000000001</v>
      </c>
      <c r="E64" s="245"/>
      <c r="F64" s="203">
        <f>F56</f>
        <v>1181.9324200000001</v>
      </c>
      <c r="H64" s="16">
        <f>H56</f>
        <v>1181.9324200000001</v>
      </c>
    </row>
    <row r="65" spans="1:8" x14ac:dyDescent="0.25">
      <c r="A65" s="435" t="s">
        <v>17</v>
      </c>
      <c r="B65" s="449"/>
      <c r="C65" s="436"/>
      <c r="D65" s="18">
        <f>SUM(D62:D64)</f>
        <v>2750.4423242094999</v>
      </c>
      <c r="E65" s="246"/>
      <c r="F65" s="204">
        <f>SUM(F62:F64)</f>
        <v>2816.5810724809003</v>
      </c>
      <c r="H65" s="18">
        <f>SUM(H62:H64)</f>
        <v>2816.5810724809003</v>
      </c>
    </row>
    <row r="67" spans="1:8" x14ac:dyDescent="0.25">
      <c r="A67" s="415" t="s">
        <v>76</v>
      </c>
      <c r="B67" s="415"/>
      <c r="C67" s="415"/>
      <c r="D67" s="415"/>
      <c r="E67" s="231"/>
    </row>
    <row r="68" spans="1:8" x14ac:dyDescent="0.25">
      <c r="A68" s="303">
        <v>3</v>
      </c>
      <c r="B68" s="303" t="s">
        <v>46</v>
      </c>
      <c r="C68" s="303" t="s">
        <v>28</v>
      </c>
      <c r="D68" s="303" t="s">
        <v>5</v>
      </c>
      <c r="E68" s="303" t="s">
        <v>28</v>
      </c>
      <c r="F68" s="232" t="s">
        <v>5</v>
      </c>
      <c r="G68" s="232" t="s">
        <v>28</v>
      </c>
      <c r="H68" s="232" t="s">
        <v>5</v>
      </c>
    </row>
    <row r="69" spans="1:8" x14ac:dyDescent="0.25">
      <c r="A69" s="26" t="s">
        <v>6</v>
      </c>
      <c r="B69" s="306" t="s">
        <v>47</v>
      </c>
      <c r="C69" s="19">
        <v>4.1999999999999997E-3</v>
      </c>
      <c r="D69" s="16">
        <f t="shared" ref="D69:D74" si="5">C69*($D$19+$D$27)</f>
        <v>19.747545321</v>
      </c>
      <c r="E69" s="19">
        <v>4.1999999999999997E-3</v>
      </c>
      <c r="F69" s="257">
        <f t="shared" ref="F69:F75" si="6">$E69*(F$19+F$27)</f>
        <v>20.932398040260001</v>
      </c>
      <c r="G69" s="28">
        <v>4.1999999999999997E-3</v>
      </c>
      <c r="H69" s="9">
        <f t="shared" ref="H69:H75" si="7">$G69*(H$19+H$27)</f>
        <v>20.932398040260001</v>
      </c>
    </row>
    <row r="70" spans="1:8" x14ac:dyDescent="0.25">
      <c r="A70" s="26" t="s">
        <v>8</v>
      </c>
      <c r="B70" s="306" t="s">
        <v>48</v>
      </c>
      <c r="C70" s="19">
        <v>2.9999999999999997E-4</v>
      </c>
      <c r="D70" s="16">
        <f t="shared" si="5"/>
        <v>1.4105389515</v>
      </c>
      <c r="E70" s="19">
        <v>2.9999999999999997E-4</v>
      </c>
      <c r="F70" s="257">
        <f t="shared" si="6"/>
        <v>1.4951712885900001</v>
      </c>
      <c r="G70" s="28">
        <v>2.9999999999999997E-4</v>
      </c>
      <c r="H70" s="9">
        <f t="shared" si="7"/>
        <v>1.4951712885900001</v>
      </c>
    </row>
    <row r="71" spans="1:8" x14ac:dyDescent="0.25">
      <c r="A71" s="26" t="s">
        <v>9</v>
      </c>
      <c r="B71" s="306" t="s">
        <v>49</v>
      </c>
      <c r="C71" s="27">
        <v>9.9999999999999995E-7</v>
      </c>
      <c r="D71" s="16">
        <f t="shared" si="5"/>
        <v>4.7017965050000004E-3</v>
      </c>
      <c r="E71" s="27">
        <v>9.9999999999999995E-7</v>
      </c>
      <c r="F71" s="260">
        <f t="shared" si="6"/>
        <v>4.9839042953000005E-3</v>
      </c>
      <c r="G71" s="351">
        <v>9.9999999999999995E-7</v>
      </c>
      <c r="H71" s="258">
        <f t="shared" si="7"/>
        <v>4.9839042953000005E-3</v>
      </c>
    </row>
    <row r="72" spans="1:8" x14ac:dyDescent="0.25">
      <c r="A72" s="26" t="s">
        <v>11</v>
      </c>
      <c r="B72" s="306" t="s">
        <v>50</v>
      </c>
      <c r="C72" s="28">
        <v>1.9400000000000001E-2</v>
      </c>
      <c r="D72" s="326">
        <f>C72*($D$19+$D$27)</f>
        <v>91.214852197000013</v>
      </c>
      <c r="E72" s="28">
        <v>1.9400000000000001E-2</v>
      </c>
      <c r="F72" s="260">
        <f t="shared" si="6"/>
        <v>96.687743328820019</v>
      </c>
      <c r="G72" s="347">
        <v>1.9400000000000001E-3</v>
      </c>
      <c r="H72" s="260">
        <f t="shared" si="7"/>
        <v>9.6687743328820019</v>
      </c>
    </row>
    <row r="73" spans="1:8" x14ac:dyDescent="0.25">
      <c r="A73" s="26" t="s">
        <v>13</v>
      </c>
      <c r="B73" s="306" t="s">
        <v>51</v>
      </c>
      <c r="C73" s="19">
        <v>7.1000000000000004E-3</v>
      </c>
      <c r="D73" s="16">
        <f>C73*($D$19+$D$27)</f>
        <v>33.382755185500002</v>
      </c>
      <c r="E73" s="19">
        <v>7.1000000000000004E-3</v>
      </c>
      <c r="F73" s="257">
        <f t="shared" si="6"/>
        <v>35.385720496630007</v>
      </c>
      <c r="G73" s="28">
        <v>7.1000000000000004E-3</v>
      </c>
      <c r="H73" s="258">
        <f t="shared" si="7"/>
        <v>35.385720496630007</v>
      </c>
    </row>
    <row r="74" spans="1:8" x14ac:dyDescent="0.25">
      <c r="A74" s="26" t="s">
        <v>15</v>
      </c>
      <c r="B74" s="306" t="s">
        <v>52</v>
      </c>
      <c r="C74" s="19">
        <v>1E-4</v>
      </c>
      <c r="D74" s="16">
        <f t="shared" si="5"/>
        <v>0.47017965050000005</v>
      </c>
      <c r="E74" s="19">
        <v>1E-4</v>
      </c>
      <c r="F74" s="257">
        <f t="shared" si="6"/>
        <v>0.49839042953000012</v>
      </c>
      <c r="G74" s="28">
        <v>1E-4</v>
      </c>
      <c r="H74" s="258">
        <f t="shared" si="7"/>
        <v>0.49839042953000012</v>
      </c>
    </row>
    <row r="75" spans="1:8" x14ac:dyDescent="0.25">
      <c r="A75" s="30" t="s">
        <v>34</v>
      </c>
      <c r="B75" s="31" t="s">
        <v>128</v>
      </c>
      <c r="C75" s="19">
        <v>3.49E-2</v>
      </c>
      <c r="D75" s="16">
        <f>C75*($D$19+$D$27)</f>
        <v>164.09269802450001</v>
      </c>
      <c r="E75" s="19">
        <v>3.49E-2</v>
      </c>
      <c r="F75" s="257">
        <f t="shared" si="6"/>
        <v>173.93825990597003</v>
      </c>
      <c r="G75" s="28">
        <v>3.49E-2</v>
      </c>
      <c r="H75" s="258">
        <f t="shared" si="7"/>
        <v>173.93825990597003</v>
      </c>
    </row>
    <row r="76" spans="1:8" x14ac:dyDescent="0.25">
      <c r="A76" s="435" t="s">
        <v>17</v>
      </c>
      <c r="B76" s="436"/>
      <c r="C76" s="17">
        <f t="shared" ref="C76:H76" si="8">SUM(C69:C75)</f>
        <v>6.6001000000000004E-2</v>
      </c>
      <c r="D76" s="18">
        <f t="shared" si="8"/>
        <v>310.32327112650501</v>
      </c>
      <c r="E76" s="349">
        <f t="shared" si="8"/>
        <v>6.6001000000000004E-2</v>
      </c>
      <c r="F76" s="202">
        <f t="shared" si="8"/>
        <v>328.94266739409534</v>
      </c>
      <c r="G76" s="350">
        <f t="shared" si="8"/>
        <v>4.8541000000000001E-2</v>
      </c>
      <c r="H76" s="202">
        <f t="shared" si="8"/>
        <v>241.92369839815734</v>
      </c>
    </row>
    <row r="77" spans="1:8" x14ac:dyDescent="0.25">
      <c r="A77" s="432" t="s">
        <v>106</v>
      </c>
      <c r="B77" s="432"/>
      <c r="C77" s="432"/>
      <c r="D77" s="432"/>
      <c r="E77" s="322"/>
    </row>
    <row r="78" spans="1:8" x14ac:dyDescent="0.25">
      <c r="A78" s="432" t="s">
        <v>114</v>
      </c>
      <c r="B78" s="432"/>
      <c r="C78" s="432"/>
      <c r="D78" s="432"/>
      <c r="E78" s="322"/>
    </row>
    <row r="80" spans="1:8" x14ac:dyDescent="0.25">
      <c r="A80" s="415" t="s">
        <v>53</v>
      </c>
      <c r="B80" s="415"/>
      <c r="C80" s="415"/>
      <c r="D80" s="415"/>
      <c r="E80" s="231"/>
    </row>
    <row r="81" spans="1:8" x14ac:dyDescent="0.25">
      <c r="A81" s="438" t="s">
        <v>107</v>
      </c>
      <c r="B81" s="438"/>
      <c r="C81" s="438"/>
      <c r="D81" s="438"/>
      <c r="E81" s="322"/>
    </row>
    <row r="83" spans="1:8" x14ac:dyDescent="0.25">
      <c r="A83" s="434" t="s">
        <v>109</v>
      </c>
      <c r="B83" s="434"/>
      <c r="C83" s="434"/>
      <c r="D83" s="434"/>
      <c r="E83" s="301"/>
    </row>
    <row r="84" spans="1:8" x14ac:dyDescent="0.25">
      <c r="A84" s="304" t="s">
        <v>54</v>
      </c>
      <c r="B84" s="304" t="s">
        <v>55</v>
      </c>
      <c r="C84" s="304" t="s">
        <v>28</v>
      </c>
      <c r="D84" s="304" t="s">
        <v>5</v>
      </c>
      <c r="E84" s="304" t="s">
        <v>28</v>
      </c>
      <c r="F84" s="304" t="s">
        <v>5</v>
      </c>
      <c r="G84" s="304" t="s">
        <v>28</v>
      </c>
      <c r="H84" s="304" t="s">
        <v>5</v>
      </c>
    </row>
    <row r="85" spans="1:8" x14ac:dyDescent="0.25">
      <c r="A85" s="26" t="s">
        <v>6</v>
      </c>
      <c r="B85" s="306" t="s">
        <v>56</v>
      </c>
      <c r="C85" s="19">
        <v>7.6E-3</v>
      </c>
      <c r="D85" s="16">
        <f t="shared" ref="D85:D90" si="9">C85*($D$19+$D$27)</f>
        <v>35.733653438000005</v>
      </c>
      <c r="E85" s="19">
        <v>7.6E-3</v>
      </c>
      <c r="F85" s="203">
        <f>E85*(F$19+F$27)</f>
        <v>37.877672644280004</v>
      </c>
      <c r="G85" s="19">
        <v>7.6E-3</v>
      </c>
      <c r="H85" s="16">
        <f t="shared" ref="H85:H90" si="10">$G85*(H$19+H$27)</f>
        <v>37.877672644280004</v>
      </c>
    </row>
    <row r="86" spans="1:8" x14ac:dyDescent="0.25">
      <c r="A86" s="26" t="s">
        <v>8</v>
      </c>
      <c r="B86" s="306" t="s">
        <v>57</v>
      </c>
      <c r="C86" s="19">
        <v>8.2000000000000007E-3</v>
      </c>
      <c r="D86" s="16">
        <f t="shared" si="9"/>
        <v>38.554731341000007</v>
      </c>
      <c r="E86" s="19">
        <v>8.2000000000000007E-3</v>
      </c>
      <c r="F86" s="203">
        <f t="shared" ref="F86:F90" si="11">E86*(F$19+F$27)</f>
        <v>40.868015221460013</v>
      </c>
      <c r="G86" s="19">
        <v>8.2000000000000007E-3</v>
      </c>
      <c r="H86" s="16">
        <f t="shared" si="10"/>
        <v>40.868015221460013</v>
      </c>
    </row>
    <row r="87" spans="1:8" x14ac:dyDescent="0.25">
      <c r="A87" s="26" t="s">
        <v>9</v>
      </c>
      <c r="B87" s="306" t="s">
        <v>58</v>
      </c>
      <c r="C87" s="19">
        <v>2.0000000000000001E-4</v>
      </c>
      <c r="D87" s="16">
        <f t="shared" si="9"/>
        <v>0.94035930100000009</v>
      </c>
      <c r="E87" s="19">
        <v>2.0000000000000001E-4</v>
      </c>
      <c r="F87" s="203">
        <f t="shared" si="11"/>
        <v>0.99678085906000025</v>
      </c>
      <c r="G87" s="19">
        <v>2.0000000000000001E-4</v>
      </c>
      <c r="H87" s="16">
        <f t="shared" si="10"/>
        <v>0.99678085906000025</v>
      </c>
    </row>
    <row r="88" spans="1:8" x14ac:dyDescent="0.25">
      <c r="A88" s="26" t="s">
        <v>11</v>
      </c>
      <c r="B88" s="306" t="s">
        <v>59</v>
      </c>
      <c r="C88" s="19">
        <v>2.9999999999999997E-4</v>
      </c>
      <c r="D88" s="16">
        <f t="shared" si="9"/>
        <v>1.4105389515</v>
      </c>
      <c r="E88" s="19">
        <v>2.9999999999999997E-4</v>
      </c>
      <c r="F88" s="203">
        <f t="shared" si="11"/>
        <v>1.4951712885900001</v>
      </c>
      <c r="G88" s="19">
        <v>2.9999999999999997E-4</v>
      </c>
      <c r="H88" s="16">
        <f t="shared" si="10"/>
        <v>1.4951712885900001</v>
      </c>
    </row>
    <row r="89" spans="1:8" x14ac:dyDescent="0.25">
      <c r="A89" s="26" t="s">
        <v>13</v>
      </c>
      <c r="B89" s="306" t="s">
        <v>60</v>
      </c>
      <c r="C89" s="19">
        <v>2.8999999999999998E-3</v>
      </c>
      <c r="D89" s="16">
        <f t="shared" si="9"/>
        <v>13.6352098645</v>
      </c>
      <c r="E89" s="19">
        <v>2.8999999999999998E-3</v>
      </c>
      <c r="F89" s="203">
        <f t="shared" si="11"/>
        <v>14.453322456370001</v>
      </c>
      <c r="G89" s="19">
        <v>2.8999999999999998E-3</v>
      </c>
      <c r="H89" s="16">
        <f t="shared" si="10"/>
        <v>14.453322456370001</v>
      </c>
    </row>
    <row r="90" spans="1:8" x14ac:dyDescent="0.25">
      <c r="A90" s="26" t="s">
        <v>15</v>
      </c>
      <c r="B90" s="306" t="s">
        <v>134</v>
      </c>
      <c r="C90" s="19">
        <v>1.66E-2</v>
      </c>
      <c r="D90" s="16">
        <f t="shared" si="9"/>
        <v>78.049821983000001</v>
      </c>
      <c r="E90" s="19">
        <v>1.66E-2</v>
      </c>
      <c r="F90" s="203">
        <f t="shared" si="11"/>
        <v>82.732811301980007</v>
      </c>
      <c r="G90" s="19">
        <v>1.66E-2</v>
      </c>
      <c r="H90" s="16">
        <f t="shared" si="10"/>
        <v>82.732811301980007</v>
      </c>
    </row>
    <row r="91" spans="1:8" x14ac:dyDescent="0.25">
      <c r="A91" s="435" t="s">
        <v>17</v>
      </c>
      <c r="B91" s="436"/>
      <c r="C91" s="17">
        <f t="shared" ref="C91:H91" si="12">SUM(C85:C90)</f>
        <v>3.5799999999999998E-2</v>
      </c>
      <c r="D91" s="18">
        <f t="shared" si="12"/>
        <v>168.32431487900001</v>
      </c>
      <c r="E91" s="17">
        <f t="shared" si="12"/>
        <v>3.5799999999999998E-2</v>
      </c>
      <c r="F91" s="204">
        <f t="shared" si="12"/>
        <v>178.42377377174003</v>
      </c>
      <c r="G91" s="17">
        <f t="shared" si="12"/>
        <v>3.5799999999999998E-2</v>
      </c>
      <c r="H91" s="18">
        <f t="shared" si="12"/>
        <v>178.42377377174003</v>
      </c>
    </row>
    <row r="92" spans="1:8" x14ac:dyDescent="0.25">
      <c r="A92" s="432" t="s">
        <v>115</v>
      </c>
      <c r="B92" s="432"/>
      <c r="C92" s="432"/>
      <c r="D92" s="432"/>
      <c r="E92" s="322"/>
    </row>
    <row r="94" spans="1:8" x14ac:dyDescent="0.25">
      <c r="A94" s="437" t="s">
        <v>110</v>
      </c>
      <c r="B94" s="437"/>
      <c r="C94" s="437"/>
      <c r="D94" s="437"/>
      <c r="E94" s="242"/>
    </row>
    <row r="95" spans="1:8" x14ac:dyDescent="0.25">
      <c r="A95" s="304" t="s">
        <v>61</v>
      </c>
      <c r="B95" s="304" t="s">
        <v>62</v>
      </c>
      <c r="C95" s="304" t="s">
        <v>5</v>
      </c>
      <c r="D95" s="304"/>
      <c r="E95" s="242"/>
      <c r="F95" s="242"/>
      <c r="G95" s="327"/>
      <c r="H95" s="242"/>
    </row>
    <row r="96" spans="1:8" x14ac:dyDescent="0.25">
      <c r="A96" s="26" t="s">
        <v>6</v>
      </c>
      <c r="B96" s="306" t="s">
        <v>63</v>
      </c>
      <c r="C96" s="32"/>
      <c r="D96" s="328"/>
      <c r="E96" s="327"/>
      <c r="F96" s="327"/>
      <c r="G96" s="327"/>
      <c r="H96" s="327"/>
    </row>
    <row r="97" spans="1:8" x14ac:dyDescent="0.25">
      <c r="A97" s="444" t="s">
        <v>17</v>
      </c>
      <c r="B97" s="446"/>
      <c r="C97" s="16">
        <f>SUM(C96)</f>
        <v>0</v>
      </c>
      <c r="D97" s="328"/>
      <c r="E97" s="327"/>
      <c r="F97" s="327"/>
      <c r="G97" s="327"/>
      <c r="H97" s="327"/>
    </row>
    <row r="99" spans="1:8" x14ac:dyDescent="0.25">
      <c r="A99" s="415" t="s">
        <v>111</v>
      </c>
      <c r="B99" s="415"/>
      <c r="C99" s="415"/>
      <c r="D99" s="415"/>
      <c r="E99" s="231"/>
    </row>
    <row r="100" spans="1:8" x14ac:dyDescent="0.25">
      <c r="A100" s="303">
        <v>4</v>
      </c>
      <c r="B100" s="430" t="s">
        <v>64</v>
      </c>
      <c r="C100" s="430"/>
      <c r="D100" s="303" t="s">
        <v>5</v>
      </c>
      <c r="E100" s="242"/>
      <c r="F100" s="303" t="s">
        <v>5</v>
      </c>
      <c r="H100" s="303" t="s">
        <v>5</v>
      </c>
    </row>
    <row r="101" spans="1:8" x14ac:dyDescent="0.25">
      <c r="A101" s="26" t="s">
        <v>54</v>
      </c>
      <c r="B101" s="414" t="s">
        <v>55</v>
      </c>
      <c r="C101" s="414"/>
      <c r="D101" s="16">
        <f>D91</f>
        <v>168.32431487900001</v>
      </c>
      <c r="E101" s="245"/>
      <c r="F101" s="16">
        <f>F91</f>
        <v>178.42377377174003</v>
      </c>
      <c r="H101" s="16">
        <f>H91</f>
        <v>178.42377377174003</v>
      </c>
    </row>
    <row r="102" spans="1:8" x14ac:dyDescent="0.25">
      <c r="A102" s="26" t="s">
        <v>61</v>
      </c>
      <c r="B102" s="14" t="s">
        <v>65</v>
      </c>
      <c r="C102" s="14"/>
      <c r="D102" s="32">
        <f>C97</f>
        <v>0</v>
      </c>
      <c r="E102" s="245"/>
      <c r="F102" s="32">
        <f>D97</f>
        <v>0</v>
      </c>
      <c r="H102" s="32">
        <f>G97</f>
        <v>0</v>
      </c>
    </row>
    <row r="103" spans="1:8" x14ac:dyDescent="0.25">
      <c r="A103" s="430" t="s">
        <v>17</v>
      </c>
      <c r="B103" s="430"/>
      <c r="C103" s="430"/>
      <c r="D103" s="18">
        <f>SUM(D101:D102)</f>
        <v>168.32431487900001</v>
      </c>
      <c r="E103" s="246"/>
      <c r="F103" s="18">
        <f>SUM(F101:F102)</f>
        <v>178.42377377174003</v>
      </c>
      <c r="H103" s="18">
        <f>SUM(H101:H102)</f>
        <v>178.42377377174003</v>
      </c>
    </row>
    <row r="104" spans="1:8" x14ac:dyDescent="0.25">
      <c r="E104" s="327"/>
    </row>
    <row r="105" spans="1:8" x14ac:dyDescent="0.25">
      <c r="A105" s="415" t="s">
        <v>66</v>
      </c>
      <c r="B105" s="415"/>
      <c r="C105" s="415"/>
      <c r="D105" s="415"/>
      <c r="E105" s="248"/>
    </row>
    <row r="106" spans="1:8" x14ac:dyDescent="0.25">
      <c r="A106" s="304">
        <v>5</v>
      </c>
      <c r="B106" s="437" t="s">
        <v>67</v>
      </c>
      <c r="C106" s="437"/>
      <c r="D106" s="304" t="s">
        <v>5</v>
      </c>
      <c r="E106" s="242"/>
      <c r="F106" s="304" t="s">
        <v>5</v>
      </c>
      <c r="H106" s="304" t="s">
        <v>5</v>
      </c>
    </row>
    <row r="107" spans="1:8" x14ac:dyDescent="0.25">
      <c r="A107" s="26" t="s">
        <v>6</v>
      </c>
      <c r="B107" s="414" t="s">
        <v>68</v>
      </c>
      <c r="C107" s="414"/>
      <c r="D107" s="107">
        <f>'TABELA 4 Uniformes e EPIS'!$E16</f>
        <v>79.058333333333323</v>
      </c>
      <c r="E107" s="249"/>
      <c r="F107" s="107">
        <f>'TABELA 4 Uniformes e EPIS'!$E16</f>
        <v>79.058333333333323</v>
      </c>
      <c r="H107" s="107">
        <f>'TABELA 4 Uniformes e EPIS'!$E16</f>
        <v>79.058333333333323</v>
      </c>
    </row>
    <row r="108" spans="1:8" x14ac:dyDescent="0.25">
      <c r="A108" s="26" t="s">
        <v>8</v>
      </c>
      <c r="B108" s="414" t="s">
        <v>405</v>
      </c>
      <c r="C108" s="414"/>
      <c r="D108" s="107">
        <f>'TABELA 4 Uniformes e EPIS'!$E48+'TABELA 5 - Ferramentas'!$I145</f>
        <v>31.248804347826077</v>
      </c>
      <c r="E108" s="249"/>
      <c r="F108" s="107">
        <f>'TABELA 4 Uniformes e EPIS'!$E48+'TABELA 5 - Ferramentas'!$I145</f>
        <v>31.248804347826077</v>
      </c>
      <c r="H108" s="107">
        <f>'TABELA 4 Uniformes e EPIS'!$E48+'TABELA 5 - Ferramentas'!$I145</f>
        <v>31.248804347826077</v>
      </c>
    </row>
    <row r="109" spans="1:8" x14ac:dyDescent="0.25">
      <c r="A109" s="26" t="s">
        <v>9</v>
      </c>
      <c r="B109" s="414" t="s">
        <v>69</v>
      </c>
      <c r="C109" s="414"/>
      <c r="D109" s="16">
        <v>0</v>
      </c>
      <c r="E109" s="245"/>
      <c r="F109" s="16">
        <v>0</v>
      </c>
      <c r="H109" s="16">
        <v>0</v>
      </c>
    </row>
    <row r="110" spans="1:8" x14ac:dyDescent="0.25">
      <c r="A110" s="26" t="s">
        <v>11</v>
      </c>
      <c r="B110" s="414" t="s">
        <v>16</v>
      </c>
      <c r="C110" s="414"/>
      <c r="D110" s="16">
        <v>0</v>
      </c>
      <c r="E110" s="245"/>
      <c r="F110" s="16">
        <v>0</v>
      </c>
      <c r="H110" s="16">
        <v>0</v>
      </c>
    </row>
    <row r="111" spans="1:8" x14ac:dyDescent="0.25">
      <c r="A111" s="430" t="s">
        <v>17</v>
      </c>
      <c r="B111" s="430"/>
      <c r="C111" s="430"/>
      <c r="D111" s="18">
        <f>SUM(D107:D110)</f>
        <v>110.3071376811594</v>
      </c>
      <c r="E111" s="250"/>
      <c r="F111" s="18">
        <f>SUM(F107:F110)</f>
        <v>110.3071376811594</v>
      </c>
      <c r="H111" s="18">
        <f>SUM(H107:H110)</f>
        <v>110.3071376811594</v>
      </c>
    </row>
    <row r="112" spans="1:8" x14ac:dyDescent="0.25">
      <c r="A112" s="432" t="s">
        <v>78</v>
      </c>
      <c r="B112" s="432"/>
      <c r="C112" s="432"/>
      <c r="D112" s="432"/>
      <c r="E112" s="322"/>
    </row>
    <row r="114" spans="1:8" x14ac:dyDescent="0.25">
      <c r="A114" s="415" t="s">
        <v>70</v>
      </c>
      <c r="B114" s="415"/>
      <c r="C114" s="415"/>
      <c r="D114" s="415"/>
      <c r="E114" s="231"/>
    </row>
    <row r="115" spans="1:8" ht="12.75" customHeight="1" x14ac:dyDescent="0.25">
      <c r="A115" s="443" t="s">
        <v>116</v>
      </c>
      <c r="B115" s="443"/>
      <c r="C115" s="439" t="s">
        <v>117</v>
      </c>
      <c r="D115" s="439"/>
      <c r="E115" s="440" t="s">
        <v>117</v>
      </c>
      <c r="F115" s="441"/>
      <c r="G115" s="439" t="s">
        <v>117</v>
      </c>
      <c r="H115" s="439"/>
    </row>
    <row r="116" spans="1:8" x14ac:dyDescent="0.25">
      <c r="A116" s="303">
        <v>6</v>
      </c>
      <c r="B116" s="303" t="s">
        <v>71</v>
      </c>
      <c r="C116" s="303" t="s">
        <v>28</v>
      </c>
      <c r="D116" s="303" t="s">
        <v>5</v>
      </c>
      <c r="E116" s="303" t="s">
        <v>28</v>
      </c>
      <c r="F116" s="303" t="s">
        <v>5</v>
      </c>
      <c r="G116" s="303" t="s">
        <v>28</v>
      </c>
      <c r="H116" s="303" t="s">
        <v>5</v>
      </c>
    </row>
    <row r="117" spans="1:8" x14ac:dyDescent="0.25">
      <c r="A117" s="26" t="s">
        <v>6</v>
      </c>
      <c r="B117" s="14" t="s">
        <v>72</v>
      </c>
      <c r="C117" s="19">
        <v>0.06</v>
      </c>
      <c r="D117" s="16">
        <f>C117*D135</f>
        <v>433.10682287376989</v>
      </c>
      <c r="E117" s="19">
        <v>0.06</v>
      </c>
      <c r="F117" s="203">
        <f>$E117*F$135</f>
        <v>452.76285907967377</v>
      </c>
      <c r="G117" s="19">
        <v>0.06</v>
      </c>
      <c r="H117" s="203">
        <f>$G117*H$135</f>
        <v>447.54172093991747</v>
      </c>
    </row>
    <row r="118" spans="1:8" x14ac:dyDescent="0.25">
      <c r="A118" s="26" t="s">
        <v>8</v>
      </c>
      <c r="B118" s="14" t="s">
        <v>73</v>
      </c>
      <c r="C118" s="19">
        <v>4.4999999999999998E-2</v>
      </c>
      <c r="D118" s="16">
        <f>C118*D135</f>
        <v>324.8301171553274</v>
      </c>
      <c r="E118" s="19">
        <v>4.4999999999999998E-2</v>
      </c>
      <c r="F118" s="203">
        <f>$E118*F$135</f>
        <v>339.57214430975534</v>
      </c>
      <c r="G118" s="19">
        <v>4.4999999999999998E-2</v>
      </c>
      <c r="H118" s="203">
        <f>$G118*H$135</f>
        <v>335.6562907049381</v>
      </c>
    </row>
    <row r="119" spans="1:8" x14ac:dyDescent="0.25">
      <c r="A119" s="26" t="s">
        <v>9</v>
      </c>
      <c r="B119" s="14" t="s">
        <v>125</v>
      </c>
      <c r="C119" s="34">
        <f>SUM(C120:C122)</f>
        <v>5.6499999999999995E-2</v>
      </c>
      <c r="D119" s="16">
        <f>(D135+D118+D117)*(C119/IF(C115="Lucro presumido",91.45%,85.75%))</f>
        <v>492.80010422939012</v>
      </c>
      <c r="E119" s="34">
        <f>SUM(E120:E122)</f>
        <v>5.6499999999999995E-2</v>
      </c>
      <c r="F119" s="203">
        <f>(F$135+F$118+F$117)*($E119/IF($E115="Lucro presumido",91.45%,85.75%))</f>
        <v>515.16524876055632</v>
      </c>
      <c r="G119" s="34">
        <f>SUM(G120:G122)</f>
        <v>5.6499999999999995E-2</v>
      </c>
      <c r="H119" s="203">
        <f>(H$135+H$118+H$117)*($G119/IF($G115="Lucro presumido",91.45%,85.75%))</f>
        <v>509.22450323640237</v>
      </c>
    </row>
    <row r="120" spans="1:8" x14ac:dyDescent="0.25">
      <c r="A120" s="26" t="s">
        <v>120</v>
      </c>
      <c r="B120" s="14" t="s">
        <v>119</v>
      </c>
      <c r="C120" s="34">
        <f>IF(C115="Lucro presumido",0.65%,1.65%)</f>
        <v>6.5000000000000006E-3</v>
      </c>
      <c r="D120" s="9" t="s">
        <v>118</v>
      </c>
      <c r="E120" s="34">
        <f>IF(E115="Lucro presumido",0.65%,1.65%)</f>
        <v>6.5000000000000006E-3</v>
      </c>
      <c r="F120" s="9" t="s">
        <v>118</v>
      </c>
      <c r="G120" s="34">
        <f>IF(G115="Lucro presumido",0.65%,1.65%)</f>
        <v>6.5000000000000006E-3</v>
      </c>
      <c r="H120" s="9" t="s">
        <v>118</v>
      </c>
    </row>
    <row r="121" spans="1:8" x14ac:dyDescent="0.25">
      <c r="A121" s="26" t="s">
        <v>122</v>
      </c>
      <c r="B121" s="14" t="s">
        <v>121</v>
      </c>
      <c r="C121" s="34">
        <f>IF(C115="Lucro presumido",3%,7.6%)</f>
        <v>0.03</v>
      </c>
      <c r="D121" s="9" t="s">
        <v>118</v>
      </c>
      <c r="E121" s="34">
        <f>IF(E115="Lucro presumido",3%,7.6%)</f>
        <v>0.03</v>
      </c>
      <c r="F121" s="9" t="s">
        <v>118</v>
      </c>
      <c r="G121" s="34">
        <f>IF(G115="Lucro presumido",3%,7.6%)</f>
        <v>0.03</v>
      </c>
      <c r="H121" s="9" t="s">
        <v>118</v>
      </c>
    </row>
    <row r="122" spans="1:8" x14ac:dyDescent="0.25">
      <c r="A122" s="26" t="s">
        <v>124</v>
      </c>
      <c r="B122" s="14" t="s">
        <v>123</v>
      </c>
      <c r="C122" s="34">
        <v>0.02</v>
      </c>
      <c r="D122" s="9" t="s">
        <v>118</v>
      </c>
      <c r="E122" s="34">
        <v>0.02</v>
      </c>
      <c r="F122" s="9" t="s">
        <v>118</v>
      </c>
      <c r="G122" s="34">
        <v>0.02</v>
      </c>
      <c r="H122" s="9" t="s">
        <v>118</v>
      </c>
    </row>
    <row r="123" spans="1:8" x14ac:dyDescent="0.25">
      <c r="A123" s="26" t="s">
        <v>11</v>
      </c>
      <c r="B123" s="306" t="s">
        <v>127</v>
      </c>
      <c r="C123" s="36">
        <v>4.4999999999999998E-2</v>
      </c>
      <c r="D123" s="37">
        <f>(D135+D118+D117)*(C123/IF(C115="Lucro presumido",91.45%,85.75%))</f>
        <v>392.49565823579746</v>
      </c>
      <c r="E123" s="36">
        <v>4.4999999999999998E-2</v>
      </c>
      <c r="F123" s="208">
        <f>(F$135+F$118+F$117)*($E123/IF($E115="Lucro presumido",91.45%,85.75%))</f>
        <v>410.30860520752282</v>
      </c>
      <c r="G123" s="36">
        <v>4.4999999999999998E-2</v>
      </c>
      <c r="H123" s="208">
        <f>(H$135+H$118+H$117)*($G123/IF($G115="Lucro presumido",91.45%,85.75%))</f>
        <v>405.57703797589573</v>
      </c>
    </row>
    <row r="124" spans="1:8" x14ac:dyDescent="0.25">
      <c r="A124" s="430" t="s">
        <v>17</v>
      </c>
      <c r="B124" s="430"/>
      <c r="C124" s="21">
        <f>SUM(C117:C119)+(C123)</f>
        <v>0.20649999999999996</v>
      </c>
      <c r="D124" s="18">
        <f>SUM(D117:D123)</f>
        <v>1643.2327024942849</v>
      </c>
      <c r="E124" s="21">
        <f>SUM(E117:E119)+(E123)</f>
        <v>0.20649999999999996</v>
      </c>
      <c r="F124" s="207">
        <f>SUM(F117:F123)</f>
        <v>1717.8088573575083</v>
      </c>
      <c r="G124" s="21">
        <f>SUM(G117:G119)+(G123)</f>
        <v>0.20649999999999996</v>
      </c>
      <c r="H124" s="207">
        <f>SUM(H117:H123)</f>
        <v>1697.9995528571537</v>
      </c>
    </row>
    <row r="125" spans="1:8" x14ac:dyDescent="0.25">
      <c r="A125" s="432" t="s">
        <v>79</v>
      </c>
      <c r="B125" s="432"/>
      <c r="C125" s="432"/>
      <c r="D125" s="432"/>
      <c r="E125" s="322"/>
    </row>
    <row r="126" spans="1:8" x14ac:dyDescent="0.25">
      <c r="A126" s="432" t="s">
        <v>126</v>
      </c>
      <c r="B126" s="432"/>
      <c r="C126" s="432"/>
      <c r="D126" s="432"/>
      <c r="E126" s="322"/>
    </row>
    <row r="128" spans="1:8" x14ac:dyDescent="0.25">
      <c r="A128" s="415" t="s">
        <v>112</v>
      </c>
      <c r="B128" s="415"/>
      <c r="C128" s="415"/>
      <c r="D128" s="415"/>
      <c r="E128" s="231"/>
    </row>
    <row r="129" spans="1:8" x14ac:dyDescent="0.25">
      <c r="A129" s="444" t="s">
        <v>80</v>
      </c>
      <c r="B129" s="445"/>
      <c r="C129" s="446"/>
      <c r="D129" s="304" t="s">
        <v>74</v>
      </c>
      <c r="E129" s="242"/>
      <c r="F129" s="304" t="s">
        <v>74</v>
      </c>
      <c r="H129" s="304" t="s">
        <v>74</v>
      </c>
    </row>
    <row r="130" spans="1:8" x14ac:dyDescent="0.25">
      <c r="A130" s="26" t="s">
        <v>6</v>
      </c>
      <c r="B130" s="438" t="s">
        <v>75</v>
      </c>
      <c r="C130" s="438"/>
      <c r="D130" s="16">
        <f>D19</f>
        <v>3879.05</v>
      </c>
      <c r="E130" s="245"/>
      <c r="F130" s="203">
        <f>F19</f>
        <v>4111.7930000000006</v>
      </c>
      <c r="H130" s="16">
        <f>H19</f>
        <v>4111.7930000000006</v>
      </c>
    </row>
    <row r="131" spans="1:8" x14ac:dyDescent="0.25">
      <c r="A131" s="26" t="s">
        <v>8</v>
      </c>
      <c r="B131" s="438" t="s">
        <v>19</v>
      </c>
      <c r="C131" s="438"/>
      <c r="D131" s="16">
        <f>D65</f>
        <v>2750.4423242094999</v>
      </c>
      <c r="E131" s="245"/>
      <c r="F131" s="203">
        <f>F65</f>
        <v>2816.5810724809003</v>
      </c>
      <c r="H131" s="211">
        <f>H65</f>
        <v>2816.5810724809003</v>
      </c>
    </row>
    <row r="132" spans="1:8" x14ac:dyDescent="0.25">
      <c r="A132" s="26" t="s">
        <v>9</v>
      </c>
      <c r="B132" s="438" t="s">
        <v>76</v>
      </c>
      <c r="C132" s="438"/>
      <c r="D132" s="16">
        <f>D76</f>
        <v>310.32327112650501</v>
      </c>
      <c r="E132" s="245"/>
      <c r="F132" s="203">
        <f>F76</f>
        <v>328.94266739409534</v>
      </c>
      <c r="H132" s="203">
        <f>H76</f>
        <v>241.92369839815734</v>
      </c>
    </row>
    <row r="133" spans="1:8" x14ac:dyDescent="0.25">
      <c r="A133" s="26" t="s">
        <v>11</v>
      </c>
      <c r="B133" s="438" t="s">
        <v>53</v>
      </c>
      <c r="C133" s="438"/>
      <c r="D133" s="16">
        <f>D103</f>
        <v>168.32431487900001</v>
      </c>
      <c r="E133" s="245"/>
      <c r="F133" s="203">
        <f>F103</f>
        <v>178.42377377174003</v>
      </c>
      <c r="H133" s="16">
        <f>H103</f>
        <v>178.42377377174003</v>
      </c>
    </row>
    <row r="134" spans="1:8" x14ac:dyDescent="0.25">
      <c r="A134" s="26" t="s">
        <v>13</v>
      </c>
      <c r="B134" s="438" t="s">
        <v>66</v>
      </c>
      <c r="C134" s="438"/>
      <c r="D134" s="16">
        <f>D111</f>
        <v>110.3071376811594</v>
      </c>
      <c r="E134" s="245"/>
      <c r="F134" s="16">
        <f>F111</f>
        <v>110.3071376811594</v>
      </c>
      <c r="H134" s="16">
        <f>H111</f>
        <v>110.3071376811594</v>
      </c>
    </row>
    <row r="135" spans="1:8" x14ac:dyDescent="0.25">
      <c r="A135" s="430" t="s">
        <v>77</v>
      </c>
      <c r="B135" s="430"/>
      <c r="C135" s="430"/>
      <c r="D135" s="18">
        <f>SUM(D130:D134)</f>
        <v>7218.4470478961648</v>
      </c>
      <c r="E135" s="246"/>
      <c r="F135" s="204">
        <f>SUM(F130:F134)</f>
        <v>7546.0476513278963</v>
      </c>
      <c r="H135" s="204">
        <f>SUM(H130:H134)</f>
        <v>7459.0286823319584</v>
      </c>
    </row>
    <row r="136" spans="1:8" x14ac:dyDescent="0.25">
      <c r="A136" s="26" t="s">
        <v>15</v>
      </c>
      <c r="B136" s="414" t="s">
        <v>70</v>
      </c>
      <c r="C136" s="414"/>
      <c r="D136" s="16">
        <f>D124</f>
        <v>1643.2327024942849</v>
      </c>
      <c r="E136" s="245"/>
      <c r="F136" s="203">
        <f>F124</f>
        <v>1717.8088573575083</v>
      </c>
      <c r="H136" s="203">
        <f>H124</f>
        <v>1697.9995528571537</v>
      </c>
    </row>
    <row r="137" spans="1:8" x14ac:dyDescent="0.25">
      <c r="A137" s="415" t="s">
        <v>436</v>
      </c>
      <c r="B137" s="415"/>
      <c r="C137" s="415"/>
      <c r="D137" s="38">
        <f>SUM(D135:D136)</f>
        <v>8861.679750390449</v>
      </c>
      <c r="E137" s="251"/>
      <c r="F137" s="209">
        <f>SUM(F135:F136)</f>
        <v>9263.8565086854051</v>
      </c>
      <c r="H137" s="209">
        <f>SUM(H135:H136)</f>
        <v>9157.0282351891128</v>
      </c>
    </row>
    <row r="140" spans="1:8" x14ac:dyDescent="0.25">
      <c r="E140" s="252"/>
    </row>
  </sheetData>
  <mergeCells count="82">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8:D58"/>
    <mergeCell ref="A30:D30"/>
    <mergeCell ref="A32:D32"/>
    <mergeCell ref="A42:B42"/>
    <mergeCell ref="A43:D43"/>
    <mergeCell ref="A44:D44"/>
    <mergeCell ref="A45:D45"/>
    <mergeCell ref="A46:D46"/>
    <mergeCell ref="A47:D47"/>
    <mergeCell ref="A49:D49"/>
    <mergeCell ref="A56:C56"/>
    <mergeCell ref="A57:D57"/>
    <mergeCell ref="A81:D81"/>
    <mergeCell ref="A60:D60"/>
    <mergeCell ref="B61:C61"/>
    <mergeCell ref="B62:C62"/>
    <mergeCell ref="B63:C63"/>
    <mergeCell ref="B64:C64"/>
    <mergeCell ref="A65:C65"/>
    <mergeCell ref="A67:D67"/>
    <mergeCell ref="A76:B76"/>
    <mergeCell ref="A77:D77"/>
    <mergeCell ref="A78:D78"/>
    <mergeCell ref="A80:D80"/>
    <mergeCell ref="B107:C107"/>
    <mergeCell ref="A83:D83"/>
    <mergeCell ref="A91:B91"/>
    <mergeCell ref="A92:D92"/>
    <mergeCell ref="A94:D94"/>
    <mergeCell ref="A97:B97"/>
    <mergeCell ref="A99:D99"/>
    <mergeCell ref="B100:C100"/>
    <mergeCell ref="B101:C101"/>
    <mergeCell ref="A103:C103"/>
    <mergeCell ref="A105:D105"/>
    <mergeCell ref="B106:C106"/>
    <mergeCell ref="A114:D114"/>
    <mergeCell ref="A115:B115"/>
    <mergeCell ref="C115:D115"/>
    <mergeCell ref="A124:B124"/>
    <mergeCell ref="A125:D125"/>
    <mergeCell ref="B108:C108"/>
    <mergeCell ref="B109:C109"/>
    <mergeCell ref="B110:C110"/>
    <mergeCell ref="A111:C111"/>
    <mergeCell ref="A112:D112"/>
    <mergeCell ref="G115:H115"/>
    <mergeCell ref="E115:F115"/>
    <mergeCell ref="A135:C135"/>
    <mergeCell ref="B136:C136"/>
    <mergeCell ref="A137:C137"/>
    <mergeCell ref="A129:C129"/>
    <mergeCell ref="B130:C130"/>
    <mergeCell ref="B131:C131"/>
    <mergeCell ref="B132:C132"/>
    <mergeCell ref="B133:C133"/>
    <mergeCell ref="B134:C134"/>
    <mergeCell ref="A128:D128"/>
    <mergeCell ref="A126:D126"/>
  </mergeCells>
  <dataValidations disablePrompts="1" count="1">
    <dataValidation type="list" allowBlank="1" showInputMessage="1" showErrorMessage="1" sqref="G115 C115:E115" xr:uid="{00000000-0002-0000-0400-000000000000}">
      <formula1>"Lucro presumido,Lucro real"</formula1>
    </dataValidation>
  </dataValidations>
  <pageMargins left="0.511811024" right="0.511811024" top="0.78740157499999996" bottom="0.78740157499999996" header="0.31496062000000002" footer="0.31496062000000002"/>
  <pageSetup paperSize="9" scale="4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pageSetUpPr fitToPage="1"/>
  </sheetPr>
  <dimension ref="A1:H140"/>
  <sheetViews>
    <sheetView showGridLines="0" topLeftCell="A19" zoomScaleNormal="100" workbookViewId="0">
      <selection activeCell="H73" sqref="H73:H74"/>
    </sheetView>
  </sheetViews>
  <sheetFormatPr defaultColWidth="8.7109375" defaultRowHeight="12.75" x14ac:dyDescent="0.2"/>
  <cols>
    <col min="1" max="1" width="5" style="1" bestFit="1" customWidth="1"/>
    <col min="2" max="2" width="45.7109375" style="12" bestFit="1" customWidth="1"/>
    <col min="3" max="3" width="14.140625" style="12" bestFit="1" customWidth="1"/>
    <col min="4" max="4" width="9.85546875" style="1" bestFit="1" customWidth="1"/>
    <col min="5" max="5" width="14.140625" style="221" bestFit="1" customWidth="1"/>
    <col min="6" max="6" width="20.28515625" style="221" bestFit="1" customWidth="1"/>
    <col min="7" max="7" width="14.140625" style="221" bestFit="1" customWidth="1"/>
    <col min="8" max="8" width="18.28515625" style="221" bestFit="1" customWidth="1"/>
    <col min="9" max="16384" width="8.7109375" style="1"/>
  </cols>
  <sheetData>
    <row r="1" spans="1:8" x14ac:dyDescent="0.2">
      <c r="A1" s="476" t="s">
        <v>92</v>
      </c>
      <c r="B1" s="476"/>
      <c r="C1" s="476"/>
      <c r="D1" s="476"/>
      <c r="E1" s="222"/>
    </row>
    <row r="3" spans="1:8" x14ac:dyDescent="0.2">
      <c r="A3" s="477" t="s">
        <v>0</v>
      </c>
      <c r="B3" s="477"/>
      <c r="C3" s="477"/>
      <c r="D3" s="477"/>
      <c r="E3" s="223"/>
    </row>
    <row r="4" spans="1:8" ht="25.5" x14ac:dyDescent="0.2">
      <c r="A4" s="43">
        <v>1</v>
      </c>
      <c r="B4" s="3" t="s">
        <v>1</v>
      </c>
      <c r="C4" s="454" t="s">
        <v>141</v>
      </c>
      <c r="D4" s="454"/>
      <c r="E4" s="224"/>
    </row>
    <row r="5" spans="1:8" x14ac:dyDescent="0.2">
      <c r="A5" s="4">
        <v>2</v>
      </c>
      <c r="B5" s="5" t="s">
        <v>2</v>
      </c>
      <c r="C5" s="455"/>
      <c r="D5" s="455"/>
      <c r="E5" s="225"/>
    </row>
    <row r="6" spans="1:8" x14ac:dyDescent="0.2">
      <c r="A6" s="4">
        <v>3</v>
      </c>
      <c r="B6" s="5" t="s">
        <v>95</v>
      </c>
      <c r="C6" s="478">
        <v>1901.53</v>
      </c>
      <c r="D6" s="478"/>
      <c r="E6" s="226"/>
      <c r="F6" s="262"/>
    </row>
    <row r="7" spans="1:8" ht="25.5" x14ac:dyDescent="0.2">
      <c r="A7" s="4">
        <v>4</v>
      </c>
      <c r="B7" s="5" t="s">
        <v>96</v>
      </c>
      <c r="C7" s="479" t="s">
        <v>450</v>
      </c>
      <c r="D7" s="480"/>
      <c r="E7" s="227"/>
    </row>
    <row r="8" spans="1:8" x14ac:dyDescent="0.2">
      <c r="A8" s="4">
        <v>5</v>
      </c>
      <c r="B8" s="5" t="s">
        <v>3</v>
      </c>
      <c r="C8" s="458" t="s">
        <v>451</v>
      </c>
      <c r="D8" s="455"/>
      <c r="E8" s="228"/>
      <c r="F8" s="229">
        <v>44562</v>
      </c>
    </row>
    <row r="9" spans="1:8" x14ac:dyDescent="0.2">
      <c r="A9" s="4">
        <v>6</v>
      </c>
      <c r="B9" s="5" t="s">
        <v>97</v>
      </c>
      <c r="C9" s="458" t="s">
        <v>452</v>
      </c>
      <c r="D9" s="455"/>
      <c r="E9" s="228"/>
      <c r="F9" s="230" t="s">
        <v>566</v>
      </c>
    </row>
    <row r="10" spans="1:8" x14ac:dyDescent="0.2">
      <c r="F10" s="221" t="s">
        <v>567</v>
      </c>
      <c r="H10" s="221" t="s">
        <v>568</v>
      </c>
    </row>
    <row r="11" spans="1:8" ht="127.5" x14ac:dyDescent="0.2">
      <c r="A11" s="415" t="s">
        <v>75</v>
      </c>
      <c r="B11" s="415"/>
      <c r="C11" s="415"/>
      <c r="D11" s="415"/>
      <c r="E11" s="231"/>
      <c r="F11" s="252" t="s">
        <v>575</v>
      </c>
      <c r="H11" s="252" t="s">
        <v>569</v>
      </c>
    </row>
    <row r="12" spans="1:8" x14ac:dyDescent="0.2">
      <c r="A12" s="40">
        <v>1</v>
      </c>
      <c r="B12" s="477" t="s">
        <v>4</v>
      </c>
      <c r="C12" s="477"/>
      <c r="D12" s="42" t="s">
        <v>5</v>
      </c>
      <c r="E12" s="242"/>
      <c r="F12" s="218" t="s">
        <v>5</v>
      </c>
      <c r="H12" s="218" t="s">
        <v>5</v>
      </c>
    </row>
    <row r="13" spans="1:8" x14ac:dyDescent="0.2">
      <c r="A13" s="8" t="s">
        <v>6</v>
      </c>
      <c r="B13" s="414" t="s">
        <v>7</v>
      </c>
      <c r="C13" s="414"/>
      <c r="D13" s="114">
        <v>2182.33</v>
      </c>
      <c r="E13" s="243"/>
      <c r="F13" s="200">
        <f>D13*1.1</f>
        <v>2400.5630000000001</v>
      </c>
      <c r="H13" s="114">
        <f>F13</f>
        <v>2400.5630000000001</v>
      </c>
    </row>
    <row r="14" spans="1:8" x14ac:dyDescent="0.2">
      <c r="A14" s="8" t="s">
        <v>8</v>
      </c>
      <c r="B14" s="414" t="s">
        <v>400</v>
      </c>
      <c r="C14" s="414"/>
      <c r="D14" s="10" t="s">
        <v>118</v>
      </c>
      <c r="E14" s="244"/>
      <c r="F14" s="10" t="s">
        <v>118</v>
      </c>
      <c r="H14" s="10" t="s">
        <v>118</v>
      </c>
    </row>
    <row r="15" spans="1:8" x14ac:dyDescent="0.2">
      <c r="A15" s="8" t="s">
        <v>9</v>
      </c>
      <c r="B15" s="414" t="s">
        <v>10</v>
      </c>
      <c r="C15" s="414"/>
      <c r="D15" s="10" t="s">
        <v>118</v>
      </c>
      <c r="E15" s="244"/>
      <c r="F15" s="10" t="s">
        <v>118</v>
      </c>
      <c r="H15" s="10" t="s">
        <v>118</v>
      </c>
    </row>
    <row r="16" spans="1:8" x14ac:dyDescent="0.2">
      <c r="A16" s="8" t="s">
        <v>11</v>
      </c>
      <c r="B16" s="414" t="s">
        <v>12</v>
      </c>
      <c r="C16" s="414"/>
      <c r="D16" s="10" t="s">
        <v>118</v>
      </c>
      <c r="E16" s="244"/>
      <c r="F16" s="10" t="s">
        <v>118</v>
      </c>
      <c r="H16" s="10" t="s">
        <v>118</v>
      </c>
    </row>
    <row r="17" spans="1:8" x14ac:dyDescent="0.2">
      <c r="A17" s="8" t="s">
        <v>13</v>
      </c>
      <c r="B17" s="414" t="s">
        <v>14</v>
      </c>
      <c r="C17" s="414"/>
      <c r="D17" s="10" t="s">
        <v>118</v>
      </c>
      <c r="E17" s="244"/>
      <c r="F17" s="10" t="s">
        <v>118</v>
      </c>
      <c r="H17" s="10" t="s">
        <v>118</v>
      </c>
    </row>
    <row r="18" spans="1:8" x14ac:dyDescent="0.2">
      <c r="A18" s="8" t="s">
        <v>15</v>
      </c>
      <c r="B18" s="414" t="s">
        <v>16</v>
      </c>
      <c r="C18" s="414"/>
      <c r="D18" s="10" t="s">
        <v>118</v>
      </c>
      <c r="E18" s="244"/>
      <c r="F18" s="10" t="s">
        <v>118</v>
      </c>
      <c r="H18" s="10" t="s">
        <v>118</v>
      </c>
    </row>
    <row r="19" spans="1:8" x14ac:dyDescent="0.2">
      <c r="A19" s="463" t="s">
        <v>17</v>
      </c>
      <c r="B19" s="463"/>
      <c r="C19" s="463"/>
      <c r="D19" s="11">
        <f>SUM(D13:D18)</f>
        <v>2182.33</v>
      </c>
      <c r="E19" s="243"/>
      <c r="F19" s="202">
        <f>SUM(F13:F18)</f>
        <v>2400.5630000000001</v>
      </c>
      <c r="H19" s="11">
        <f>SUM(H13:H18)</f>
        <v>2400.5630000000001</v>
      </c>
    </row>
    <row r="20" spans="1:8" x14ac:dyDescent="0.2">
      <c r="A20" s="481" t="s">
        <v>18</v>
      </c>
      <c r="B20" s="481"/>
      <c r="C20" s="481"/>
      <c r="D20" s="481"/>
      <c r="E20" s="233"/>
    </row>
    <row r="22" spans="1:8" x14ac:dyDescent="0.2">
      <c r="A22" s="415" t="s">
        <v>19</v>
      </c>
      <c r="B22" s="415"/>
      <c r="C22" s="415"/>
      <c r="D22" s="415"/>
      <c r="E22" s="231"/>
    </row>
    <row r="23" spans="1:8" x14ac:dyDescent="0.2">
      <c r="A23" s="463" t="s">
        <v>24</v>
      </c>
      <c r="B23" s="463"/>
      <c r="C23" s="463"/>
      <c r="D23" s="463"/>
      <c r="E23" s="234"/>
    </row>
    <row r="24" spans="1:8" ht="25.5" x14ac:dyDescent="0.2">
      <c r="A24" s="39" t="s">
        <v>20</v>
      </c>
      <c r="B24" s="39" t="s">
        <v>21</v>
      </c>
      <c r="C24" s="43" t="s">
        <v>28</v>
      </c>
      <c r="D24" s="39" t="s">
        <v>5</v>
      </c>
      <c r="E24" s="219" t="s">
        <v>28</v>
      </c>
      <c r="F24" s="220" t="s">
        <v>5</v>
      </c>
      <c r="G24" s="219" t="s">
        <v>28</v>
      </c>
      <c r="H24" s="220" t="s">
        <v>5</v>
      </c>
    </row>
    <row r="25" spans="1:8" x14ac:dyDescent="0.2">
      <c r="A25" s="8" t="s">
        <v>6</v>
      </c>
      <c r="B25" s="14" t="s">
        <v>22</v>
      </c>
      <c r="C25" s="15">
        <v>9.0899999999999995E-2</v>
      </c>
      <c r="D25" s="16">
        <f>C25*$D$19</f>
        <v>198.37379699999997</v>
      </c>
      <c r="E25" s="270">
        <v>9.0899999999999995E-2</v>
      </c>
      <c r="F25" s="203">
        <f>E25*F$19</f>
        <v>218.21117670000001</v>
      </c>
      <c r="G25" s="270">
        <v>9.0899999999999995E-2</v>
      </c>
      <c r="H25" s="211">
        <f>G25*H$19</f>
        <v>218.21117670000001</v>
      </c>
    </row>
    <row r="26" spans="1:8" x14ac:dyDescent="0.2">
      <c r="A26" s="8" t="s">
        <v>8</v>
      </c>
      <c r="B26" s="14" t="s">
        <v>23</v>
      </c>
      <c r="C26" s="15">
        <v>0.1212</v>
      </c>
      <c r="D26" s="16">
        <f>C26*$D$19</f>
        <v>264.49839600000001</v>
      </c>
      <c r="E26" s="270">
        <v>0.1212</v>
      </c>
      <c r="F26" s="203">
        <f>E26*F$19</f>
        <v>290.94823560000003</v>
      </c>
      <c r="G26" s="270">
        <v>0.1212</v>
      </c>
      <c r="H26" s="211">
        <f>G26*H$19</f>
        <v>290.94823560000003</v>
      </c>
    </row>
    <row r="27" spans="1:8" x14ac:dyDescent="0.2">
      <c r="A27" s="463" t="s">
        <v>17</v>
      </c>
      <c r="B27" s="463"/>
      <c r="C27" s="17">
        <f t="shared" ref="C27:H27" si="0">SUM(C25:C26)</f>
        <v>0.21210000000000001</v>
      </c>
      <c r="D27" s="18">
        <f t="shared" si="0"/>
        <v>462.87219299999998</v>
      </c>
      <c r="E27" s="17">
        <f t="shared" si="0"/>
        <v>0.21210000000000001</v>
      </c>
      <c r="F27" s="204">
        <f t="shared" si="0"/>
        <v>509.15941230000004</v>
      </c>
      <c r="G27" s="17">
        <f t="shared" si="0"/>
        <v>0.21210000000000001</v>
      </c>
      <c r="H27" s="212">
        <f t="shared" si="0"/>
        <v>509.15941230000004</v>
      </c>
    </row>
    <row r="28" spans="1:8" x14ac:dyDescent="0.2">
      <c r="A28" s="464" t="s">
        <v>98</v>
      </c>
      <c r="B28" s="464"/>
      <c r="C28" s="464"/>
      <c r="D28" s="464"/>
      <c r="E28" s="233"/>
    </row>
    <row r="29" spans="1:8" x14ac:dyDescent="0.2">
      <c r="A29" s="464" t="s">
        <v>99</v>
      </c>
      <c r="B29" s="464"/>
      <c r="C29" s="464"/>
      <c r="D29" s="464"/>
      <c r="E29" s="233"/>
    </row>
    <row r="30" spans="1:8" x14ac:dyDescent="0.2">
      <c r="A30" s="464" t="s">
        <v>100</v>
      </c>
      <c r="B30" s="464"/>
      <c r="C30" s="464"/>
      <c r="D30" s="464"/>
      <c r="E30" s="233"/>
    </row>
    <row r="32" spans="1:8" x14ac:dyDescent="0.2">
      <c r="A32" s="470" t="s">
        <v>25</v>
      </c>
      <c r="B32" s="470"/>
      <c r="C32" s="470"/>
      <c r="D32" s="470"/>
      <c r="E32" s="235"/>
    </row>
    <row r="33" spans="1:8" x14ac:dyDescent="0.2">
      <c r="A33" s="40" t="s">
        <v>26</v>
      </c>
      <c r="B33" s="42" t="s">
        <v>27</v>
      </c>
      <c r="C33" s="42" t="s">
        <v>28</v>
      </c>
      <c r="D33" s="40" t="s">
        <v>5</v>
      </c>
      <c r="E33" s="218" t="s">
        <v>28</v>
      </c>
      <c r="F33" s="217" t="s">
        <v>5</v>
      </c>
      <c r="G33" s="218" t="s">
        <v>28</v>
      </c>
      <c r="H33" s="217" t="s">
        <v>5</v>
      </c>
    </row>
    <row r="34" spans="1:8" x14ac:dyDescent="0.2">
      <c r="A34" s="8" t="s">
        <v>6</v>
      </c>
      <c r="B34" s="14" t="s">
        <v>29</v>
      </c>
      <c r="C34" s="19">
        <v>0</v>
      </c>
      <c r="D34" s="20">
        <f t="shared" ref="D34:D40" si="1">C34*($D$19+$D$27)</f>
        <v>0</v>
      </c>
      <c r="E34" s="19">
        <v>0</v>
      </c>
      <c r="F34" s="20">
        <f>E34*(F$19+F$27)</f>
        <v>0</v>
      </c>
      <c r="G34" s="19">
        <v>0</v>
      </c>
      <c r="H34" s="20">
        <f>G34*(H$19+H$27)</f>
        <v>0</v>
      </c>
    </row>
    <row r="35" spans="1:8" x14ac:dyDescent="0.2">
      <c r="A35" s="8" t="s">
        <v>8</v>
      </c>
      <c r="B35" s="14" t="s">
        <v>30</v>
      </c>
      <c r="C35" s="19">
        <v>2.5000000000000001E-2</v>
      </c>
      <c r="D35" s="20">
        <f t="shared" si="1"/>
        <v>66.130054825000002</v>
      </c>
      <c r="E35" s="19">
        <v>2.5000000000000001E-2</v>
      </c>
      <c r="F35" s="205">
        <f t="shared" ref="F35:F41" si="2">$E35*(F$19+F$27)</f>
        <v>72.743060307500002</v>
      </c>
      <c r="G35" s="19">
        <v>2.5000000000000001E-2</v>
      </c>
      <c r="H35" s="20">
        <f t="shared" ref="H35:H41" si="3">$G35*(H$19+H$27)</f>
        <v>72.743060307500002</v>
      </c>
    </row>
    <row r="36" spans="1:8" x14ac:dyDescent="0.2">
      <c r="A36" s="8" t="s">
        <v>9</v>
      </c>
      <c r="B36" s="14" t="s">
        <v>101</v>
      </c>
      <c r="C36" s="19">
        <v>3.39E-2</v>
      </c>
      <c r="D36" s="20">
        <f t="shared" si="1"/>
        <v>89.672354342700004</v>
      </c>
      <c r="E36" s="287">
        <v>1.4999999999999999E-2</v>
      </c>
      <c r="F36" s="205">
        <f t="shared" si="2"/>
        <v>43.645836184499998</v>
      </c>
      <c r="G36" s="19">
        <v>1.4999999999999999E-2</v>
      </c>
      <c r="H36" s="20">
        <f t="shared" si="3"/>
        <v>43.645836184499998</v>
      </c>
    </row>
    <row r="37" spans="1:8" x14ac:dyDescent="0.2">
      <c r="A37" s="8" t="s">
        <v>11</v>
      </c>
      <c r="B37" s="14" t="s">
        <v>31</v>
      </c>
      <c r="C37" s="19">
        <v>1.4999999999999999E-2</v>
      </c>
      <c r="D37" s="20">
        <f t="shared" si="1"/>
        <v>39.678032895000001</v>
      </c>
      <c r="E37" s="19">
        <v>1.4999999999999999E-2</v>
      </c>
      <c r="F37" s="205">
        <f t="shared" si="2"/>
        <v>43.645836184499998</v>
      </c>
      <c r="G37" s="19">
        <v>1.4999999999999999E-2</v>
      </c>
      <c r="H37" s="20">
        <f t="shared" si="3"/>
        <v>43.645836184499998</v>
      </c>
    </row>
    <row r="38" spans="1:8" x14ac:dyDescent="0.2">
      <c r="A38" s="8" t="s">
        <v>13</v>
      </c>
      <c r="B38" s="14" t="s">
        <v>32</v>
      </c>
      <c r="C38" s="19">
        <v>0.01</v>
      </c>
      <c r="D38" s="20">
        <f t="shared" si="1"/>
        <v>26.452021930000001</v>
      </c>
      <c r="E38" s="19">
        <v>0.01</v>
      </c>
      <c r="F38" s="205">
        <f t="shared" si="2"/>
        <v>29.097224123</v>
      </c>
      <c r="G38" s="19">
        <v>0.01</v>
      </c>
      <c r="H38" s="20">
        <f t="shared" si="3"/>
        <v>29.097224123</v>
      </c>
    </row>
    <row r="39" spans="1:8" x14ac:dyDescent="0.2">
      <c r="A39" s="8" t="s">
        <v>15</v>
      </c>
      <c r="B39" s="14" t="s">
        <v>33</v>
      </c>
      <c r="C39" s="19">
        <v>6.0000000000000001E-3</v>
      </c>
      <c r="D39" s="20">
        <f t="shared" si="1"/>
        <v>15.871213158000002</v>
      </c>
      <c r="E39" s="19">
        <v>6.0000000000000001E-3</v>
      </c>
      <c r="F39" s="205">
        <f t="shared" si="2"/>
        <v>17.458334473800001</v>
      </c>
      <c r="G39" s="19">
        <v>6.0000000000000001E-3</v>
      </c>
      <c r="H39" s="20">
        <f t="shared" si="3"/>
        <v>17.458334473800001</v>
      </c>
    </row>
    <row r="40" spans="1:8" x14ac:dyDescent="0.2">
      <c r="A40" s="8" t="s">
        <v>34</v>
      </c>
      <c r="B40" s="14" t="s">
        <v>35</v>
      </c>
      <c r="C40" s="19">
        <v>2E-3</v>
      </c>
      <c r="D40" s="20">
        <f t="shared" si="1"/>
        <v>5.2904043860000005</v>
      </c>
      <c r="E40" s="19">
        <v>2E-3</v>
      </c>
      <c r="F40" s="205">
        <f t="shared" si="2"/>
        <v>5.8194448246000006</v>
      </c>
      <c r="G40" s="19">
        <v>2E-3</v>
      </c>
      <c r="H40" s="20">
        <f t="shared" si="3"/>
        <v>5.8194448246000006</v>
      </c>
    </row>
    <row r="41" spans="1:8" x14ac:dyDescent="0.2">
      <c r="A41" s="8" t="s">
        <v>36</v>
      </c>
      <c r="B41" s="14" t="s">
        <v>37</v>
      </c>
      <c r="C41" s="19">
        <v>0.08</v>
      </c>
      <c r="D41" s="20">
        <f>C41*($D$19+$D$27)</f>
        <v>211.61617544000001</v>
      </c>
      <c r="E41" s="19">
        <v>0.08</v>
      </c>
      <c r="F41" s="205">
        <f t="shared" si="2"/>
        <v>232.777792984</v>
      </c>
      <c r="G41" s="19">
        <v>0.08</v>
      </c>
      <c r="H41" s="20">
        <f t="shared" si="3"/>
        <v>232.777792984</v>
      </c>
    </row>
    <row r="42" spans="1:8" x14ac:dyDescent="0.2">
      <c r="A42" s="471" t="s">
        <v>17</v>
      </c>
      <c r="B42" s="472"/>
      <c r="C42" s="21">
        <f t="shared" ref="C42:H42" si="4">SUM(C34:C41)</f>
        <v>0.1719</v>
      </c>
      <c r="D42" s="22">
        <f t="shared" si="4"/>
        <v>454.71025697670001</v>
      </c>
      <c r="E42" s="288">
        <f t="shared" si="4"/>
        <v>0.15300000000000002</v>
      </c>
      <c r="F42" s="289">
        <f t="shared" si="4"/>
        <v>445.18752908189998</v>
      </c>
      <c r="G42" s="21">
        <f t="shared" si="4"/>
        <v>0.15300000000000002</v>
      </c>
      <c r="H42" s="22">
        <f t="shared" si="4"/>
        <v>445.18752908189998</v>
      </c>
    </row>
    <row r="43" spans="1:8" x14ac:dyDescent="0.2">
      <c r="A43" s="464" t="s">
        <v>104</v>
      </c>
      <c r="B43" s="464"/>
      <c r="C43" s="464"/>
      <c r="D43" s="464"/>
      <c r="E43" s="233"/>
    </row>
    <row r="44" spans="1:8" x14ac:dyDescent="0.2">
      <c r="A44" s="464" t="s">
        <v>102</v>
      </c>
      <c r="B44" s="464"/>
      <c r="C44" s="464"/>
      <c r="D44" s="464"/>
      <c r="E44" s="233"/>
    </row>
    <row r="45" spans="1:8" x14ac:dyDescent="0.2">
      <c r="A45" s="464" t="s">
        <v>103</v>
      </c>
      <c r="B45" s="464"/>
      <c r="C45" s="464"/>
      <c r="D45" s="464"/>
      <c r="E45" s="233"/>
    </row>
    <row r="46" spans="1:8" x14ac:dyDescent="0.2">
      <c r="A46" s="464" t="s">
        <v>108</v>
      </c>
      <c r="B46" s="464"/>
      <c r="C46" s="464"/>
      <c r="D46" s="464"/>
      <c r="E46" s="233"/>
    </row>
    <row r="47" spans="1:8" x14ac:dyDescent="0.2">
      <c r="A47" s="464" t="s">
        <v>113</v>
      </c>
      <c r="B47" s="464"/>
      <c r="C47" s="464"/>
      <c r="D47" s="464"/>
      <c r="E47" s="233"/>
    </row>
    <row r="49" spans="1:8" x14ac:dyDescent="0.2">
      <c r="A49" s="470" t="s">
        <v>38</v>
      </c>
      <c r="B49" s="470"/>
      <c r="C49" s="470"/>
      <c r="D49" s="470"/>
      <c r="E49" s="235"/>
    </row>
    <row r="50" spans="1:8" x14ac:dyDescent="0.2">
      <c r="A50" s="41" t="s">
        <v>39</v>
      </c>
      <c r="B50" s="43" t="s">
        <v>40</v>
      </c>
      <c r="C50" s="41" t="s">
        <v>89</v>
      </c>
      <c r="D50" s="43" t="s">
        <v>5</v>
      </c>
      <c r="E50" s="242"/>
      <c r="F50" s="219" t="s">
        <v>5</v>
      </c>
      <c r="H50" s="219" t="s">
        <v>5</v>
      </c>
    </row>
    <row r="51" spans="1:8" x14ac:dyDescent="0.2">
      <c r="A51" s="8" t="s">
        <v>6</v>
      </c>
      <c r="B51" s="14" t="s">
        <v>135</v>
      </c>
      <c r="C51" s="24">
        <v>22</v>
      </c>
      <c r="D51" s="16">
        <f>(18.6*C51)-0.06*D13</f>
        <v>278.26020000000005</v>
      </c>
      <c r="E51" s="245"/>
      <c r="F51" s="203">
        <f>(18.6*$C51)-0.06*F$13</f>
        <v>265.16622000000007</v>
      </c>
      <c r="H51" s="16">
        <f>(18.6*$C51)-0.06*H$13</f>
        <v>265.16622000000007</v>
      </c>
    </row>
    <row r="52" spans="1:8" x14ac:dyDescent="0.2">
      <c r="A52" s="8" t="s">
        <v>8</v>
      </c>
      <c r="B52" s="14" t="s">
        <v>456</v>
      </c>
      <c r="C52" s="24">
        <v>22</v>
      </c>
      <c r="D52" s="16">
        <f>35*C52</f>
        <v>770</v>
      </c>
      <c r="E52" s="245"/>
      <c r="F52" s="203">
        <f>38*$C52</f>
        <v>836</v>
      </c>
      <c r="H52" s="16">
        <f>38*$C52</f>
        <v>836</v>
      </c>
    </row>
    <row r="53" spans="1:8" x14ac:dyDescent="0.2">
      <c r="A53" s="8" t="s">
        <v>9</v>
      </c>
      <c r="B53" s="14" t="s">
        <v>42</v>
      </c>
      <c r="C53" s="24"/>
      <c r="D53" s="16">
        <v>160.07</v>
      </c>
      <c r="E53" s="245"/>
      <c r="F53" s="203">
        <v>169.67</v>
      </c>
      <c r="H53" s="16">
        <v>169.67</v>
      </c>
    </row>
    <row r="54" spans="1:8" x14ac:dyDescent="0.2">
      <c r="A54" s="8" t="s">
        <v>11</v>
      </c>
      <c r="B54" s="14" t="s">
        <v>90</v>
      </c>
      <c r="C54" s="24"/>
      <c r="D54" s="16">
        <v>10.63</v>
      </c>
      <c r="E54" s="245"/>
      <c r="F54" s="203">
        <v>11.27</v>
      </c>
      <c r="H54" s="16">
        <v>11.27</v>
      </c>
    </row>
    <row r="55" spans="1:8" x14ac:dyDescent="0.2">
      <c r="A55" s="8" t="s">
        <v>13</v>
      </c>
      <c r="B55" s="14" t="s">
        <v>453</v>
      </c>
      <c r="C55" s="24"/>
      <c r="D55" s="16">
        <v>2.2999999999999998</v>
      </c>
      <c r="E55" s="245"/>
      <c r="F55" s="203">
        <v>2.5</v>
      </c>
      <c r="H55" s="16">
        <v>2.5</v>
      </c>
    </row>
    <row r="56" spans="1:8" x14ac:dyDescent="0.2">
      <c r="A56" s="463" t="s">
        <v>17</v>
      </c>
      <c r="B56" s="463"/>
      <c r="C56" s="463"/>
      <c r="D56" s="18">
        <f>SUM(D51:D55)</f>
        <v>1221.2602000000002</v>
      </c>
      <c r="E56" s="246"/>
      <c r="F56" s="206">
        <f>SUM(F51:F55)</f>
        <v>1284.6062200000001</v>
      </c>
      <c r="H56" s="25">
        <f>SUM(H51:H55)</f>
        <v>1284.6062200000001</v>
      </c>
    </row>
    <row r="57" spans="1:8" x14ac:dyDescent="0.2">
      <c r="A57" s="464" t="s">
        <v>45</v>
      </c>
      <c r="B57" s="464"/>
      <c r="C57" s="464"/>
      <c r="D57" s="464"/>
      <c r="E57" s="233"/>
    </row>
    <row r="58" spans="1:8" x14ac:dyDescent="0.2">
      <c r="A58" s="464" t="s">
        <v>105</v>
      </c>
      <c r="B58" s="464"/>
      <c r="C58" s="464"/>
      <c r="D58" s="464"/>
      <c r="E58" s="233"/>
    </row>
    <row r="60" spans="1:8" x14ac:dyDescent="0.2">
      <c r="A60" s="415" t="s">
        <v>43</v>
      </c>
      <c r="B60" s="415"/>
      <c r="C60" s="415"/>
      <c r="D60" s="415"/>
      <c r="E60" s="231"/>
    </row>
    <row r="61" spans="1:8" x14ac:dyDescent="0.2">
      <c r="A61" s="42">
        <v>2</v>
      </c>
      <c r="B61" s="430" t="s">
        <v>44</v>
      </c>
      <c r="C61" s="430"/>
      <c r="D61" s="42" t="s">
        <v>5</v>
      </c>
      <c r="E61" s="242"/>
      <c r="F61" s="218" t="s">
        <v>5</v>
      </c>
      <c r="H61" s="218" t="s">
        <v>5</v>
      </c>
    </row>
    <row r="62" spans="1:8" x14ac:dyDescent="0.2">
      <c r="A62" s="26" t="s">
        <v>20</v>
      </c>
      <c r="B62" s="438" t="s">
        <v>21</v>
      </c>
      <c r="C62" s="438"/>
      <c r="D62" s="16">
        <f>D27</f>
        <v>462.87219299999998</v>
      </c>
      <c r="E62" s="245"/>
      <c r="F62" s="203">
        <f>F27</f>
        <v>509.15941230000004</v>
      </c>
      <c r="H62" s="16">
        <f>H27</f>
        <v>509.15941230000004</v>
      </c>
    </row>
    <row r="63" spans="1:8" x14ac:dyDescent="0.2">
      <c r="A63" s="26" t="s">
        <v>26</v>
      </c>
      <c r="B63" s="414" t="s">
        <v>27</v>
      </c>
      <c r="C63" s="414"/>
      <c r="D63" s="16">
        <f>D42</f>
        <v>454.71025697670001</v>
      </c>
      <c r="E63" s="245"/>
      <c r="F63" s="203">
        <f>F42</f>
        <v>445.18752908189998</v>
      </c>
      <c r="H63" s="16">
        <f>H42</f>
        <v>445.18752908189998</v>
      </c>
    </row>
    <row r="64" spans="1:8" x14ac:dyDescent="0.2">
      <c r="A64" s="26" t="s">
        <v>39</v>
      </c>
      <c r="B64" s="414" t="s">
        <v>40</v>
      </c>
      <c r="C64" s="414"/>
      <c r="D64" s="16">
        <f>D56</f>
        <v>1221.2602000000002</v>
      </c>
      <c r="E64" s="245"/>
      <c r="F64" s="203">
        <f>F56</f>
        <v>1284.6062200000001</v>
      </c>
      <c r="H64" s="16">
        <f>H56</f>
        <v>1284.6062200000001</v>
      </c>
    </row>
    <row r="65" spans="1:8" x14ac:dyDescent="0.2">
      <c r="A65" s="471" t="s">
        <v>17</v>
      </c>
      <c r="B65" s="475"/>
      <c r="C65" s="472"/>
      <c r="D65" s="18">
        <f>SUM(D62:D64)</f>
        <v>2138.8426499767002</v>
      </c>
      <c r="E65" s="246"/>
      <c r="F65" s="204">
        <f>SUM(F62:F64)</f>
        <v>2238.9531613818999</v>
      </c>
      <c r="H65" s="18">
        <f>SUM(H62:H64)</f>
        <v>2238.9531613818999</v>
      </c>
    </row>
    <row r="67" spans="1:8" x14ac:dyDescent="0.2">
      <c r="A67" s="415" t="s">
        <v>76</v>
      </c>
      <c r="B67" s="415"/>
      <c r="C67" s="415"/>
      <c r="D67" s="415"/>
      <c r="E67" s="231"/>
    </row>
    <row r="68" spans="1:8" x14ac:dyDescent="0.2">
      <c r="A68" s="42">
        <v>3</v>
      </c>
      <c r="B68" s="42" t="s">
        <v>46</v>
      </c>
      <c r="C68" s="42" t="s">
        <v>28</v>
      </c>
      <c r="D68" s="42" t="s">
        <v>5</v>
      </c>
      <c r="E68" s="218" t="s">
        <v>28</v>
      </c>
      <c r="F68" s="232" t="s">
        <v>5</v>
      </c>
      <c r="G68" s="232" t="s">
        <v>28</v>
      </c>
      <c r="H68" s="232" t="s">
        <v>5</v>
      </c>
    </row>
    <row r="69" spans="1:8" x14ac:dyDescent="0.2">
      <c r="A69" s="26" t="s">
        <v>6</v>
      </c>
      <c r="B69" s="5" t="s">
        <v>47</v>
      </c>
      <c r="C69" s="19">
        <v>4.1999999999999997E-3</v>
      </c>
      <c r="D69" s="20">
        <f t="shared" ref="D69:D74" si="5">C69*($D$19+$D$27)</f>
        <v>11.1098492106</v>
      </c>
      <c r="E69" s="28">
        <v>4.1999999999999997E-3</v>
      </c>
      <c r="F69" s="257">
        <f t="shared" ref="F69:F75" si="6">$E69*(F$19+F$27)</f>
        <v>12.22083413166</v>
      </c>
      <c r="G69" s="28">
        <v>4.1999999999999997E-3</v>
      </c>
      <c r="H69" s="9">
        <f t="shared" ref="H69:H75" si="7">$G69*(H$19+H$27)</f>
        <v>12.22083413166</v>
      </c>
    </row>
    <row r="70" spans="1:8" x14ac:dyDescent="0.2">
      <c r="A70" s="26" t="s">
        <v>8</v>
      </c>
      <c r="B70" s="5" t="s">
        <v>48</v>
      </c>
      <c r="C70" s="19">
        <v>2.9999999999999997E-4</v>
      </c>
      <c r="D70" s="20">
        <f t="shared" si="5"/>
        <v>0.79356065789999997</v>
      </c>
      <c r="E70" s="28">
        <v>2.9999999999999997E-4</v>
      </c>
      <c r="F70" s="257">
        <f t="shared" si="6"/>
        <v>0.87291672368999995</v>
      </c>
      <c r="G70" s="28">
        <v>2.9999999999999997E-4</v>
      </c>
      <c r="H70" s="9">
        <f t="shared" si="7"/>
        <v>0.87291672368999995</v>
      </c>
    </row>
    <row r="71" spans="1:8" ht="25.5" x14ac:dyDescent="0.2">
      <c r="A71" s="26" t="s">
        <v>9</v>
      </c>
      <c r="B71" s="5" t="s">
        <v>49</v>
      </c>
      <c r="C71" s="27">
        <v>9.9999999999999995E-7</v>
      </c>
      <c r="D71" s="20">
        <f t="shared" si="5"/>
        <v>2.6452021929999998E-3</v>
      </c>
      <c r="E71" s="351">
        <v>9.9999999999999995E-7</v>
      </c>
      <c r="F71" s="260">
        <f t="shared" si="6"/>
        <v>2.9097224123000001E-3</v>
      </c>
      <c r="G71" s="351">
        <v>9.9999999999999995E-7</v>
      </c>
      <c r="H71" s="258">
        <f t="shared" si="7"/>
        <v>2.9097224123000001E-3</v>
      </c>
    </row>
    <row r="72" spans="1:8" x14ac:dyDescent="0.2">
      <c r="A72" s="26" t="s">
        <v>11</v>
      </c>
      <c r="B72" s="5" t="s">
        <v>50</v>
      </c>
      <c r="C72" s="28">
        <v>1.9400000000000001E-2</v>
      </c>
      <c r="D72" s="29">
        <f>C72*($D$19+$D$27)</f>
        <v>51.316922544200004</v>
      </c>
      <c r="E72" s="348">
        <v>1.9400000000000001E-2</v>
      </c>
      <c r="F72" s="260">
        <f t="shared" si="6"/>
        <v>56.448614798620007</v>
      </c>
      <c r="G72" s="347">
        <v>1.9400000000000001E-3</v>
      </c>
      <c r="H72" s="260">
        <f t="shared" si="7"/>
        <v>5.6448614798620005</v>
      </c>
    </row>
    <row r="73" spans="1:8" ht="25.5" x14ac:dyDescent="0.2">
      <c r="A73" s="26" t="s">
        <v>13</v>
      </c>
      <c r="B73" s="5" t="s">
        <v>51</v>
      </c>
      <c r="C73" s="19">
        <v>7.1000000000000004E-3</v>
      </c>
      <c r="D73" s="20">
        <f>C73*($D$19+$D$27)</f>
        <v>18.780935570300002</v>
      </c>
      <c r="E73" s="28">
        <v>7.1000000000000004E-3</v>
      </c>
      <c r="F73" s="257">
        <f t="shared" si="6"/>
        <v>20.659029127330001</v>
      </c>
      <c r="G73" s="28">
        <v>7.1000000000000004E-3</v>
      </c>
      <c r="H73" s="258">
        <f t="shared" si="7"/>
        <v>20.659029127330001</v>
      </c>
    </row>
    <row r="74" spans="1:8" ht="25.5" x14ac:dyDescent="0.2">
      <c r="A74" s="26" t="s">
        <v>15</v>
      </c>
      <c r="B74" s="5" t="s">
        <v>52</v>
      </c>
      <c r="C74" s="19">
        <v>1E-4</v>
      </c>
      <c r="D74" s="20">
        <f t="shared" si="5"/>
        <v>0.26452021930000003</v>
      </c>
      <c r="E74" s="28">
        <v>1E-4</v>
      </c>
      <c r="F74" s="257">
        <f t="shared" si="6"/>
        <v>0.29097224123000004</v>
      </c>
      <c r="G74" s="28">
        <v>1E-4</v>
      </c>
      <c r="H74" s="258">
        <f t="shared" si="7"/>
        <v>0.29097224123000004</v>
      </c>
    </row>
    <row r="75" spans="1:8" x14ac:dyDescent="0.2">
      <c r="A75" s="30" t="s">
        <v>34</v>
      </c>
      <c r="B75" s="31" t="s">
        <v>128</v>
      </c>
      <c r="C75" s="19">
        <v>3.49E-2</v>
      </c>
      <c r="D75" s="20">
        <f>C75*($D$19+$D$27)</f>
        <v>92.317556535700007</v>
      </c>
      <c r="E75" s="28">
        <v>3.49E-2</v>
      </c>
      <c r="F75" s="257">
        <f t="shared" si="6"/>
        <v>101.54931218927</v>
      </c>
      <c r="G75" s="28">
        <v>3.49E-2</v>
      </c>
      <c r="H75" s="258">
        <f t="shared" si="7"/>
        <v>101.54931218927</v>
      </c>
    </row>
    <row r="76" spans="1:8" x14ac:dyDescent="0.2">
      <c r="A76" s="471" t="s">
        <v>17</v>
      </c>
      <c r="B76" s="472"/>
      <c r="C76" s="17">
        <f t="shared" ref="C76:H76" si="8">SUM(C69:C75)</f>
        <v>6.6001000000000004E-2</v>
      </c>
      <c r="D76" s="18">
        <f t="shared" si="8"/>
        <v>174.585989940193</v>
      </c>
      <c r="E76" s="350">
        <f t="shared" si="8"/>
        <v>6.6001000000000004E-2</v>
      </c>
      <c r="F76" s="202">
        <f t="shared" si="8"/>
        <v>192.0445889342123</v>
      </c>
      <c r="G76" s="350">
        <f t="shared" si="8"/>
        <v>4.8541000000000001E-2</v>
      </c>
      <c r="H76" s="202">
        <f t="shared" si="8"/>
        <v>141.2408356154543</v>
      </c>
    </row>
    <row r="77" spans="1:8" x14ac:dyDescent="0.2">
      <c r="A77" s="464" t="s">
        <v>106</v>
      </c>
      <c r="B77" s="464"/>
      <c r="C77" s="464"/>
      <c r="D77" s="464"/>
      <c r="E77" s="233"/>
    </row>
    <row r="78" spans="1:8" x14ac:dyDescent="0.2">
      <c r="A78" s="464" t="s">
        <v>114</v>
      </c>
      <c r="B78" s="464"/>
      <c r="C78" s="464"/>
      <c r="D78" s="464"/>
      <c r="E78" s="233"/>
    </row>
    <row r="80" spans="1:8" x14ac:dyDescent="0.2">
      <c r="A80" s="415" t="s">
        <v>53</v>
      </c>
      <c r="B80" s="415"/>
      <c r="C80" s="415"/>
      <c r="D80" s="415"/>
      <c r="E80" s="231"/>
    </row>
    <row r="81" spans="1:8" x14ac:dyDescent="0.2">
      <c r="A81" s="474" t="s">
        <v>107</v>
      </c>
      <c r="B81" s="474"/>
      <c r="C81" s="474"/>
      <c r="D81" s="474"/>
      <c r="E81" s="233"/>
    </row>
    <row r="83" spans="1:8" x14ac:dyDescent="0.2">
      <c r="A83" s="470" t="s">
        <v>109</v>
      </c>
      <c r="B83" s="470"/>
      <c r="C83" s="470"/>
      <c r="D83" s="470"/>
      <c r="E83" s="235"/>
    </row>
    <row r="84" spans="1:8" x14ac:dyDescent="0.2">
      <c r="A84" s="41" t="s">
        <v>54</v>
      </c>
      <c r="B84" s="43" t="s">
        <v>55</v>
      </c>
      <c r="C84" s="43" t="s">
        <v>28</v>
      </c>
      <c r="D84" s="43" t="s">
        <v>5</v>
      </c>
      <c r="E84" s="219" t="s">
        <v>28</v>
      </c>
      <c r="F84" s="219" t="s">
        <v>5</v>
      </c>
      <c r="G84" s="219" t="s">
        <v>28</v>
      </c>
      <c r="H84" s="219" t="s">
        <v>5</v>
      </c>
    </row>
    <row r="85" spans="1:8" x14ac:dyDescent="0.2">
      <c r="A85" s="26" t="s">
        <v>6</v>
      </c>
      <c r="B85" s="5" t="s">
        <v>56</v>
      </c>
      <c r="C85" s="19">
        <v>7.6E-3</v>
      </c>
      <c r="D85" s="20">
        <f t="shared" ref="D85:D90" si="9">C85*($D$19+$D$27)</f>
        <v>20.1035366668</v>
      </c>
      <c r="E85" s="19">
        <v>7.6E-3</v>
      </c>
      <c r="F85" s="205">
        <f>E85*(F$19+F$27)</f>
        <v>22.113890333480001</v>
      </c>
      <c r="G85" s="19">
        <v>7.6E-3</v>
      </c>
      <c r="H85" s="20">
        <f t="shared" ref="H85:H90" si="10">$G85*(H$19+H$27)</f>
        <v>22.113890333480001</v>
      </c>
    </row>
    <row r="86" spans="1:8" x14ac:dyDescent="0.2">
      <c r="A86" s="26" t="s">
        <v>8</v>
      </c>
      <c r="B86" s="5" t="s">
        <v>57</v>
      </c>
      <c r="C86" s="19">
        <v>8.2000000000000007E-3</v>
      </c>
      <c r="D86" s="20">
        <f t="shared" si="9"/>
        <v>21.690657982600001</v>
      </c>
      <c r="E86" s="19">
        <v>8.2000000000000007E-3</v>
      </c>
      <c r="F86" s="205">
        <f t="shared" ref="F86:F90" si="11">E86*(F$19+F$27)</f>
        <v>23.859723780860001</v>
      </c>
      <c r="G86" s="19">
        <v>8.2000000000000007E-3</v>
      </c>
      <c r="H86" s="20">
        <f t="shared" si="10"/>
        <v>23.859723780860001</v>
      </c>
    </row>
    <row r="87" spans="1:8" x14ac:dyDescent="0.2">
      <c r="A87" s="26" t="s">
        <v>9</v>
      </c>
      <c r="B87" s="5" t="s">
        <v>58</v>
      </c>
      <c r="C87" s="19">
        <v>2.0000000000000001E-4</v>
      </c>
      <c r="D87" s="20">
        <f t="shared" si="9"/>
        <v>0.52904043860000005</v>
      </c>
      <c r="E87" s="19">
        <v>2.0000000000000001E-4</v>
      </c>
      <c r="F87" s="205">
        <f t="shared" si="11"/>
        <v>0.58194448246000008</v>
      </c>
      <c r="G87" s="19">
        <v>2.0000000000000001E-4</v>
      </c>
      <c r="H87" s="20">
        <f t="shared" si="10"/>
        <v>0.58194448246000008</v>
      </c>
    </row>
    <row r="88" spans="1:8" ht="25.5" x14ac:dyDescent="0.2">
      <c r="A88" s="26" t="s">
        <v>11</v>
      </c>
      <c r="B88" s="5" t="s">
        <v>59</v>
      </c>
      <c r="C88" s="19">
        <v>2.9999999999999997E-4</v>
      </c>
      <c r="D88" s="20">
        <f t="shared" si="9"/>
        <v>0.79356065789999997</v>
      </c>
      <c r="E88" s="19">
        <v>2.9999999999999997E-4</v>
      </c>
      <c r="F88" s="205">
        <f t="shared" si="11"/>
        <v>0.87291672368999995</v>
      </c>
      <c r="G88" s="19">
        <v>2.9999999999999997E-4</v>
      </c>
      <c r="H88" s="20">
        <f t="shared" si="10"/>
        <v>0.87291672368999995</v>
      </c>
    </row>
    <row r="89" spans="1:8" x14ac:dyDescent="0.2">
      <c r="A89" s="26" t="s">
        <v>13</v>
      </c>
      <c r="B89" s="5" t="s">
        <v>60</v>
      </c>
      <c r="C89" s="19">
        <v>2.8999999999999998E-3</v>
      </c>
      <c r="D89" s="20">
        <f t="shared" si="9"/>
        <v>7.6710863596999994</v>
      </c>
      <c r="E89" s="19">
        <v>2.8999999999999998E-3</v>
      </c>
      <c r="F89" s="205">
        <f t="shared" si="11"/>
        <v>8.4381949956699991</v>
      </c>
      <c r="G89" s="19">
        <v>2.8999999999999998E-3</v>
      </c>
      <c r="H89" s="20">
        <f t="shared" si="10"/>
        <v>8.4381949956699991</v>
      </c>
    </row>
    <row r="90" spans="1:8" ht="25.5" x14ac:dyDescent="0.2">
      <c r="A90" s="26" t="s">
        <v>15</v>
      </c>
      <c r="B90" s="5" t="s">
        <v>134</v>
      </c>
      <c r="C90" s="19">
        <v>1.66E-2</v>
      </c>
      <c r="D90" s="20">
        <f t="shared" si="9"/>
        <v>43.910356403800002</v>
      </c>
      <c r="E90" s="19">
        <v>1.66E-2</v>
      </c>
      <c r="F90" s="205">
        <f t="shared" si="11"/>
        <v>48.301392044180005</v>
      </c>
      <c r="G90" s="19">
        <v>1.66E-2</v>
      </c>
      <c r="H90" s="20">
        <f t="shared" si="10"/>
        <v>48.301392044180005</v>
      </c>
    </row>
    <row r="91" spans="1:8" x14ac:dyDescent="0.2">
      <c r="A91" s="471" t="s">
        <v>17</v>
      </c>
      <c r="B91" s="472"/>
      <c r="C91" s="17">
        <f t="shared" ref="C91:H91" si="12">SUM(C85:C90)</f>
        <v>3.5799999999999998E-2</v>
      </c>
      <c r="D91" s="18">
        <f t="shared" si="12"/>
        <v>94.698238509399999</v>
      </c>
      <c r="E91" s="17">
        <f t="shared" si="12"/>
        <v>3.5799999999999998E-2</v>
      </c>
      <c r="F91" s="207">
        <f t="shared" si="12"/>
        <v>104.16806236034</v>
      </c>
      <c r="G91" s="17">
        <f t="shared" si="12"/>
        <v>3.5799999999999998E-2</v>
      </c>
      <c r="H91" s="137">
        <f t="shared" si="12"/>
        <v>104.16806236034</v>
      </c>
    </row>
    <row r="92" spans="1:8" x14ac:dyDescent="0.2">
      <c r="A92" s="464" t="s">
        <v>115</v>
      </c>
      <c r="B92" s="464"/>
      <c r="C92" s="464"/>
      <c r="D92" s="464"/>
      <c r="E92" s="233"/>
    </row>
    <row r="94" spans="1:8" x14ac:dyDescent="0.2">
      <c r="A94" s="473" t="s">
        <v>110</v>
      </c>
      <c r="B94" s="473"/>
      <c r="C94" s="473"/>
      <c r="D94" s="473"/>
      <c r="E94" s="234"/>
    </row>
    <row r="95" spans="1:8" x14ac:dyDescent="0.2">
      <c r="A95" s="41" t="s">
        <v>61</v>
      </c>
      <c r="B95" s="43" t="s">
        <v>62</v>
      </c>
      <c r="C95" s="43" t="s">
        <v>5</v>
      </c>
      <c r="D95" s="41"/>
      <c r="E95" s="234"/>
      <c r="F95" s="234"/>
      <c r="G95" s="247"/>
      <c r="H95" s="234"/>
    </row>
    <row r="96" spans="1:8" ht="25.5" x14ac:dyDescent="0.2">
      <c r="A96" s="26" t="s">
        <v>6</v>
      </c>
      <c r="B96" s="5" t="s">
        <v>63</v>
      </c>
      <c r="C96" s="32"/>
      <c r="D96" s="33"/>
      <c r="E96" s="247"/>
      <c r="F96" s="247"/>
      <c r="G96" s="247"/>
      <c r="H96" s="247"/>
    </row>
    <row r="97" spans="1:8" x14ac:dyDescent="0.2">
      <c r="A97" s="466" t="s">
        <v>17</v>
      </c>
      <c r="B97" s="468"/>
      <c r="C97" s="16">
        <f>SUM(C96)</f>
        <v>0</v>
      </c>
      <c r="D97" s="33"/>
      <c r="E97" s="247"/>
      <c r="F97" s="247"/>
      <c r="G97" s="247"/>
      <c r="H97" s="247"/>
    </row>
    <row r="99" spans="1:8" x14ac:dyDescent="0.2">
      <c r="A99" s="415" t="s">
        <v>111</v>
      </c>
      <c r="B99" s="415"/>
      <c r="C99" s="415"/>
      <c r="D99" s="415"/>
      <c r="E99" s="231"/>
    </row>
    <row r="100" spans="1:8" x14ac:dyDescent="0.2">
      <c r="A100" s="40">
        <v>4</v>
      </c>
      <c r="B100" s="430" t="s">
        <v>64</v>
      </c>
      <c r="C100" s="430"/>
      <c r="D100" s="42" t="s">
        <v>5</v>
      </c>
      <c r="E100" s="242"/>
      <c r="F100" s="218" t="s">
        <v>5</v>
      </c>
      <c r="H100" s="218" t="s">
        <v>5</v>
      </c>
    </row>
    <row r="101" spans="1:8" x14ac:dyDescent="0.2">
      <c r="A101" s="8" t="s">
        <v>54</v>
      </c>
      <c r="B101" s="414" t="s">
        <v>55</v>
      </c>
      <c r="C101" s="414"/>
      <c r="D101" s="16">
        <f>D91</f>
        <v>94.698238509399999</v>
      </c>
      <c r="E101" s="245"/>
      <c r="F101" s="16">
        <f>F91</f>
        <v>104.16806236034</v>
      </c>
      <c r="H101" s="16">
        <f>H91</f>
        <v>104.16806236034</v>
      </c>
    </row>
    <row r="102" spans="1:8" x14ac:dyDescent="0.2">
      <c r="A102" s="8" t="s">
        <v>61</v>
      </c>
      <c r="B102" s="14" t="s">
        <v>65</v>
      </c>
      <c r="C102" s="14"/>
      <c r="D102" s="32">
        <f>C97</f>
        <v>0</v>
      </c>
      <c r="E102" s="245"/>
      <c r="F102" s="32">
        <f>D97</f>
        <v>0</v>
      </c>
      <c r="H102" s="32">
        <f>G97</f>
        <v>0</v>
      </c>
    </row>
    <row r="103" spans="1:8" x14ac:dyDescent="0.2">
      <c r="A103" s="463" t="s">
        <v>17</v>
      </c>
      <c r="B103" s="463"/>
      <c r="C103" s="463"/>
      <c r="D103" s="18">
        <f>SUM(D101:D102)</f>
        <v>94.698238509399999</v>
      </c>
      <c r="E103" s="246"/>
      <c r="F103" s="18">
        <f>SUM(F101:F102)</f>
        <v>104.16806236034</v>
      </c>
      <c r="H103" s="18">
        <f>SUM(H101:H102)</f>
        <v>104.16806236034</v>
      </c>
    </row>
    <row r="104" spans="1:8" x14ac:dyDescent="0.2">
      <c r="E104" s="247"/>
    </row>
    <row r="105" spans="1:8" x14ac:dyDescent="0.2">
      <c r="A105" s="415" t="s">
        <v>66</v>
      </c>
      <c r="B105" s="415"/>
      <c r="C105" s="415"/>
      <c r="D105" s="415"/>
      <c r="E105" s="248"/>
    </row>
    <row r="106" spans="1:8" x14ac:dyDescent="0.2">
      <c r="A106" s="41">
        <v>5</v>
      </c>
      <c r="B106" s="437" t="s">
        <v>67</v>
      </c>
      <c r="C106" s="437"/>
      <c r="D106" s="43" t="s">
        <v>5</v>
      </c>
      <c r="E106" s="242"/>
      <c r="F106" s="219" t="s">
        <v>5</v>
      </c>
      <c r="H106" s="219" t="s">
        <v>5</v>
      </c>
    </row>
    <row r="107" spans="1:8" x14ac:dyDescent="0.2">
      <c r="A107" s="8" t="s">
        <v>6</v>
      </c>
      <c r="B107" s="414" t="s">
        <v>68</v>
      </c>
      <c r="C107" s="414"/>
      <c r="D107" s="107">
        <f>'TABELA 4 Uniformes e EPIS'!$E29</f>
        <v>61.65</v>
      </c>
      <c r="E107" s="249"/>
      <c r="F107" s="107">
        <f>'TABELA 4 Uniformes e EPIS'!$E29</f>
        <v>61.65</v>
      </c>
      <c r="H107" s="107">
        <f>'TABELA 4 Uniformes e EPIS'!$E29</f>
        <v>61.65</v>
      </c>
    </row>
    <row r="108" spans="1:8" x14ac:dyDescent="0.2">
      <c r="A108" s="8" t="s">
        <v>8</v>
      </c>
      <c r="B108" s="414" t="s">
        <v>405</v>
      </c>
      <c r="C108" s="414"/>
      <c r="D108" s="107">
        <f>'TABELA 4 Uniformes e EPIS'!$E48+'TABELA 5 - Ferramentas'!$I145</f>
        <v>31.248804347826077</v>
      </c>
      <c r="E108" s="249"/>
      <c r="F108" s="107">
        <f>'TABELA 4 Uniformes e EPIS'!$E48+'TABELA 5 - Ferramentas'!$I145</f>
        <v>31.248804347826077</v>
      </c>
      <c r="H108" s="107">
        <f>'TABELA 4 Uniformes e EPIS'!$E48+'TABELA 5 - Ferramentas'!$I145</f>
        <v>31.248804347826077</v>
      </c>
    </row>
    <row r="109" spans="1:8" x14ac:dyDescent="0.2">
      <c r="A109" s="8" t="s">
        <v>9</v>
      </c>
      <c r="B109" s="414" t="s">
        <v>69</v>
      </c>
      <c r="C109" s="414"/>
      <c r="D109" s="16">
        <v>0</v>
      </c>
      <c r="E109" s="245"/>
      <c r="F109" s="16">
        <v>0</v>
      </c>
      <c r="H109" s="16">
        <v>0</v>
      </c>
    </row>
    <row r="110" spans="1:8" x14ac:dyDescent="0.2">
      <c r="A110" s="8" t="s">
        <v>11</v>
      </c>
      <c r="B110" s="414" t="s">
        <v>16</v>
      </c>
      <c r="C110" s="414"/>
      <c r="D110" s="16">
        <v>0</v>
      </c>
      <c r="E110" s="245"/>
      <c r="F110" s="16">
        <v>0</v>
      </c>
      <c r="H110" s="16">
        <v>0</v>
      </c>
    </row>
    <row r="111" spans="1:8" x14ac:dyDescent="0.2">
      <c r="A111" s="463" t="s">
        <v>17</v>
      </c>
      <c r="B111" s="463"/>
      <c r="C111" s="463"/>
      <c r="D111" s="18">
        <f>SUM(D107:D110)</f>
        <v>92.898804347826072</v>
      </c>
      <c r="E111" s="250"/>
      <c r="F111" s="137">
        <f>SUM(F107:F110)</f>
        <v>92.898804347826072</v>
      </c>
      <c r="H111" s="137">
        <f>SUM(H107:H110)</f>
        <v>92.898804347826072</v>
      </c>
    </row>
    <row r="112" spans="1:8" x14ac:dyDescent="0.2">
      <c r="A112" s="464" t="s">
        <v>78</v>
      </c>
      <c r="B112" s="464"/>
      <c r="C112" s="464"/>
      <c r="D112" s="464"/>
      <c r="E112" s="233"/>
    </row>
    <row r="114" spans="1:8" x14ac:dyDescent="0.2">
      <c r="A114" s="415" t="s">
        <v>70</v>
      </c>
      <c r="B114" s="415"/>
      <c r="C114" s="415"/>
      <c r="D114" s="415"/>
      <c r="E114" s="231"/>
    </row>
    <row r="115" spans="1:8" x14ac:dyDescent="0.2">
      <c r="A115" s="469" t="s">
        <v>116</v>
      </c>
      <c r="B115" s="469"/>
      <c r="C115" s="460" t="s">
        <v>117</v>
      </c>
      <c r="D115" s="460"/>
      <c r="E115" s="461" t="s">
        <v>117</v>
      </c>
      <c r="F115" s="462"/>
      <c r="G115" s="460" t="s">
        <v>117</v>
      </c>
      <c r="H115" s="460"/>
    </row>
    <row r="116" spans="1:8" x14ac:dyDescent="0.2">
      <c r="A116" s="40">
        <v>6</v>
      </c>
      <c r="B116" s="42" t="s">
        <v>71</v>
      </c>
      <c r="C116" s="42" t="s">
        <v>28</v>
      </c>
      <c r="D116" s="40" t="s">
        <v>5</v>
      </c>
      <c r="E116" s="218" t="s">
        <v>28</v>
      </c>
      <c r="F116" s="217" t="s">
        <v>5</v>
      </c>
      <c r="G116" s="218" t="s">
        <v>28</v>
      </c>
      <c r="H116" s="217" t="s">
        <v>5</v>
      </c>
    </row>
    <row r="117" spans="1:8" x14ac:dyDescent="0.2">
      <c r="A117" s="8" t="s">
        <v>6</v>
      </c>
      <c r="B117" s="14" t="s">
        <v>72</v>
      </c>
      <c r="C117" s="19">
        <v>0.06</v>
      </c>
      <c r="D117" s="20">
        <f>C117*D135</f>
        <v>281.00134096644712</v>
      </c>
      <c r="E117" s="19">
        <v>0.06</v>
      </c>
      <c r="F117" s="205">
        <f>$E117*F$135</f>
        <v>301.71765702145666</v>
      </c>
      <c r="G117" s="19">
        <v>0.06</v>
      </c>
      <c r="H117" s="205">
        <f>$G117*H$135</f>
        <v>298.66943182233121</v>
      </c>
    </row>
    <row r="118" spans="1:8" x14ac:dyDescent="0.2">
      <c r="A118" s="8" t="s">
        <v>8</v>
      </c>
      <c r="B118" s="14" t="s">
        <v>73</v>
      </c>
      <c r="C118" s="19">
        <v>0.05</v>
      </c>
      <c r="D118" s="20">
        <f>C118*D135</f>
        <v>234.16778413870594</v>
      </c>
      <c r="E118" s="19">
        <v>0.05</v>
      </c>
      <c r="F118" s="205">
        <f>$E118*F$135</f>
        <v>251.43138085121393</v>
      </c>
      <c r="G118" s="19">
        <v>0.05</v>
      </c>
      <c r="H118" s="205">
        <f>$G118*H$135</f>
        <v>248.89119318527602</v>
      </c>
    </row>
    <row r="119" spans="1:8" x14ac:dyDescent="0.2">
      <c r="A119" s="8" t="s">
        <v>9</v>
      </c>
      <c r="B119" s="14" t="s">
        <v>125</v>
      </c>
      <c r="C119" s="34">
        <f>SUM(C120:C122)</f>
        <v>5.6499999999999995E-2</v>
      </c>
      <c r="D119" s="20">
        <f>(D135+D118+D117)*(C119/IF(C115="Lucro presumido",91.45%,85.75%))</f>
        <v>321.1773118044602</v>
      </c>
      <c r="E119" s="34">
        <f>SUM(E120:E122)</f>
        <v>5.6499999999999995E-2</v>
      </c>
      <c r="F119" s="205">
        <f>(F$135+F$118+F$117)*($E119/IF($E115="Lucro presumido",91.45%,85.75%))</f>
        <v>344.85552870604437</v>
      </c>
      <c r="G119" s="34">
        <f>SUM(G120:G122)</f>
        <v>5.6499999999999995E-2</v>
      </c>
      <c r="H119" s="205">
        <f>(H$135+H$118+H$117)*($G119/IF($G115="Lucro presumido",91.45%,85.75%))</f>
        <v>341.37148563399853</v>
      </c>
    </row>
    <row r="120" spans="1:8" x14ac:dyDescent="0.2">
      <c r="A120" s="8" t="s">
        <v>120</v>
      </c>
      <c r="B120" s="14" t="s">
        <v>119</v>
      </c>
      <c r="C120" s="34">
        <f>IF(C115="Lucro presumido",0.65%,1.65%)</f>
        <v>6.5000000000000006E-3</v>
      </c>
      <c r="D120" s="35" t="s">
        <v>118</v>
      </c>
      <c r="E120" s="34">
        <f>IF(E115="Lucro presumido",0.65%,1.65%)</f>
        <v>6.5000000000000006E-3</v>
      </c>
      <c r="F120" s="35" t="s">
        <v>118</v>
      </c>
      <c r="G120" s="34">
        <f>IF(G115="Lucro presumido",0.65%,1.65%)</f>
        <v>6.5000000000000006E-3</v>
      </c>
      <c r="H120" s="35" t="s">
        <v>118</v>
      </c>
    </row>
    <row r="121" spans="1:8" x14ac:dyDescent="0.2">
      <c r="A121" s="8" t="s">
        <v>122</v>
      </c>
      <c r="B121" s="14" t="s">
        <v>121</v>
      </c>
      <c r="C121" s="34">
        <f>IF(C115="Lucro presumido",3%,7.6%)</f>
        <v>0.03</v>
      </c>
      <c r="D121" s="35" t="s">
        <v>118</v>
      </c>
      <c r="E121" s="34">
        <f>IF(E115="Lucro presumido",3%,7.6%)</f>
        <v>0.03</v>
      </c>
      <c r="F121" s="35" t="s">
        <v>118</v>
      </c>
      <c r="G121" s="34">
        <f>IF(G115="Lucro presumido",3%,7.6%)</f>
        <v>0.03</v>
      </c>
      <c r="H121" s="35" t="s">
        <v>118</v>
      </c>
    </row>
    <row r="122" spans="1:8" x14ac:dyDescent="0.2">
      <c r="A122" s="8" t="s">
        <v>124</v>
      </c>
      <c r="B122" s="14" t="s">
        <v>123</v>
      </c>
      <c r="C122" s="34">
        <v>0.02</v>
      </c>
      <c r="D122" s="35" t="s">
        <v>118</v>
      </c>
      <c r="E122" s="34">
        <v>0.02</v>
      </c>
      <c r="F122" s="35" t="s">
        <v>118</v>
      </c>
      <c r="G122" s="34">
        <v>0.02</v>
      </c>
      <c r="H122" s="35" t="s">
        <v>118</v>
      </c>
    </row>
    <row r="123" spans="1:8" ht="25.5" x14ac:dyDescent="0.2">
      <c r="A123" s="26" t="s">
        <v>11</v>
      </c>
      <c r="B123" s="5" t="s">
        <v>127</v>
      </c>
      <c r="C123" s="36">
        <v>4.4999999999999998E-2</v>
      </c>
      <c r="D123" s="37">
        <f>(D135+D118+D117)*(C123/IF(C115="Lucro presumido",91.45%,85.75%))</f>
        <v>255.80493860532232</v>
      </c>
      <c r="E123" s="36">
        <v>4.4999999999999998E-2</v>
      </c>
      <c r="F123" s="208">
        <f>(F$135+F$118+F$117)*($E123/IF($E115="Lucro presumido",91.45%,85.75%))</f>
        <v>274.66369542959291</v>
      </c>
      <c r="G123" s="36">
        <v>4.4999999999999998E-2</v>
      </c>
      <c r="H123" s="208">
        <f>(H$135+H$118+H$117)*($G123/IF($G115="Lucro presumido",91.45%,85.75%))</f>
        <v>271.88879386778649</v>
      </c>
    </row>
    <row r="124" spans="1:8" x14ac:dyDescent="0.2">
      <c r="A124" s="463" t="s">
        <v>17</v>
      </c>
      <c r="B124" s="463"/>
      <c r="C124" s="21">
        <f>SUM(C117:C119)+(C123)</f>
        <v>0.21149999999999997</v>
      </c>
      <c r="D124" s="22">
        <f>SUM(D117:D123)</f>
        <v>1092.1513755149356</v>
      </c>
      <c r="E124" s="21">
        <f>SUM(E117:E119)+(E123)</f>
        <v>0.21149999999999997</v>
      </c>
      <c r="F124" s="207">
        <f>SUM(F117:F123)</f>
        <v>1172.6682620083079</v>
      </c>
      <c r="G124" s="21">
        <f>SUM(G117:G119)+(G123)</f>
        <v>0.21149999999999997</v>
      </c>
      <c r="H124" s="207">
        <f>SUM(H117:H123)</f>
        <v>1160.8209045093922</v>
      </c>
    </row>
    <row r="125" spans="1:8" x14ac:dyDescent="0.2">
      <c r="A125" s="464" t="s">
        <v>79</v>
      </c>
      <c r="B125" s="464"/>
      <c r="C125" s="464"/>
      <c r="D125" s="464"/>
      <c r="E125" s="233"/>
    </row>
    <row r="126" spans="1:8" x14ac:dyDescent="0.2">
      <c r="A126" s="464" t="s">
        <v>126</v>
      </c>
      <c r="B126" s="464"/>
      <c r="C126" s="464"/>
      <c r="D126" s="464"/>
      <c r="E126" s="233"/>
    </row>
    <row r="128" spans="1:8" x14ac:dyDescent="0.2">
      <c r="A128" s="415" t="s">
        <v>112</v>
      </c>
      <c r="B128" s="415"/>
      <c r="C128" s="415"/>
      <c r="D128" s="415"/>
      <c r="E128" s="231"/>
    </row>
    <row r="129" spans="1:8" x14ac:dyDescent="0.2">
      <c r="A129" s="466" t="s">
        <v>80</v>
      </c>
      <c r="B129" s="467"/>
      <c r="C129" s="468"/>
      <c r="D129" s="43" t="s">
        <v>74</v>
      </c>
      <c r="E129" s="242"/>
      <c r="F129" s="219" t="s">
        <v>74</v>
      </c>
      <c r="H129" s="219" t="s">
        <v>74</v>
      </c>
    </row>
    <row r="130" spans="1:8" x14ac:dyDescent="0.2">
      <c r="A130" s="26" t="s">
        <v>6</v>
      </c>
      <c r="B130" s="438" t="s">
        <v>75</v>
      </c>
      <c r="C130" s="438"/>
      <c r="D130" s="16">
        <f>D19</f>
        <v>2182.33</v>
      </c>
      <c r="E130" s="245"/>
      <c r="F130" s="203">
        <f>F19</f>
        <v>2400.5630000000001</v>
      </c>
      <c r="H130" s="16">
        <f>H19</f>
        <v>2400.5630000000001</v>
      </c>
    </row>
    <row r="131" spans="1:8" x14ac:dyDescent="0.2">
      <c r="A131" s="26" t="s">
        <v>8</v>
      </c>
      <c r="B131" s="438" t="s">
        <v>19</v>
      </c>
      <c r="C131" s="438"/>
      <c r="D131" s="16">
        <f>D65</f>
        <v>2138.8426499767002</v>
      </c>
      <c r="E131" s="245"/>
      <c r="F131" s="203">
        <f>F65</f>
        <v>2238.9531613818999</v>
      </c>
      <c r="H131" s="211">
        <f>H65</f>
        <v>2238.9531613818999</v>
      </c>
    </row>
    <row r="132" spans="1:8" x14ac:dyDescent="0.2">
      <c r="A132" s="26" t="s">
        <v>9</v>
      </c>
      <c r="B132" s="438" t="s">
        <v>76</v>
      </c>
      <c r="C132" s="438"/>
      <c r="D132" s="16">
        <f>D76</f>
        <v>174.585989940193</v>
      </c>
      <c r="E132" s="245"/>
      <c r="F132" s="203">
        <f>F76</f>
        <v>192.0445889342123</v>
      </c>
      <c r="H132" s="203">
        <f>H76</f>
        <v>141.2408356154543</v>
      </c>
    </row>
    <row r="133" spans="1:8" x14ac:dyDescent="0.2">
      <c r="A133" s="26" t="s">
        <v>11</v>
      </c>
      <c r="B133" s="438" t="s">
        <v>53</v>
      </c>
      <c r="C133" s="438"/>
      <c r="D133" s="16">
        <f>D103</f>
        <v>94.698238509399999</v>
      </c>
      <c r="E133" s="245"/>
      <c r="F133" s="203">
        <f>F103</f>
        <v>104.16806236034</v>
      </c>
      <c r="H133" s="16">
        <f>H103</f>
        <v>104.16806236034</v>
      </c>
    </row>
    <row r="134" spans="1:8" x14ac:dyDescent="0.2">
      <c r="A134" s="26" t="s">
        <v>13</v>
      </c>
      <c r="B134" s="438" t="s">
        <v>66</v>
      </c>
      <c r="C134" s="438"/>
      <c r="D134" s="16">
        <f>D111</f>
        <v>92.898804347826072</v>
      </c>
      <c r="E134" s="245"/>
      <c r="F134" s="16">
        <f>F111</f>
        <v>92.898804347826072</v>
      </c>
      <c r="H134" s="16">
        <f>H111</f>
        <v>92.898804347826072</v>
      </c>
    </row>
    <row r="135" spans="1:8" x14ac:dyDescent="0.2">
      <c r="A135" s="463" t="s">
        <v>77</v>
      </c>
      <c r="B135" s="463"/>
      <c r="C135" s="463"/>
      <c r="D135" s="18">
        <f>SUM(D130:D134)</f>
        <v>4683.3556827741186</v>
      </c>
      <c r="E135" s="246"/>
      <c r="F135" s="204">
        <f>SUM(F130:F134)</f>
        <v>5028.6276170242782</v>
      </c>
      <c r="H135" s="204">
        <f>SUM(H130:H134)</f>
        <v>4977.8238637055201</v>
      </c>
    </row>
    <row r="136" spans="1:8" x14ac:dyDescent="0.2">
      <c r="A136" s="8" t="s">
        <v>15</v>
      </c>
      <c r="B136" s="414" t="s">
        <v>70</v>
      </c>
      <c r="C136" s="414"/>
      <c r="D136" s="16">
        <f>D124</f>
        <v>1092.1513755149356</v>
      </c>
      <c r="E136" s="245"/>
      <c r="F136" s="203">
        <f>F124</f>
        <v>1172.6682620083079</v>
      </c>
      <c r="H136" s="203">
        <f>H124</f>
        <v>1160.8209045093922</v>
      </c>
    </row>
    <row r="137" spans="1:8" x14ac:dyDescent="0.2">
      <c r="A137" s="415" t="s">
        <v>434</v>
      </c>
      <c r="B137" s="415"/>
      <c r="C137" s="415"/>
      <c r="D137" s="38">
        <f>SUM(D135:D136)</f>
        <v>5775.5070582890539</v>
      </c>
      <c r="E137" s="251"/>
      <c r="F137" s="209">
        <f>SUM(F135:F136)</f>
        <v>6201.2958790325865</v>
      </c>
      <c r="H137" s="209">
        <f>SUM(H135:H136)</f>
        <v>6138.6447682149119</v>
      </c>
    </row>
    <row r="140" spans="1:8" x14ac:dyDescent="0.2">
      <c r="A140" s="465" t="s">
        <v>437</v>
      </c>
      <c r="B140" s="465"/>
      <c r="C140" s="465"/>
      <c r="D140" s="465"/>
      <c r="E140" s="240"/>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8:D58"/>
    <mergeCell ref="A30:D30"/>
    <mergeCell ref="A32:D32"/>
    <mergeCell ref="A42:B42"/>
    <mergeCell ref="A43:D43"/>
    <mergeCell ref="A44:D44"/>
    <mergeCell ref="A45:D45"/>
    <mergeCell ref="A46:D46"/>
    <mergeCell ref="A47:D47"/>
    <mergeCell ref="A49:D49"/>
    <mergeCell ref="A56:C56"/>
    <mergeCell ref="A57:D57"/>
    <mergeCell ref="A81:D81"/>
    <mergeCell ref="A60:D60"/>
    <mergeCell ref="B61:C61"/>
    <mergeCell ref="B62:C62"/>
    <mergeCell ref="B63:C63"/>
    <mergeCell ref="B64:C64"/>
    <mergeCell ref="A65:C65"/>
    <mergeCell ref="A67:D67"/>
    <mergeCell ref="A76:B76"/>
    <mergeCell ref="A77:D77"/>
    <mergeCell ref="A78:D78"/>
    <mergeCell ref="A80:D80"/>
    <mergeCell ref="B107:C107"/>
    <mergeCell ref="A83:D83"/>
    <mergeCell ref="A91:B91"/>
    <mergeCell ref="A92:D92"/>
    <mergeCell ref="A94:D94"/>
    <mergeCell ref="A97:B97"/>
    <mergeCell ref="A99:D99"/>
    <mergeCell ref="B100:C100"/>
    <mergeCell ref="B101:C101"/>
    <mergeCell ref="A103:C103"/>
    <mergeCell ref="A105:D105"/>
    <mergeCell ref="B106:C106"/>
    <mergeCell ref="A114:D114"/>
    <mergeCell ref="A115:B115"/>
    <mergeCell ref="C115:D115"/>
    <mergeCell ref="A124:B124"/>
    <mergeCell ref="A125:D125"/>
    <mergeCell ref="B108:C108"/>
    <mergeCell ref="B109:C109"/>
    <mergeCell ref="B110:C110"/>
    <mergeCell ref="A111:C111"/>
    <mergeCell ref="A112:D112"/>
    <mergeCell ref="A140:D140"/>
    <mergeCell ref="A129:C129"/>
    <mergeCell ref="B130:C130"/>
    <mergeCell ref="B131:C131"/>
    <mergeCell ref="B132:C132"/>
    <mergeCell ref="B133:C133"/>
    <mergeCell ref="B134:C134"/>
    <mergeCell ref="G115:H115"/>
    <mergeCell ref="E115:F115"/>
    <mergeCell ref="A135:C135"/>
    <mergeCell ref="B136:C136"/>
    <mergeCell ref="A137:C137"/>
    <mergeCell ref="A128:D128"/>
    <mergeCell ref="A126:D126"/>
  </mergeCells>
  <dataValidations disablePrompts="1" count="1">
    <dataValidation type="list" allowBlank="1" showInputMessage="1" showErrorMessage="1" sqref="G115 C115:E115" xr:uid="{00000000-0002-0000-0500-000000000000}">
      <formula1>"Lucro presumido,Lucro real"</formula1>
    </dataValidation>
  </dataValidations>
  <pageMargins left="0.511811024" right="0.511811024" top="0.78740157499999996" bottom="0.78740157499999996" header="0.31496062000000002" footer="0.31496062000000002"/>
  <pageSetup paperSize="9" scale="5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pageSetUpPr fitToPage="1"/>
  </sheetPr>
  <dimension ref="A1:H140"/>
  <sheetViews>
    <sheetView showGridLines="0" topLeftCell="A25" zoomScaleNormal="100" workbookViewId="0">
      <selection activeCell="H73" sqref="H73:H74"/>
    </sheetView>
  </sheetViews>
  <sheetFormatPr defaultColWidth="8.7109375" defaultRowHeight="12.75" x14ac:dyDescent="0.2"/>
  <cols>
    <col min="1" max="1" width="5" style="1" bestFit="1" customWidth="1"/>
    <col min="2" max="2" width="45.7109375" style="12" bestFit="1" customWidth="1"/>
    <col min="3" max="3" width="14.140625" style="12" bestFit="1" customWidth="1"/>
    <col min="4" max="4" width="9.85546875" style="1" bestFit="1" customWidth="1"/>
    <col min="5" max="5" width="14.140625" style="221" bestFit="1" customWidth="1"/>
    <col min="6" max="6" width="20.28515625" style="221" bestFit="1" customWidth="1"/>
    <col min="7" max="7" width="14.140625" style="221" bestFit="1" customWidth="1"/>
    <col min="8" max="8" width="18.28515625" style="221" bestFit="1" customWidth="1"/>
    <col min="9" max="16384" width="8.7109375" style="1"/>
  </cols>
  <sheetData>
    <row r="1" spans="1:8" x14ac:dyDescent="0.2">
      <c r="A1" s="476" t="s">
        <v>92</v>
      </c>
      <c r="B1" s="476"/>
      <c r="C1" s="476"/>
      <c r="D1" s="476"/>
      <c r="E1" s="222"/>
    </row>
    <row r="3" spans="1:8" x14ac:dyDescent="0.2">
      <c r="A3" s="477" t="s">
        <v>0</v>
      </c>
      <c r="B3" s="477"/>
      <c r="C3" s="477"/>
      <c r="D3" s="477"/>
      <c r="E3" s="223"/>
    </row>
    <row r="4" spans="1:8" ht="25.5" x14ac:dyDescent="0.2">
      <c r="A4" s="43">
        <v>1</v>
      </c>
      <c r="B4" s="3" t="s">
        <v>1</v>
      </c>
      <c r="C4" s="454" t="s">
        <v>142</v>
      </c>
      <c r="D4" s="454"/>
      <c r="E4" s="224"/>
    </row>
    <row r="5" spans="1:8" x14ac:dyDescent="0.2">
      <c r="A5" s="4">
        <v>2</v>
      </c>
      <c r="B5" s="5" t="s">
        <v>2</v>
      </c>
      <c r="C5" s="455"/>
      <c r="D5" s="455"/>
      <c r="E5" s="225"/>
    </row>
    <row r="6" spans="1:8" x14ac:dyDescent="0.2">
      <c r="A6" s="4">
        <v>3</v>
      </c>
      <c r="B6" s="5" t="s">
        <v>95</v>
      </c>
      <c r="C6" s="459">
        <v>1901.53</v>
      </c>
      <c r="D6" s="459"/>
      <c r="E6" s="226"/>
      <c r="F6" s="262"/>
    </row>
    <row r="7" spans="1:8" ht="25.5" x14ac:dyDescent="0.2">
      <c r="A7" s="4">
        <v>4</v>
      </c>
      <c r="B7" s="5" t="s">
        <v>96</v>
      </c>
      <c r="C7" s="479" t="s">
        <v>450</v>
      </c>
      <c r="D7" s="480"/>
      <c r="E7" s="227"/>
    </row>
    <row r="8" spans="1:8" x14ac:dyDescent="0.2">
      <c r="A8" s="4">
        <v>5</v>
      </c>
      <c r="B8" s="5" t="s">
        <v>3</v>
      </c>
      <c r="C8" s="458" t="s">
        <v>451</v>
      </c>
      <c r="D8" s="455"/>
      <c r="E8" s="228"/>
      <c r="F8" s="229">
        <v>44562</v>
      </c>
    </row>
    <row r="9" spans="1:8" x14ac:dyDescent="0.2">
      <c r="A9" s="4">
        <v>6</v>
      </c>
      <c r="B9" s="5" t="s">
        <v>97</v>
      </c>
      <c r="C9" s="458" t="s">
        <v>452</v>
      </c>
      <c r="D9" s="455"/>
      <c r="E9" s="228"/>
      <c r="F9" s="230" t="s">
        <v>566</v>
      </c>
    </row>
    <row r="10" spans="1:8" x14ac:dyDescent="0.2">
      <c r="F10" s="221" t="s">
        <v>567</v>
      </c>
      <c r="H10" s="221" t="s">
        <v>568</v>
      </c>
    </row>
    <row r="11" spans="1:8" ht="127.5" x14ac:dyDescent="0.2">
      <c r="A11" s="415" t="s">
        <v>75</v>
      </c>
      <c r="B11" s="415"/>
      <c r="C11" s="415"/>
      <c r="D11" s="415"/>
      <c r="E11" s="231"/>
      <c r="F11" s="252" t="s">
        <v>575</v>
      </c>
      <c r="H11" s="252" t="s">
        <v>569</v>
      </c>
    </row>
    <row r="12" spans="1:8" x14ac:dyDescent="0.2">
      <c r="A12" s="40">
        <v>1</v>
      </c>
      <c r="B12" s="477" t="s">
        <v>4</v>
      </c>
      <c r="C12" s="477"/>
      <c r="D12" s="42" t="s">
        <v>5</v>
      </c>
      <c r="E12" s="242"/>
      <c r="F12" s="218" t="s">
        <v>5</v>
      </c>
      <c r="H12" s="218" t="s">
        <v>5</v>
      </c>
    </row>
    <row r="13" spans="1:8" x14ac:dyDescent="0.2">
      <c r="A13" s="8" t="s">
        <v>6</v>
      </c>
      <c r="B13" s="414" t="s">
        <v>7</v>
      </c>
      <c r="C13" s="414"/>
      <c r="D13" s="114">
        <v>2101.94</v>
      </c>
      <c r="E13" s="243"/>
      <c r="F13" s="200">
        <f>D13*1.1</f>
        <v>2312.1340000000005</v>
      </c>
      <c r="H13" s="114">
        <f>F13</f>
        <v>2312.1340000000005</v>
      </c>
    </row>
    <row r="14" spans="1:8" x14ac:dyDescent="0.2">
      <c r="A14" s="8" t="s">
        <v>8</v>
      </c>
      <c r="B14" s="414" t="s">
        <v>401</v>
      </c>
      <c r="C14" s="414"/>
      <c r="D14" s="10" t="s">
        <v>118</v>
      </c>
      <c r="E14" s="244"/>
      <c r="F14" s="10" t="s">
        <v>118</v>
      </c>
      <c r="H14" s="10" t="s">
        <v>118</v>
      </c>
    </row>
    <row r="15" spans="1:8" x14ac:dyDescent="0.2">
      <c r="A15" s="8" t="s">
        <v>9</v>
      </c>
      <c r="B15" s="414" t="s">
        <v>10</v>
      </c>
      <c r="C15" s="414"/>
      <c r="D15" s="10" t="s">
        <v>118</v>
      </c>
      <c r="E15" s="244"/>
      <c r="F15" s="10" t="s">
        <v>118</v>
      </c>
      <c r="H15" s="10" t="s">
        <v>118</v>
      </c>
    </row>
    <row r="16" spans="1:8" x14ac:dyDescent="0.2">
      <c r="A16" s="8" t="s">
        <v>11</v>
      </c>
      <c r="B16" s="414" t="s">
        <v>12</v>
      </c>
      <c r="C16" s="414"/>
      <c r="D16" s="10" t="s">
        <v>118</v>
      </c>
      <c r="E16" s="244"/>
      <c r="F16" s="10" t="s">
        <v>118</v>
      </c>
      <c r="H16" s="10" t="s">
        <v>118</v>
      </c>
    </row>
    <row r="17" spans="1:8" x14ac:dyDescent="0.2">
      <c r="A17" s="8" t="s">
        <v>13</v>
      </c>
      <c r="B17" s="414" t="s">
        <v>14</v>
      </c>
      <c r="C17" s="414"/>
      <c r="D17" s="10" t="s">
        <v>118</v>
      </c>
      <c r="E17" s="244"/>
      <c r="F17" s="10" t="s">
        <v>118</v>
      </c>
      <c r="H17" s="10" t="s">
        <v>118</v>
      </c>
    </row>
    <row r="18" spans="1:8" x14ac:dyDescent="0.2">
      <c r="A18" s="8" t="s">
        <v>15</v>
      </c>
      <c r="B18" s="414" t="s">
        <v>16</v>
      </c>
      <c r="C18" s="414"/>
      <c r="D18" s="10" t="s">
        <v>118</v>
      </c>
      <c r="E18" s="244"/>
      <c r="F18" s="10" t="s">
        <v>118</v>
      </c>
      <c r="H18" s="10" t="s">
        <v>118</v>
      </c>
    </row>
    <row r="19" spans="1:8" x14ac:dyDescent="0.2">
      <c r="A19" s="463" t="s">
        <v>17</v>
      </c>
      <c r="B19" s="463"/>
      <c r="C19" s="463"/>
      <c r="D19" s="11">
        <f>SUM(D13:D18)</f>
        <v>2101.94</v>
      </c>
      <c r="E19" s="243"/>
      <c r="F19" s="202">
        <f>SUM(F13:F18)</f>
        <v>2312.1340000000005</v>
      </c>
      <c r="H19" s="11">
        <f>SUM(H13:H18)</f>
        <v>2312.1340000000005</v>
      </c>
    </row>
    <row r="20" spans="1:8" x14ac:dyDescent="0.2">
      <c r="A20" s="481" t="s">
        <v>18</v>
      </c>
      <c r="B20" s="481"/>
      <c r="C20" s="481"/>
      <c r="D20" s="481"/>
      <c r="E20" s="233"/>
    </row>
    <row r="22" spans="1:8" x14ac:dyDescent="0.2">
      <c r="A22" s="415" t="s">
        <v>19</v>
      </c>
      <c r="B22" s="415"/>
      <c r="C22" s="415"/>
      <c r="D22" s="415"/>
      <c r="E22" s="231"/>
    </row>
    <row r="23" spans="1:8" x14ac:dyDescent="0.2">
      <c r="A23" s="463" t="s">
        <v>24</v>
      </c>
      <c r="B23" s="463"/>
      <c r="C23" s="463"/>
      <c r="D23" s="463"/>
      <c r="E23" s="234"/>
    </row>
    <row r="24" spans="1:8" ht="25.5" x14ac:dyDescent="0.2">
      <c r="A24" s="39" t="s">
        <v>20</v>
      </c>
      <c r="B24" s="39" t="s">
        <v>21</v>
      </c>
      <c r="C24" s="43" t="s">
        <v>28</v>
      </c>
      <c r="D24" s="39" t="s">
        <v>5</v>
      </c>
      <c r="E24" s="219" t="s">
        <v>28</v>
      </c>
      <c r="F24" s="220" t="s">
        <v>5</v>
      </c>
      <c r="G24" s="219" t="s">
        <v>28</v>
      </c>
      <c r="H24" s="220" t="s">
        <v>5</v>
      </c>
    </row>
    <row r="25" spans="1:8" x14ac:dyDescent="0.2">
      <c r="A25" s="8" t="s">
        <v>6</v>
      </c>
      <c r="B25" s="14" t="s">
        <v>22</v>
      </c>
      <c r="C25" s="15">
        <v>9.0899999999999995E-2</v>
      </c>
      <c r="D25" s="16">
        <f>C25*$D$19</f>
        <v>191.06634599999998</v>
      </c>
      <c r="E25" s="270">
        <v>9.0899999999999995E-2</v>
      </c>
      <c r="F25" s="203">
        <f>E25*F$19</f>
        <v>210.17298060000002</v>
      </c>
      <c r="G25" s="270">
        <v>9.0899999999999995E-2</v>
      </c>
      <c r="H25" s="211">
        <f>G25*H$19</f>
        <v>210.17298060000002</v>
      </c>
    </row>
    <row r="26" spans="1:8" x14ac:dyDescent="0.2">
      <c r="A26" s="8" t="s">
        <v>8</v>
      </c>
      <c r="B26" s="14" t="s">
        <v>23</v>
      </c>
      <c r="C26" s="15">
        <v>0.1212</v>
      </c>
      <c r="D26" s="16">
        <f>C26*$D$19</f>
        <v>254.75512800000001</v>
      </c>
      <c r="E26" s="270">
        <v>0.1212</v>
      </c>
      <c r="F26" s="203">
        <f>E26*F$19</f>
        <v>280.23064080000006</v>
      </c>
      <c r="G26" s="270">
        <v>0.1212</v>
      </c>
      <c r="H26" s="211">
        <f>G26*H$19</f>
        <v>280.23064080000006</v>
      </c>
    </row>
    <row r="27" spans="1:8" x14ac:dyDescent="0.2">
      <c r="A27" s="463" t="s">
        <v>17</v>
      </c>
      <c r="B27" s="463"/>
      <c r="C27" s="17">
        <f t="shared" ref="C27:H27" si="0">SUM(C25:C26)</f>
        <v>0.21210000000000001</v>
      </c>
      <c r="D27" s="18">
        <f t="shared" si="0"/>
        <v>445.82147399999997</v>
      </c>
      <c r="E27" s="17">
        <f t="shared" si="0"/>
        <v>0.21210000000000001</v>
      </c>
      <c r="F27" s="204">
        <f t="shared" si="0"/>
        <v>490.40362140000008</v>
      </c>
      <c r="G27" s="17">
        <f t="shared" si="0"/>
        <v>0.21210000000000001</v>
      </c>
      <c r="H27" s="212">
        <f t="shared" si="0"/>
        <v>490.40362140000008</v>
      </c>
    </row>
    <row r="28" spans="1:8" x14ac:dyDescent="0.2">
      <c r="A28" s="464" t="s">
        <v>98</v>
      </c>
      <c r="B28" s="464"/>
      <c r="C28" s="464"/>
      <c r="D28" s="464"/>
      <c r="E28" s="233"/>
    </row>
    <row r="29" spans="1:8" x14ac:dyDescent="0.2">
      <c r="A29" s="464" t="s">
        <v>99</v>
      </c>
      <c r="B29" s="464"/>
      <c r="C29" s="464"/>
      <c r="D29" s="464"/>
      <c r="E29" s="233"/>
    </row>
    <row r="30" spans="1:8" x14ac:dyDescent="0.2">
      <c r="A30" s="464" t="s">
        <v>100</v>
      </c>
      <c r="B30" s="464"/>
      <c r="C30" s="464"/>
      <c r="D30" s="464"/>
      <c r="E30" s="233"/>
    </row>
    <row r="32" spans="1:8" x14ac:dyDescent="0.2">
      <c r="A32" s="470" t="s">
        <v>25</v>
      </c>
      <c r="B32" s="470"/>
      <c r="C32" s="470"/>
      <c r="D32" s="470"/>
      <c r="E32" s="235"/>
    </row>
    <row r="33" spans="1:8" x14ac:dyDescent="0.2">
      <c r="A33" s="40" t="s">
        <v>26</v>
      </c>
      <c r="B33" s="42" t="s">
        <v>27</v>
      </c>
      <c r="C33" s="42" t="s">
        <v>28</v>
      </c>
      <c r="D33" s="40" t="s">
        <v>5</v>
      </c>
      <c r="E33" s="218" t="s">
        <v>28</v>
      </c>
      <c r="F33" s="217" t="s">
        <v>5</v>
      </c>
      <c r="G33" s="218" t="s">
        <v>28</v>
      </c>
      <c r="H33" s="217" t="s">
        <v>5</v>
      </c>
    </row>
    <row r="34" spans="1:8" x14ac:dyDescent="0.2">
      <c r="A34" s="8" t="s">
        <v>6</v>
      </c>
      <c r="B34" s="14" t="s">
        <v>29</v>
      </c>
      <c r="C34" s="19">
        <v>0</v>
      </c>
      <c r="D34" s="20">
        <f t="shared" ref="D34:D40" si="1">C34*($D$19+$D$27)</f>
        <v>0</v>
      </c>
      <c r="E34" s="19">
        <v>0</v>
      </c>
      <c r="F34" s="20">
        <f>E34*(F$19+F$27)</f>
        <v>0</v>
      </c>
      <c r="G34" s="19">
        <v>0</v>
      </c>
      <c r="H34" s="20">
        <f>G34*(H$19+H$27)</f>
        <v>0</v>
      </c>
    </row>
    <row r="35" spans="1:8" x14ac:dyDescent="0.2">
      <c r="A35" s="8" t="s">
        <v>8</v>
      </c>
      <c r="B35" s="14" t="s">
        <v>30</v>
      </c>
      <c r="C35" s="19">
        <v>2.5000000000000001E-2</v>
      </c>
      <c r="D35" s="20">
        <f t="shared" si="1"/>
        <v>63.694036850000003</v>
      </c>
      <c r="E35" s="19">
        <v>2.5000000000000001E-2</v>
      </c>
      <c r="F35" s="205">
        <f t="shared" ref="F35:F41" si="2">$E35*(F$19+F$27)</f>
        <v>70.063440535000026</v>
      </c>
      <c r="G35" s="19">
        <v>2.5000000000000001E-2</v>
      </c>
      <c r="H35" s="20">
        <f t="shared" ref="H35:H41" si="3">$G35*(H$19+H$27)</f>
        <v>70.063440535000026</v>
      </c>
    </row>
    <row r="36" spans="1:8" x14ac:dyDescent="0.2">
      <c r="A36" s="8" t="s">
        <v>9</v>
      </c>
      <c r="B36" s="14" t="s">
        <v>101</v>
      </c>
      <c r="C36" s="19">
        <v>3.39E-2</v>
      </c>
      <c r="D36" s="20">
        <f t="shared" si="1"/>
        <v>86.36911396859999</v>
      </c>
      <c r="E36" s="287">
        <v>1.4999999999999999E-2</v>
      </c>
      <c r="F36" s="205">
        <f t="shared" si="2"/>
        <v>42.038064321000007</v>
      </c>
      <c r="G36" s="19">
        <v>1.4999999999999999E-2</v>
      </c>
      <c r="H36" s="20">
        <f t="shared" si="3"/>
        <v>42.038064321000007</v>
      </c>
    </row>
    <row r="37" spans="1:8" x14ac:dyDescent="0.2">
      <c r="A37" s="8" t="s">
        <v>11</v>
      </c>
      <c r="B37" s="14" t="s">
        <v>31</v>
      </c>
      <c r="C37" s="19">
        <v>1.4999999999999999E-2</v>
      </c>
      <c r="D37" s="20">
        <f t="shared" si="1"/>
        <v>38.216422109999996</v>
      </c>
      <c r="E37" s="19">
        <v>1.4999999999999999E-2</v>
      </c>
      <c r="F37" s="205">
        <f t="shared" si="2"/>
        <v>42.038064321000007</v>
      </c>
      <c r="G37" s="19">
        <v>1.4999999999999999E-2</v>
      </c>
      <c r="H37" s="20">
        <f t="shared" si="3"/>
        <v>42.038064321000007</v>
      </c>
    </row>
    <row r="38" spans="1:8" x14ac:dyDescent="0.2">
      <c r="A38" s="8" t="s">
        <v>13</v>
      </c>
      <c r="B38" s="14" t="s">
        <v>32</v>
      </c>
      <c r="C38" s="19">
        <v>0.01</v>
      </c>
      <c r="D38" s="20">
        <f t="shared" si="1"/>
        <v>25.47761474</v>
      </c>
      <c r="E38" s="19">
        <v>0.01</v>
      </c>
      <c r="F38" s="205">
        <f t="shared" si="2"/>
        <v>28.025376214000008</v>
      </c>
      <c r="G38" s="19">
        <v>0.01</v>
      </c>
      <c r="H38" s="20">
        <f t="shared" si="3"/>
        <v>28.025376214000008</v>
      </c>
    </row>
    <row r="39" spans="1:8" x14ac:dyDescent="0.2">
      <c r="A39" s="8" t="s">
        <v>15</v>
      </c>
      <c r="B39" s="14" t="s">
        <v>33</v>
      </c>
      <c r="C39" s="19">
        <v>6.0000000000000001E-3</v>
      </c>
      <c r="D39" s="20">
        <f t="shared" si="1"/>
        <v>15.286568844</v>
      </c>
      <c r="E39" s="19">
        <v>6.0000000000000001E-3</v>
      </c>
      <c r="F39" s="205">
        <f t="shared" si="2"/>
        <v>16.815225728400005</v>
      </c>
      <c r="G39" s="19">
        <v>6.0000000000000001E-3</v>
      </c>
      <c r="H39" s="20">
        <f t="shared" si="3"/>
        <v>16.815225728400005</v>
      </c>
    </row>
    <row r="40" spans="1:8" x14ac:dyDescent="0.2">
      <c r="A40" s="8" t="s">
        <v>34</v>
      </c>
      <c r="B40" s="14" t="s">
        <v>35</v>
      </c>
      <c r="C40" s="19">
        <v>2E-3</v>
      </c>
      <c r="D40" s="20">
        <f t="shared" si="1"/>
        <v>5.0955229480000002</v>
      </c>
      <c r="E40" s="19">
        <v>2E-3</v>
      </c>
      <c r="F40" s="205">
        <f t="shared" si="2"/>
        <v>5.6050752428000017</v>
      </c>
      <c r="G40" s="19">
        <v>2E-3</v>
      </c>
      <c r="H40" s="20">
        <f t="shared" si="3"/>
        <v>5.6050752428000017</v>
      </c>
    </row>
    <row r="41" spans="1:8" x14ac:dyDescent="0.2">
      <c r="A41" s="8" t="s">
        <v>36</v>
      </c>
      <c r="B41" s="14" t="s">
        <v>37</v>
      </c>
      <c r="C41" s="19">
        <v>0.08</v>
      </c>
      <c r="D41" s="20">
        <f>C41*($D$19+$D$27)</f>
        <v>203.82091792</v>
      </c>
      <c r="E41" s="19">
        <v>0.08</v>
      </c>
      <c r="F41" s="205">
        <f t="shared" si="2"/>
        <v>224.20300971200007</v>
      </c>
      <c r="G41" s="19">
        <v>0.08</v>
      </c>
      <c r="H41" s="20">
        <f t="shared" si="3"/>
        <v>224.20300971200007</v>
      </c>
    </row>
    <row r="42" spans="1:8" x14ac:dyDescent="0.2">
      <c r="A42" s="471" t="s">
        <v>17</v>
      </c>
      <c r="B42" s="472"/>
      <c r="C42" s="21">
        <f t="shared" ref="C42:H42" si="4">SUM(C34:C41)</f>
        <v>0.1719</v>
      </c>
      <c r="D42" s="22">
        <f t="shared" si="4"/>
        <v>437.96019738059999</v>
      </c>
      <c r="E42" s="288">
        <f t="shared" si="4"/>
        <v>0.15300000000000002</v>
      </c>
      <c r="F42" s="289">
        <f t="shared" si="4"/>
        <v>428.78825607420015</v>
      </c>
      <c r="G42" s="21">
        <f t="shared" si="4"/>
        <v>0.15300000000000002</v>
      </c>
      <c r="H42" s="22">
        <f t="shared" si="4"/>
        <v>428.78825607420015</v>
      </c>
    </row>
    <row r="43" spans="1:8" x14ac:dyDescent="0.2">
      <c r="A43" s="464" t="s">
        <v>104</v>
      </c>
      <c r="B43" s="464"/>
      <c r="C43" s="464"/>
      <c r="D43" s="464"/>
      <c r="E43" s="233"/>
    </row>
    <row r="44" spans="1:8" x14ac:dyDescent="0.2">
      <c r="A44" s="464" t="s">
        <v>102</v>
      </c>
      <c r="B44" s="464"/>
      <c r="C44" s="464"/>
      <c r="D44" s="464"/>
      <c r="E44" s="233"/>
    </row>
    <row r="45" spans="1:8" x14ac:dyDescent="0.2">
      <c r="A45" s="464" t="s">
        <v>103</v>
      </c>
      <c r="B45" s="464"/>
      <c r="C45" s="464"/>
      <c r="D45" s="464"/>
      <c r="E45" s="233"/>
    </row>
    <row r="46" spans="1:8" x14ac:dyDescent="0.2">
      <c r="A46" s="464" t="s">
        <v>108</v>
      </c>
      <c r="B46" s="464"/>
      <c r="C46" s="464"/>
      <c r="D46" s="464"/>
      <c r="E46" s="233"/>
    </row>
    <row r="47" spans="1:8" x14ac:dyDescent="0.2">
      <c r="A47" s="464" t="s">
        <v>113</v>
      </c>
      <c r="B47" s="464"/>
      <c r="C47" s="464"/>
      <c r="D47" s="464"/>
      <c r="E47" s="233"/>
    </row>
    <row r="49" spans="1:8" x14ac:dyDescent="0.2">
      <c r="A49" s="470" t="s">
        <v>38</v>
      </c>
      <c r="B49" s="470"/>
      <c r="C49" s="470"/>
      <c r="D49" s="470"/>
      <c r="E49" s="235"/>
    </row>
    <row r="50" spans="1:8" x14ac:dyDescent="0.2">
      <c r="A50" s="41" t="s">
        <v>39</v>
      </c>
      <c r="B50" s="43" t="s">
        <v>40</v>
      </c>
      <c r="C50" s="41" t="s">
        <v>89</v>
      </c>
      <c r="D50" s="43" t="s">
        <v>5</v>
      </c>
      <c r="E50" s="242"/>
      <c r="F50" s="219" t="s">
        <v>5</v>
      </c>
      <c r="H50" s="219" t="s">
        <v>5</v>
      </c>
    </row>
    <row r="51" spans="1:8" x14ac:dyDescent="0.2">
      <c r="A51" s="8" t="s">
        <v>6</v>
      </c>
      <c r="B51" s="14" t="s">
        <v>135</v>
      </c>
      <c r="C51" s="24">
        <v>22</v>
      </c>
      <c r="D51" s="16">
        <f>(18.6*C51)-0.06*D13</f>
        <v>283.08360000000005</v>
      </c>
      <c r="E51" s="245"/>
      <c r="F51" s="203">
        <f>(18.6*$C51)-0.06*F$13</f>
        <v>270.47196000000002</v>
      </c>
      <c r="H51" s="16">
        <f>(18.6*$C51)-0.06*H$13</f>
        <v>270.47196000000002</v>
      </c>
    </row>
    <row r="52" spans="1:8" x14ac:dyDescent="0.2">
      <c r="A52" s="8" t="s">
        <v>8</v>
      </c>
      <c r="B52" s="14" t="s">
        <v>456</v>
      </c>
      <c r="C52" s="24">
        <v>22</v>
      </c>
      <c r="D52" s="16">
        <f>35*C52</f>
        <v>770</v>
      </c>
      <c r="E52" s="245"/>
      <c r="F52" s="203">
        <f>38*$C52</f>
        <v>836</v>
      </c>
      <c r="H52" s="16">
        <f>38*$C52</f>
        <v>836</v>
      </c>
    </row>
    <row r="53" spans="1:8" x14ac:dyDescent="0.2">
      <c r="A53" s="8" t="s">
        <v>9</v>
      </c>
      <c r="B53" s="14" t="s">
        <v>42</v>
      </c>
      <c r="C53" s="24"/>
      <c r="D53" s="16">
        <v>160.07</v>
      </c>
      <c r="E53" s="245"/>
      <c r="F53" s="203">
        <v>169.67</v>
      </c>
      <c r="H53" s="16">
        <v>169.67</v>
      </c>
    </row>
    <row r="54" spans="1:8" x14ac:dyDescent="0.2">
      <c r="A54" s="8" t="s">
        <v>11</v>
      </c>
      <c r="B54" s="14" t="s">
        <v>90</v>
      </c>
      <c r="C54" s="24"/>
      <c r="D54" s="16">
        <v>10.63</v>
      </c>
      <c r="E54" s="245"/>
      <c r="F54" s="203">
        <v>11.27</v>
      </c>
      <c r="H54" s="16">
        <v>11.27</v>
      </c>
    </row>
    <row r="55" spans="1:8" x14ac:dyDescent="0.2">
      <c r="A55" s="8" t="s">
        <v>13</v>
      </c>
      <c r="B55" s="14" t="s">
        <v>453</v>
      </c>
      <c r="C55" s="24"/>
      <c r="D55" s="16">
        <v>2.2999999999999998</v>
      </c>
      <c r="E55" s="245"/>
      <c r="F55" s="203">
        <v>2.5</v>
      </c>
      <c r="H55" s="16">
        <v>2.5</v>
      </c>
    </row>
    <row r="56" spans="1:8" x14ac:dyDescent="0.2">
      <c r="A56" s="463" t="s">
        <v>17</v>
      </c>
      <c r="B56" s="463"/>
      <c r="C56" s="463"/>
      <c r="D56" s="18">
        <f>SUM(D51:D55)</f>
        <v>1226.0835999999999</v>
      </c>
      <c r="E56" s="246"/>
      <c r="F56" s="206">
        <f>SUM(F51:F55)</f>
        <v>1289.9119600000001</v>
      </c>
      <c r="H56" s="25">
        <f>SUM(H51:H55)</f>
        <v>1289.9119600000001</v>
      </c>
    </row>
    <row r="57" spans="1:8" x14ac:dyDescent="0.2">
      <c r="A57" s="464" t="s">
        <v>45</v>
      </c>
      <c r="B57" s="464"/>
      <c r="C57" s="464"/>
      <c r="D57" s="464"/>
      <c r="E57" s="233"/>
    </row>
    <row r="58" spans="1:8" x14ac:dyDescent="0.2">
      <c r="A58" s="464" t="s">
        <v>105</v>
      </c>
      <c r="B58" s="464"/>
      <c r="C58" s="464"/>
      <c r="D58" s="464"/>
      <c r="E58" s="233"/>
    </row>
    <row r="60" spans="1:8" x14ac:dyDescent="0.2">
      <c r="A60" s="415" t="s">
        <v>43</v>
      </c>
      <c r="B60" s="415"/>
      <c r="C60" s="415"/>
      <c r="D60" s="415"/>
      <c r="E60" s="231"/>
    </row>
    <row r="61" spans="1:8" x14ac:dyDescent="0.2">
      <c r="A61" s="42">
        <v>2</v>
      </c>
      <c r="B61" s="430" t="s">
        <v>44</v>
      </c>
      <c r="C61" s="430"/>
      <c r="D61" s="42" t="s">
        <v>5</v>
      </c>
      <c r="E61" s="242"/>
      <c r="F61" s="218" t="s">
        <v>5</v>
      </c>
      <c r="H61" s="218" t="s">
        <v>5</v>
      </c>
    </row>
    <row r="62" spans="1:8" x14ac:dyDescent="0.2">
      <c r="A62" s="26" t="s">
        <v>20</v>
      </c>
      <c r="B62" s="438" t="s">
        <v>21</v>
      </c>
      <c r="C62" s="438"/>
      <c r="D62" s="16">
        <f>D27</f>
        <v>445.82147399999997</v>
      </c>
      <c r="E62" s="245"/>
      <c r="F62" s="203">
        <f>F27</f>
        <v>490.40362140000008</v>
      </c>
      <c r="H62" s="16">
        <f>H27</f>
        <v>490.40362140000008</v>
      </c>
    </row>
    <row r="63" spans="1:8" x14ac:dyDescent="0.2">
      <c r="A63" s="26" t="s">
        <v>26</v>
      </c>
      <c r="B63" s="414" t="s">
        <v>27</v>
      </c>
      <c r="C63" s="414"/>
      <c r="D63" s="16">
        <f>D42</f>
        <v>437.96019738059999</v>
      </c>
      <c r="E63" s="245"/>
      <c r="F63" s="203">
        <f>F42</f>
        <v>428.78825607420015</v>
      </c>
      <c r="H63" s="16">
        <f>H42</f>
        <v>428.78825607420015</v>
      </c>
    </row>
    <row r="64" spans="1:8" x14ac:dyDescent="0.2">
      <c r="A64" s="26" t="s">
        <v>39</v>
      </c>
      <c r="B64" s="414" t="s">
        <v>40</v>
      </c>
      <c r="C64" s="414"/>
      <c r="D64" s="16">
        <f>D56</f>
        <v>1226.0835999999999</v>
      </c>
      <c r="E64" s="245"/>
      <c r="F64" s="203">
        <f>F56</f>
        <v>1289.9119600000001</v>
      </c>
      <c r="H64" s="16">
        <f>H56</f>
        <v>1289.9119600000001</v>
      </c>
    </row>
    <row r="65" spans="1:8" x14ac:dyDescent="0.2">
      <c r="A65" s="471" t="s">
        <v>17</v>
      </c>
      <c r="B65" s="475"/>
      <c r="C65" s="472"/>
      <c r="D65" s="18">
        <f>SUM(D62:D64)</f>
        <v>2109.8652713806</v>
      </c>
      <c r="E65" s="246"/>
      <c r="F65" s="204">
        <f>SUM(F62:F64)</f>
        <v>2209.1038374742002</v>
      </c>
      <c r="H65" s="18">
        <f>SUM(H62:H64)</f>
        <v>2209.1038374742002</v>
      </c>
    </row>
    <row r="67" spans="1:8" x14ac:dyDescent="0.2">
      <c r="A67" s="415" t="s">
        <v>76</v>
      </c>
      <c r="B67" s="415"/>
      <c r="C67" s="415"/>
      <c r="D67" s="415"/>
      <c r="E67" s="231"/>
    </row>
    <row r="68" spans="1:8" x14ac:dyDescent="0.2">
      <c r="A68" s="42">
        <v>3</v>
      </c>
      <c r="B68" s="42" t="s">
        <v>46</v>
      </c>
      <c r="C68" s="42" t="s">
        <v>28</v>
      </c>
      <c r="D68" s="42" t="s">
        <v>5</v>
      </c>
      <c r="E68" s="218" t="s">
        <v>28</v>
      </c>
      <c r="F68" s="232" t="s">
        <v>5</v>
      </c>
      <c r="G68" s="232" t="s">
        <v>28</v>
      </c>
      <c r="H68" s="232" t="s">
        <v>5</v>
      </c>
    </row>
    <row r="69" spans="1:8" x14ac:dyDescent="0.2">
      <c r="A69" s="26" t="s">
        <v>6</v>
      </c>
      <c r="B69" s="5" t="s">
        <v>47</v>
      </c>
      <c r="C69" s="19">
        <v>4.1999999999999997E-3</v>
      </c>
      <c r="D69" s="20">
        <f t="shared" ref="D69:D74" si="5">C69*($D$19+$D$27)</f>
        <v>10.700598190799999</v>
      </c>
      <c r="E69" s="28">
        <v>4.1999999999999997E-3</v>
      </c>
      <c r="F69" s="257">
        <f t="shared" ref="F69:F75" si="6">$E69*(F$19+F$27)</f>
        <v>11.770658009880002</v>
      </c>
      <c r="G69" s="28">
        <v>4.1999999999999997E-3</v>
      </c>
      <c r="H69" s="9">
        <f t="shared" ref="H69:H75" si="7">$G69*(H$19+H$27)</f>
        <v>11.770658009880002</v>
      </c>
    </row>
    <row r="70" spans="1:8" x14ac:dyDescent="0.2">
      <c r="A70" s="26" t="s">
        <v>8</v>
      </c>
      <c r="B70" s="5" t="s">
        <v>48</v>
      </c>
      <c r="C70" s="19">
        <v>2.9999999999999997E-4</v>
      </c>
      <c r="D70" s="20">
        <f t="shared" si="5"/>
        <v>0.76432844219999996</v>
      </c>
      <c r="E70" s="28">
        <v>2.9999999999999997E-4</v>
      </c>
      <c r="F70" s="257">
        <f t="shared" si="6"/>
        <v>0.84076128642000014</v>
      </c>
      <c r="G70" s="28">
        <v>2.9999999999999997E-4</v>
      </c>
      <c r="H70" s="9">
        <f t="shared" si="7"/>
        <v>0.84076128642000014</v>
      </c>
    </row>
    <row r="71" spans="1:8" ht="25.5" x14ac:dyDescent="0.2">
      <c r="A71" s="26" t="s">
        <v>9</v>
      </c>
      <c r="B71" s="5" t="s">
        <v>49</v>
      </c>
      <c r="C71" s="27">
        <v>9.9999999999999995E-7</v>
      </c>
      <c r="D71" s="20">
        <f t="shared" si="5"/>
        <v>2.5477614739999998E-3</v>
      </c>
      <c r="E71" s="351">
        <v>9.9999999999999995E-7</v>
      </c>
      <c r="F71" s="260">
        <f t="shared" si="6"/>
        <v>2.8025376214000004E-3</v>
      </c>
      <c r="G71" s="351">
        <v>9.9999999999999995E-7</v>
      </c>
      <c r="H71" s="258">
        <f t="shared" si="7"/>
        <v>2.8025376214000004E-3</v>
      </c>
    </row>
    <row r="72" spans="1:8" x14ac:dyDescent="0.2">
      <c r="A72" s="26" t="s">
        <v>11</v>
      </c>
      <c r="B72" s="5" t="s">
        <v>50</v>
      </c>
      <c r="C72" s="28">
        <v>1.9400000000000001E-2</v>
      </c>
      <c r="D72" s="29">
        <f>C72*($D$19+$D$27)</f>
        <v>49.4265725956</v>
      </c>
      <c r="E72" s="348">
        <v>1.9400000000000001E-2</v>
      </c>
      <c r="F72" s="260">
        <f t="shared" si="6"/>
        <v>54.369229855160015</v>
      </c>
      <c r="G72" s="347">
        <v>1.9400000000000001E-3</v>
      </c>
      <c r="H72" s="260">
        <f t="shared" si="7"/>
        <v>5.4369229855160013</v>
      </c>
    </row>
    <row r="73" spans="1:8" ht="25.5" x14ac:dyDescent="0.2">
      <c r="A73" s="26" t="s">
        <v>13</v>
      </c>
      <c r="B73" s="5" t="s">
        <v>51</v>
      </c>
      <c r="C73" s="19">
        <v>7.1000000000000004E-3</v>
      </c>
      <c r="D73" s="20">
        <f>C73*($D$19+$D$27)</f>
        <v>18.0891064654</v>
      </c>
      <c r="E73" s="28">
        <v>7.1000000000000004E-3</v>
      </c>
      <c r="F73" s="257">
        <f t="shared" si="6"/>
        <v>19.898017111940007</v>
      </c>
      <c r="G73" s="28">
        <v>7.1000000000000004E-3</v>
      </c>
      <c r="H73" s="258">
        <f t="shared" si="7"/>
        <v>19.898017111940007</v>
      </c>
    </row>
    <row r="74" spans="1:8" ht="25.5" x14ac:dyDescent="0.2">
      <c r="A74" s="26" t="s">
        <v>15</v>
      </c>
      <c r="B74" s="5" t="s">
        <v>52</v>
      </c>
      <c r="C74" s="19">
        <v>1E-4</v>
      </c>
      <c r="D74" s="20">
        <f t="shared" si="5"/>
        <v>0.25477614739999999</v>
      </c>
      <c r="E74" s="28">
        <v>1E-4</v>
      </c>
      <c r="F74" s="257">
        <f t="shared" si="6"/>
        <v>0.28025376214000008</v>
      </c>
      <c r="G74" s="28">
        <v>1E-4</v>
      </c>
      <c r="H74" s="258">
        <f t="shared" si="7"/>
        <v>0.28025376214000008</v>
      </c>
    </row>
    <row r="75" spans="1:8" x14ac:dyDescent="0.2">
      <c r="A75" s="30" t="s">
        <v>34</v>
      </c>
      <c r="B75" s="31" t="s">
        <v>128</v>
      </c>
      <c r="C75" s="19">
        <v>3.49E-2</v>
      </c>
      <c r="D75" s="20">
        <f>C75*($D$19+$D$27)</f>
        <v>88.916875442600002</v>
      </c>
      <c r="E75" s="28">
        <v>3.49E-2</v>
      </c>
      <c r="F75" s="257">
        <f t="shared" si="6"/>
        <v>97.808562986860025</v>
      </c>
      <c r="G75" s="28">
        <v>3.49E-2</v>
      </c>
      <c r="H75" s="258">
        <f t="shared" si="7"/>
        <v>97.808562986860025</v>
      </c>
    </row>
    <row r="76" spans="1:8" x14ac:dyDescent="0.2">
      <c r="A76" s="471" t="s">
        <v>17</v>
      </c>
      <c r="B76" s="472"/>
      <c r="C76" s="17">
        <f t="shared" ref="C76:H76" si="8">SUM(C69:C75)</f>
        <v>6.6001000000000004E-2</v>
      </c>
      <c r="D76" s="18">
        <f t="shared" si="8"/>
        <v>168.15480504547401</v>
      </c>
      <c r="E76" s="350">
        <f t="shared" si="8"/>
        <v>6.6001000000000004E-2</v>
      </c>
      <c r="F76" s="202">
        <f t="shared" si="8"/>
        <v>184.97028555002146</v>
      </c>
      <c r="G76" s="350">
        <f t="shared" si="8"/>
        <v>4.8541000000000001E-2</v>
      </c>
      <c r="H76" s="202">
        <f t="shared" si="8"/>
        <v>136.03797868037742</v>
      </c>
    </row>
    <row r="77" spans="1:8" x14ac:dyDescent="0.2">
      <c r="A77" s="464" t="s">
        <v>106</v>
      </c>
      <c r="B77" s="464"/>
      <c r="C77" s="464"/>
      <c r="D77" s="464"/>
      <c r="E77" s="233"/>
    </row>
    <row r="78" spans="1:8" x14ac:dyDescent="0.2">
      <c r="A78" s="464" t="s">
        <v>114</v>
      </c>
      <c r="B78" s="464"/>
      <c r="C78" s="464"/>
      <c r="D78" s="464"/>
      <c r="E78" s="233"/>
    </row>
    <row r="80" spans="1:8" x14ac:dyDescent="0.2">
      <c r="A80" s="415" t="s">
        <v>53</v>
      </c>
      <c r="B80" s="415"/>
      <c r="C80" s="415"/>
      <c r="D80" s="415"/>
      <c r="E80" s="231"/>
    </row>
    <row r="81" spans="1:8" x14ac:dyDescent="0.2">
      <c r="A81" s="474" t="s">
        <v>107</v>
      </c>
      <c r="B81" s="474"/>
      <c r="C81" s="474"/>
      <c r="D81" s="474"/>
      <c r="E81" s="233"/>
    </row>
    <row r="83" spans="1:8" x14ac:dyDescent="0.2">
      <c r="A83" s="470" t="s">
        <v>109</v>
      </c>
      <c r="B83" s="470"/>
      <c r="C83" s="470"/>
      <c r="D83" s="470"/>
      <c r="E83" s="235"/>
    </row>
    <row r="84" spans="1:8" x14ac:dyDescent="0.2">
      <c r="A84" s="41" t="s">
        <v>54</v>
      </c>
      <c r="B84" s="43" t="s">
        <v>55</v>
      </c>
      <c r="C84" s="43" t="s">
        <v>28</v>
      </c>
      <c r="D84" s="43" t="s">
        <v>5</v>
      </c>
      <c r="E84" s="219" t="s">
        <v>28</v>
      </c>
      <c r="F84" s="219" t="s">
        <v>5</v>
      </c>
      <c r="G84" s="219" t="s">
        <v>28</v>
      </c>
      <c r="H84" s="219" t="s">
        <v>5</v>
      </c>
    </row>
    <row r="85" spans="1:8" x14ac:dyDescent="0.2">
      <c r="A85" s="26" t="s">
        <v>6</v>
      </c>
      <c r="B85" s="5" t="s">
        <v>56</v>
      </c>
      <c r="C85" s="19">
        <v>7.6E-3</v>
      </c>
      <c r="D85" s="20">
        <f t="shared" ref="D85:D90" si="9">C85*($D$19+$D$27)</f>
        <v>19.362987202399999</v>
      </c>
      <c r="E85" s="19">
        <v>7.6E-3</v>
      </c>
      <c r="F85" s="205">
        <f>E85*(F$19+F$27)</f>
        <v>21.299285922640006</v>
      </c>
      <c r="G85" s="19">
        <v>7.6E-3</v>
      </c>
      <c r="H85" s="20">
        <f t="shared" ref="H85:H90" si="10">$G85*(H$19+H$27)</f>
        <v>21.299285922640006</v>
      </c>
    </row>
    <row r="86" spans="1:8" x14ac:dyDescent="0.2">
      <c r="A86" s="26" t="s">
        <v>8</v>
      </c>
      <c r="B86" s="5" t="s">
        <v>57</v>
      </c>
      <c r="C86" s="19">
        <v>8.2000000000000007E-3</v>
      </c>
      <c r="D86" s="20">
        <f t="shared" si="9"/>
        <v>20.8916440868</v>
      </c>
      <c r="E86" s="19">
        <v>8.2000000000000007E-3</v>
      </c>
      <c r="F86" s="205">
        <f t="shared" ref="F86:F90" si="11">E86*(F$19+F$27)</f>
        <v>22.980808495480009</v>
      </c>
      <c r="G86" s="19">
        <v>8.2000000000000007E-3</v>
      </c>
      <c r="H86" s="20">
        <f t="shared" si="10"/>
        <v>22.980808495480009</v>
      </c>
    </row>
    <row r="87" spans="1:8" x14ac:dyDescent="0.2">
      <c r="A87" s="26" t="s">
        <v>9</v>
      </c>
      <c r="B87" s="5" t="s">
        <v>58</v>
      </c>
      <c r="C87" s="19">
        <v>2.0000000000000001E-4</v>
      </c>
      <c r="D87" s="20">
        <f t="shared" si="9"/>
        <v>0.50955229479999997</v>
      </c>
      <c r="E87" s="19">
        <v>2.0000000000000001E-4</v>
      </c>
      <c r="F87" s="205">
        <f t="shared" si="11"/>
        <v>0.56050752428000017</v>
      </c>
      <c r="G87" s="19">
        <v>2.0000000000000001E-4</v>
      </c>
      <c r="H87" s="20">
        <f t="shared" si="10"/>
        <v>0.56050752428000017</v>
      </c>
    </row>
    <row r="88" spans="1:8" ht="25.5" x14ac:dyDescent="0.2">
      <c r="A88" s="26" t="s">
        <v>11</v>
      </c>
      <c r="B88" s="5" t="s">
        <v>59</v>
      </c>
      <c r="C88" s="19">
        <v>2.9999999999999997E-4</v>
      </c>
      <c r="D88" s="20">
        <f t="shared" si="9"/>
        <v>0.76432844219999996</v>
      </c>
      <c r="E88" s="19">
        <v>2.9999999999999997E-4</v>
      </c>
      <c r="F88" s="205">
        <f t="shared" si="11"/>
        <v>0.84076128642000014</v>
      </c>
      <c r="G88" s="19">
        <v>2.9999999999999997E-4</v>
      </c>
      <c r="H88" s="20">
        <f t="shared" si="10"/>
        <v>0.84076128642000014</v>
      </c>
    </row>
    <row r="89" spans="1:8" x14ac:dyDescent="0.2">
      <c r="A89" s="26" t="s">
        <v>13</v>
      </c>
      <c r="B89" s="5" t="s">
        <v>60</v>
      </c>
      <c r="C89" s="19">
        <v>2.8999999999999998E-3</v>
      </c>
      <c r="D89" s="20">
        <f t="shared" si="9"/>
        <v>7.3885082745999995</v>
      </c>
      <c r="E89" s="19">
        <v>2.8999999999999998E-3</v>
      </c>
      <c r="F89" s="205">
        <f t="shared" si="11"/>
        <v>8.1273591020600016</v>
      </c>
      <c r="G89" s="19">
        <v>2.8999999999999998E-3</v>
      </c>
      <c r="H89" s="20">
        <f t="shared" si="10"/>
        <v>8.1273591020600016</v>
      </c>
    </row>
    <row r="90" spans="1:8" ht="25.5" x14ac:dyDescent="0.2">
      <c r="A90" s="26" t="s">
        <v>15</v>
      </c>
      <c r="B90" s="5" t="s">
        <v>134</v>
      </c>
      <c r="C90" s="19">
        <v>1.66E-2</v>
      </c>
      <c r="D90" s="20">
        <f t="shared" si="9"/>
        <v>42.292840468400001</v>
      </c>
      <c r="E90" s="19">
        <v>1.66E-2</v>
      </c>
      <c r="F90" s="205">
        <f t="shared" si="11"/>
        <v>46.522124515240016</v>
      </c>
      <c r="G90" s="19">
        <v>1.66E-2</v>
      </c>
      <c r="H90" s="20">
        <f t="shared" si="10"/>
        <v>46.522124515240016</v>
      </c>
    </row>
    <row r="91" spans="1:8" x14ac:dyDescent="0.2">
      <c r="A91" s="471" t="s">
        <v>17</v>
      </c>
      <c r="B91" s="472"/>
      <c r="C91" s="17">
        <f t="shared" ref="C91:H91" si="12">SUM(C85:C90)</f>
        <v>3.5799999999999998E-2</v>
      </c>
      <c r="D91" s="18">
        <f t="shared" si="12"/>
        <v>91.209860769199992</v>
      </c>
      <c r="E91" s="17">
        <f t="shared" si="12"/>
        <v>3.5799999999999998E-2</v>
      </c>
      <c r="F91" s="207">
        <f t="shared" si="12"/>
        <v>100.33084684612004</v>
      </c>
      <c r="G91" s="17">
        <f t="shared" si="12"/>
        <v>3.5799999999999998E-2</v>
      </c>
      <c r="H91" s="137">
        <f t="shared" si="12"/>
        <v>100.33084684612004</v>
      </c>
    </row>
    <row r="92" spans="1:8" x14ac:dyDescent="0.2">
      <c r="A92" s="464" t="s">
        <v>115</v>
      </c>
      <c r="B92" s="464"/>
      <c r="C92" s="464"/>
      <c r="D92" s="464"/>
      <c r="E92" s="233"/>
    </row>
    <row r="94" spans="1:8" x14ac:dyDescent="0.2">
      <c r="A94" s="473" t="s">
        <v>110</v>
      </c>
      <c r="B94" s="473"/>
      <c r="C94" s="473"/>
      <c r="D94" s="473"/>
      <c r="E94" s="234"/>
    </row>
    <row r="95" spans="1:8" x14ac:dyDescent="0.2">
      <c r="A95" s="41" t="s">
        <v>61</v>
      </c>
      <c r="B95" s="43" t="s">
        <v>62</v>
      </c>
      <c r="C95" s="43" t="s">
        <v>5</v>
      </c>
      <c r="D95" s="41"/>
      <c r="E95" s="234"/>
      <c r="F95" s="234"/>
      <c r="G95" s="247"/>
      <c r="H95" s="234"/>
    </row>
    <row r="96" spans="1:8" ht="25.5" x14ac:dyDescent="0.2">
      <c r="A96" s="26" t="s">
        <v>6</v>
      </c>
      <c r="B96" s="5" t="s">
        <v>63</v>
      </c>
      <c r="C96" s="32"/>
      <c r="D96" s="33"/>
      <c r="E96" s="247"/>
      <c r="F96" s="247"/>
      <c r="G96" s="247"/>
      <c r="H96" s="247"/>
    </row>
    <row r="97" spans="1:8" x14ac:dyDescent="0.2">
      <c r="A97" s="466" t="s">
        <v>17</v>
      </c>
      <c r="B97" s="468"/>
      <c r="C97" s="16">
        <f>SUM(C96)</f>
        <v>0</v>
      </c>
      <c r="D97" s="33"/>
      <c r="E97" s="247"/>
      <c r="F97" s="247"/>
      <c r="G97" s="247"/>
      <c r="H97" s="247"/>
    </row>
    <row r="99" spans="1:8" x14ac:dyDescent="0.2">
      <c r="A99" s="415" t="s">
        <v>111</v>
      </c>
      <c r="B99" s="415"/>
      <c r="C99" s="415"/>
      <c r="D99" s="415"/>
      <c r="E99" s="231"/>
    </row>
    <row r="100" spans="1:8" x14ac:dyDescent="0.2">
      <c r="A100" s="40">
        <v>4</v>
      </c>
      <c r="B100" s="430" t="s">
        <v>64</v>
      </c>
      <c r="C100" s="430"/>
      <c r="D100" s="42" t="s">
        <v>5</v>
      </c>
      <c r="E100" s="242"/>
      <c r="F100" s="218" t="s">
        <v>5</v>
      </c>
      <c r="H100" s="218" t="s">
        <v>5</v>
      </c>
    </row>
    <row r="101" spans="1:8" x14ac:dyDescent="0.2">
      <c r="A101" s="8" t="s">
        <v>54</v>
      </c>
      <c r="B101" s="414" t="s">
        <v>55</v>
      </c>
      <c r="C101" s="414"/>
      <c r="D101" s="16">
        <f>D91</f>
        <v>91.209860769199992</v>
      </c>
      <c r="E101" s="245"/>
      <c r="F101" s="16">
        <f>F91</f>
        <v>100.33084684612004</v>
      </c>
      <c r="H101" s="16">
        <f>H91</f>
        <v>100.33084684612004</v>
      </c>
    </row>
    <row r="102" spans="1:8" x14ac:dyDescent="0.2">
      <c r="A102" s="8" t="s">
        <v>61</v>
      </c>
      <c r="B102" s="14" t="s">
        <v>65</v>
      </c>
      <c r="C102" s="14"/>
      <c r="D102" s="32">
        <f>C97</f>
        <v>0</v>
      </c>
      <c r="E102" s="245"/>
      <c r="F102" s="32">
        <f>D97</f>
        <v>0</v>
      </c>
      <c r="H102" s="32">
        <f>G97</f>
        <v>0</v>
      </c>
    </row>
    <row r="103" spans="1:8" x14ac:dyDescent="0.2">
      <c r="A103" s="463" t="s">
        <v>17</v>
      </c>
      <c r="B103" s="463"/>
      <c r="C103" s="463"/>
      <c r="D103" s="18">
        <f>SUM(D101:D102)</f>
        <v>91.209860769199992</v>
      </c>
      <c r="E103" s="246"/>
      <c r="F103" s="18">
        <f>SUM(F101:F102)</f>
        <v>100.33084684612004</v>
      </c>
      <c r="H103" s="18">
        <f>SUM(H101:H102)</f>
        <v>100.33084684612004</v>
      </c>
    </row>
    <row r="104" spans="1:8" x14ac:dyDescent="0.2">
      <c r="E104" s="247"/>
    </row>
    <row r="105" spans="1:8" x14ac:dyDescent="0.2">
      <c r="A105" s="415" t="s">
        <v>66</v>
      </c>
      <c r="B105" s="415"/>
      <c r="C105" s="415"/>
      <c r="D105" s="415"/>
      <c r="E105" s="248"/>
    </row>
    <row r="106" spans="1:8" x14ac:dyDescent="0.2">
      <c r="A106" s="41">
        <v>5</v>
      </c>
      <c r="B106" s="437" t="s">
        <v>67</v>
      </c>
      <c r="C106" s="437"/>
      <c r="D106" s="43" t="s">
        <v>5</v>
      </c>
      <c r="E106" s="242"/>
      <c r="F106" s="219" t="s">
        <v>5</v>
      </c>
      <c r="H106" s="219" t="s">
        <v>5</v>
      </c>
    </row>
    <row r="107" spans="1:8" x14ac:dyDescent="0.2">
      <c r="A107" s="8" t="s">
        <v>6</v>
      </c>
      <c r="B107" s="414" t="s">
        <v>68</v>
      </c>
      <c r="C107" s="414"/>
      <c r="D107" s="107">
        <f>'TABELA 4 Uniformes e EPIS'!$E29</f>
        <v>61.65</v>
      </c>
      <c r="E107" s="249"/>
      <c r="F107" s="107">
        <f>'TABELA 4 Uniformes e EPIS'!$E29</f>
        <v>61.65</v>
      </c>
      <c r="H107" s="107">
        <f>'TABELA 4 Uniformes e EPIS'!$E29</f>
        <v>61.65</v>
      </c>
    </row>
    <row r="108" spans="1:8" x14ac:dyDescent="0.2">
      <c r="A108" s="8" t="s">
        <v>8</v>
      </c>
      <c r="B108" s="414" t="s">
        <v>405</v>
      </c>
      <c r="C108" s="414"/>
      <c r="D108" s="107">
        <f>'TABELA 4 Uniformes e EPIS'!$E48+'TABELA 4 Uniformes e EPIS'!$E119+'TABELA 5 - Ferramentas'!$I145</f>
        <v>67.098804347826075</v>
      </c>
      <c r="E108" s="249"/>
      <c r="F108" s="107">
        <f>'TABELA 4 Uniformes e EPIS'!$E48+'TABELA 4 Uniformes e EPIS'!$E119+'TABELA 5 - Ferramentas'!$I145</f>
        <v>67.098804347826075</v>
      </c>
      <c r="H108" s="107">
        <f>'TABELA 4 Uniformes e EPIS'!$E48+'TABELA 4 Uniformes e EPIS'!$E119+'TABELA 5 - Ferramentas'!$I145</f>
        <v>67.098804347826075</v>
      </c>
    </row>
    <row r="109" spans="1:8" x14ac:dyDescent="0.2">
      <c r="A109" s="8" t="s">
        <v>9</v>
      </c>
      <c r="B109" s="414" t="s">
        <v>69</v>
      </c>
      <c r="C109" s="414"/>
      <c r="D109" s="16">
        <v>0</v>
      </c>
      <c r="E109" s="245"/>
      <c r="F109" s="16">
        <v>0</v>
      </c>
      <c r="H109" s="16">
        <v>0</v>
      </c>
    </row>
    <row r="110" spans="1:8" x14ac:dyDescent="0.2">
      <c r="A110" s="8" t="s">
        <v>11</v>
      </c>
      <c r="B110" s="414" t="s">
        <v>16</v>
      </c>
      <c r="C110" s="414"/>
      <c r="D110" s="16">
        <v>0</v>
      </c>
      <c r="E110" s="245"/>
      <c r="F110" s="16">
        <v>0</v>
      </c>
      <c r="H110" s="16">
        <v>0</v>
      </c>
    </row>
    <row r="111" spans="1:8" x14ac:dyDescent="0.2">
      <c r="A111" s="463" t="s">
        <v>17</v>
      </c>
      <c r="B111" s="463"/>
      <c r="C111" s="463"/>
      <c r="D111" s="18">
        <f>SUM(D107:D110)</f>
        <v>128.74880434782608</v>
      </c>
      <c r="E111" s="250"/>
      <c r="F111" s="18">
        <f>SUM(F107:F110)</f>
        <v>128.74880434782608</v>
      </c>
      <c r="H111" s="18">
        <f>SUM(H107:H110)</f>
        <v>128.74880434782608</v>
      </c>
    </row>
    <row r="112" spans="1:8" x14ac:dyDescent="0.2">
      <c r="A112" s="464" t="s">
        <v>78</v>
      </c>
      <c r="B112" s="464"/>
      <c r="C112" s="464"/>
      <c r="D112" s="464"/>
      <c r="E112" s="233"/>
    </row>
    <row r="114" spans="1:8" x14ac:dyDescent="0.2">
      <c r="A114" s="415" t="s">
        <v>70</v>
      </c>
      <c r="B114" s="415"/>
      <c r="C114" s="415"/>
      <c r="D114" s="415"/>
      <c r="E114" s="231"/>
    </row>
    <row r="115" spans="1:8" ht="12.75" customHeight="1" x14ac:dyDescent="0.2">
      <c r="A115" s="469" t="s">
        <v>116</v>
      </c>
      <c r="B115" s="469"/>
      <c r="C115" s="460" t="s">
        <v>117</v>
      </c>
      <c r="D115" s="460"/>
      <c r="E115" s="461" t="s">
        <v>117</v>
      </c>
      <c r="F115" s="462"/>
      <c r="G115" s="460" t="s">
        <v>117</v>
      </c>
      <c r="H115" s="460"/>
    </row>
    <row r="116" spans="1:8" x14ac:dyDescent="0.2">
      <c r="A116" s="40">
        <v>6</v>
      </c>
      <c r="B116" s="42" t="s">
        <v>71</v>
      </c>
      <c r="C116" s="42" t="s">
        <v>28</v>
      </c>
      <c r="D116" s="40" t="s">
        <v>5</v>
      </c>
      <c r="E116" s="218" t="s">
        <v>28</v>
      </c>
      <c r="F116" s="217" t="s">
        <v>5</v>
      </c>
      <c r="G116" s="218" t="s">
        <v>28</v>
      </c>
      <c r="H116" s="217" t="s">
        <v>5</v>
      </c>
    </row>
    <row r="117" spans="1:8" x14ac:dyDescent="0.2">
      <c r="A117" s="8" t="s">
        <v>6</v>
      </c>
      <c r="B117" s="14" t="s">
        <v>72</v>
      </c>
      <c r="C117" s="19">
        <v>0.06</v>
      </c>
      <c r="D117" s="20">
        <f>C117*D135</f>
        <v>275.995124492586</v>
      </c>
      <c r="E117" s="19">
        <v>0.06</v>
      </c>
      <c r="F117" s="205">
        <f>$E117*F$135</f>
        <v>296.11726645309005</v>
      </c>
      <c r="G117" s="19">
        <v>0.06</v>
      </c>
      <c r="H117" s="205">
        <f>$G117*H$135</f>
        <v>293.18132804091141</v>
      </c>
    </row>
    <row r="118" spans="1:8" x14ac:dyDescent="0.2">
      <c r="A118" s="8" t="s">
        <v>8</v>
      </c>
      <c r="B118" s="14" t="s">
        <v>73</v>
      </c>
      <c r="C118" s="19">
        <v>0.05</v>
      </c>
      <c r="D118" s="20">
        <f>C118*D135</f>
        <v>229.99593707715499</v>
      </c>
      <c r="E118" s="19">
        <v>0.05</v>
      </c>
      <c r="F118" s="205">
        <f>$E118*F$135</f>
        <v>246.76438871090841</v>
      </c>
      <c r="G118" s="19">
        <v>0.05</v>
      </c>
      <c r="H118" s="205">
        <f>$G118*H$135</f>
        <v>244.31777336742621</v>
      </c>
    </row>
    <row r="119" spans="1:8" x14ac:dyDescent="0.2">
      <c r="A119" s="8" t="s">
        <v>9</v>
      </c>
      <c r="B119" s="14" t="s">
        <v>125</v>
      </c>
      <c r="C119" s="34">
        <f>SUM(C120:C122)</f>
        <v>5.6499999999999995E-2</v>
      </c>
      <c r="D119" s="20">
        <f>(D135+D118+D117)*(C119/IF(C115="Lucro presumido",91.45%,85.75%))</f>
        <v>315.45533502009346</v>
      </c>
      <c r="E119" s="34">
        <f>SUM(E120:E122)</f>
        <v>5.6499999999999995E-2</v>
      </c>
      <c r="F119" s="205">
        <f>(F$135+F$118+F$117)*($E119/IF($E115="Lucro presumido",91.45%,85.75%))</f>
        <v>338.45442620021038</v>
      </c>
      <c r="G119" s="34">
        <f>SUM(G120:G122)</f>
        <v>5.6499999999999995E-2</v>
      </c>
      <c r="H119" s="205">
        <f>(H$135+H$118+H$117)*($G119/IF($G115="Lucro presumido",91.45%,85.75%))</f>
        <v>335.09872404019973</v>
      </c>
    </row>
    <row r="120" spans="1:8" x14ac:dyDescent="0.2">
      <c r="A120" s="8" t="s">
        <v>120</v>
      </c>
      <c r="B120" s="14" t="s">
        <v>119</v>
      </c>
      <c r="C120" s="34">
        <f>IF(C115="Lucro presumido",0.65%,1.65%)</f>
        <v>6.5000000000000006E-3</v>
      </c>
      <c r="D120" s="35" t="s">
        <v>118</v>
      </c>
      <c r="E120" s="34">
        <f>IF(E115="Lucro presumido",0.65%,1.65%)</f>
        <v>6.5000000000000006E-3</v>
      </c>
      <c r="F120" s="35" t="s">
        <v>118</v>
      </c>
      <c r="G120" s="34">
        <f>IF(G115="Lucro presumido",0.65%,1.65%)</f>
        <v>6.5000000000000006E-3</v>
      </c>
      <c r="H120" s="35" t="s">
        <v>118</v>
      </c>
    </row>
    <row r="121" spans="1:8" x14ac:dyDescent="0.2">
      <c r="A121" s="8" t="s">
        <v>122</v>
      </c>
      <c r="B121" s="14" t="s">
        <v>121</v>
      </c>
      <c r="C121" s="34">
        <f>IF(C115="Lucro presumido",3%,7.6%)</f>
        <v>0.03</v>
      </c>
      <c r="D121" s="35" t="s">
        <v>118</v>
      </c>
      <c r="E121" s="34">
        <f>IF(E115="Lucro presumido",3%,7.6%)</f>
        <v>0.03</v>
      </c>
      <c r="F121" s="35" t="s">
        <v>118</v>
      </c>
      <c r="G121" s="34">
        <f>IF(G115="Lucro presumido",3%,7.6%)</f>
        <v>0.03</v>
      </c>
      <c r="H121" s="35" t="s">
        <v>118</v>
      </c>
    </row>
    <row r="122" spans="1:8" x14ac:dyDescent="0.2">
      <c r="A122" s="8" t="s">
        <v>124</v>
      </c>
      <c r="B122" s="14" t="s">
        <v>123</v>
      </c>
      <c r="C122" s="34">
        <v>0.02</v>
      </c>
      <c r="D122" s="35" t="s">
        <v>118</v>
      </c>
      <c r="E122" s="34">
        <v>0.02</v>
      </c>
      <c r="F122" s="35" t="s">
        <v>118</v>
      </c>
      <c r="G122" s="34">
        <v>0.02</v>
      </c>
      <c r="H122" s="35" t="s">
        <v>118</v>
      </c>
    </row>
    <row r="123" spans="1:8" ht="25.5" x14ac:dyDescent="0.2">
      <c r="A123" s="26" t="s">
        <v>11</v>
      </c>
      <c r="B123" s="5" t="s">
        <v>127</v>
      </c>
      <c r="C123" s="36">
        <v>4.4999999999999998E-2</v>
      </c>
      <c r="D123" s="37">
        <f>(D135+D118+D117)*(C123/IF(C115="Lucro presumido",91.45%,85.75%))</f>
        <v>251.24761196290632</v>
      </c>
      <c r="E123" s="36">
        <v>4.4999999999999998E-2</v>
      </c>
      <c r="F123" s="208">
        <f>(F$135+F$118+F$117)*($E123/IF($E115="Lucro presumido",91.45%,85.75%))</f>
        <v>269.56547219485788</v>
      </c>
      <c r="G123" s="36">
        <v>4.4999999999999998E-2</v>
      </c>
      <c r="H123" s="208">
        <f>(H$135+H$118+H$117)*($G123/IF($G115="Lucro presumido",91.45%,85.75%))</f>
        <v>266.89278905856622</v>
      </c>
    </row>
    <row r="124" spans="1:8" x14ac:dyDescent="0.2">
      <c r="A124" s="463" t="s">
        <v>17</v>
      </c>
      <c r="B124" s="463"/>
      <c r="C124" s="21">
        <f>SUM(C117:C119)+(C123)</f>
        <v>0.21149999999999997</v>
      </c>
      <c r="D124" s="22">
        <f>SUM(D117:D123)</f>
        <v>1072.6940085527408</v>
      </c>
      <c r="E124" s="21">
        <f>SUM(E117:E119)+(E123)</f>
        <v>0.21149999999999997</v>
      </c>
      <c r="F124" s="207">
        <f>SUM(F117:F123)</f>
        <v>1150.9015535590665</v>
      </c>
      <c r="G124" s="21">
        <f>SUM(G117:G119)+(G123)</f>
        <v>0.21149999999999997</v>
      </c>
      <c r="H124" s="207">
        <f>SUM(H117:H123)</f>
        <v>1139.4906145071036</v>
      </c>
    </row>
    <row r="125" spans="1:8" x14ac:dyDescent="0.2">
      <c r="A125" s="464" t="s">
        <v>79</v>
      </c>
      <c r="B125" s="464"/>
      <c r="C125" s="464"/>
      <c r="D125" s="464"/>
      <c r="E125" s="233"/>
    </row>
    <row r="126" spans="1:8" x14ac:dyDescent="0.2">
      <c r="A126" s="464" t="s">
        <v>126</v>
      </c>
      <c r="B126" s="464"/>
      <c r="C126" s="464"/>
      <c r="D126" s="464"/>
      <c r="E126" s="233"/>
    </row>
    <row r="128" spans="1:8" x14ac:dyDescent="0.2">
      <c r="A128" s="415" t="s">
        <v>112</v>
      </c>
      <c r="B128" s="415"/>
      <c r="C128" s="415"/>
      <c r="D128" s="415"/>
      <c r="E128" s="231"/>
    </row>
    <row r="129" spans="1:8" x14ac:dyDescent="0.2">
      <c r="A129" s="466" t="s">
        <v>80</v>
      </c>
      <c r="B129" s="467"/>
      <c r="C129" s="468"/>
      <c r="D129" s="43" t="s">
        <v>74</v>
      </c>
      <c r="E129" s="242"/>
      <c r="F129" s="219" t="s">
        <v>74</v>
      </c>
      <c r="H129" s="219" t="s">
        <v>74</v>
      </c>
    </row>
    <row r="130" spans="1:8" x14ac:dyDescent="0.2">
      <c r="A130" s="26" t="s">
        <v>6</v>
      </c>
      <c r="B130" s="438" t="s">
        <v>75</v>
      </c>
      <c r="C130" s="438"/>
      <c r="D130" s="16">
        <f>D19</f>
        <v>2101.94</v>
      </c>
      <c r="E130" s="245"/>
      <c r="F130" s="203">
        <f>F19</f>
        <v>2312.1340000000005</v>
      </c>
      <c r="H130" s="16">
        <f>H19</f>
        <v>2312.1340000000005</v>
      </c>
    </row>
    <row r="131" spans="1:8" x14ac:dyDescent="0.2">
      <c r="A131" s="26" t="s">
        <v>8</v>
      </c>
      <c r="B131" s="438" t="s">
        <v>19</v>
      </c>
      <c r="C131" s="438"/>
      <c r="D131" s="16">
        <f>D65</f>
        <v>2109.8652713806</v>
      </c>
      <c r="E131" s="245"/>
      <c r="F131" s="203">
        <f>F65</f>
        <v>2209.1038374742002</v>
      </c>
      <c r="H131" s="211">
        <f>H65</f>
        <v>2209.1038374742002</v>
      </c>
    </row>
    <row r="132" spans="1:8" x14ac:dyDescent="0.2">
      <c r="A132" s="26" t="s">
        <v>9</v>
      </c>
      <c r="B132" s="438" t="s">
        <v>76</v>
      </c>
      <c r="C132" s="438"/>
      <c r="D132" s="16">
        <f>D76</f>
        <v>168.15480504547401</v>
      </c>
      <c r="E132" s="245"/>
      <c r="F132" s="203">
        <f>F76</f>
        <v>184.97028555002146</v>
      </c>
      <c r="H132" s="203">
        <f>H76</f>
        <v>136.03797868037742</v>
      </c>
    </row>
    <row r="133" spans="1:8" x14ac:dyDescent="0.2">
      <c r="A133" s="26" t="s">
        <v>11</v>
      </c>
      <c r="B133" s="438" t="s">
        <v>53</v>
      </c>
      <c r="C133" s="438"/>
      <c r="D133" s="16">
        <f>D103</f>
        <v>91.209860769199992</v>
      </c>
      <c r="E133" s="245"/>
      <c r="F133" s="203">
        <f>F103</f>
        <v>100.33084684612004</v>
      </c>
      <c r="H133" s="16">
        <f>H103</f>
        <v>100.33084684612004</v>
      </c>
    </row>
    <row r="134" spans="1:8" x14ac:dyDescent="0.2">
      <c r="A134" s="26" t="s">
        <v>13</v>
      </c>
      <c r="B134" s="438" t="s">
        <v>66</v>
      </c>
      <c r="C134" s="438"/>
      <c r="D134" s="16">
        <f>D111</f>
        <v>128.74880434782608</v>
      </c>
      <c r="E134" s="245"/>
      <c r="F134" s="16">
        <f>F111</f>
        <v>128.74880434782608</v>
      </c>
      <c r="H134" s="16">
        <f>H111</f>
        <v>128.74880434782608</v>
      </c>
    </row>
    <row r="135" spans="1:8" x14ac:dyDescent="0.2">
      <c r="A135" s="463" t="s">
        <v>77</v>
      </c>
      <c r="B135" s="463"/>
      <c r="C135" s="463"/>
      <c r="D135" s="18">
        <f>SUM(D130:D134)</f>
        <v>4599.9187415430997</v>
      </c>
      <c r="E135" s="246"/>
      <c r="F135" s="204">
        <f>SUM(F130:F134)</f>
        <v>4935.2877742181681</v>
      </c>
      <c r="H135" s="204">
        <f>SUM(H130:H134)</f>
        <v>4886.3554673485241</v>
      </c>
    </row>
    <row r="136" spans="1:8" x14ac:dyDescent="0.2">
      <c r="A136" s="8" t="s">
        <v>15</v>
      </c>
      <c r="B136" s="414" t="s">
        <v>70</v>
      </c>
      <c r="C136" s="414"/>
      <c r="D136" s="16">
        <f>D124</f>
        <v>1072.6940085527408</v>
      </c>
      <c r="E136" s="245"/>
      <c r="F136" s="203">
        <f>F124</f>
        <v>1150.9015535590665</v>
      </c>
      <c r="H136" s="203">
        <f>H124</f>
        <v>1139.4906145071036</v>
      </c>
    </row>
    <row r="137" spans="1:8" x14ac:dyDescent="0.2">
      <c r="A137" s="415" t="s">
        <v>435</v>
      </c>
      <c r="B137" s="415"/>
      <c r="C137" s="415"/>
      <c r="D137" s="38">
        <f>SUM(D135:D136)</f>
        <v>5672.612750095841</v>
      </c>
      <c r="E137" s="251"/>
      <c r="F137" s="209">
        <f>SUM(F135:F136)</f>
        <v>6086.1893277772342</v>
      </c>
      <c r="H137" s="209">
        <f>SUM(H135:H136)</f>
        <v>6025.8460818556277</v>
      </c>
    </row>
    <row r="140" spans="1:8" x14ac:dyDescent="0.2">
      <c r="A140" s="465" t="s">
        <v>437</v>
      </c>
      <c r="B140" s="465"/>
      <c r="C140" s="465"/>
      <c r="D140" s="465"/>
      <c r="E140" s="240"/>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8:D58"/>
    <mergeCell ref="A30:D30"/>
    <mergeCell ref="A32:D32"/>
    <mergeCell ref="A42:B42"/>
    <mergeCell ref="A43:D43"/>
    <mergeCell ref="A44:D44"/>
    <mergeCell ref="A45:D45"/>
    <mergeCell ref="A46:D46"/>
    <mergeCell ref="A47:D47"/>
    <mergeCell ref="A49:D49"/>
    <mergeCell ref="A56:C56"/>
    <mergeCell ref="A57:D57"/>
    <mergeCell ref="A81:D81"/>
    <mergeCell ref="A60:D60"/>
    <mergeCell ref="B61:C61"/>
    <mergeCell ref="B62:C62"/>
    <mergeCell ref="B63:C63"/>
    <mergeCell ref="B64:C64"/>
    <mergeCell ref="A65:C65"/>
    <mergeCell ref="A67:D67"/>
    <mergeCell ref="A76:B76"/>
    <mergeCell ref="A77:D77"/>
    <mergeCell ref="A78:D78"/>
    <mergeCell ref="A80:D80"/>
    <mergeCell ref="B107:C107"/>
    <mergeCell ref="A83:D83"/>
    <mergeCell ref="A91:B91"/>
    <mergeCell ref="A92:D92"/>
    <mergeCell ref="A94:D94"/>
    <mergeCell ref="A97:B97"/>
    <mergeCell ref="A99:D99"/>
    <mergeCell ref="B100:C100"/>
    <mergeCell ref="B101:C101"/>
    <mergeCell ref="A103:C103"/>
    <mergeCell ref="A105:D105"/>
    <mergeCell ref="B106:C106"/>
    <mergeCell ref="A114:D114"/>
    <mergeCell ref="A115:B115"/>
    <mergeCell ref="C115:D115"/>
    <mergeCell ref="A124:B124"/>
    <mergeCell ref="A125:D125"/>
    <mergeCell ref="B108:C108"/>
    <mergeCell ref="B109:C109"/>
    <mergeCell ref="B110:C110"/>
    <mergeCell ref="A111:C111"/>
    <mergeCell ref="A112:D112"/>
    <mergeCell ref="A140:D140"/>
    <mergeCell ref="A129:C129"/>
    <mergeCell ref="B130:C130"/>
    <mergeCell ref="B131:C131"/>
    <mergeCell ref="B132:C132"/>
    <mergeCell ref="B133:C133"/>
    <mergeCell ref="B134:C134"/>
    <mergeCell ref="G115:H115"/>
    <mergeCell ref="E115:F115"/>
    <mergeCell ref="A135:C135"/>
    <mergeCell ref="B136:C136"/>
    <mergeCell ref="A137:C137"/>
    <mergeCell ref="A128:D128"/>
    <mergeCell ref="A126:D126"/>
  </mergeCells>
  <dataValidations disablePrompts="1" count="1">
    <dataValidation type="list" allowBlank="1" showInputMessage="1" showErrorMessage="1" sqref="G115 C115:E115" xr:uid="{00000000-0002-0000-0600-000000000000}">
      <formula1>"Lucro presumido,Lucro real"</formula1>
    </dataValidation>
  </dataValidations>
  <pageMargins left="0.511811024" right="0.511811024" top="0.78740157499999996" bottom="0.78740157499999996" header="0.31496062000000002" footer="0.31496062000000002"/>
  <pageSetup paperSize="9" scale="5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pageSetUpPr fitToPage="1"/>
  </sheetPr>
  <dimension ref="A1:H140"/>
  <sheetViews>
    <sheetView showGridLines="0" topLeftCell="A16" zoomScaleNormal="100" workbookViewId="0">
      <selection activeCell="F85" sqref="F85:F90"/>
    </sheetView>
  </sheetViews>
  <sheetFormatPr defaultColWidth="8.7109375" defaultRowHeight="12.75" x14ac:dyDescent="0.2"/>
  <cols>
    <col min="1" max="1" width="5" style="1" bestFit="1" customWidth="1"/>
    <col min="2" max="2" width="45.7109375" style="12" bestFit="1" customWidth="1"/>
    <col min="3" max="3" width="14.140625" style="12" bestFit="1" customWidth="1"/>
    <col min="4" max="4" width="10" style="1" bestFit="1" customWidth="1"/>
    <col min="5" max="5" width="14.140625" style="221" bestFit="1" customWidth="1"/>
    <col min="6" max="6" width="20.28515625" style="221" bestFit="1" customWidth="1"/>
    <col min="7" max="7" width="14.140625" style="221" bestFit="1" customWidth="1"/>
    <col min="8" max="8" width="18.28515625" style="221" bestFit="1" customWidth="1"/>
    <col min="9" max="16384" width="8.7109375" style="1"/>
  </cols>
  <sheetData>
    <row r="1" spans="1:8" x14ac:dyDescent="0.2">
      <c r="A1" s="476" t="s">
        <v>92</v>
      </c>
      <c r="B1" s="476"/>
      <c r="C1" s="476"/>
      <c r="D1" s="476"/>
      <c r="E1" s="222"/>
    </row>
    <row r="3" spans="1:8" x14ac:dyDescent="0.2">
      <c r="A3" s="477" t="s">
        <v>0</v>
      </c>
      <c r="B3" s="477"/>
      <c r="C3" s="477"/>
      <c r="D3" s="477"/>
      <c r="E3" s="223"/>
    </row>
    <row r="4" spans="1:8" ht="25.5" x14ac:dyDescent="0.2">
      <c r="A4" s="43">
        <v>1</v>
      </c>
      <c r="B4" s="3" t="s">
        <v>1</v>
      </c>
      <c r="C4" s="454" t="s">
        <v>143</v>
      </c>
      <c r="D4" s="454"/>
      <c r="E4" s="224"/>
    </row>
    <row r="5" spans="1:8" x14ac:dyDescent="0.2">
      <c r="A5" s="4">
        <v>2</v>
      </c>
      <c r="B5" s="5" t="s">
        <v>2</v>
      </c>
      <c r="C5" s="455"/>
      <c r="D5" s="455"/>
      <c r="E5" s="225"/>
    </row>
    <row r="6" spans="1:8" x14ac:dyDescent="0.2">
      <c r="A6" s="4">
        <v>3</v>
      </c>
      <c r="B6" s="5" t="s">
        <v>95</v>
      </c>
      <c r="C6" s="459">
        <v>1287.96</v>
      </c>
      <c r="D6" s="459"/>
      <c r="E6" s="226"/>
      <c r="F6" s="262"/>
    </row>
    <row r="7" spans="1:8" ht="25.5" x14ac:dyDescent="0.2">
      <c r="A7" s="4">
        <v>4</v>
      </c>
      <c r="B7" s="5" t="s">
        <v>96</v>
      </c>
      <c r="C7" s="479" t="s">
        <v>450</v>
      </c>
      <c r="D7" s="480"/>
      <c r="E7" s="227"/>
    </row>
    <row r="8" spans="1:8" x14ac:dyDescent="0.2">
      <c r="A8" s="4">
        <v>5</v>
      </c>
      <c r="B8" s="5" t="s">
        <v>3</v>
      </c>
      <c r="C8" s="458" t="s">
        <v>451</v>
      </c>
      <c r="D8" s="455"/>
      <c r="E8" s="228"/>
      <c r="F8" s="229">
        <v>44562</v>
      </c>
    </row>
    <row r="9" spans="1:8" x14ac:dyDescent="0.2">
      <c r="A9" s="4">
        <v>6</v>
      </c>
      <c r="B9" s="5" t="s">
        <v>97</v>
      </c>
      <c r="C9" s="458" t="s">
        <v>452</v>
      </c>
      <c r="D9" s="455"/>
      <c r="E9" s="228"/>
      <c r="F9" s="230" t="s">
        <v>566</v>
      </c>
    </row>
    <row r="10" spans="1:8" x14ac:dyDescent="0.2">
      <c r="F10" s="221" t="s">
        <v>567</v>
      </c>
      <c r="H10" s="221" t="s">
        <v>568</v>
      </c>
    </row>
    <row r="11" spans="1:8" ht="127.5" x14ac:dyDescent="0.2">
      <c r="A11" s="415" t="s">
        <v>75</v>
      </c>
      <c r="B11" s="415"/>
      <c r="C11" s="415"/>
      <c r="D11" s="415"/>
      <c r="E11" s="231"/>
      <c r="F11" s="252" t="s">
        <v>575</v>
      </c>
      <c r="H11" s="252" t="s">
        <v>569</v>
      </c>
    </row>
    <row r="12" spans="1:8" x14ac:dyDescent="0.2">
      <c r="A12" s="40">
        <v>1</v>
      </c>
      <c r="B12" s="477" t="s">
        <v>4</v>
      </c>
      <c r="C12" s="477"/>
      <c r="D12" s="42" t="s">
        <v>5</v>
      </c>
      <c r="E12" s="242"/>
      <c r="F12" s="218" t="s">
        <v>5</v>
      </c>
      <c r="H12" s="218" t="s">
        <v>5</v>
      </c>
    </row>
    <row r="13" spans="1:8" x14ac:dyDescent="0.2">
      <c r="A13" s="8" t="s">
        <v>6</v>
      </c>
      <c r="B13" s="414" t="s">
        <v>7</v>
      </c>
      <c r="C13" s="414"/>
      <c r="D13" s="114">
        <v>1889.62</v>
      </c>
      <c r="E13" s="243"/>
      <c r="F13" s="200">
        <f>D13*1.1</f>
        <v>2078.5819999999999</v>
      </c>
      <c r="H13" s="114">
        <f>F13</f>
        <v>2078.5819999999999</v>
      </c>
    </row>
    <row r="14" spans="1:8" x14ac:dyDescent="0.2">
      <c r="A14" s="8" t="s">
        <v>8</v>
      </c>
      <c r="B14" s="414" t="s">
        <v>400</v>
      </c>
      <c r="C14" s="414"/>
      <c r="D14" s="10" t="s">
        <v>118</v>
      </c>
      <c r="E14" s="244"/>
      <c r="F14" s="10" t="s">
        <v>118</v>
      </c>
      <c r="H14" s="10" t="s">
        <v>118</v>
      </c>
    </row>
    <row r="15" spans="1:8" x14ac:dyDescent="0.2">
      <c r="A15" s="8" t="s">
        <v>9</v>
      </c>
      <c r="B15" s="414" t="s">
        <v>460</v>
      </c>
      <c r="C15" s="414"/>
      <c r="D15" s="10">
        <f>0.2*1287.96</f>
        <v>257.59200000000004</v>
      </c>
      <c r="E15" s="244"/>
      <c r="F15" s="201">
        <f>20%*1416.75</f>
        <v>283.35000000000002</v>
      </c>
      <c r="H15" s="10">
        <f>20%*1416.75</f>
        <v>283.35000000000002</v>
      </c>
    </row>
    <row r="16" spans="1:8" x14ac:dyDescent="0.2">
      <c r="A16" s="8" t="s">
        <v>11</v>
      </c>
      <c r="B16" s="414" t="s">
        <v>12</v>
      </c>
      <c r="C16" s="414"/>
      <c r="D16" s="10" t="s">
        <v>118</v>
      </c>
      <c r="E16" s="244"/>
      <c r="F16" s="10" t="s">
        <v>118</v>
      </c>
      <c r="H16" s="10" t="s">
        <v>118</v>
      </c>
    </row>
    <row r="17" spans="1:8" x14ac:dyDescent="0.2">
      <c r="A17" s="8" t="s">
        <v>13</v>
      </c>
      <c r="B17" s="414" t="s">
        <v>14</v>
      </c>
      <c r="C17" s="414"/>
      <c r="D17" s="10" t="s">
        <v>118</v>
      </c>
      <c r="E17" s="244"/>
      <c r="F17" s="10" t="s">
        <v>118</v>
      </c>
      <c r="H17" s="10" t="s">
        <v>118</v>
      </c>
    </row>
    <row r="18" spans="1:8" x14ac:dyDescent="0.2">
      <c r="A18" s="8" t="s">
        <v>15</v>
      </c>
      <c r="B18" s="414" t="s">
        <v>16</v>
      </c>
      <c r="C18" s="414"/>
      <c r="D18" s="10" t="s">
        <v>118</v>
      </c>
      <c r="E18" s="244"/>
      <c r="F18" s="10" t="s">
        <v>118</v>
      </c>
      <c r="H18" s="10" t="s">
        <v>118</v>
      </c>
    </row>
    <row r="19" spans="1:8" x14ac:dyDescent="0.2">
      <c r="A19" s="463" t="s">
        <v>17</v>
      </c>
      <c r="B19" s="463"/>
      <c r="C19" s="463"/>
      <c r="D19" s="11">
        <f>SUM(D13:D18)</f>
        <v>2147.212</v>
      </c>
      <c r="E19" s="243"/>
      <c r="F19" s="202">
        <f>SUM(F13:F18)</f>
        <v>2361.9319999999998</v>
      </c>
      <c r="H19" s="11">
        <f>SUM(H13:H18)</f>
        <v>2361.9319999999998</v>
      </c>
    </row>
    <row r="20" spans="1:8" x14ac:dyDescent="0.2">
      <c r="A20" s="481" t="s">
        <v>18</v>
      </c>
      <c r="B20" s="481"/>
      <c r="C20" s="481"/>
      <c r="D20" s="481"/>
      <c r="E20" s="233"/>
    </row>
    <row r="22" spans="1:8" x14ac:dyDescent="0.2">
      <c r="A22" s="415" t="s">
        <v>19</v>
      </c>
      <c r="B22" s="415"/>
      <c r="C22" s="415"/>
      <c r="D22" s="415"/>
      <c r="E22" s="231"/>
    </row>
    <row r="23" spans="1:8" x14ac:dyDescent="0.2">
      <c r="A23" s="463" t="s">
        <v>24</v>
      </c>
      <c r="B23" s="463"/>
      <c r="C23" s="463"/>
      <c r="D23" s="463"/>
      <c r="E23" s="234"/>
    </row>
    <row r="24" spans="1:8" ht="25.5" x14ac:dyDescent="0.2">
      <c r="A24" s="39" t="s">
        <v>20</v>
      </c>
      <c r="B24" s="39" t="s">
        <v>21</v>
      </c>
      <c r="C24" s="43" t="s">
        <v>28</v>
      </c>
      <c r="D24" s="39" t="s">
        <v>5</v>
      </c>
      <c r="E24" s="219" t="s">
        <v>28</v>
      </c>
      <c r="F24" s="220" t="s">
        <v>5</v>
      </c>
      <c r="G24" s="219" t="s">
        <v>28</v>
      </c>
      <c r="H24" s="220" t="s">
        <v>5</v>
      </c>
    </row>
    <row r="25" spans="1:8" x14ac:dyDescent="0.2">
      <c r="A25" s="8" t="s">
        <v>6</v>
      </c>
      <c r="B25" s="14" t="s">
        <v>22</v>
      </c>
      <c r="C25" s="15">
        <v>9.0899999999999995E-2</v>
      </c>
      <c r="D25" s="16">
        <f>C25*$D$19</f>
        <v>195.18157079999997</v>
      </c>
      <c r="E25" s="270">
        <v>9.0899999999999995E-2</v>
      </c>
      <c r="F25" s="203">
        <f>E25*F$19</f>
        <v>214.69961879999997</v>
      </c>
      <c r="G25" s="270">
        <v>9.0899999999999995E-2</v>
      </c>
      <c r="H25" s="211">
        <f>G25*H$19</f>
        <v>214.69961879999997</v>
      </c>
    </row>
    <row r="26" spans="1:8" x14ac:dyDescent="0.2">
      <c r="A26" s="8" t="s">
        <v>8</v>
      </c>
      <c r="B26" s="14" t="s">
        <v>23</v>
      </c>
      <c r="C26" s="15">
        <v>0.1212</v>
      </c>
      <c r="D26" s="16">
        <f>C26*$D$19</f>
        <v>260.24209439999998</v>
      </c>
      <c r="E26" s="270">
        <v>0.1212</v>
      </c>
      <c r="F26" s="203">
        <f>E26*F$19</f>
        <v>286.26615839999999</v>
      </c>
      <c r="G26" s="270">
        <v>0.1212</v>
      </c>
      <c r="H26" s="211">
        <f>G26*H$19</f>
        <v>286.26615839999999</v>
      </c>
    </row>
    <row r="27" spans="1:8" x14ac:dyDescent="0.2">
      <c r="A27" s="463" t="s">
        <v>17</v>
      </c>
      <c r="B27" s="463"/>
      <c r="C27" s="17">
        <f t="shared" ref="C27:H27" si="0">SUM(C25:C26)</f>
        <v>0.21210000000000001</v>
      </c>
      <c r="D27" s="18">
        <f t="shared" si="0"/>
        <v>455.42366519999996</v>
      </c>
      <c r="E27" s="17">
        <f t="shared" si="0"/>
        <v>0.21210000000000001</v>
      </c>
      <c r="F27" s="204">
        <f t="shared" si="0"/>
        <v>500.96577719999993</v>
      </c>
      <c r="G27" s="17">
        <f t="shared" si="0"/>
        <v>0.21210000000000001</v>
      </c>
      <c r="H27" s="212">
        <f t="shared" si="0"/>
        <v>500.96577719999993</v>
      </c>
    </row>
    <row r="28" spans="1:8" x14ac:dyDescent="0.2">
      <c r="A28" s="464" t="s">
        <v>98</v>
      </c>
      <c r="B28" s="464"/>
      <c r="C28" s="464"/>
      <c r="D28" s="464"/>
      <c r="E28" s="233"/>
    </row>
    <row r="29" spans="1:8" x14ac:dyDescent="0.2">
      <c r="A29" s="464" t="s">
        <v>99</v>
      </c>
      <c r="B29" s="464"/>
      <c r="C29" s="464"/>
      <c r="D29" s="464"/>
      <c r="E29" s="233"/>
    </row>
    <row r="30" spans="1:8" x14ac:dyDescent="0.2">
      <c r="A30" s="464" t="s">
        <v>100</v>
      </c>
      <c r="B30" s="464"/>
      <c r="C30" s="464"/>
      <c r="D30" s="464"/>
      <c r="E30" s="233"/>
    </row>
    <row r="32" spans="1:8" x14ac:dyDescent="0.2">
      <c r="A32" s="470" t="s">
        <v>25</v>
      </c>
      <c r="B32" s="470"/>
      <c r="C32" s="470"/>
      <c r="D32" s="470"/>
      <c r="E32" s="235"/>
    </row>
    <row r="33" spans="1:8" x14ac:dyDescent="0.2">
      <c r="A33" s="40" t="s">
        <v>26</v>
      </c>
      <c r="B33" s="42" t="s">
        <v>27</v>
      </c>
      <c r="C33" s="42" t="s">
        <v>28</v>
      </c>
      <c r="D33" s="40" t="s">
        <v>5</v>
      </c>
      <c r="E33" s="218" t="s">
        <v>28</v>
      </c>
      <c r="F33" s="217" t="s">
        <v>5</v>
      </c>
      <c r="G33" s="218" t="s">
        <v>28</v>
      </c>
      <c r="H33" s="217" t="s">
        <v>5</v>
      </c>
    </row>
    <row r="34" spans="1:8" x14ac:dyDescent="0.2">
      <c r="A34" s="8" t="s">
        <v>6</v>
      </c>
      <c r="B34" s="14" t="s">
        <v>29</v>
      </c>
      <c r="C34" s="19">
        <v>0</v>
      </c>
      <c r="D34" s="20">
        <f t="shared" ref="D34:D40" si="1">C34*($D$19+$D$27)</f>
        <v>0</v>
      </c>
      <c r="E34" s="19">
        <v>0</v>
      </c>
      <c r="F34" s="20">
        <f>E34*(F$19+F$27)</f>
        <v>0</v>
      </c>
      <c r="G34" s="19">
        <v>0</v>
      </c>
      <c r="H34" s="20">
        <f>G34*(H$19+H$27)</f>
        <v>0</v>
      </c>
    </row>
    <row r="35" spans="1:8" x14ac:dyDescent="0.2">
      <c r="A35" s="8" t="s">
        <v>8</v>
      </c>
      <c r="B35" s="14" t="s">
        <v>30</v>
      </c>
      <c r="C35" s="19">
        <v>2.5000000000000001E-2</v>
      </c>
      <c r="D35" s="20">
        <f t="shared" si="1"/>
        <v>65.065891629999996</v>
      </c>
      <c r="E35" s="19">
        <v>2.5000000000000001E-2</v>
      </c>
      <c r="F35" s="205">
        <f t="shared" ref="F35:F41" si="2">$E35*(F$19+F$27)</f>
        <v>71.572444430000004</v>
      </c>
      <c r="G35" s="19">
        <v>2.5000000000000001E-2</v>
      </c>
      <c r="H35" s="20">
        <f t="shared" ref="H35:H41" si="3">$G35*(H$19+H$27)</f>
        <v>71.572444430000004</v>
      </c>
    </row>
    <row r="36" spans="1:8" x14ac:dyDescent="0.2">
      <c r="A36" s="8" t="s">
        <v>9</v>
      </c>
      <c r="B36" s="14" t="s">
        <v>101</v>
      </c>
      <c r="C36" s="19">
        <v>3.39E-2</v>
      </c>
      <c r="D36" s="20">
        <f t="shared" si="1"/>
        <v>88.229349050279993</v>
      </c>
      <c r="E36" s="287">
        <v>1.4999999999999999E-2</v>
      </c>
      <c r="F36" s="205">
        <f t="shared" si="2"/>
        <v>42.943466657999998</v>
      </c>
      <c r="G36" s="19">
        <v>1.4999999999999999E-2</v>
      </c>
      <c r="H36" s="20">
        <f t="shared" si="3"/>
        <v>42.943466657999998</v>
      </c>
    </row>
    <row r="37" spans="1:8" x14ac:dyDescent="0.2">
      <c r="A37" s="8" t="s">
        <v>11</v>
      </c>
      <c r="B37" s="14" t="s">
        <v>31</v>
      </c>
      <c r="C37" s="19">
        <v>1.4999999999999999E-2</v>
      </c>
      <c r="D37" s="20">
        <f t="shared" si="1"/>
        <v>39.039534977999999</v>
      </c>
      <c r="E37" s="19">
        <v>1.4999999999999999E-2</v>
      </c>
      <c r="F37" s="205">
        <f t="shared" si="2"/>
        <v>42.943466657999998</v>
      </c>
      <c r="G37" s="19">
        <v>1.4999999999999999E-2</v>
      </c>
      <c r="H37" s="20">
        <f t="shared" si="3"/>
        <v>42.943466657999998</v>
      </c>
    </row>
    <row r="38" spans="1:8" x14ac:dyDescent="0.2">
      <c r="A38" s="8" t="s">
        <v>13</v>
      </c>
      <c r="B38" s="14" t="s">
        <v>32</v>
      </c>
      <c r="C38" s="19">
        <v>0.01</v>
      </c>
      <c r="D38" s="20">
        <f t="shared" si="1"/>
        <v>26.026356652</v>
      </c>
      <c r="E38" s="19">
        <v>0.01</v>
      </c>
      <c r="F38" s="205">
        <f t="shared" si="2"/>
        <v>28.628977771999999</v>
      </c>
      <c r="G38" s="19">
        <v>0.01</v>
      </c>
      <c r="H38" s="20">
        <f t="shared" si="3"/>
        <v>28.628977771999999</v>
      </c>
    </row>
    <row r="39" spans="1:8" x14ac:dyDescent="0.2">
      <c r="A39" s="8" t="s">
        <v>15</v>
      </c>
      <c r="B39" s="14" t="s">
        <v>33</v>
      </c>
      <c r="C39" s="19">
        <v>6.0000000000000001E-3</v>
      </c>
      <c r="D39" s="20">
        <f t="shared" si="1"/>
        <v>15.6158139912</v>
      </c>
      <c r="E39" s="19">
        <v>6.0000000000000001E-3</v>
      </c>
      <c r="F39" s="205">
        <f t="shared" si="2"/>
        <v>17.1773866632</v>
      </c>
      <c r="G39" s="19">
        <v>6.0000000000000001E-3</v>
      </c>
      <c r="H39" s="20">
        <f t="shared" si="3"/>
        <v>17.1773866632</v>
      </c>
    </row>
    <row r="40" spans="1:8" x14ac:dyDescent="0.2">
      <c r="A40" s="8" t="s">
        <v>34</v>
      </c>
      <c r="B40" s="14" t="s">
        <v>35</v>
      </c>
      <c r="C40" s="19">
        <v>2E-3</v>
      </c>
      <c r="D40" s="20">
        <f t="shared" si="1"/>
        <v>5.2052713303999996</v>
      </c>
      <c r="E40" s="19">
        <v>2E-3</v>
      </c>
      <c r="F40" s="205">
        <f t="shared" si="2"/>
        <v>5.7257955543999994</v>
      </c>
      <c r="G40" s="19">
        <v>2E-3</v>
      </c>
      <c r="H40" s="20">
        <f t="shared" si="3"/>
        <v>5.7257955543999994</v>
      </c>
    </row>
    <row r="41" spans="1:8" x14ac:dyDescent="0.2">
      <c r="A41" s="8" t="s">
        <v>36</v>
      </c>
      <c r="B41" s="14" t="s">
        <v>37</v>
      </c>
      <c r="C41" s="19">
        <v>0.08</v>
      </c>
      <c r="D41" s="20">
        <f>C41*($D$19+$D$27)</f>
        <v>208.210853216</v>
      </c>
      <c r="E41" s="19">
        <v>0.08</v>
      </c>
      <c r="F41" s="205">
        <f t="shared" si="2"/>
        <v>229.03182217599999</v>
      </c>
      <c r="G41" s="19">
        <v>0.08</v>
      </c>
      <c r="H41" s="20">
        <f t="shared" si="3"/>
        <v>229.03182217599999</v>
      </c>
    </row>
    <row r="42" spans="1:8" x14ac:dyDescent="0.2">
      <c r="A42" s="471" t="s">
        <v>17</v>
      </c>
      <c r="B42" s="472"/>
      <c r="C42" s="21">
        <f t="shared" ref="C42:H42" si="4">SUM(C34:C41)</f>
        <v>0.1719</v>
      </c>
      <c r="D42" s="22">
        <f t="shared" si="4"/>
        <v>447.39307084787998</v>
      </c>
      <c r="E42" s="288">
        <f t="shared" si="4"/>
        <v>0.15300000000000002</v>
      </c>
      <c r="F42" s="289">
        <f t="shared" si="4"/>
        <v>438.02335991159998</v>
      </c>
      <c r="G42" s="21">
        <f t="shared" si="4"/>
        <v>0.15300000000000002</v>
      </c>
      <c r="H42" s="22">
        <f t="shared" si="4"/>
        <v>438.02335991159998</v>
      </c>
    </row>
    <row r="43" spans="1:8" x14ac:dyDescent="0.2">
      <c r="A43" s="464" t="s">
        <v>104</v>
      </c>
      <c r="B43" s="464"/>
      <c r="C43" s="464"/>
      <c r="D43" s="464"/>
      <c r="E43" s="233"/>
    </row>
    <row r="44" spans="1:8" x14ac:dyDescent="0.2">
      <c r="A44" s="464" t="s">
        <v>102</v>
      </c>
      <c r="B44" s="464"/>
      <c r="C44" s="464"/>
      <c r="D44" s="464"/>
      <c r="E44" s="233"/>
    </row>
    <row r="45" spans="1:8" x14ac:dyDescent="0.2">
      <c r="A45" s="464" t="s">
        <v>103</v>
      </c>
      <c r="B45" s="464"/>
      <c r="C45" s="464"/>
      <c r="D45" s="464"/>
      <c r="E45" s="233"/>
    </row>
    <row r="46" spans="1:8" x14ac:dyDescent="0.2">
      <c r="A46" s="464" t="s">
        <v>108</v>
      </c>
      <c r="B46" s="464"/>
      <c r="C46" s="464"/>
      <c r="D46" s="464"/>
      <c r="E46" s="233"/>
    </row>
    <row r="47" spans="1:8" x14ac:dyDescent="0.2">
      <c r="A47" s="464" t="s">
        <v>113</v>
      </c>
      <c r="B47" s="464"/>
      <c r="C47" s="464"/>
      <c r="D47" s="464"/>
      <c r="E47" s="233"/>
    </row>
    <row r="49" spans="1:8" x14ac:dyDescent="0.2">
      <c r="A49" s="470" t="s">
        <v>38</v>
      </c>
      <c r="B49" s="470"/>
      <c r="C49" s="470"/>
      <c r="D49" s="470"/>
      <c r="E49" s="235"/>
    </row>
    <row r="50" spans="1:8" x14ac:dyDescent="0.2">
      <c r="A50" s="41" t="s">
        <v>39</v>
      </c>
      <c r="B50" s="43" t="s">
        <v>40</v>
      </c>
      <c r="C50" s="41" t="s">
        <v>89</v>
      </c>
      <c r="D50" s="43" t="s">
        <v>5</v>
      </c>
      <c r="E50" s="242"/>
      <c r="F50" s="219" t="s">
        <v>5</v>
      </c>
      <c r="H50" s="219" t="s">
        <v>5</v>
      </c>
    </row>
    <row r="51" spans="1:8" x14ac:dyDescent="0.2">
      <c r="A51" s="8" t="s">
        <v>6</v>
      </c>
      <c r="B51" s="14" t="s">
        <v>135</v>
      </c>
      <c r="C51" s="24">
        <v>22</v>
      </c>
      <c r="D51" s="16">
        <f>(18.6*C51)-0.06*D13</f>
        <v>295.82280000000003</v>
      </c>
      <c r="E51" s="245"/>
      <c r="F51" s="203">
        <f>(18.6*$C51)-0.06*F$13</f>
        <v>284.48508000000004</v>
      </c>
      <c r="H51" s="16">
        <f>(18.6*$C51)-0.06*H$13</f>
        <v>284.48508000000004</v>
      </c>
    </row>
    <row r="52" spans="1:8" x14ac:dyDescent="0.2">
      <c r="A52" s="8" t="s">
        <v>8</v>
      </c>
      <c r="B52" s="14" t="s">
        <v>456</v>
      </c>
      <c r="C52" s="24">
        <v>22</v>
      </c>
      <c r="D52" s="16">
        <f>35*C52</f>
        <v>770</v>
      </c>
      <c r="E52" s="245"/>
      <c r="F52" s="203">
        <f>38*$C52</f>
        <v>836</v>
      </c>
      <c r="H52" s="16">
        <f>38*$C52</f>
        <v>836</v>
      </c>
    </row>
    <row r="53" spans="1:8" x14ac:dyDescent="0.2">
      <c r="A53" s="8" t="s">
        <v>9</v>
      </c>
      <c r="B53" s="14" t="s">
        <v>42</v>
      </c>
      <c r="C53" s="24"/>
      <c r="D53" s="16">
        <v>160.07</v>
      </c>
      <c r="E53" s="245"/>
      <c r="F53" s="203">
        <v>169.67</v>
      </c>
      <c r="H53" s="16">
        <v>169.67</v>
      </c>
    </row>
    <row r="54" spans="1:8" x14ac:dyDescent="0.2">
      <c r="A54" s="8" t="s">
        <v>11</v>
      </c>
      <c r="B54" s="14" t="s">
        <v>90</v>
      </c>
      <c r="C54" s="24"/>
      <c r="D54" s="16">
        <v>10.63</v>
      </c>
      <c r="E54" s="245"/>
      <c r="F54" s="203">
        <v>11.27</v>
      </c>
      <c r="H54" s="16">
        <v>11.27</v>
      </c>
    </row>
    <row r="55" spans="1:8" x14ac:dyDescent="0.2">
      <c r="A55" s="8" t="s">
        <v>13</v>
      </c>
      <c r="B55" s="14" t="s">
        <v>453</v>
      </c>
      <c r="C55" s="24"/>
      <c r="D55" s="16">
        <v>2.2999999999999998</v>
      </c>
      <c r="E55" s="245"/>
      <c r="F55" s="203">
        <v>2.5</v>
      </c>
      <c r="H55" s="16">
        <v>2.5</v>
      </c>
    </row>
    <row r="56" spans="1:8" x14ac:dyDescent="0.2">
      <c r="A56" s="463" t="s">
        <v>17</v>
      </c>
      <c r="B56" s="463"/>
      <c r="C56" s="463"/>
      <c r="D56" s="18">
        <f>SUM(D51:D55)</f>
        <v>1238.8227999999999</v>
      </c>
      <c r="E56" s="246"/>
      <c r="F56" s="206">
        <f>SUM(F51:F55)</f>
        <v>1303.92508</v>
      </c>
      <c r="H56" s="25">
        <f>SUM(H51:H55)</f>
        <v>1303.92508</v>
      </c>
    </row>
    <row r="57" spans="1:8" x14ac:dyDescent="0.2">
      <c r="A57" s="464" t="s">
        <v>45</v>
      </c>
      <c r="B57" s="464"/>
      <c r="C57" s="464"/>
      <c r="D57" s="464"/>
      <c r="E57" s="233"/>
    </row>
    <row r="58" spans="1:8" x14ac:dyDescent="0.2">
      <c r="A58" s="464" t="s">
        <v>105</v>
      </c>
      <c r="B58" s="464"/>
      <c r="C58" s="464"/>
      <c r="D58" s="464"/>
      <c r="E58" s="233"/>
    </row>
    <row r="60" spans="1:8" x14ac:dyDescent="0.2">
      <c r="A60" s="415" t="s">
        <v>43</v>
      </c>
      <c r="B60" s="415"/>
      <c r="C60" s="415"/>
      <c r="D60" s="415"/>
      <c r="E60" s="231"/>
    </row>
    <row r="61" spans="1:8" x14ac:dyDescent="0.2">
      <c r="A61" s="42">
        <v>2</v>
      </c>
      <c r="B61" s="430" t="s">
        <v>44</v>
      </c>
      <c r="C61" s="430"/>
      <c r="D61" s="42" t="s">
        <v>5</v>
      </c>
      <c r="E61" s="242"/>
      <c r="F61" s="218" t="s">
        <v>5</v>
      </c>
      <c r="H61" s="218" t="s">
        <v>5</v>
      </c>
    </row>
    <row r="62" spans="1:8" x14ac:dyDescent="0.2">
      <c r="A62" s="26" t="s">
        <v>20</v>
      </c>
      <c r="B62" s="438" t="s">
        <v>21</v>
      </c>
      <c r="C62" s="438"/>
      <c r="D62" s="16">
        <f>D27</f>
        <v>455.42366519999996</v>
      </c>
      <c r="E62" s="245"/>
      <c r="F62" s="203">
        <f>F27</f>
        <v>500.96577719999993</v>
      </c>
      <c r="H62" s="16">
        <f>H27</f>
        <v>500.96577719999993</v>
      </c>
    </row>
    <row r="63" spans="1:8" x14ac:dyDescent="0.2">
      <c r="A63" s="26" t="s">
        <v>26</v>
      </c>
      <c r="B63" s="414" t="s">
        <v>27</v>
      </c>
      <c r="C63" s="414"/>
      <c r="D63" s="16">
        <f>D42</f>
        <v>447.39307084787998</v>
      </c>
      <c r="E63" s="245"/>
      <c r="F63" s="203">
        <f>F42</f>
        <v>438.02335991159998</v>
      </c>
      <c r="H63" s="16">
        <f>H42</f>
        <v>438.02335991159998</v>
      </c>
    </row>
    <row r="64" spans="1:8" x14ac:dyDescent="0.2">
      <c r="A64" s="26" t="s">
        <v>39</v>
      </c>
      <c r="B64" s="414" t="s">
        <v>40</v>
      </c>
      <c r="C64" s="414"/>
      <c r="D64" s="16">
        <f>D56</f>
        <v>1238.8227999999999</v>
      </c>
      <c r="E64" s="245"/>
      <c r="F64" s="203">
        <f>F56</f>
        <v>1303.92508</v>
      </c>
      <c r="H64" s="16">
        <f>H56</f>
        <v>1303.92508</v>
      </c>
    </row>
    <row r="65" spans="1:8" x14ac:dyDescent="0.2">
      <c r="A65" s="471" t="s">
        <v>17</v>
      </c>
      <c r="B65" s="475"/>
      <c r="C65" s="472"/>
      <c r="D65" s="18">
        <f>SUM(D62:D64)</f>
        <v>2141.63953604788</v>
      </c>
      <c r="E65" s="246"/>
      <c r="F65" s="204">
        <f>SUM(F62:F64)</f>
        <v>2242.9142171116</v>
      </c>
      <c r="H65" s="18">
        <f>SUM(H62:H64)</f>
        <v>2242.9142171116</v>
      </c>
    </row>
    <row r="67" spans="1:8" x14ac:dyDescent="0.2">
      <c r="A67" s="415" t="s">
        <v>76</v>
      </c>
      <c r="B67" s="415"/>
      <c r="C67" s="415"/>
      <c r="D67" s="415"/>
      <c r="E67" s="231"/>
    </row>
    <row r="68" spans="1:8" x14ac:dyDescent="0.2">
      <c r="A68" s="42">
        <v>3</v>
      </c>
      <c r="B68" s="42" t="s">
        <v>46</v>
      </c>
      <c r="C68" s="42" t="s">
        <v>28</v>
      </c>
      <c r="D68" s="42" t="s">
        <v>5</v>
      </c>
      <c r="E68" s="218" t="s">
        <v>28</v>
      </c>
      <c r="F68" s="232" t="s">
        <v>5</v>
      </c>
      <c r="G68" s="232" t="s">
        <v>28</v>
      </c>
      <c r="H68" s="232" t="s">
        <v>5</v>
      </c>
    </row>
    <row r="69" spans="1:8" x14ac:dyDescent="0.2">
      <c r="A69" s="26" t="s">
        <v>6</v>
      </c>
      <c r="B69" s="5" t="s">
        <v>47</v>
      </c>
      <c r="C69" s="19">
        <v>4.1999999999999997E-3</v>
      </c>
      <c r="D69" s="20">
        <f t="shared" ref="D69:D74" si="5">C69*($D$19+$D$27)</f>
        <v>10.931069793839999</v>
      </c>
      <c r="E69" s="28">
        <v>4.1999999999999997E-3</v>
      </c>
      <c r="F69" s="257">
        <f t="shared" ref="F69:F75" si="6">$E69*(F$19+F$27)</f>
        <v>12.024170664239998</v>
      </c>
      <c r="G69" s="28">
        <v>4.1999999999999997E-3</v>
      </c>
      <c r="H69" s="9">
        <f t="shared" ref="H69:H75" si="7">$G69*(H$19+H$27)</f>
        <v>12.024170664239998</v>
      </c>
    </row>
    <row r="70" spans="1:8" x14ac:dyDescent="0.2">
      <c r="A70" s="26" t="s">
        <v>8</v>
      </c>
      <c r="B70" s="5" t="s">
        <v>48</v>
      </c>
      <c r="C70" s="19">
        <v>2.9999999999999997E-4</v>
      </c>
      <c r="D70" s="20">
        <f t="shared" si="5"/>
        <v>0.78079069955999991</v>
      </c>
      <c r="E70" s="28">
        <v>2.9999999999999997E-4</v>
      </c>
      <c r="F70" s="257">
        <f t="shared" si="6"/>
        <v>0.85886933315999991</v>
      </c>
      <c r="G70" s="28">
        <v>2.9999999999999997E-4</v>
      </c>
      <c r="H70" s="9">
        <f t="shared" si="7"/>
        <v>0.85886933315999991</v>
      </c>
    </row>
    <row r="71" spans="1:8" ht="25.5" x14ac:dyDescent="0.2">
      <c r="A71" s="26" t="s">
        <v>9</v>
      </c>
      <c r="B71" s="5" t="s">
        <v>49</v>
      </c>
      <c r="C71" s="27">
        <v>9.9999999999999995E-7</v>
      </c>
      <c r="D71" s="20">
        <f t="shared" si="5"/>
        <v>2.6026356652E-3</v>
      </c>
      <c r="E71" s="351">
        <v>9.9999999999999995E-7</v>
      </c>
      <c r="F71" s="260">
        <f t="shared" si="6"/>
        <v>2.8628977771999998E-3</v>
      </c>
      <c r="G71" s="351">
        <v>9.9999999999999995E-7</v>
      </c>
      <c r="H71" s="258">
        <f t="shared" si="7"/>
        <v>2.8628977771999998E-3</v>
      </c>
    </row>
    <row r="72" spans="1:8" x14ac:dyDescent="0.2">
      <c r="A72" s="26" t="s">
        <v>11</v>
      </c>
      <c r="B72" s="5" t="s">
        <v>50</v>
      </c>
      <c r="C72" s="28">
        <v>1.9400000000000001E-2</v>
      </c>
      <c r="D72" s="29">
        <f>C72*($D$19+$D$27)</f>
        <v>50.49113190488</v>
      </c>
      <c r="E72" s="348">
        <v>1.9400000000000001E-2</v>
      </c>
      <c r="F72" s="260">
        <f t="shared" si="6"/>
        <v>55.540216877679995</v>
      </c>
      <c r="G72" s="347">
        <v>1.9400000000000001E-3</v>
      </c>
      <c r="H72" s="260">
        <f t="shared" si="7"/>
        <v>5.5540216877679995</v>
      </c>
    </row>
    <row r="73" spans="1:8" ht="25.5" x14ac:dyDescent="0.2">
      <c r="A73" s="26" t="s">
        <v>13</v>
      </c>
      <c r="B73" s="5" t="s">
        <v>51</v>
      </c>
      <c r="C73" s="19">
        <v>7.1000000000000004E-3</v>
      </c>
      <c r="D73" s="20">
        <f>C73*($D$19+$D$27)</f>
        <v>18.47871322292</v>
      </c>
      <c r="E73" s="28">
        <v>7.1000000000000004E-3</v>
      </c>
      <c r="F73" s="257">
        <f t="shared" si="6"/>
        <v>20.326574218120001</v>
      </c>
      <c r="G73" s="28">
        <v>7.1000000000000004E-3</v>
      </c>
      <c r="H73" s="258">
        <f t="shared" si="7"/>
        <v>20.326574218120001</v>
      </c>
    </row>
    <row r="74" spans="1:8" ht="25.5" x14ac:dyDescent="0.2">
      <c r="A74" s="26" t="s">
        <v>15</v>
      </c>
      <c r="B74" s="5" t="s">
        <v>52</v>
      </c>
      <c r="C74" s="19">
        <v>1E-4</v>
      </c>
      <c r="D74" s="20">
        <f t="shared" si="5"/>
        <v>0.26026356651999999</v>
      </c>
      <c r="E74" s="28">
        <v>1E-4</v>
      </c>
      <c r="F74" s="257">
        <f t="shared" si="6"/>
        <v>0.28628977771999997</v>
      </c>
      <c r="G74" s="28">
        <v>1E-4</v>
      </c>
      <c r="H74" s="258">
        <f t="shared" si="7"/>
        <v>0.28628977771999997</v>
      </c>
    </row>
    <row r="75" spans="1:8" x14ac:dyDescent="0.2">
      <c r="A75" s="30" t="s">
        <v>34</v>
      </c>
      <c r="B75" s="31" t="s">
        <v>128</v>
      </c>
      <c r="C75" s="19">
        <v>3.49E-2</v>
      </c>
      <c r="D75" s="20">
        <f>C75*($D$19+$D$27)</f>
        <v>90.831984715480004</v>
      </c>
      <c r="E75" s="28">
        <v>3.49E-2</v>
      </c>
      <c r="F75" s="257">
        <f t="shared" si="6"/>
        <v>99.915132424279989</v>
      </c>
      <c r="G75" s="28">
        <v>3.49E-2</v>
      </c>
      <c r="H75" s="258">
        <f t="shared" si="7"/>
        <v>99.915132424279989</v>
      </c>
    </row>
    <row r="76" spans="1:8" x14ac:dyDescent="0.2">
      <c r="A76" s="471" t="s">
        <v>17</v>
      </c>
      <c r="B76" s="472"/>
      <c r="C76" s="17">
        <f t="shared" ref="C76:H76" si="8">SUM(C69:C75)</f>
        <v>6.6001000000000004E-2</v>
      </c>
      <c r="D76" s="18">
        <f t="shared" si="8"/>
        <v>171.77655653886518</v>
      </c>
      <c r="E76" s="350">
        <f t="shared" si="8"/>
        <v>6.6001000000000004E-2</v>
      </c>
      <c r="F76" s="202">
        <f t="shared" si="8"/>
        <v>188.95411619297718</v>
      </c>
      <c r="G76" s="350">
        <f t="shared" si="8"/>
        <v>4.8541000000000001E-2</v>
      </c>
      <c r="H76" s="202">
        <f t="shared" si="8"/>
        <v>138.96792100306519</v>
      </c>
    </row>
    <row r="77" spans="1:8" x14ac:dyDescent="0.2">
      <c r="A77" s="464" t="s">
        <v>106</v>
      </c>
      <c r="B77" s="464"/>
      <c r="C77" s="464"/>
      <c r="D77" s="464"/>
      <c r="E77" s="233"/>
    </row>
    <row r="78" spans="1:8" x14ac:dyDescent="0.2">
      <c r="A78" s="464" t="s">
        <v>114</v>
      </c>
      <c r="B78" s="464"/>
      <c r="C78" s="464"/>
      <c r="D78" s="464"/>
      <c r="E78" s="233"/>
    </row>
    <row r="80" spans="1:8" x14ac:dyDescent="0.2">
      <c r="A80" s="415" t="s">
        <v>53</v>
      </c>
      <c r="B80" s="415"/>
      <c r="C80" s="415"/>
      <c r="D80" s="415"/>
      <c r="E80" s="231"/>
    </row>
    <row r="81" spans="1:8" x14ac:dyDescent="0.2">
      <c r="A81" s="474" t="s">
        <v>107</v>
      </c>
      <c r="B81" s="474"/>
      <c r="C81" s="474"/>
      <c r="D81" s="474"/>
      <c r="E81" s="233"/>
    </row>
    <row r="83" spans="1:8" x14ac:dyDescent="0.2">
      <c r="A83" s="470" t="s">
        <v>109</v>
      </c>
      <c r="B83" s="470"/>
      <c r="C83" s="470"/>
      <c r="D83" s="470"/>
      <c r="E83" s="235"/>
    </row>
    <row r="84" spans="1:8" x14ac:dyDescent="0.2">
      <c r="A84" s="41" t="s">
        <v>54</v>
      </c>
      <c r="B84" s="43" t="s">
        <v>55</v>
      </c>
      <c r="C84" s="43" t="s">
        <v>28</v>
      </c>
      <c r="D84" s="43" t="s">
        <v>5</v>
      </c>
      <c r="E84" s="219" t="s">
        <v>28</v>
      </c>
      <c r="F84" s="219" t="s">
        <v>5</v>
      </c>
      <c r="G84" s="219" t="s">
        <v>28</v>
      </c>
      <c r="H84" s="219" t="s">
        <v>5</v>
      </c>
    </row>
    <row r="85" spans="1:8" x14ac:dyDescent="0.2">
      <c r="A85" s="26" t="s">
        <v>6</v>
      </c>
      <c r="B85" s="5" t="s">
        <v>56</v>
      </c>
      <c r="C85" s="19">
        <v>7.6E-3</v>
      </c>
      <c r="D85" s="20">
        <f t="shared" ref="D85:D90" si="9">C85*($D$19+$D$27)</f>
        <v>19.780031055519999</v>
      </c>
      <c r="E85" s="19">
        <v>7.6E-3</v>
      </c>
      <c r="F85" s="205">
        <f>E85*(F$19+F$27)</f>
        <v>21.75802310672</v>
      </c>
      <c r="G85" s="19">
        <v>7.6E-3</v>
      </c>
      <c r="H85" s="20">
        <f t="shared" ref="H85:H90" si="10">$G85*(H$19+H$27)</f>
        <v>21.75802310672</v>
      </c>
    </row>
    <row r="86" spans="1:8" x14ac:dyDescent="0.2">
      <c r="A86" s="26" t="s">
        <v>8</v>
      </c>
      <c r="B86" s="5" t="s">
        <v>57</v>
      </c>
      <c r="C86" s="19">
        <v>8.2000000000000007E-3</v>
      </c>
      <c r="D86" s="20">
        <f t="shared" si="9"/>
        <v>21.34161245464</v>
      </c>
      <c r="E86" s="19">
        <v>8.2000000000000007E-3</v>
      </c>
      <c r="F86" s="205">
        <f t="shared" ref="F86:F90" si="11">E86*(F$19+F$27)</f>
        <v>23.475761773040002</v>
      </c>
      <c r="G86" s="19">
        <v>8.2000000000000007E-3</v>
      </c>
      <c r="H86" s="20">
        <f t="shared" si="10"/>
        <v>23.475761773040002</v>
      </c>
    </row>
    <row r="87" spans="1:8" x14ac:dyDescent="0.2">
      <c r="A87" s="26" t="s">
        <v>9</v>
      </c>
      <c r="B87" s="5" t="s">
        <v>58</v>
      </c>
      <c r="C87" s="19">
        <v>2.0000000000000001E-4</v>
      </c>
      <c r="D87" s="20">
        <f t="shared" si="9"/>
        <v>0.52052713303999998</v>
      </c>
      <c r="E87" s="19">
        <v>2.0000000000000001E-4</v>
      </c>
      <c r="F87" s="205">
        <f t="shared" si="11"/>
        <v>0.57257955543999994</v>
      </c>
      <c r="G87" s="19">
        <v>2.0000000000000001E-4</v>
      </c>
      <c r="H87" s="20">
        <f t="shared" si="10"/>
        <v>0.57257955543999994</v>
      </c>
    </row>
    <row r="88" spans="1:8" ht="25.5" x14ac:dyDescent="0.2">
      <c r="A88" s="26" t="s">
        <v>11</v>
      </c>
      <c r="B88" s="5" t="s">
        <v>59</v>
      </c>
      <c r="C88" s="19">
        <v>2.9999999999999997E-4</v>
      </c>
      <c r="D88" s="20">
        <f t="shared" si="9"/>
        <v>0.78079069955999991</v>
      </c>
      <c r="E88" s="19">
        <v>2.9999999999999997E-4</v>
      </c>
      <c r="F88" s="205">
        <f t="shared" si="11"/>
        <v>0.85886933315999991</v>
      </c>
      <c r="G88" s="19">
        <v>2.9999999999999997E-4</v>
      </c>
      <c r="H88" s="20">
        <f t="shared" si="10"/>
        <v>0.85886933315999991</v>
      </c>
    </row>
    <row r="89" spans="1:8" x14ac:dyDescent="0.2">
      <c r="A89" s="26" t="s">
        <v>13</v>
      </c>
      <c r="B89" s="5" t="s">
        <v>60</v>
      </c>
      <c r="C89" s="19">
        <v>2.8999999999999998E-3</v>
      </c>
      <c r="D89" s="20">
        <f t="shared" si="9"/>
        <v>7.547643429079999</v>
      </c>
      <c r="E89" s="19">
        <v>2.8999999999999998E-3</v>
      </c>
      <c r="F89" s="205">
        <f t="shared" si="11"/>
        <v>8.3024035538799996</v>
      </c>
      <c r="G89" s="19">
        <v>2.8999999999999998E-3</v>
      </c>
      <c r="H89" s="20">
        <f t="shared" si="10"/>
        <v>8.3024035538799996</v>
      </c>
    </row>
    <row r="90" spans="1:8" ht="25.5" x14ac:dyDescent="0.2">
      <c r="A90" s="26" t="s">
        <v>15</v>
      </c>
      <c r="B90" s="5" t="s">
        <v>134</v>
      </c>
      <c r="C90" s="19">
        <v>1.66E-2</v>
      </c>
      <c r="D90" s="20">
        <f t="shared" si="9"/>
        <v>43.203752042319998</v>
      </c>
      <c r="E90" s="19">
        <v>1.66E-2</v>
      </c>
      <c r="F90" s="205">
        <f t="shared" si="11"/>
        <v>47.524103101519998</v>
      </c>
      <c r="G90" s="19">
        <v>1.66E-2</v>
      </c>
      <c r="H90" s="20">
        <f t="shared" si="10"/>
        <v>47.524103101519998</v>
      </c>
    </row>
    <row r="91" spans="1:8" x14ac:dyDescent="0.2">
      <c r="A91" s="471" t="s">
        <v>17</v>
      </c>
      <c r="B91" s="472"/>
      <c r="C91" s="17">
        <f t="shared" ref="C91:H91" si="12">SUM(C85:C90)</f>
        <v>3.5799999999999998E-2</v>
      </c>
      <c r="D91" s="18">
        <f t="shared" si="12"/>
        <v>93.174356814159992</v>
      </c>
      <c r="E91" s="17">
        <f t="shared" si="12"/>
        <v>3.5799999999999998E-2</v>
      </c>
      <c r="F91" s="207">
        <f t="shared" si="12"/>
        <v>102.49174042376001</v>
      </c>
      <c r="G91" s="17">
        <f t="shared" si="12"/>
        <v>3.5799999999999998E-2</v>
      </c>
      <c r="H91" s="137">
        <f t="shared" si="12"/>
        <v>102.49174042376001</v>
      </c>
    </row>
    <row r="92" spans="1:8" x14ac:dyDescent="0.2">
      <c r="A92" s="464" t="s">
        <v>115</v>
      </c>
      <c r="B92" s="464"/>
      <c r="C92" s="464"/>
      <c r="D92" s="464"/>
      <c r="E92" s="233"/>
    </row>
    <row r="94" spans="1:8" x14ac:dyDescent="0.2">
      <c r="A94" s="473" t="s">
        <v>110</v>
      </c>
      <c r="B94" s="473"/>
      <c r="C94" s="473"/>
      <c r="D94" s="473"/>
      <c r="E94" s="234"/>
    </row>
    <row r="95" spans="1:8" x14ac:dyDescent="0.2">
      <c r="A95" s="41" t="s">
        <v>61</v>
      </c>
      <c r="B95" s="43" t="s">
        <v>62</v>
      </c>
      <c r="C95" s="43" t="s">
        <v>5</v>
      </c>
      <c r="D95" s="41"/>
      <c r="E95" s="234"/>
      <c r="F95" s="234"/>
      <c r="G95" s="247"/>
      <c r="H95" s="234"/>
    </row>
    <row r="96" spans="1:8" ht="25.5" x14ac:dyDescent="0.2">
      <c r="A96" s="26" t="s">
        <v>6</v>
      </c>
      <c r="B96" s="5" t="s">
        <v>63</v>
      </c>
      <c r="C96" s="32"/>
      <c r="D96" s="33"/>
      <c r="E96" s="247"/>
      <c r="F96" s="247"/>
      <c r="G96" s="247"/>
      <c r="H96" s="247"/>
    </row>
    <row r="97" spans="1:8" x14ac:dyDescent="0.2">
      <c r="A97" s="466" t="s">
        <v>17</v>
      </c>
      <c r="B97" s="468"/>
      <c r="C97" s="16">
        <f>SUM(C96)</f>
        <v>0</v>
      </c>
      <c r="D97" s="33"/>
      <c r="E97" s="247"/>
      <c r="F97" s="247"/>
      <c r="G97" s="247"/>
      <c r="H97" s="247"/>
    </row>
    <row r="99" spans="1:8" x14ac:dyDescent="0.2">
      <c r="A99" s="415" t="s">
        <v>111</v>
      </c>
      <c r="B99" s="415"/>
      <c r="C99" s="415"/>
      <c r="D99" s="415"/>
      <c r="E99" s="231"/>
    </row>
    <row r="100" spans="1:8" x14ac:dyDescent="0.2">
      <c r="A100" s="40">
        <v>4</v>
      </c>
      <c r="B100" s="430" t="s">
        <v>64</v>
      </c>
      <c r="C100" s="430"/>
      <c r="D100" s="42" t="s">
        <v>5</v>
      </c>
      <c r="E100" s="242"/>
      <c r="F100" s="218" t="s">
        <v>5</v>
      </c>
      <c r="H100" s="218" t="s">
        <v>5</v>
      </c>
    </row>
    <row r="101" spans="1:8" x14ac:dyDescent="0.2">
      <c r="A101" s="8" t="s">
        <v>54</v>
      </c>
      <c r="B101" s="414" t="s">
        <v>55</v>
      </c>
      <c r="C101" s="414"/>
      <c r="D101" s="16">
        <f>D91</f>
        <v>93.174356814159992</v>
      </c>
      <c r="E101" s="245"/>
      <c r="F101" s="16">
        <f>F91</f>
        <v>102.49174042376001</v>
      </c>
      <c r="H101" s="16">
        <f>H91</f>
        <v>102.49174042376001</v>
      </c>
    </row>
    <row r="102" spans="1:8" x14ac:dyDescent="0.2">
      <c r="A102" s="8" t="s">
        <v>61</v>
      </c>
      <c r="B102" s="14" t="s">
        <v>65</v>
      </c>
      <c r="C102" s="14"/>
      <c r="D102" s="32">
        <f>C97</f>
        <v>0</v>
      </c>
      <c r="E102" s="245"/>
      <c r="F102" s="32">
        <f>D97</f>
        <v>0</v>
      </c>
      <c r="H102" s="32">
        <f>G97</f>
        <v>0</v>
      </c>
    </row>
    <row r="103" spans="1:8" x14ac:dyDescent="0.2">
      <c r="A103" s="463" t="s">
        <v>17</v>
      </c>
      <c r="B103" s="463"/>
      <c r="C103" s="463"/>
      <c r="D103" s="18">
        <f>SUM(D101:D102)</f>
        <v>93.174356814159992</v>
      </c>
      <c r="E103" s="246"/>
      <c r="F103" s="18">
        <f>SUM(F101:F102)</f>
        <v>102.49174042376001</v>
      </c>
      <c r="H103" s="18">
        <f>SUM(H101:H102)</f>
        <v>102.49174042376001</v>
      </c>
    </row>
    <row r="104" spans="1:8" x14ac:dyDescent="0.2">
      <c r="E104" s="247"/>
    </row>
    <row r="105" spans="1:8" x14ac:dyDescent="0.2">
      <c r="A105" s="415" t="s">
        <v>66</v>
      </c>
      <c r="B105" s="415"/>
      <c r="C105" s="415"/>
      <c r="D105" s="415"/>
      <c r="E105" s="248"/>
    </row>
    <row r="106" spans="1:8" x14ac:dyDescent="0.2">
      <c r="A106" s="41">
        <v>5</v>
      </c>
      <c r="B106" s="437" t="s">
        <v>67</v>
      </c>
      <c r="C106" s="437"/>
      <c r="D106" s="43" t="s">
        <v>5</v>
      </c>
      <c r="E106" s="242"/>
      <c r="F106" s="219" t="s">
        <v>5</v>
      </c>
      <c r="H106" s="219" t="s">
        <v>5</v>
      </c>
    </row>
    <row r="107" spans="1:8" x14ac:dyDescent="0.2">
      <c r="A107" s="8" t="s">
        <v>6</v>
      </c>
      <c r="B107" s="414" t="s">
        <v>68</v>
      </c>
      <c r="C107" s="414"/>
      <c r="D107" s="107">
        <f>'TABELA 4 Uniformes e EPIS'!$E40</f>
        <v>55.983333333333327</v>
      </c>
      <c r="E107" s="249"/>
      <c r="F107" s="107">
        <f>'TABELA 4 Uniformes e EPIS'!$E40</f>
        <v>55.983333333333327</v>
      </c>
      <c r="H107" s="107">
        <f>'TABELA 4 Uniformes e EPIS'!$E40</f>
        <v>55.983333333333327</v>
      </c>
    </row>
    <row r="108" spans="1:8" x14ac:dyDescent="0.2">
      <c r="A108" s="8" t="s">
        <v>8</v>
      </c>
      <c r="B108" s="414" t="s">
        <v>405</v>
      </c>
      <c r="C108" s="414"/>
      <c r="D108" s="107">
        <f>'TABELA 4 Uniformes e EPIS'!$E48+'TABELA 4 Uniformes e EPIS'!$E109+'TABELA 5 - Ferramentas'!$I145</f>
        <v>38.208804347826074</v>
      </c>
      <c r="E108" s="249"/>
      <c r="F108" s="107">
        <f>'TABELA 4 Uniformes e EPIS'!$E48+'TABELA 4 Uniformes e EPIS'!$E109+'TABELA 5 - Ferramentas'!$I145</f>
        <v>38.208804347826074</v>
      </c>
      <c r="H108" s="107">
        <f>'TABELA 4 Uniformes e EPIS'!$E48+'TABELA 4 Uniformes e EPIS'!$E109+'TABELA 5 - Ferramentas'!$I145</f>
        <v>38.208804347826074</v>
      </c>
    </row>
    <row r="109" spans="1:8" x14ac:dyDescent="0.2">
      <c r="A109" s="8" t="s">
        <v>9</v>
      </c>
      <c r="B109" s="414" t="s">
        <v>69</v>
      </c>
      <c r="C109" s="414"/>
      <c r="D109" s="16">
        <v>0</v>
      </c>
      <c r="E109" s="245"/>
      <c r="F109" s="16">
        <v>0</v>
      </c>
      <c r="H109" s="16">
        <v>0</v>
      </c>
    </row>
    <row r="110" spans="1:8" x14ac:dyDescent="0.2">
      <c r="A110" s="8" t="s">
        <v>11</v>
      </c>
      <c r="B110" s="414" t="s">
        <v>16</v>
      </c>
      <c r="C110" s="414"/>
      <c r="D110" s="16">
        <v>0</v>
      </c>
      <c r="E110" s="245"/>
      <c r="F110" s="16">
        <v>0</v>
      </c>
      <c r="H110" s="16">
        <v>0</v>
      </c>
    </row>
    <row r="111" spans="1:8" x14ac:dyDescent="0.2">
      <c r="A111" s="463" t="s">
        <v>17</v>
      </c>
      <c r="B111" s="463"/>
      <c r="C111" s="463"/>
      <c r="D111" s="18">
        <f>SUM(D107:D110)</f>
        <v>94.192137681159409</v>
      </c>
      <c r="E111" s="250"/>
      <c r="F111" s="18">
        <f>SUM(F107:F110)</f>
        <v>94.192137681159409</v>
      </c>
      <c r="H111" s="18">
        <f>SUM(H107:H110)</f>
        <v>94.192137681159409</v>
      </c>
    </row>
    <row r="112" spans="1:8" x14ac:dyDescent="0.2">
      <c r="A112" s="464" t="s">
        <v>78</v>
      </c>
      <c r="B112" s="464"/>
      <c r="C112" s="464"/>
      <c r="D112" s="464"/>
      <c r="E112" s="233"/>
    </row>
    <row r="114" spans="1:8" x14ac:dyDescent="0.2">
      <c r="A114" s="415" t="s">
        <v>70</v>
      </c>
      <c r="B114" s="415"/>
      <c r="C114" s="415"/>
      <c r="D114" s="415"/>
      <c r="E114" s="231"/>
    </row>
    <row r="115" spans="1:8" ht="12.75" customHeight="1" x14ac:dyDescent="0.2">
      <c r="A115" s="469" t="s">
        <v>116</v>
      </c>
      <c r="B115" s="469"/>
      <c r="C115" s="460" t="s">
        <v>117</v>
      </c>
      <c r="D115" s="460"/>
      <c r="E115" s="461" t="s">
        <v>117</v>
      </c>
      <c r="F115" s="462"/>
      <c r="G115" s="460" t="s">
        <v>117</v>
      </c>
      <c r="H115" s="460"/>
    </row>
    <row r="116" spans="1:8" x14ac:dyDescent="0.2">
      <c r="A116" s="40">
        <v>6</v>
      </c>
      <c r="B116" s="42" t="s">
        <v>71</v>
      </c>
      <c r="C116" s="42" t="s">
        <v>28</v>
      </c>
      <c r="D116" s="40" t="s">
        <v>5</v>
      </c>
      <c r="E116" s="218" t="s">
        <v>28</v>
      </c>
      <c r="F116" s="217" t="s">
        <v>5</v>
      </c>
      <c r="G116" s="218" t="s">
        <v>28</v>
      </c>
      <c r="H116" s="217" t="s">
        <v>5</v>
      </c>
    </row>
    <row r="117" spans="1:8" x14ac:dyDescent="0.2">
      <c r="A117" s="8" t="s">
        <v>6</v>
      </c>
      <c r="B117" s="14" t="s">
        <v>72</v>
      </c>
      <c r="C117" s="19">
        <v>0.06</v>
      </c>
      <c r="D117" s="20">
        <f>C117*D135</f>
        <v>278.87967522492386</v>
      </c>
      <c r="E117" s="19">
        <v>0.06</v>
      </c>
      <c r="F117" s="205">
        <f>$E117*F$135</f>
        <v>299.4290526845698</v>
      </c>
      <c r="G117" s="19">
        <v>0.06</v>
      </c>
      <c r="H117" s="205">
        <f>$G117*H$135</f>
        <v>296.4298809731751</v>
      </c>
    </row>
    <row r="118" spans="1:8" x14ac:dyDescent="0.2">
      <c r="A118" s="8" t="s">
        <v>8</v>
      </c>
      <c r="B118" s="14" t="s">
        <v>73</v>
      </c>
      <c r="C118" s="19">
        <v>0.05</v>
      </c>
      <c r="D118" s="20">
        <f>C118*D135</f>
        <v>232.39972935410324</v>
      </c>
      <c r="E118" s="19">
        <v>0.05</v>
      </c>
      <c r="F118" s="205">
        <f>$E118*F$135</f>
        <v>249.52421057047488</v>
      </c>
      <c r="G118" s="19">
        <v>0.05</v>
      </c>
      <c r="H118" s="205">
        <f>$G118*H$135</f>
        <v>247.02490081097926</v>
      </c>
    </row>
    <row r="119" spans="1:8" x14ac:dyDescent="0.2">
      <c r="A119" s="8" t="s">
        <v>9</v>
      </c>
      <c r="B119" s="14" t="s">
        <v>125</v>
      </c>
      <c r="C119" s="34">
        <f>SUM(C120:C122)</f>
        <v>5.6499999999999995E-2</v>
      </c>
      <c r="D119" s="20">
        <f>(D135+D118+D117)*(C119/IF(C115="Lucro presumido",91.45%,85.75%))</f>
        <v>318.75230238256057</v>
      </c>
      <c r="E119" s="34">
        <f>SUM(E120:E122)</f>
        <v>5.6499999999999995E-2</v>
      </c>
      <c r="F119" s="205">
        <f>(F$135+F$118+F$117)*($E119/IF($E115="Lucro presumido",91.45%,85.75%))</f>
        <v>342.2397127594823</v>
      </c>
      <c r="G119" s="34">
        <f>SUM(G120:G122)</f>
        <v>5.6499999999999995E-2</v>
      </c>
      <c r="H119" s="205">
        <f>(H$135+H$118+H$117)*($G119/IF($G115="Lucro presumido",91.45%,85.75%))</f>
        <v>338.81173656338029</v>
      </c>
    </row>
    <row r="120" spans="1:8" x14ac:dyDescent="0.2">
      <c r="A120" s="8" t="s">
        <v>120</v>
      </c>
      <c r="B120" s="14" t="s">
        <v>119</v>
      </c>
      <c r="C120" s="34">
        <f>IF(C115="Lucro presumido",0.65%,1.65%)</f>
        <v>6.5000000000000006E-3</v>
      </c>
      <c r="D120" s="35" t="s">
        <v>118</v>
      </c>
      <c r="E120" s="34">
        <f>IF(E115="Lucro presumido",0.65%,1.65%)</f>
        <v>6.5000000000000006E-3</v>
      </c>
      <c r="F120" s="35" t="s">
        <v>118</v>
      </c>
      <c r="G120" s="34">
        <f>IF(G115="Lucro presumido",0.65%,1.65%)</f>
        <v>6.5000000000000006E-3</v>
      </c>
      <c r="H120" s="35" t="s">
        <v>118</v>
      </c>
    </row>
    <row r="121" spans="1:8" x14ac:dyDescent="0.2">
      <c r="A121" s="8" t="s">
        <v>122</v>
      </c>
      <c r="B121" s="14" t="s">
        <v>121</v>
      </c>
      <c r="C121" s="34">
        <f>IF(C115="Lucro presumido",3%,7.6%)</f>
        <v>0.03</v>
      </c>
      <c r="D121" s="35" t="s">
        <v>118</v>
      </c>
      <c r="E121" s="34">
        <f>IF(E115="Lucro presumido",3%,7.6%)</f>
        <v>0.03</v>
      </c>
      <c r="F121" s="35" t="s">
        <v>118</v>
      </c>
      <c r="G121" s="34">
        <f>IF(G115="Lucro presumido",3%,7.6%)</f>
        <v>0.03</v>
      </c>
      <c r="H121" s="35" t="s">
        <v>118</v>
      </c>
    </row>
    <row r="122" spans="1:8" x14ac:dyDescent="0.2">
      <c r="A122" s="8" t="s">
        <v>124</v>
      </c>
      <c r="B122" s="14" t="s">
        <v>123</v>
      </c>
      <c r="C122" s="34">
        <v>0.02</v>
      </c>
      <c r="D122" s="35" t="s">
        <v>118</v>
      </c>
      <c r="E122" s="34">
        <v>0.02</v>
      </c>
      <c r="F122" s="35" t="s">
        <v>118</v>
      </c>
      <c r="G122" s="34">
        <v>0.02</v>
      </c>
      <c r="H122" s="35" t="s">
        <v>118</v>
      </c>
    </row>
    <row r="123" spans="1:8" ht="25.5" x14ac:dyDescent="0.2">
      <c r="A123" s="26" t="s">
        <v>11</v>
      </c>
      <c r="B123" s="5" t="s">
        <v>127</v>
      </c>
      <c r="C123" s="36">
        <v>4.4999999999999998E-2</v>
      </c>
      <c r="D123" s="37">
        <f>(D135+D118+D117)*(C123/IF(C115="Lucro presumido",91.45%,85.75%))</f>
        <v>253.87351517195094</v>
      </c>
      <c r="E123" s="36">
        <v>4.4999999999999998E-2</v>
      </c>
      <c r="F123" s="208">
        <f>(F$135+F$118+F$117)*($E123/IF($E115="Lucro presumido",91.45%,85.75%))</f>
        <v>272.58030219781779</v>
      </c>
      <c r="G123" s="36">
        <v>4.4999999999999998E-2</v>
      </c>
      <c r="H123" s="208">
        <f>(H$135+H$118+H$117)*($G123/IF($G115="Lucro presumido",91.45%,85.75%))</f>
        <v>269.85005566994897</v>
      </c>
    </row>
    <row r="124" spans="1:8" x14ac:dyDescent="0.2">
      <c r="A124" s="463" t="s">
        <v>17</v>
      </c>
      <c r="B124" s="463"/>
      <c r="C124" s="21">
        <f>SUM(C117:C119)+(C123)</f>
        <v>0.21149999999999997</v>
      </c>
      <c r="D124" s="22">
        <f>SUM(D117:D123)</f>
        <v>1083.9052221335385</v>
      </c>
      <c r="E124" s="21">
        <f>SUM(E117:E119)+(E123)</f>
        <v>0.21149999999999997</v>
      </c>
      <c r="F124" s="207">
        <f>SUM(F117:F123)</f>
        <v>1163.7732782123448</v>
      </c>
      <c r="G124" s="21">
        <f>SUM(G117:G119)+(G123)</f>
        <v>0.21149999999999997</v>
      </c>
      <c r="H124" s="207">
        <f>SUM(H117:H123)</f>
        <v>1152.1165740174836</v>
      </c>
    </row>
    <row r="125" spans="1:8" x14ac:dyDescent="0.2">
      <c r="A125" s="464" t="s">
        <v>79</v>
      </c>
      <c r="B125" s="464"/>
      <c r="C125" s="464"/>
      <c r="D125" s="464"/>
      <c r="E125" s="233"/>
    </row>
    <row r="126" spans="1:8" x14ac:dyDescent="0.2">
      <c r="A126" s="464" t="s">
        <v>126</v>
      </c>
      <c r="B126" s="464"/>
      <c r="C126" s="464"/>
      <c r="D126" s="464"/>
      <c r="E126" s="233"/>
    </row>
    <row r="128" spans="1:8" x14ac:dyDescent="0.2">
      <c r="A128" s="415" t="s">
        <v>112</v>
      </c>
      <c r="B128" s="415"/>
      <c r="C128" s="415"/>
      <c r="D128" s="415"/>
      <c r="E128" s="231"/>
    </row>
    <row r="129" spans="1:8" x14ac:dyDescent="0.2">
      <c r="A129" s="466" t="s">
        <v>80</v>
      </c>
      <c r="B129" s="467"/>
      <c r="C129" s="468"/>
      <c r="D129" s="43" t="s">
        <v>74</v>
      </c>
      <c r="E129" s="242"/>
      <c r="F129" s="219" t="s">
        <v>74</v>
      </c>
      <c r="H129" s="219" t="s">
        <v>74</v>
      </c>
    </row>
    <row r="130" spans="1:8" x14ac:dyDescent="0.2">
      <c r="A130" s="26" t="s">
        <v>6</v>
      </c>
      <c r="B130" s="438" t="s">
        <v>75</v>
      </c>
      <c r="C130" s="438"/>
      <c r="D130" s="16">
        <f>D19</f>
        <v>2147.212</v>
      </c>
      <c r="E130" s="245"/>
      <c r="F130" s="203">
        <f>F19</f>
        <v>2361.9319999999998</v>
      </c>
      <c r="H130" s="16">
        <f>H19</f>
        <v>2361.9319999999998</v>
      </c>
    </row>
    <row r="131" spans="1:8" x14ac:dyDescent="0.2">
      <c r="A131" s="26" t="s">
        <v>8</v>
      </c>
      <c r="B131" s="438" t="s">
        <v>19</v>
      </c>
      <c r="C131" s="438"/>
      <c r="D131" s="16">
        <f>D65</f>
        <v>2141.63953604788</v>
      </c>
      <c r="E131" s="245"/>
      <c r="F131" s="203">
        <f>F65</f>
        <v>2242.9142171116</v>
      </c>
      <c r="H131" s="211">
        <f>H65</f>
        <v>2242.9142171116</v>
      </c>
    </row>
    <row r="132" spans="1:8" x14ac:dyDescent="0.2">
      <c r="A132" s="26" t="s">
        <v>9</v>
      </c>
      <c r="B132" s="438" t="s">
        <v>76</v>
      </c>
      <c r="C132" s="438"/>
      <c r="D132" s="16">
        <f>D76</f>
        <v>171.77655653886518</v>
      </c>
      <c r="E132" s="245"/>
      <c r="F132" s="203">
        <f>F76</f>
        <v>188.95411619297718</v>
      </c>
      <c r="H132" s="203">
        <f>H76</f>
        <v>138.96792100306519</v>
      </c>
    </row>
    <row r="133" spans="1:8" x14ac:dyDescent="0.2">
      <c r="A133" s="26" t="s">
        <v>11</v>
      </c>
      <c r="B133" s="438" t="s">
        <v>53</v>
      </c>
      <c r="C133" s="438"/>
      <c r="D133" s="16">
        <f>D103</f>
        <v>93.174356814159992</v>
      </c>
      <c r="E133" s="245"/>
      <c r="F133" s="203">
        <f>F103</f>
        <v>102.49174042376001</v>
      </c>
      <c r="H133" s="16">
        <f>H103</f>
        <v>102.49174042376001</v>
      </c>
    </row>
    <row r="134" spans="1:8" x14ac:dyDescent="0.2">
      <c r="A134" s="26" t="s">
        <v>13</v>
      </c>
      <c r="B134" s="438" t="s">
        <v>66</v>
      </c>
      <c r="C134" s="438"/>
      <c r="D134" s="16">
        <f>D111</f>
        <v>94.192137681159409</v>
      </c>
      <c r="E134" s="245"/>
      <c r="F134" s="16">
        <f>F111</f>
        <v>94.192137681159409</v>
      </c>
      <c r="H134" s="16">
        <f>H111</f>
        <v>94.192137681159409</v>
      </c>
    </row>
    <row r="135" spans="1:8" x14ac:dyDescent="0.2">
      <c r="A135" s="463" t="s">
        <v>77</v>
      </c>
      <c r="B135" s="463"/>
      <c r="C135" s="463"/>
      <c r="D135" s="18">
        <f>SUM(D130:D134)</f>
        <v>4647.9945870820648</v>
      </c>
      <c r="E135" s="246"/>
      <c r="F135" s="204">
        <f>SUM(F130:F134)</f>
        <v>4990.4842114094972</v>
      </c>
      <c r="H135" s="204">
        <f>SUM(H130:H134)</f>
        <v>4940.4980162195852</v>
      </c>
    </row>
    <row r="136" spans="1:8" x14ac:dyDescent="0.2">
      <c r="A136" s="8" t="s">
        <v>15</v>
      </c>
      <c r="B136" s="414" t="s">
        <v>70</v>
      </c>
      <c r="C136" s="414"/>
      <c r="D136" s="16">
        <f>D124</f>
        <v>1083.9052221335385</v>
      </c>
      <c r="E136" s="245"/>
      <c r="F136" s="203">
        <f>F124</f>
        <v>1163.7732782123448</v>
      </c>
      <c r="H136" s="203">
        <f>H124</f>
        <v>1152.1165740174836</v>
      </c>
    </row>
    <row r="137" spans="1:8" x14ac:dyDescent="0.2">
      <c r="A137" s="415" t="s">
        <v>436</v>
      </c>
      <c r="B137" s="415"/>
      <c r="C137" s="415"/>
      <c r="D137" s="38">
        <f>SUM(D135:D136)</f>
        <v>5731.8998092156035</v>
      </c>
      <c r="E137" s="251"/>
      <c r="F137" s="209">
        <f>SUM(F135:F136)</f>
        <v>6154.2574896218421</v>
      </c>
      <c r="H137" s="209">
        <f>SUM(H135:H136)</f>
        <v>6092.614590237069</v>
      </c>
    </row>
    <row r="140" spans="1:8" x14ac:dyDescent="0.2">
      <c r="A140" s="465" t="s">
        <v>437</v>
      </c>
      <c r="B140" s="465"/>
      <c r="C140" s="465"/>
      <c r="D140" s="465"/>
      <c r="E140" s="240"/>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8:D58"/>
    <mergeCell ref="A30:D30"/>
    <mergeCell ref="A32:D32"/>
    <mergeCell ref="A42:B42"/>
    <mergeCell ref="A43:D43"/>
    <mergeCell ref="A44:D44"/>
    <mergeCell ref="A45:D45"/>
    <mergeCell ref="A46:D46"/>
    <mergeCell ref="A47:D47"/>
    <mergeCell ref="A49:D49"/>
    <mergeCell ref="A56:C56"/>
    <mergeCell ref="A57:D57"/>
    <mergeCell ref="A81:D81"/>
    <mergeCell ref="A60:D60"/>
    <mergeCell ref="B61:C61"/>
    <mergeCell ref="B62:C62"/>
    <mergeCell ref="B63:C63"/>
    <mergeCell ref="B64:C64"/>
    <mergeCell ref="A65:C65"/>
    <mergeCell ref="A67:D67"/>
    <mergeCell ref="A76:B76"/>
    <mergeCell ref="A77:D77"/>
    <mergeCell ref="A78:D78"/>
    <mergeCell ref="A80:D80"/>
    <mergeCell ref="B107:C107"/>
    <mergeCell ref="A83:D83"/>
    <mergeCell ref="A91:B91"/>
    <mergeCell ref="A92:D92"/>
    <mergeCell ref="A94:D94"/>
    <mergeCell ref="A97:B97"/>
    <mergeCell ref="A99:D99"/>
    <mergeCell ref="B100:C100"/>
    <mergeCell ref="B101:C101"/>
    <mergeCell ref="A103:C103"/>
    <mergeCell ref="A105:D105"/>
    <mergeCell ref="B106:C106"/>
    <mergeCell ref="A114:D114"/>
    <mergeCell ref="A115:B115"/>
    <mergeCell ref="C115:D115"/>
    <mergeCell ref="A124:B124"/>
    <mergeCell ref="A125:D125"/>
    <mergeCell ref="B108:C108"/>
    <mergeCell ref="B109:C109"/>
    <mergeCell ref="B110:C110"/>
    <mergeCell ref="A111:C111"/>
    <mergeCell ref="A112:D112"/>
    <mergeCell ref="A140:D140"/>
    <mergeCell ref="A129:C129"/>
    <mergeCell ref="B130:C130"/>
    <mergeCell ref="B131:C131"/>
    <mergeCell ref="B132:C132"/>
    <mergeCell ref="B133:C133"/>
    <mergeCell ref="B134:C134"/>
    <mergeCell ref="G115:H115"/>
    <mergeCell ref="E115:F115"/>
    <mergeCell ref="A135:C135"/>
    <mergeCell ref="B136:C136"/>
    <mergeCell ref="A137:C137"/>
    <mergeCell ref="A128:D128"/>
    <mergeCell ref="A126:D126"/>
  </mergeCells>
  <dataValidations disablePrompts="1" count="1">
    <dataValidation type="list" allowBlank="1" showInputMessage="1" showErrorMessage="1" sqref="G115 C115:E115" xr:uid="{00000000-0002-0000-0700-000000000000}">
      <formula1>"Lucro presumido,Lucro real"</formula1>
    </dataValidation>
  </dataValidations>
  <pageMargins left="0.511811024" right="0.511811024" top="0.78740157499999996" bottom="0.78740157499999996" header="0.31496062000000002" footer="0.31496062000000002"/>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7</vt:i4>
      </vt:variant>
    </vt:vector>
  </HeadingPairs>
  <TitlesOfParts>
    <vt:vector size="30" baseType="lpstr">
      <vt:lpstr>TABELA 1 Formação de Preço </vt:lpstr>
      <vt:lpstr>Garantia</vt:lpstr>
      <vt:lpstr>TABELA 2 Resumo Post de Trab</vt:lpstr>
      <vt:lpstr>TABELA 3.1 Bomb Hidra 5X2hs</vt:lpstr>
      <vt:lpstr>TABELA 3.2 Eletricista</vt:lpstr>
      <vt:lpstr>TABELA 3.3 Encarregado de Man</vt:lpstr>
      <vt:lpstr>TABELA 3.4 Estoquista Ferram</vt:lpstr>
      <vt:lpstr>TABELA 3.5 Jardineiro</vt:lpstr>
      <vt:lpstr>TABELA 3.6  Lavador</vt:lpstr>
      <vt:lpstr>TABELA 3.7 Marceneiro</vt:lpstr>
      <vt:lpstr>TABELA 3.8 Pedreiro</vt:lpstr>
      <vt:lpstr>TABELA 3.9 Pintor-Gesseiro</vt:lpstr>
      <vt:lpstr>TABELA 3.10 Serralheiro</vt:lpstr>
      <vt:lpstr>TABELA 3.11 Engenheiro</vt:lpstr>
      <vt:lpstr>TABELA 3.12 Técnico telefonia</vt:lpstr>
      <vt:lpstr>TABELA 3.13 Ofi Mec Refrig</vt:lpstr>
      <vt:lpstr>TABELA 3.14 Ajud de Man e Rep</vt:lpstr>
      <vt:lpstr>TABELA 4 Uniformes e EPIS</vt:lpstr>
      <vt:lpstr>TABELA 5 - Ferramentas</vt:lpstr>
      <vt:lpstr>TABELA 6 Serv Especializados</vt:lpstr>
      <vt:lpstr>TABELA 7 - Mat. e Peças</vt:lpstr>
      <vt:lpstr>TABELA 8 - Serviços Eventuais</vt:lpstr>
      <vt:lpstr>TABELA 9 - Planilha BDI</vt:lpstr>
      <vt:lpstr>'TABELA 1 Formação de Preço '!_Hlk74142935</vt:lpstr>
      <vt:lpstr>'TABELA 1 Formação de Preço '!_Hlk74148335</vt:lpstr>
      <vt:lpstr>'TABELA 1 Formação de Preço '!_Hlk74164378</vt:lpstr>
      <vt:lpstr>'TABELA 1 Formação de Preço '!_Hlk74222037</vt:lpstr>
      <vt:lpstr>'TABELA 5 - Ferramentas'!Area_de_impressao</vt:lpstr>
      <vt:lpstr>'TABELA 6 Serv Especializados'!Area_de_impressao</vt:lpstr>
      <vt:lpstr>'TABELA 4 Uniformes e EPIS'!Print_Area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Fontoura Campos da Silva</dc:creator>
  <cp:lastModifiedBy>Filipe Borges Marra</cp:lastModifiedBy>
  <cp:lastPrinted>2021-08-13T19:30:18Z</cp:lastPrinted>
  <dcterms:created xsi:type="dcterms:W3CDTF">2019-04-29T17:44:08Z</dcterms:created>
  <dcterms:modified xsi:type="dcterms:W3CDTF">2022-11-21T20:55:32Z</dcterms:modified>
</cp:coreProperties>
</file>