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defaultThemeVersion="124226"/>
  <mc:AlternateContent xmlns:mc="http://schemas.openxmlformats.org/markup-compatibility/2006">
    <mc:Choice Requires="x15">
      <x15ac:absPath xmlns:x15ac="http://schemas.microsoft.com/office/spreadsheetml/2010/11/ac" url="W:\SUCOP\SECCON\2022\PROVISORIO SECCON\TERMOS\TERMO RECONHECIMENTO\Real JG\Planilha\"/>
    </mc:Choice>
  </mc:AlternateContent>
  <xr:revisionPtr revIDLastSave="0" documentId="13_ncr:1_{FCFE7862-149C-494F-BB17-AF2E690E70B6}" xr6:coauthVersionLast="47" xr6:coauthVersionMax="47" xr10:uidLastSave="{00000000-0000-0000-0000-000000000000}"/>
  <bookViews>
    <workbookView xWindow="-120" yWindow="-120" windowWidth="29040" windowHeight="15840" tabRatio="927" firstSheet="2" activeTab="2" xr2:uid="{00000000-000D-0000-FFFF-FFFF00000000}"/>
  </bookViews>
  <sheets>
    <sheet name="SALARIOS" sheetId="67" state="hidden" r:id="rId1"/>
    <sheet name="encarregado" sheetId="9" state="hidden" r:id="rId2"/>
    <sheet name="servente" sheetId="49" r:id="rId3"/>
    <sheet name="servente setor de saúde" sheetId="70" r:id="rId4"/>
    <sheet name="mensageiro" sheetId="52" state="hidden" r:id="rId5"/>
    <sheet name="op.maq.reprografica" sheetId="27" state="hidden" r:id="rId6"/>
    <sheet name="garcom" sheetId="29" state="hidden" r:id="rId7"/>
    <sheet name="copeira" sheetId="30" state="hidden" r:id="rId8"/>
    <sheet name="recepcionista" sheetId="26" r:id="rId9"/>
    <sheet name="recepcionista setor de saúde" sheetId="71" r:id="rId10"/>
    <sheet name="telefonista" sheetId="28" state="hidden" r:id="rId11"/>
    <sheet name="jauzeiro" sheetId="50" state="hidden" r:id="rId12"/>
    <sheet name="Anexo Transporte e Alimentacao" sheetId="65" state="hidden" r:id="rId13"/>
    <sheet name="Anexo EPI" sheetId="56" state="hidden" r:id="rId14"/>
    <sheet name="Anexo Uniformes" sheetId="53" state="hidden" r:id="rId15"/>
    <sheet name="Quadro Resumo " sheetId="58" r:id="rId16"/>
    <sheet name="Base de cálculo supr e acresc" sheetId="68" state="hidden" r:id="rId17"/>
    <sheet name="Encargos Sociais" sheetId="59" state="hidden" r:id="rId18"/>
    <sheet name="calculos reajuste uniformes" sheetId="64" state="hidden" r:id="rId19"/>
    <sheet name="cálculo garantia" sheetId="63" state="hidden" r:id="rId20"/>
    <sheet name="acrescimo" sheetId="41" state="hidden" r:id="rId21"/>
  </sheets>
  <externalReferences>
    <externalReference r:id="rId22"/>
  </externalReferences>
  <definedNames>
    <definedName name="_xlnm.Print_Area" localSheetId="14">'Anexo Uniformes'!$A$1:$E$81</definedName>
    <definedName name="_xlnm.Print_Area" localSheetId="18">'calculos reajuste uniformes'!$A$1:$F$30</definedName>
    <definedName name="_xlnm.Print_Area" localSheetId="15">'Quadro Resumo '!$A$1:$F$51</definedName>
    <definedName name="Print_Area" localSheetId="13">'Anexo EPI'!$A$3:$F$11</definedName>
    <definedName name="Print_Area" localSheetId="14">'Anexo Uniformes'!$A$1:$E$90</definedName>
    <definedName name="Print_Area" localSheetId="19">'cálculo garantia'!#REF!</definedName>
    <definedName name="Print_Area" localSheetId="17">'Encargos Sociais'!$A$2:$D$61</definedName>
    <definedName name="Print_Area" localSheetId="1">encarregado!$A$1:$K$41</definedName>
    <definedName name="Print_Area" localSheetId="6">garcom!$A$1:$K$34</definedName>
    <definedName name="Print_Area" localSheetId="11">jauzeiro!$A$1:$J$38</definedName>
    <definedName name="Print_Area" localSheetId="4">mensageiro!$A$1:$J$38</definedName>
    <definedName name="Print_Area" localSheetId="5">'op.maq.reprografica'!$A$1:$J$38</definedName>
    <definedName name="Print_Area" localSheetId="15">'Quadro Resumo '!$A$1:$F$3</definedName>
    <definedName name="Print_Area" localSheetId="8">recepcionista!$A$1:$J$35</definedName>
    <definedName name="Print_Area" localSheetId="9">'recepcionista setor de saúde'!$A$1:$C$36</definedName>
    <definedName name="Print_Area" localSheetId="2">servente!$A$1:$J$40</definedName>
    <definedName name="Print_Area" localSheetId="3">'servente setor de saúde'!$A$1:$C$41</definedName>
    <definedName name="Print_Area" localSheetId="10">telefonista!$A$1:$J$38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 i="71" l="1"/>
  <c r="D9" i="71" s="1"/>
  <c r="D8" i="71"/>
  <c r="D12" i="71"/>
  <c r="D17" i="71"/>
  <c r="D18" i="71"/>
  <c r="D30" i="71" s="1"/>
  <c r="D21" i="71" l="1"/>
  <c r="D31" i="71" s="1"/>
  <c r="D28" i="71"/>
  <c r="D11" i="71"/>
  <c r="D15" i="71" s="1"/>
  <c r="D29" i="71" s="1"/>
  <c r="E246" i="58"/>
  <c r="E245" i="58"/>
  <c r="F245" i="58" s="1"/>
  <c r="E244" i="58"/>
  <c r="E243" i="58"/>
  <c r="F243" i="58" s="1"/>
  <c r="E242" i="58"/>
  <c r="E239" i="58"/>
  <c r="E226" i="58"/>
  <c r="E238" i="58"/>
  <c r="F238" i="58" s="1"/>
  <c r="E241" i="58"/>
  <c r="F241" i="58" s="1"/>
  <c r="E227" i="58"/>
  <c r="F227" i="58" s="1"/>
  <c r="C248" i="58"/>
  <c r="F247" i="58"/>
  <c r="F246" i="58"/>
  <c r="F244" i="58"/>
  <c r="F242" i="58"/>
  <c r="F240" i="58"/>
  <c r="F239" i="58"/>
  <c r="U35" i="26"/>
  <c r="U33" i="26"/>
  <c r="U32" i="26"/>
  <c r="U31" i="26"/>
  <c r="U30" i="26"/>
  <c r="U29" i="26"/>
  <c r="U28" i="26"/>
  <c r="U27" i="26"/>
  <c r="U24" i="26"/>
  <c r="U22" i="26"/>
  <c r="U20" i="26"/>
  <c r="U17" i="26"/>
  <c r="U16" i="26"/>
  <c r="U14" i="26"/>
  <c r="U11" i="26"/>
  <c r="U10" i="26"/>
  <c r="U8" i="26"/>
  <c r="U7" i="26"/>
  <c r="T30" i="49"/>
  <c r="T28" i="49"/>
  <c r="T21" i="49"/>
  <c r="T31" i="49" s="1"/>
  <c r="T18" i="49"/>
  <c r="T16" i="49"/>
  <c r="T11" i="49"/>
  <c r="D23" i="71" l="1"/>
  <c r="D25" i="71" s="1"/>
  <c r="D24" i="71" s="1"/>
  <c r="D32" i="71"/>
  <c r="F248" i="58"/>
  <c r="U23" i="26"/>
  <c r="U25" i="26"/>
  <c r="D26" i="71" l="1"/>
  <c r="D33" i="71" s="1"/>
  <c r="D34" i="71" s="1"/>
  <c r="D36" i="71" s="1"/>
  <c r="D17" i="70"/>
  <c r="D19" i="70" s="1"/>
  <c r="D31" i="70" s="1"/>
  <c r="D12" i="70"/>
  <c r="D11" i="70"/>
  <c r="D15" i="70" s="1"/>
  <c r="D30" i="70" s="1"/>
  <c r="D8" i="70" l="1"/>
  <c r="D9" i="70" s="1"/>
  <c r="D29" i="70" l="1"/>
  <c r="D22" i="70"/>
  <c r="D32" i="70" s="1"/>
  <c r="E117" i="58"/>
  <c r="E116" i="58"/>
  <c r="E115" i="58"/>
  <c r="E114" i="58"/>
  <c r="E112" i="58"/>
  <c r="E105" i="58"/>
  <c r="E104" i="58"/>
  <c r="E103" i="58"/>
  <c r="E102" i="58"/>
  <c r="E100" i="58"/>
  <c r="D105" i="58"/>
  <c r="D104" i="58"/>
  <c r="D103" i="58"/>
  <c r="D102" i="58"/>
  <c r="D100" i="58"/>
  <c r="D33" i="70" l="1"/>
  <c r="D24" i="70"/>
  <c r="D26" i="70" s="1"/>
  <c r="C107" i="58"/>
  <c r="F105" i="58"/>
  <c r="F104" i="58"/>
  <c r="F103" i="58"/>
  <c r="F102" i="58"/>
  <c r="F100" i="58"/>
  <c r="D25" i="70" l="1"/>
  <c r="D27" i="70" s="1"/>
  <c r="D34" i="70" s="1"/>
  <c r="D35" i="70" s="1"/>
  <c r="D37" i="70" s="1"/>
  <c r="C184" i="58" l="1"/>
  <c r="F183" i="58"/>
  <c r="F182" i="58"/>
  <c r="F181" i="58"/>
  <c r="F180" i="58"/>
  <c r="F179" i="58"/>
  <c r="F178" i="58"/>
  <c r="F177" i="58"/>
  <c r="F184" i="58" l="1"/>
  <c r="C78" i="58" l="1"/>
  <c r="F77" i="58"/>
  <c r="F76" i="58"/>
  <c r="F75" i="58"/>
  <c r="F74" i="58"/>
  <c r="F73" i="58"/>
  <c r="F72" i="58"/>
  <c r="F71" i="58"/>
  <c r="F78" i="58" l="1"/>
  <c r="F79" i="58" s="1"/>
  <c r="H32" i="50" l="1"/>
  <c r="H30" i="50"/>
  <c r="H19" i="50"/>
  <c r="H16" i="50"/>
  <c r="H31" i="50" s="1"/>
  <c r="H10" i="50"/>
  <c r="H23" i="50" l="1"/>
  <c r="H33" i="50" s="1"/>
  <c r="H34" i="50" s="1"/>
  <c r="H25" i="50" l="1"/>
  <c r="H27" i="50" s="1"/>
  <c r="F56" i="58"/>
  <c r="C64" i="58"/>
  <c r="F63" i="58"/>
  <c r="F62" i="58"/>
  <c r="F61" i="58"/>
  <c r="F60" i="58"/>
  <c r="F59" i="58"/>
  <c r="F58" i="58"/>
  <c r="F57" i="58"/>
  <c r="F25" i="58"/>
  <c r="I18" i="28"/>
  <c r="I30" i="28" s="1"/>
  <c r="I17" i="28"/>
  <c r="I12" i="28"/>
  <c r="I8" i="28"/>
  <c r="I11" i="28" s="1"/>
  <c r="I15" i="28" s="1"/>
  <c r="I29" i="28" s="1"/>
  <c r="I17" i="26"/>
  <c r="I29" i="26" s="1"/>
  <c r="I11" i="26"/>
  <c r="I7" i="26"/>
  <c r="I8" i="26" s="1"/>
  <c r="J17" i="30"/>
  <c r="J29" i="30" s="1"/>
  <c r="J14" i="30"/>
  <c r="J28" i="30" s="1"/>
  <c r="J11" i="30"/>
  <c r="J7" i="30"/>
  <c r="J8" i="30" s="1"/>
  <c r="I29" i="29"/>
  <c r="I19" i="29"/>
  <c r="I15" i="29"/>
  <c r="I16" i="29" s="1"/>
  <c r="I28" i="29" s="1"/>
  <c r="I10" i="29"/>
  <c r="I7" i="29"/>
  <c r="I26" i="29" s="1"/>
  <c r="I30" i="29" s="1"/>
  <c r="I6" i="29"/>
  <c r="I9" i="29" s="1"/>
  <c r="I13" i="29" s="1"/>
  <c r="I27" i="29" s="1"/>
  <c r="I20" i="27"/>
  <c r="I32" i="27" s="1"/>
  <c r="I14" i="27"/>
  <c r="I7" i="27"/>
  <c r="I13" i="27" s="1"/>
  <c r="I17" i="27" s="1"/>
  <c r="I31" i="27" s="1"/>
  <c r="I30" i="52"/>
  <c r="I20" i="52"/>
  <c r="I32" i="52" s="1"/>
  <c r="I14" i="52"/>
  <c r="I11" i="52"/>
  <c r="I23" i="52" s="1"/>
  <c r="I33" i="52" s="1"/>
  <c r="I7" i="52"/>
  <c r="I13" i="52" s="1"/>
  <c r="I17" i="52" s="1"/>
  <c r="I20" i="9"/>
  <c r="I32" i="9" s="1"/>
  <c r="I14" i="9"/>
  <c r="I10" i="9"/>
  <c r="I23" i="9" s="1"/>
  <c r="I33" i="9" s="1"/>
  <c r="I9" i="9"/>
  <c r="I13" i="9" s="1"/>
  <c r="I17" i="9" s="1"/>
  <c r="I17" i="49"/>
  <c r="I18" i="49" s="1"/>
  <c r="I30" i="49" s="1"/>
  <c r="I7" i="49"/>
  <c r="I10" i="49" s="1"/>
  <c r="I14" i="49" s="1"/>
  <c r="I29" i="49" s="1"/>
  <c r="I25" i="52" l="1"/>
  <c r="I31" i="52"/>
  <c r="J20" i="30"/>
  <c r="J30" i="30" s="1"/>
  <c r="J27" i="30"/>
  <c r="J22" i="30"/>
  <c r="J24" i="30" s="1"/>
  <c r="I25" i="9"/>
  <c r="I31" i="9"/>
  <c r="I34" i="52"/>
  <c r="I27" i="52"/>
  <c r="I30" i="9"/>
  <c r="I34" i="9" s="1"/>
  <c r="I11" i="27"/>
  <c r="I21" i="29"/>
  <c r="I23" i="29" s="1"/>
  <c r="I22" i="29" s="1"/>
  <c r="I24" i="29" s="1"/>
  <c r="I31" i="29" s="1"/>
  <c r="I32" i="29" s="1"/>
  <c r="I34" i="29" s="1"/>
  <c r="I9" i="28"/>
  <c r="H26" i="50"/>
  <c r="H28" i="50" s="1"/>
  <c r="H35" i="50" s="1"/>
  <c r="H36" i="50" s="1"/>
  <c r="H38" i="50" s="1"/>
  <c r="I10" i="26"/>
  <c r="I14" i="26" s="1"/>
  <c r="I28" i="26" s="1"/>
  <c r="I27" i="26"/>
  <c r="I20" i="26"/>
  <c r="I30" i="26" s="1"/>
  <c r="I8" i="49"/>
  <c r="F64" i="58"/>
  <c r="F65" i="58" s="1"/>
  <c r="I26" i="52"/>
  <c r="I28" i="52" s="1"/>
  <c r="I35" i="52" s="1"/>
  <c r="I26" i="49"/>
  <c r="I33" i="49" s="1"/>
  <c r="I30" i="27" l="1"/>
  <c r="I23" i="27"/>
  <c r="I25" i="27" s="1"/>
  <c r="J31" i="30"/>
  <c r="I27" i="9"/>
  <c r="I28" i="9" s="1"/>
  <c r="I35" i="9" s="1"/>
  <c r="I36" i="9" s="1"/>
  <c r="I38" i="9" s="1"/>
  <c r="I28" i="28"/>
  <c r="I21" i="28"/>
  <c r="I31" i="28" s="1"/>
  <c r="I36" i="52"/>
  <c r="I38" i="52" s="1"/>
  <c r="J23" i="30"/>
  <c r="J25" i="30" s="1"/>
  <c r="J32" i="30" s="1"/>
  <c r="I22" i="26"/>
  <c r="I24" i="26" s="1"/>
  <c r="I23" i="26" s="1"/>
  <c r="I25" i="26" s="1"/>
  <c r="I32" i="26" s="1"/>
  <c r="I31" i="26"/>
  <c r="I28" i="49"/>
  <c r="I21" i="49"/>
  <c r="I31" i="49" s="1"/>
  <c r="C32" i="58"/>
  <c r="F31" i="58"/>
  <c r="F30" i="58"/>
  <c r="F27" i="58"/>
  <c r="J33" i="30" l="1"/>
  <c r="J35" i="30" s="1"/>
  <c r="I33" i="27"/>
  <c r="I26" i="27"/>
  <c r="I28" i="27" s="1"/>
  <c r="I35" i="27" s="1"/>
  <c r="I23" i="28"/>
  <c r="I34" i="27"/>
  <c r="I25" i="28"/>
  <c r="I27" i="27"/>
  <c r="I32" i="28"/>
  <c r="I33" i="26"/>
  <c r="I35" i="26" s="1"/>
  <c r="I32" i="49"/>
  <c r="I34" i="49" s="1"/>
  <c r="I36" i="49" s="1"/>
  <c r="I24" i="28" l="1"/>
  <c r="I26" i="28" s="1"/>
  <c r="I33" i="28" s="1"/>
  <c r="I34" i="28" s="1"/>
  <c r="I36" i="28" s="1"/>
  <c r="I36" i="27"/>
  <c r="I38" i="27" s="1"/>
  <c r="C221" i="58" l="1"/>
  <c r="C210" i="58"/>
  <c r="C196" i="58"/>
  <c r="C172" i="58"/>
  <c r="C160" i="58"/>
  <c r="F47" i="58" l="1"/>
  <c r="E8" i="71" l="1"/>
  <c r="E17" i="71" l="1"/>
  <c r="E18" i="71" s="1"/>
  <c r="E30" i="71" s="1"/>
  <c r="C17" i="71"/>
  <c r="C18" i="71" s="1"/>
  <c r="C30" i="71" s="1"/>
  <c r="E12" i="71"/>
  <c r="C12" i="71"/>
  <c r="C11" i="71"/>
  <c r="C9" i="71"/>
  <c r="C28" i="71" s="1"/>
  <c r="C18" i="70"/>
  <c r="C17" i="70"/>
  <c r="C12" i="70"/>
  <c r="C11" i="70"/>
  <c r="C9" i="70"/>
  <c r="C29" i="70" s="1"/>
  <c r="C19" i="70" l="1"/>
  <c r="C31" i="70" s="1"/>
  <c r="C15" i="70"/>
  <c r="C30" i="70" s="1"/>
  <c r="C15" i="71"/>
  <c r="C29" i="71" s="1"/>
  <c r="C21" i="71"/>
  <c r="C31" i="71" s="1"/>
  <c r="E7" i="71"/>
  <c r="E9" i="71" s="1"/>
  <c r="C22" i="70"/>
  <c r="C32" i="70" s="1"/>
  <c r="C33" i="70" l="1"/>
  <c r="C32" i="71"/>
  <c r="C24" i="70"/>
  <c r="C26" i="70" s="1"/>
  <c r="C25" i="70" s="1"/>
  <c r="C27" i="70" s="1"/>
  <c r="C34" i="70" s="1"/>
  <c r="C23" i="71"/>
  <c r="E11" i="71"/>
  <c r="E15" i="71" s="1"/>
  <c r="E29" i="71" s="1"/>
  <c r="C35" i="70" l="1"/>
  <c r="C37" i="70" s="1"/>
  <c r="E21" i="71"/>
  <c r="E31" i="71" s="1"/>
  <c r="E28" i="71"/>
  <c r="C25" i="71"/>
  <c r="C24" i="71" s="1"/>
  <c r="C26" i="71" s="1"/>
  <c r="C33" i="71" s="1"/>
  <c r="C34" i="71" s="1"/>
  <c r="C36" i="71" s="1"/>
  <c r="E32" i="71" l="1"/>
  <c r="E23" i="71"/>
  <c r="E25" i="71" s="1"/>
  <c r="E24" i="71" l="1"/>
  <c r="E26" i="71" s="1"/>
  <c r="E33" i="71" s="1"/>
  <c r="E34" i="71" s="1"/>
  <c r="E36" i="71" s="1"/>
  <c r="C79" i="63" l="1"/>
  <c r="J6" i="68"/>
  <c r="C6" i="68" l="1"/>
  <c r="J61" i="53"/>
  <c r="J60" i="53"/>
  <c r="J59" i="53"/>
  <c r="T16" i="26"/>
  <c r="S16" i="26"/>
  <c r="R15" i="29"/>
  <c r="Q15" i="29"/>
  <c r="R19" i="9"/>
  <c r="Q19" i="9"/>
  <c r="R16" i="49"/>
  <c r="S16" i="49"/>
  <c r="Q16" i="49"/>
  <c r="J58" i="53" l="1"/>
  <c r="J57" i="53"/>
  <c r="R19" i="27"/>
  <c r="Q19" i="27"/>
  <c r="R19" i="52"/>
  <c r="Q19" i="52"/>
  <c r="P14" i="68" l="1"/>
  <c r="P7" i="68"/>
  <c r="F12" i="68"/>
  <c r="J13" i="68"/>
  <c r="D11" i="68"/>
  <c r="D10" i="68"/>
  <c r="D9" i="68"/>
  <c r="D8" i="68"/>
  <c r="D7" i="68"/>
  <c r="D5" i="68"/>
  <c r="M5" i="68" s="1"/>
  <c r="M13" i="68" s="1"/>
  <c r="D4" i="68"/>
  <c r="F4" i="68" s="1"/>
  <c r="E13" i="68" l="1"/>
  <c r="G12" i="68"/>
  <c r="F11" i="68"/>
  <c r="G11" i="68" s="1"/>
  <c r="F10" i="68"/>
  <c r="G10" i="68" s="1"/>
  <c r="F9" i="68"/>
  <c r="G9" i="68" s="1"/>
  <c r="F8" i="68"/>
  <c r="G8" i="68" s="1"/>
  <c r="F7" i="68"/>
  <c r="G7" i="68" s="1"/>
  <c r="F6" i="68"/>
  <c r="F5" i="68"/>
  <c r="G5" i="68" s="1"/>
  <c r="G6" i="68" l="1"/>
  <c r="F13" i="68"/>
  <c r="G4" i="68"/>
  <c r="F35" i="56"/>
  <c r="F36" i="56"/>
  <c r="E27" i="56"/>
  <c r="E22" i="56"/>
  <c r="F22" i="56" s="1"/>
  <c r="E21" i="56"/>
  <c r="E20" i="56"/>
  <c r="E19" i="56"/>
  <c r="E18" i="56"/>
  <c r="F18" i="56" s="1"/>
  <c r="E17" i="56"/>
  <c r="F17" i="56" s="1"/>
  <c r="E16" i="56"/>
  <c r="F16" i="56" s="1"/>
  <c r="E15" i="56"/>
  <c r="F15" i="56" s="1"/>
  <c r="F27" i="56"/>
  <c r="F21" i="56"/>
  <c r="F20" i="56"/>
  <c r="F19" i="56"/>
  <c r="G13" i="68" l="1"/>
  <c r="M15" i="68"/>
  <c r="J15" i="68"/>
  <c r="J14" i="68"/>
  <c r="M14" i="68"/>
  <c r="F23" i="56"/>
  <c r="F24" i="56" s="1"/>
  <c r="L19" i="50" l="1"/>
  <c r="M19" i="50"/>
  <c r="C80" i="63" l="1"/>
  <c r="H71" i="63" s="1"/>
  <c r="H72" i="63" s="1"/>
  <c r="K61" i="53" l="1"/>
  <c r="K60" i="53"/>
  <c r="K58" i="53"/>
  <c r="K59" i="53"/>
  <c r="K57" i="53"/>
  <c r="K62" i="53" l="1"/>
  <c r="K63" i="53"/>
  <c r="J8" i="53" l="1"/>
  <c r="K8" i="53" s="1"/>
  <c r="J7" i="53"/>
  <c r="K7" i="53" s="1"/>
  <c r="J6" i="53"/>
  <c r="K6" i="53" s="1"/>
  <c r="J5" i="53"/>
  <c r="K5" i="53" s="1"/>
  <c r="J4" i="53"/>
  <c r="K4" i="53" s="1"/>
  <c r="K10" i="53" l="1"/>
  <c r="K9" i="53"/>
  <c r="C233" i="58"/>
  <c r="F222" i="65"/>
  <c r="C212" i="65" s="1"/>
  <c r="E212" i="65"/>
  <c r="F221" i="65"/>
  <c r="F220" i="65"/>
  <c r="F219" i="65"/>
  <c r="C209" i="65" s="1"/>
  <c r="F209" i="65" s="1"/>
  <c r="F218" i="65"/>
  <c r="F217" i="65"/>
  <c r="C207" i="65" s="1"/>
  <c r="F216" i="65"/>
  <c r="C206" i="65" s="1"/>
  <c r="F215" i="65"/>
  <c r="E211" i="65"/>
  <c r="C211" i="65"/>
  <c r="F211" i="65" s="1"/>
  <c r="E210" i="65"/>
  <c r="C210" i="65"/>
  <c r="F210" i="65" s="1"/>
  <c r="E209" i="65"/>
  <c r="E208" i="65"/>
  <c r="C208" i="65"/>
  <c r="E207" i="65"/>
  <c r="E206" i="65"/>
  <c r="E205" i="65"/>
  <c r="C205" i="65"/>
  <c r="F205" i="65" s="1"/>
  <c r="F200" i="65"/>
  <c r="F199" i="65"/>
  <c r="C190" i="65" s="1"/>
  <c r="F198" i="65"/>
  <c r="F197" i="65"/>
  <c r="C188" i="65" s="1"/>
  <c r="F196" i="65"/>
  <c r="F195" i="65"/>
  <c r="C186" i="65" s="1"/>
  <c r="F194" i="65"/>
  <c r="C185" i="65" s="1"/>
  <c r="E191" i="65"/>
  <c r="C191" i="65"/>
  <c r="E190" i="65"/>
  <c r="E189" i="65"/>
  <c r="C189" i="65"/>
  <c r="E188" i="65"/>
  <c r="E187" i="65"/>
  <c r="C187" i="65"/>
  <c r="E186" i="65"/>
  <c r="E185" i="65"/>
  <c r="E179" i="65"/>
  <c r="G179" i="65" s="1"/>
  <c r="E178" i="65"/>
  <c r="G178" i="65" s="1"/>
  <c r="E177" i="65"/>
  <c r="G177" i="65" s="1"/>
  <c r="E176" i="65"/>
  <c r="G176" i="65" s="1"/>
  <c r="E175" i="65"/>
  <c r="G175" i="65" s="1"/>
  <c r="E174" i="65"/>
  <c r="G174" i="65" s="1"/>
  <c r="E173" i="65"/>
  <c r="G173" i="65" s="1"/>
  <c r="E172" i="65"/>
  <c r="G172" i="65" s="1"/>
  <c r="F212" i="65" l="1"/>
  <c r="F206" i="65"/>
  <c r="F207" i="65"/>
  <c r="F191" i="65"/>
  <c r="F187" i="65"/>
  <c r="F208" i="65"/>
  <c r="F190" i="65"/>
  <c r="F189" i="65"/>
  <c r="F188" i="65"/>
  <c r="F186" i="65"/>
  <c r="F185" i="65"/>
  <c r="E167" i="65" l="1"/>
  <c r="G167" i="65" s="1"/>
  <c r="E166" i="65"/>
  <c r="G166" i="65" s="1"/>
  <c r="E165" i="65"/>
  <c r="G165" i="65" s="1"/>
  <c r="E164" i="65"/>
  <c r="G164" i="65" s="1"/>
  <c r="E163" i="65"/>
  <c r="G163" i="65" s="1"/>
  <c r="E162" i="65"/>
  <c r="G162" i="65" s="1"/>
  <c r="E161" i="65"/>
  <c r="G161" i="65" s="1"/>
  <c r="N13" i="50" l="1"/>
  <c r="N19" i="50"/>
  <c r="M18" i="50"/>
  <c r="N18" i="50" s="1"/>
  <c r="M13" i="50"/>
  <c r="L13" i="50"/>
  <c r="L8" i="50"/>
  <c r="N8" i="50" s="1"/>
  <c r="L20" i="50"/>
  <c r="T17" i="26"/>
  <c r="T29" i="26" s="1"/>
  <c r="T11" i="26"/>
  <c r="S17" i="26"/>
  <c r="S11" i="26"/>
  <c r="S7" i="26"/>
  <c r="T7" i="26" s="1"/>
  <c r="S11" i="30"/>
  <c r="R11" i="30"/>
  <c r="R7" i="30"/>
  <c r="R10" i="30" s="1"/>
  <c r="R14" i="30" s="1"/>
  <c r="R28" i="30" s="1"/>
  <c r="R16" i="29"/>
  <c r="R28" i="29" s="1"/>
  <c r="R10" i="29"/>
  <c r="Q16" i="29"/>
  <c r="Q28" i="29" s="1"/>
  <c r="Q10" i="29"/>
  <c r="Q6" i="29"/>
  <c r="Q9" i="29" s="1"/>
  <c r="Q13" i="29" s="1"/>
  <c r="Q27" i="29" s="1"/>
  <c r="R20" i="27"/>
  <c r="R14" i="27"/>
  <c r="Q20" i="27"/>
  <c r="Q32" i="27" s="1"/>
  <c r="Q14" i="27"/>
  <c r="Q7" i="27"/>
  <c r="Q13" i="27" s="1"/>
  <c r="R20" i="52"/>
  <c r="R32" i="52" s="1"/>
  <c r="R14" i="52"/>
  <c r="Q20" i="52"/>
  <c r="Q32" i="52" s="1"/>
  <c r="Q14" i="52"/>
  <c r="Q7" i="52"/>
  <c r="R7" i="52" s="1"/>
  <c r="S18" i="49"/>
  <c r="S30" i="49" s="1"/>
  <c r="S11" i="49"/>
  <c r="Q17" i="27" l="1"/>
  <c r="Q31" i="27" s="1"/>
  <c r="S10" i="26"/>
  <c r="S14" i="26" s="1"/>
  <c r="S28" i="26" s="1"/>
  <c r="N9" i="50"/>
  <c r="N12" i="50"/>
  <c r="N16" i="50" s="1"/>
  <c r="N31" i="50" s="1"/>
  <c r="N10" i="50"/>
  <c r="T10" i="26"/>
  <c r="T14" i="26" s="1"/>
  <c r="T28" i="26" s="1"/>
  <c r="T8" i="26"/>
  <c r="L9" i="50"/>
  <c r="L10" i="50" s="1"/>
  <c r="R7" i="27"/>
  <c r="R8" i="30"/>
  <c r="M8" i="50"/>
  <c r="L12" i="50"/>
  <c r="L16" i="50" s="1"/>
  <c r="L31" i="50" s="1"/>
  <c r="Q11" i="27"/>
  <c r="Q23" i="27" s="1"/>
  <c r="S8" i="26"/>
  <c r="M20" i="50"/>
  <c r="S29" i="26"/>
  <c r="R32" i="27"/>
  <c r="N20" i="50"/>
  <c r="N32" i="50" s="1"/>
  <c r="L32" i="50"/>
  <c r="Q7" i="29"/>
  <c r="R6" i="29"/>
  <c r="R13" i="52"/>
  <c r="R17" i="52" s="1"/>
  <c r="R31" i="52" s="1"/>
  <c r="R11" i="52"/>
  <c r="Q11" i="52"/>
  <c r="Q23" i="52" s="1"/>
  <c r="Q33" i="52" s="1"/>
  <c r="Q13" i="52"/>
  <c r="Q17" i="52" s="1"/>
  <c r="Q31" i="52" s="1"/>
  <c r="R11" i="49"/>
  <c r="Q11" i="49"/>
  <c r="Q7" i="49"/>
  <c r="T7" i="49" s="1"/>
  <c r="R14" i="9"/>
  <c r="Q14" i="9"/>
  <c r="Q30" i="27" l="1"/>
  <c r="L23" i="50"/>
  <c r="L33" i="50" s="1"/>
  <c r="L30" i="50"/>
  <c r="L25" i="50"/>
  <c r="L27" i="50" s="1"/>
  <c r="L26" i="50" s="1"/>
  <c r="L28" i="50" s="1"/>
  <c r="L35" i="50" s="1"/>
  <c r="L36" i="50" s="1"/>
  <c r="L38" i="50" s="1"/>
  <c r="L34" i="50"/>
  <c r="S27" i="26"/>
  <c r="S20" i="26"/>
  <c r="S30" i="26" s="1"/>
  <c r="T27" i="26"/>
  <c r="T20" i="26"/>
  <c r="T30" i="26" s="1"/>
  <c r="M12" i="50"/>
  <c r="M16" i="50" s="1"/>
  <c r="M31" i="50" s="1"/>
  <c r="M9" i="50"/>
  <c r="M10" i="50" s="1"/>
  <c r="N30" i="50"/>
  <c r="N34" i="50" s="1"/>
  <c r="N23" i="50"/>
  <c r="N33" i="50" s="1"/>
  <c r="R27" i="30"/>
  <c r="R20" i="30"/>
  <c r="R30" i="30" s="1"/>
  <c r="Q25" i="27"/>
  <c r="Q27" i="27" s="1"/>
  <c r="Q26" i="27" s="1"/>
  <c r="Q28" i="27" s="1"/>
  <c r="Q35" i="27" s="1"/>
  <c r="Q33" i="27"/>
  <c r="Q34" i="27" s="1"/>
  <c r="R7" i="49"/>
  <c r="R8" i="49" s="1"/>
  <c r="S7" i="49"/>
  <c r="S8" i="49" s="1"/>
  <c r="Q8" i="49"/>
  <c r="R30" i="52"/>
  <c r="R23" i="52"/>
  <c r="R33" i="52" s="1"/>
  <c r="M32" i="50"/>
  <c r="R13" i="27"/>
  <c r="R17" i="27" s="1"/>
  <c r="R31" i="27" s="1"/>
  <c r="R11" i="27"/>
  <c r="R7" i="29"/>
  <c r="R9" i="29"/>
  <c r="R13" i="29" s="1"/>
  <c r="R27" i="29" s="1"/>
  <c r="Q26" i="29"/>
  <c r="Q19" i="29"/>
  <c r="Q29" i="29" s="1"/>
  <c r="Q30" i="52"/>
  <c r="Q34" i="52" s="1"/>
  <c r="Q25" i="52"/>
  <c r="Q27" i="52" s="1"/>
  <c r="Q9" i="9"/>
  <c r="Q10" i="9" s="1"/>
  <c r="R9" i="9"/>
  <c r="Q21" i="49" l="1"/>
  <c r="Q31" i="49" s="1"/>
  <c r="T8" i="49"/>
  <c r="T10" i="49" s="1"/>
  <c r="T14" i="49" s="1"/>
  <c r="N25" i="50"/>
  <c r="N27" i="50" s="1"/>
  <c r="N26" i="50" s="1"/>
  <c r="N28" i="50" s="1"/>
  <c r="N35" i="50" s="1"/>
  <c r="N36" i="50" s="1"/>
  <c r="N38" i="50" s="1"/>
  <c r="S31" i="26"/>
  <c r="T31" i="26"/>
  <c r="Q28" i="49"/>
  <c r="Q10" i="49"/>
  <c r="Q14" i="49" s="1"/>
  <c r="Q29" i="49" s="1"/>
  <c r="S22" i="26"/>
  <c r="S24" i="26" s="1"/>
  <c r="S23" i="26" s="1"/>
  <c r="S25" i="26" s="1"/>
  <c r="S32" i="26" s="1"/>
  <c r="S33" i="26" s="1"/>
  <c r="M30" i="50"/>
  <c r="M23" i="50"/>
  <c r="M33" i="50" s="1"/>
  <c r="R30" i="27"/>
  <c r="R23" i="27"/>
  <c r="R33" i="27" s="1"/>
  <c r="R10" i="49"/>
  <c r="R14" i="49" s="1"/>
  <c r="R29" i="49" s="1"/>
  <c r="R28" i="49"/>
  <c r="R21" i="49"/>
  <c r="R31" i="49" s="1"/>
  <c r="Q36" i="27"/>
  <c r="E206" i="58" s="1"/>
  <c r="F206" i="58" s="1"/>
  <c r="T22" i="26"/>
  <c r="T24" i="26" s="1"/>
  <c r="T23" i="26" s="1"/>
  <c r="T25" i="26" s="1"/>
  <c r="T32" i="26" s="1"/>
  <c r="T33" i="26" s="1"/>
  <c r="R25" i="52"/>
  <c r="R27" i="52" s="1"/>
  <c r="R26" i="52" s="1"/>
  <c r="R28" i="52" s="1"/>
  <c r="R35" i="52" s="1"/>
  <c r="R34" i="52"/>
  <c r="S10" i="49"/>
  <c r="S14" i="49" s="1"/>
  <c r="S28" i="49"/>
  <c r="S21" i="49"/>
  <c r="S31" i="49" s="1"/>
  <c r="Q30" i="29"/>
  <c r="Q21" i="29"/>
  <c r="Q23" i="29" s="1"/>
  <c r="Q22" i="29" s="1"/>
  <c r="Q24" i="29" s="1"/>
  <c r="Q31" i="29" s="1"/>
  <c r="R26" i="29"/>
  <c r="R19" i="29"/>
  <c r="R29" i="29" s="1"/>
  <c r="R30" i="29" s="1"/>
  <c r="Q26" i="52"/>
  <c r="Q28" i="52" s="1"/>
  <c r="Q35" i="52" s="1"/>
  <c r="Q36" i="52" s="1"/>
  <c r="Q13" i="9"/>
  <c r="Q17" i="9" s="1"/>
  <c r="Q31" i="9" s="1"/>
  <c r="Q30" i="9"/>
  <c r="Q23" i="9"/>
  <c r="Q33" i="9" s="1"/>
  <c r="R13" i="9"/>
  <c r="R17" i="9" s="1"/>
  <c r="R31" i="9" s="1"/>
  <c r="R10" i="9"/>
  <c r="R41" i="59"/>
  <c r="R32" i="59"/>
  <c r="R49" i="59" s="1"/>
  <c r="R13" i="59"/>
  <c r="P14" i="9"/>
  <c r="T29" i="49" l="1"/>
  <c r="T32" i="49" s="1"/>
  <c r="T23" i="49"/>
  <c r="T25" i="49" s="1"/>
  <c r="T24" i="49" s="1"/>
  <c r="T26" i="49" s="1"/>
  <c r="T33" i="49" s="1"/>
  <c r="M34" i="50"/>
  <c r="M25" i="50"/>
  <c r="M27" i="50" s="1"/>
  <c r="M26" i="50" s="1"/>
  <c r="M28" i="50" s="1"/>
  <c r="M35" i="50" s="1"/>
  <c r="M36" i="50" s="1"/>
  <c r="M38" i="50" s="1"/>
  <c r="Q38" i="27"/>
  <c r="R25" i="27"/>
  <c r="R27" i="27" s="1"/>
  <c r="R26" i="27" s="1"/>
  <c r="R28" i="27" s="1"/>
  <c r="R35" i="27" s="1"/>
  <c r="R36" i="52"/>
  <c r="E216" i="58" s="1"/>
  <c r="F216" i="58" s="1"/>
  <c r="S23" i="49"/>
  <c r="S25" i="49" s="1"/>
  <c r="S24" i="49" s="1"/>
  <c r="S26" i="49" s="1"/>
  <c r="S33" i="49" s="1"/>
  <c r="E209" i="58"/>
  <c r="F209" i="58" s="1"/>
  <c r="S35" i="26"/>
  <c r="E232" i="58"/>
  <c r="F232" i="58" s="1"/>
  <c r="E220" i="58"/>
  <c r="F220" i="58" s="1"/>
  <c r="T35" i="26"/>
  <c r="R34" i="27"/>
  <c r="S29" i="49"/>
  <c r="S32" i="49" s="1"/>
  <c r="Q38" i="52"/>
  <c r="E205" i="58"/>
  <c r="F205" i="58" s="1"/>
  <c r="R21" i="29"/>
  <c r="Q32" i="29"/>
  <c r="R23" i="9"/>
  <c r="R33" i="9" s="1"/>
  <c r="R30" i="9"/>
  <c r="R46" i="59"/>
  <c r="R17" i="59"/>
  <c r="R18" i="59" s="1"/>
  <c r="R47" i="59" s="1"/>
  <c r="R42" i="59"/>
  <c r="R43" i="59" s="1"/>
  <c r="R50" i="59" s="1"/>
  <c r="R22" i="59"/>
  <c r="R23" i="59" s="1"/>
  <c r="R48" i="59" s="1"/>
  <c r="E133" i="65"/>
  <c r="G133" i="65" s="1"/>
  <c r="E132" i="65"/>
  <c r="G132" i="65" s="1"/>
  <c r="E131" i="65"/>
  <c r="G131" i="65" s="1"/>
  <c r="E130" i="65"/>
  <c r="G130" i="65" s="1"/>
  <c r="E129" i="65"/>
  <c r="G129" i="65" s="1"/>
  <c r="E128" i="65"/>
  <c r="G128" i="65" s="1"/>
  <c r="E127" i="65"/>
  <c r="G127" i="65" s="1"/>
  <c r="F155" i="65"/>
  <c r="C146" i="65" s="1"/>
  <c r="F154" i="65"/>
  <c r="C145" i="65" s="1"/>
  <c r="F153" i="65"/>
  <c r="C144" i="65" s="1"/>
  <c r="F152" i="65"/>
  <c r="C143" i="65" s="1"/>
  <c r="F151" i="65"/>
  <c r="C142" i="65" s="1"/>
  <c r="F150" i="65"/>
  <c r="C141" i="65" s="1"/>
  <c r="F149" i="65"/>
  <c r="C140" i="65" s="1"/>
  <c r="E146" i="65"/>
  <c r="E145" i="65"/>
  <c r="E144" i="65"/>
  <c r="E143" i="65"/>
  <c r="E142" i="65"/>
  <c r="Q11" i="26"/>
  <c r="Q7" i="26"/>
  <c r="Q10" i="26" s="1"/>
  <c r="Q14" i="26" s="1"/>
  <c r="Q28" i="26" s="1"/>
  <c r="T34" i="49" l="1"/>
  <c r="T36" i="49" s="1"/>
  <c r="R36" i="27"/>
  <c r="E228" i="58"/>
  <c r="F228" i="58" s="1"/>
  <c r="R38" i="52"/>
  <c r="E217" i="58"/>
  <c r="F217" i="58" s="1"/>
  <c r="E229" i="58"/>
  <c r="F229" i="58" s="1"/>
  <c r="R38" i="27"/>
  <c r="S34" i="49"/>
  <c r="Q34" i="29"/>
  <c r="E207" i="58"/>
  <c r="F207" i="58" s="1"/>
  <c r="F142" i="65"/>
  <c r="R23" i="29"/>
  <c r="R22" i="29" s="1"/>
  <c r="R24" i="29" s="1"/>
  <c r="R31" i="29" s="1"/>
  <c r="R32" i="29" s="1"/>
  <c r="R51" i="59"/>
  <c r="F146" i="65"/>
  <c r="F144" i="65"/>
  <c r="F145" i="65"/>
  <c r="F143" i="65"/>
  <c r="Q8" i="26"/>
  <c r="F226" i="58" l="1"/>
  <c r="S36" i="49"/>
  <c r="E230" i="58"/>
  <c r="F230" i="58" s="1"/>
  <c r="E218" i="58"/>
  <c r="F218" i="58" s="1"/>
  <c r="R34" i="29"/>
  <c r="Q20" i="26"/>
  <c r="Q30" i="26" s="1"/>
  <c r="Q27" i="26"/>
  <c r="R11" i="26" l="1"/>
  <c r="R7" i="26"/>
  <c r="R8" i="26" s="1"/>
  <c r="P11" i="26"/>
  <c r="P7" i="26"/>
  <c r="P10" i="26" s="1"/>
  <c r="O11" i="26"/>
  <c r="O7" i="26"/>
  <c r="Q11" i="30"/>
  <c r="Q7" i="30"/>
  <c r="S7" i="30" s="1"/>
  <c r="P16" i="30"/>
  <c r="P17" i="30" s="1"/>
  <c r="P29" i="30" s="1"/>
  <c r="P11" i="30"/>
  <c r="P7" i="30"/>
  <c r="P8" i="30" s="1"/>
  <c r="O17" i="30"/>
  <c r="O29" i="30" s="1"/>
  <c r="O16" i="30"/>
  <c r="O11" i="30"/>
  <c r="O7" i="30"/>
  <c r="D158" i="58" s="1"/>
  <c r="P16" i="29"/>
  <c r="P28" i="29" s="1"/>
  <c r="P10" i="29"/>
  <c r="P6" i="29"/>
  <c r="P9" i="29" s="1"/>
  <c r="O16" i="29"/>
  <c r="O28" i="29" s="1"/>
  <c r="O10" i="29"/>
  <c r="O6" i="29"/>
  <c r="O7" i="29" s="1"/>
  <c r="N16" i="29"/>
  <c r="N28" i="29" s="1"/>
  <c r="N10" i="29"/>
  <c r="N6" i="29"/>
  <c r="P20" i="27"/>
  <c r="P32" i="27" s="1"/>
  <c r="P14" i="27"/>
  <c r="P7" i="27"/>
  <c r="P13" i="27" s="1"/>
  <c r="P17" i="27" s="1"/>
  <c r="P31" i="27" s="1"/>
  <c r="O20" i="27"/>
  <c r="O32" i="27" s="1"/>
  <c r="O14" i="27"/>
  <c r="O7" i="27"/>
  <c r="O13" i="27" s="1"/>
  <c r="N20" i="27"/>
  <c r="N32" i="27" s="1"/>
  <c r="N14" i="27"/>
  <c r="N7" i="27"/>
  <c r="N11" i="27" s="1"/>
  <c r="N30" i="27" s="1"/>
  <c r="P20" i="52"/>
  <c r="P32" i="52" s="1"/>
  <c r="P14" i="52"/>
  <c r="P7" i="52"/>
  <c r="P11" i="52" s="1"/>
  <c r="O20" i="52"/>
  <c r="O32" i="52" s="1"/>
  <c r="O14" i="52"/>
  <c r="O7" i="52"/>
  <c r="O13" i="52" s="1"/>
  <c r="O17" i="52" s="1"/>
  <c r="O31" i="52" s="1"/>
  <c r="N20" i="52"/>
  <c r="N32" i="52" s="1"/>
  <c r="N14" i="52"/>
  <c r="N7" i="52"/>
  <c r="P11" i="49"/>
  <c r="P7" i="49"/>
  <c r="P8" i="49" s="1"/>
  <c r="O11" i="49"/>
  <c r="O7" i="49"/>
  <c r="N11" i="49"/>
  <c r="N7" i="49"/>
  <c r="N8" i="49" s="1"/>
  <c r="P9" i="9"/>
  <c r="P13" i="9" s="1"/>
  <c r="P17" i="9" s="1"/>
  <c r="P31" i="9" s="1"/>
  <c r="O14" i="9"/>
  <c r="O9" i="9"/>
  <c r="O13" i="9" s="1"/>
  <c r="N14" i="9"/>
  <c r="N9" i="9"/>
  <c r="M41" i="59"/>
  <c r="M32" i="59"/>
  <c r="M49" i="59" s="1"/>
  <c r="M11" i="59"/>
  <c r="M13" i="59" s="1"/>
  <c r="E71" i="65"/>
  <c r="G71" i="65" s="1"/>
  <c r="E70" i="65"/>
  <c r="G70" i="65" s="1"/>
  <c r="E69" i="65"/>
  <c r="G69" i="65" s="1"/>
  <c r="E68" i="65"/>
  <c r="G68" i="65" s="1"/>
  <c r="E67" i="65"/>
  <c r="G67" i="65" s="1"/>
  <c r="E66" i="65"/>
  <c r="G66" i="65" s="1"/>
  <c r="E65" i="65"/>
  <c r="G65" i="65" s="1"/>
  <c r="C61" i="63"/>
  <c r="C44" i="63" s="1"/>
  <c r="H43" i="63"/>
  <c r="H44" i="63" s="1"/>
  <c r="I54" i="63"/>
  <c r="I55" i="63" s="1"/>
  <c r="C55" i="63"/>
  <c r="C62" i="63"/>
  <c r="C45" i="63" s="1"/>
  <c r="E54" i="65"/>
  <c r="G54" i="65" s="1"/>
  <c r="E55" i="65"/>
  <c r="G55" i="65" s="1"/>
  <c r="E56" i="65"/>
  <c r="G56" i="65" s="1"/>
  <c r="E57" i="65"/>
  <c r="G57" i="65" s="1"/>
  <c r="E58" i="65"/>
  <c r="G58" i="65" s="1"/>
  <c r="E59" i="65"/>
  <c r="G59" i="65" s="1"/>
  <c r="E60" i="65"/>
  <c r="G60" i="65" s="1"/>
  <c r="E40" i="65"/>
  <c r="G40" i="65" s="1"/>
  <c r="F91" i="65"/>
  <c r="C82" i="65" s="1"/>
  <c r="F92" i="65"/>
  <c r="C83" i="65" s="1"/>
  <c r="F93" i="65"/>
  <c r="C84" i="65" s="1"/>
  <c r="F94" i="65"/>
  <c r="C85" i="65" s="1"/>
  <c r="F95" i="65"/>
  <c r="C86" i="65" s="1"/>
  <c r="F96" i="65"/>
  <c r="C87" i="65" s="1"/>
  <c r="F90" i="65"/>
  <c r="C81" i="65" s="1"/>
  <c r="F27" i="65"/>
  <c r="E87" i="65"/>
  <c r="E86" i="65"/>
  <c r="E85" i="65"/>
  <c r="E84" i="65"/>
  <c r="E83" i="65"/>
  <c r="E82" i="65"/>
  <c r="E81" i="65"/>
  <c r="X137" i="58"/>
  <c r="D138" i="58"/>
  <c r="F138" i="58" s="1"/>
  <c r="E16" i="58"/>
  <c r="F9" i="58"/>
  <c r="G9" i="58" s="1"/>
  <c r="F15" i="58"/>
  <c r="G15" i="58" s="1"/>
  <c r="C9" i="58"/>
  <c r="C147" i="58"/>
  <c r="C132" i="58"/>
  <c r="M9" i="9"/>
  <c r="L9" i="9"/>
  <c r="H11" i="59"/>
  <c r="H13" i="59" s="1"/>
  <c r="H22" i="59" s="1"/>
  <c r="H23" i="59" s="1"/>
  <c r="H48" i="59" s="1"/>
  <c r="H41" i="59"/>
  <c r="H32" i="59"/>
  <c r="H49" i="59" s="1"/>
  <c r="N11" i="26"/>
  <c r="N7" i="26"/>
  <c r="M11" i="26"/>
  <c r="M7" i="26"/>
  <c r="M10" i="26" s="1"/>
  <c r="M14" i="26" s="1"/>
  <c r="M28" i="26" s="1"/>
  <c r="L11" i="26"/>
  <c r="K11" i="26"/>
  <c r="L7" i="26"/>
  <c r="L10" i="26" s="1"/>
  <c r="L17" i="30"/>
  <c r="L29" i="30" s="1"/>
  <c r="L11" i="30"/>
  <c r="L7" i="30"/>
  <c r="L10" i="30" s="1"/>
  <c r="N11" i="30"/>
  <c r="N7" i="30"/>
  <c r="I11" i="30"/>
  <c r="I14" i="30" s="1"/>
  <c r="M11" i="30"/>
  <c r="M7" i="30"/>
  <c r="M10" i="30" s="1"/>
  <c r="M17" i="30"/>
  <c r="M29" i="30" s="1"/>
  <c r="K7" i="30"/>
  <c r="I7" i="30"/>
  <c r="K6" i="29"/>
  <c r="K9" i="29" s="1"/>
  <c r="K13" i="29" s="1"/>
  <c r="J6" i="29"/>
  <c r="J7" i="29" s="1"/>
  <c r="M16" i="29"/>
  <c r="M28" i="29" s="1"/>
  <c r="M10" i="29"/>
  <c r="M6" i="29"/>
  <c r="L10" i="29"/>
  <c r="L6" i="29"/>
  <c r="M20" i="52"/>
  <c r="L20" i="52"/>
  <c r="M14" i="27"/>
  <c r="L14" i="27"/>
  <c r="M20" i="27"/>
  <c r="M32" i="27" s="1"/>
  <c r="M7" i="27"/>
  <c r="L20" i="27"/>
  <c r="L7" i="27"/>
  <c r="M32" i="52"/>
  <c r="M14" i="52"/>
  <c r="M7" i="52"/>
  <c r="M13" i="52" s="1"/>
  <c r="M17" i="52" s="1"/>
  <c r="L14" i="9"/>
  <c r="M11" i="49"/>
  <c r="M7" i="49"/>
  <c r="D101" i="58" s="1"/>
  <c r="L14" i="52"/>
  <c r="L7" i="52"/>
  <c r="K8" i="50"/>
  <c r="K12" i="50" s="1"/>
  <c r="K13" i="50"/>
  <c r="K18" i="50"/>
  <c r="K19" i="50"/>
  <c r="L11" i="49"/>
  <c r="L7" i="49"/>
  <c r="J13" i="50"/>
  <c r="L8" i="30"/>
  <c r="M13" i="27"/>
  <c r="M17" i="27" s="1"/>
  <c r="M31" i="27" s="1"/>
  <c r="L27" i="30"/>
  <c r="L20" i="30"/>
  <c r="L30" i="30" s="1"/>
  <c r="M14" i="9"/>
  <c r="K105" i="65"/>
  <c r="L13" i="9"/>
  <c r="F117" i="65"/>
  <c r="C108" i="65" s="1"/>
  <c r="F116" i="65"/>
  <c r="C107" i="65" s="1"/>
  <c r="F115" i="65"/>
  <c r="C106" i="65" s="1"/>
  <c r="F114" i="65"/>
  <c r="C105" i="65" s="1"/>
  <c r="F113" i="65"/>
  <c r="C104" i="65" s="1"/>
  <c r="F112" i="65"/>
  <c r="C103" i="65" s="1"/>
  <c r="F111" i="65"/>
  <c r="C102" i="65" s="1"/>
  <c r="E46" i="65"/>
  <c r="G46" i="65" s="1"/>
  <c r="E45" i="65"/>
  <c r="G45" i="65" s="1"/>
  <c r="E44" i="65"/>
  <c r="G44" i="65" s="1"/>
  <c r="E43" i="65"/>
  <c r="G43" i="65" s="1"/>
  <c r="E42" i="65"/>
  <c r="G42" i="65" s="1"/>
  <c r="E41" i="65"/>
  <c r="G41" i="65" s="1"/>
  <c r="J13" i="9"/>
  <c r="L16" i="29"/>
  <c r="L28" i="29" s="1"/>
  <c r="M10" i="9"/>
  <c r="M23" i="9" s="1"/>
  <c r="M33" i="9" s="1"/>
  <c r="L7" i="29"/>
  <c r="L19" i="29" s="1"/>
  <c r="L29" i="29" s="1"/>
  <c r="C95" i="58"/>
  <c r="K7" i="27"/>
  <c r="K13" i="27" s="1"/>
  <c r="L32" i="27"/>
  <c r="L10" i="9"/>
  <c r="L30" i="9" s="1"/>
  <c r="B140" i="65" s="1"/>
  <c r="E140" i="65" s="1"/>
  <c r="F140" i="65" s="1"/>
  <c r="L8" i="26"/>
  <c r="L32" i="52"/>
  <c r="J17" i="28"/>
  <c r="H12" i="28"/>
  <c r="H8" i="28"/>
  <c r="H11" i="28" s="1"/>
  <c r="G12" i="28"/>
  <c r="G8" i="28"/>
  <c r="G11" i="28" s="1"/>
  <c r="F12" i="28"/>
  <c r="F8" i="28"/>
  <c r="F11" i="28" s="1"/>
  <c r="F15" i="28" s="1"/>
  <c r="F29" i="28" s="1"/>
  <c r="E12" i="28"/>
  <c r="E8" i="28"/>
  <c r="E9" i="28" s="1"/>
  <c r="D12" i="28"/>
  <c r="D8" i="28"/>
  <c r="D9" i="28" s="1"/>
  <c r="H17" i="28"/>
  <c r="H18" i="28" s="1"/>
  <c r="G17" i="28"/>
  <c r="G18" i="28" s="1"/>
  <c r="G30" i="28" s="1"/>
  <c r="F17" i="28"/>
  <c r="E17" i="28"/>
  <c r="E18" i="28" s="1"/>
  <c r="E30" i="28" s="1"/>
  <c r="D17" i="28"/>
  <c r="D18" i="28" s="1"/>
  <c r="D30" i="28" s="1"/>
  <c r="C17" i="28"/>
  <c r="C18" i="28" s="1"/>
  <c r="C30" i="28" s="1"/>
  <c r="C11" i="28"/>
  <c r="C15" i="28" s="1"/>
  <c r="C29" i="28" s="1"/>
  <c r="C12" i="28"/>
  <c r="G9" i="28"/>
  <c r="G21" i="28" s="1"/>
  <c r="G31" i="28" s="1"/>
  <c r="H9" i="28"/>
  <c r="H21" i="28" s="1"/>
  <c r="F18" i="28"/>
  <c r="F30" i="28"/>
  <c r="H16" i="26"/>
  <c r="H17" i="26" s="1"/>
  <c r="H29" i="26" s="1"/>
  <c r="H11" i="26"/>
  <c r="H7" i="26"/>
  <c r="H8" i="26" s="1"/>
  <c r="G16" i="26"/>
  <c r="G17" i="26" s="1"/>
  <c r="G29" i="26" s="1"/>
  <c r="G11" i="26"/>
  <c r="G7" i="26"/>
  <c r="F16" i="26"/>
  <c r="F17" i="26" s="1"/>
  <c r="F29" i="26" s="1"/>
  <c r="F11" i="26"/>
  <c r="F7" i="26"/>
  <c r="F8" i="26" s="1"/>
  <c r="D16" i="26"/>
  <c r="D17" i="26" s="1"/>
  <c r="D29" i="26" s="1"/>
  <c r="E16" i="26"/>
  <c r="E17" i="26" s="1"/>
  <c r="E29" i="26" s="1"/>
  <c r="E11" i="26"/>
  <c r="D11" i="26"/>
  <c r="E7" i="26"/>
  <c r="E8" i="26" s="1"/>
  <c r="E27" i="26" s="1"/>
  <c r="D7" i="26"/>
  <c r="D10" i="26" s="1"/>
  <c r="C16" i="26"/>
  <c r="C17" i="26" s="1"/>
  <c r="C29" i="26" s="1"/>
  <c r="C8" i="26"/>
  <c r="C27" i="26" s="1"/>
  <c r="C10" i="26"/>
  <c r="C11" i="26"/>
  <c r="H16" i="30"/>
  <c r="H17" i="30" s="1"/>
  <c r="H29" i="30" s="1"/>
  <c r="H11" i="30"/>
  <c r="H7" i="30"/>
  <c r="H8" i="30" s="1"/>
  <c r="G16" i="30"/>
  <c r="G17" i="30" s="1"/>
  <c r="G29" i="30" s="1"/>
  <c r="G11" i="30"/>
  <c r="G7" i="30"/>
  <c r="G8" i="30" s="1"/>
  <c r="F11" i="30"/>
  <c r="F7" i="30"/>
  <c r="F8" i="30" s="1"/>
  <c r="E11" i="30"/>
  <c r="E7" i="30"/>
  <c r="E10" i="30" s="1"/>
  <c r="F16" i="30"/>
  <c r="F17" i="30" s="1"/>
  <c r="F29" i="30" s="1"/>
  <c r="E16" i="30"/>
  <c r="E17" i="30" s="1"/>
  <c r="E29" i="30" s="1"/>
  <c r="D16" i="30"/>
  <c r="D17" i="30" s="1"/>
  <c r="D29" i="30" s="1"/>
  <c r="D11" i="30"/>
  <c r="D7" i="30"/>
  <c r="D8" i="30" s="1"/>
  <c r="C10" i="30"/>
  <c r="C16" i="30"/>
  <c r="C17" i="30" s="1"/>
  <c r="C29" i="30" s="1"/>
  <c r="C11" i="30"/>
  <c r="C8" i="30"/>
  <c r="C27" i="30" s="1"/>
  <c r="I17" i="30"/>
  <c r="I29" i="30" s="1"/>
  <c r="I8" i="30"/>
  <c r="J15" i="29"/>
  <c r="J16" i="29" s="1"/>
  <c r="J28" i="29" s="1"/>
  <c r="G10" i="30"/>
  <c r="G14" i="30" s="1"/>
  <c r="G28" i="30" s="1"/>
  <c r="D10" i="30"/>
  <c r="C20" i="30"/>
  <c r="C30" i="30" s="1"/>
  <c r="H10" i="30"/>
  <c r="H31" i="28"/>
  <c r="H28" i="28"/>
  <c r="C9" i="28"/>
  <c r="C21" i="28" s="1"/>
  <c r="C31" i="28" s="1"/>
  <c r="G8" i="26"/>
  <c r="G27" i="26" s="1"/>
  <c r="G10" i="26"/>
  <c r="I20" i="30"/>
  <c r="I30" i="30" s="1"/>
  <c r="I27" i="30"/>
  <c r="H15" i="29"/>
  <c r="H16" i="29" s="1"/>
  <c r="H28" i="29" s="1"/>
  <c r="H10" i="29"/>
  <c r="H6" i="29"/>
  <c r="H7" i="29" s="1"/>
  <c r="H26" i="29" s="1"/>
  <c r="G15" i="29"/>
  <c r="G16" i="29" s="1"/>
  <c r="G28" i="29" s="1"/>
  <c r="G10" i="29"/>
  <c r="G6" i="29"/>
  <c r="G7" i="29" s="1"/>
  <c r="G26" i="29" s="1"/>
  <c r="F15" i="29"/>
  <c r="F16" i="29" s="1"/>
  <c r="F28" i="29" s="1"/>
  <c r="F10" i="29"/>
  <c r="F6" i="29"/>
  <c r="F7" i="29" s="1"/>
  <c r="E15" i="29"/>
  <c r="E16" i="29" s="1"/>
  <c r="E28" i="29" s="1"/>
  <c r="E10" i="29"/>
  <c r="E6" i="29"/>
  <c r="E9" i="29" s="1"/>
  <c r="E13" i="29" s="1"/>
  <c r="D15" i="29"/>
  <c r="D16" i="29" s="1"/>
  <c r="D28" i="29" s="1"/>
  <c r="D10" i="29"/>
  <c r="D6" i="29"/>
  <c r="C15" i="29"/>
  <c r="C16" i="29" s="1"/>
  <c r="C9" i="29"/>
  <c r="C10" i="29"/>
  <c r="C7" i="29"/>
  <c r="C19" i="29"/>
  <c r="C29" i="29" s="1"/>
  <c r="H14" i="27"/>
  <c r="H7" i="27"/>
  <c r="H11" i="27" s="1"/>
  <c r="E19" i="9"/>
  <c r="F19" i="9"/>
  <c r="G19" i="9"/>
  <c r="H19" i="9"/>
  <c r="G14" i="27"/>
  <c r="G7" i="27"/>
  <c r="G11" i="27" s="1"/>
  <c r="F14" i="27"/>
  <c r="F7" i="27"/>
  <c r="F11" i="27" s="1"/>
  <c r="E14" i="27"/>
  <c r="E7" i="27"/>
  <c r="E11" i="27" s="1"/>
  <c r="D14" i="27"/>
  <c r="D7" i="27"/>
  <c r="D11" i="27" s="1"/>
  <c r="C14" i="27"/>
  <c r="C13" i="27"/>
  <c r="C17" i="27" s="1"/>
  <c r="C31" i="27" s="1"/>
  <c r="C20" i="27"/>
  <c r="C32" i="27" s="1"/>
  <c r="D20" i="27"/>
  <c r="D32" i="27" s="1"/>
  <c r="E20" i="27"/>
  <c r="E32" i="27" s="1"/>
  <c r="F20" i="27"/>
  <c r="F32" i="27" s="1"/>
  <c r="G20" i="27"/>
  <c r="G32" i="27" s="1"/>
  <c r="H20" i="27"/>
  <c r="H32" i="27" s="1"/>
  <c r="H19" i="52"/>
  <c r="H20" i="52" s="1"/>
  <c r="H32" i="52" s="1"/>
  <c r="H14" i="52"/>
  <c r="H7" i="52"/>
  <c r="H11" i="52" s="1"/>
  <c r="G14" i="52"/>
  <c r="G7" i="52"/>
  <c r="G11" i="52" s="1"/>
  <c r="F14" i="52"/>
  <c r="F7" i="52"/>
  <c r="F11" i="52" s="1"/>
  <c r="E14" i="52"/>
  <c r="E7" i="52"/>
  <c r="E11" i="52" s="1"/>
  <c r="D14" i="52"/>
  <c r="D7" i="52"/>
  <c r="D13" i="52" s="1"/>
  <c r="F20" i="52"/>
  <c r="F32" i="52" s="1"/>
  <c r="G20" i="52"/>
  <c r="G32" i="52" s="1"/>
  <c r="D20" i="52"/>
  <c r="D32" i="52" s="1"/>
  <c r="E20" i="52"/>
  <c r="E32" i="52" s="1"/>
  <c r="G19" i="50"/>
  <c r="G20" i="50" s="1"/>
  <c r="G32" i="50" s="1"/>
  <c r="G13" i="50"/>
  <c r="G8" i="50"/>
  <c r="G9" i="50" s="1"/>
  <c r="G10" i="50" s="1"/>
  <c r="F19" i="50"/>
  <c r="F20" i="50" s="1"/>
  <c r="F32" i="50" s="1"/>
  <c r="F13" i="50"/>
  <c r="F8" i="50"/>
  <c r="F9" i="50" s="1"/>
  <c r="F10" i="50" s="1"/>
  <c r="E19" i="50"/>
  <c r="E20" i="50" s="1"/>
  <c r="E32" i="50" s="1"/>
  <c r="E13" i="50"/>
  <c r="E8" i="50"/>
  <c r="E9" i="50" s="1"/>
  <c r="D19" i="50"/>
  <c r="D20" i="50" s="1"/>
  <c r="D32" i="50" s="1"/>
  <c r="D13" i="50"/>
  <c r="D8" i="50"/>
  <c r="D12" i="50" s="1"/>
  <c r="D16" i="50" s="1"/>
  <c r="D31" i="50" s="1"/>
  <c r="C19" i="50"/>
  <c r="C20" i="50" s="1"/>
  <c r="C13" i="50"/>
  <c r="C12" i="50"/>
  <c r="C9" i="50"/>
  <c r="C10" i="50"/>
  <c r="C23" i="50" s="1"/>
  <c r="C33" i="50" s="1"/>
  <c r="H16" i="49"/>
  <c r="H18" i="49" s="1"/>
  <c r="H30" i="49" s="1"/>
  <c r="H17" i="49"/>
  <c r="H11" i="49"/>
  <c r="H7" i="49"/>
  <c r="H8" i="49" s="1"/>
  <c r="G16" i="49"/>
  <c r="G17" i="49"/>
  <c r="G11" i="49"/>
  <c r="G7" i="49"/>
  <c r="G10" i="49" s="1"/>
  <c r="F16" i="49"/>
  <c r="F18" i="49" s="1"/>
  <c r="F30" i="49" s="1"/>
  <c r="F17" i="49"/>
  <c r="F11" i="49"/>
  <c r="F7" i="49"/>
  <c r="F8" i="49" s="1"/>
  <c r="E16" i="49"/>
  <c r="E17" i="49"/>
  <c r="E11" i="49"/>
  <c r="E7" i="49"/>
  <c r="E8" i="49" s="1"/>
  <c r="D16" i="49"/>
  <c r="D18" i="49" s="1"/>
  <c r="D30" i="49" s="1"/>
  <c r="D17" i="49"/>
  <c r="D11" i="49"/>
  <c r="D7" i="49"/>
  <c r="D10" i="49" s="1"/>
  <c r="C17" i="49"/>
  <c r="C16" i="49"/>
  <c r="C11" i="49"/>
  <c r="C10" i="49"/>
  <c r="C8" i="49"/>
  <c r="C28" i="49" s="1"/>
  <c r="G9" i="29"/>
  <c r="G13" i="29" s="1"/>
  <c r="H13" i="27"/>
  <c r="H17" i="27" s="1"/>
  <c r="H31" i="27" s="1"/>
  <c r="F13" i="27"/>
  <c r="F17" i="27" s="1"/>
  <c r="F31" i="27" s="1"/>
  <c r="D13" i="27"/>
  <c r="D17" i="27" s="1"/>
  <c r="D31" i="27" s="1"/>
  <c r="E13" i="52"/>
  <c r="E17" i="52" s="1"/>
  <c r="H10" i="49"/>
  <c r="F10" i="49"/>
  <c r="D11" i="52"/>
  <c r="D30" i="52" s="1"/>
  <c r="H13" i="52"/>
  <c r="E12" i="50"/>
  <c r="E16" i="50" s="1"/>
  <c r="E31" i="50" s="1"/>
  <c r="D7" i="29"/>
  <c r="D26" i="29" s="1"/>
  <c r="C26" i="29"/>
  <c r="C11" i="27"/>
  <c r="C23" i="27" s="1"/>
  <c r="C33" i="27" s="1"/>
  <c r="C16" i="50"/>
  <c r="C31" i="50" s="1"/>
  <c r="H14" i="9"/>
  <c r="H32" i="9"/>
  <c r="H9" i="9"/>
  <c r="H13" i="9" s="1"/>
  <c r="H17" i="9" s="1"/>
  <c r="H31" i="9" s="1"/>
  <c r="D19" i="9"/>
  <c r="G14" i="9"/>
  <c r="G9" i="9"/>
  <c r="G13" i="9" s="1"/>
  <c r="F14" i="9"/>
  <c r="F9" i="9"/>
  <c r="D32" i="9"/>
  <c r="E32" i="9"/>
  <c r="F32" i="9"/>
  <c r="G32" i="9"/>
  <c r="E14" i="9"/>
  <c r="E9" i="9"/>
  <c r="E10" i="9" s="1"/>
  <c r="E30" i="9" s="1"/>
  <c r="D14" i="9"/>
  <c r="D9" i="9"/>
  <c r="D13" i="9" s="1"/>
  <c r="K13" i="9"/>
  <c r="C32" i="9"/>
  <c r="C13" i="9"/>
  <c r="C13" i="52"/>
  <c r="C14" i="9"/>
  <c r="C10" i="9"/>
  <c r="C30" i="9" s="1"/>
  <c r="J10" i="9"/>
  <c r="J30" i="9" s="1"/>
  <c r="J20" i="9"/>
  <c r="J32" i="9" s="1"/>
  <c r="C32" i="52"/>
  <c r="C11" i="52"/>
  <c r="C23" i="52" s="1"/>
  <c r="C33" i="52" s="1"/>
  <c r="C14" i="52"/>
  <c r="D4" i="53"/>
  <c r="D53" i="53"/>
  <c r="D52" i="53"/>
  <c r="D51" i="53"/>
  <c r="D50" i="53"/>
  <c r="D49" i="53"/>
  <c r="D48" i="53"/>
  <c r="K10" i="26"/>
  <c r="K65" i="58"/>
  <c r="K49" i="58"/>
  <c r="M22" i="53"/>
  <c r="M23" i="53" s="1"/>
  <c r="E7" i="56"/>
  <c r="F7" i="56" s="1"/>
  <c r="E6" i="56"/>
  <c r="F6" i="56" s="1"/>
  <c r="I10" i="50"/>
  <c r="I30" i="50" s="1"/>
  <c r="I16" i="50"/>
  <c r="I31" i="50" s="1"/>
  <c r="I23" i="50"/>
  <c r="I33" i="50" s="1"/>
  <c r="K17" i="28"/>
  <c r="K18" i="28" s="1"/>
  <c r="K30" i="28" s="1"/>
  <c r="K11" i="28"/>
  <c r="K16" i="26"/>
  <c r="L16" i="26" s="1"/>
  <c r="K7" i="52"/>
  <c r="K13" i="52" s="1"/>
  <c r="K16" i="49"/>
  <c r="K18" i="49" s="1"/>
  <c r="K30" i="49" s="1"/>
  <c r="K10" i="9"/>
  <c r="K23" i="9" s="1"/>
  <c r="K33" i="9" s="1"/>
  <c r="K9" i="28"/>
  <c r="K21" i="28" s="1"/>
  <c r="K31" i="28" s="1"/>
  <c r="K8" i="26"/>
  <c r="K20" i="26" s="1"/>
  <c r="K30" i="26" s="1"/>
  <c r="K28" i="28"/>
  <c r="E8" i="56"/>
  <c r="F8" i="56" s="1"/>
  <c r="K33" i="63"/>
  <c r="L33" i="63" s="1"/>
  <c r="K26" i="63"/>
  <c r="L26" i="63" s="1"/>
  <c r="K27" i="63"/>
  <c r="C6" i="63"/>
  <c r="C26" i="64"/>
  <c r="D44" i="53"/>
  <c r="D43" i="53"/>
  <c r="D42" i="53"/>
  <c r="D41" i="53"/>
  <c r="D40" i="53"/>
  <c r="E40" i="53" s="1"/>
  <c r="D39" i="53"/>
  <c r="D38" i="53"/>
  <c r="D34" i="53"/>
  <c r="D33" i="53"/>
  <c r="D32" i="53"/>
  <c r="D31" i="53"/>
  <c r="D30" i="53"/>
  <c r="D29" i="53"/>
  <c r="D28" i="53"/>
  <c r="D24" i="53"/>
  <c r="D23" i="53"/>
  <c r="D22" i="53"/>
  <c r="D21" i="53"/>
  <c r="D20" i="53"/>
  <c r="D19" i="53"/>
  <c r="D15" i="53"/>
  <c r="D14" i="53"/>
  <c r="D13" i="53"/>
  <c r="D12" i="53"/>
  <c r="D8" i="53"/>
  <c r="D7" i="53"/>
  <c r="D6" i="53"/>
  <c r="D5" i="53"/>
  <c r="E5" i="53" s="1"/>
  <c r="H16" i="64"/>
  <c r="G15" i="64"/>
  <c r="G16" i="64" s="1"/>
  <c r="G19" i="64"/>
  <c r="H31" i="63"/>
  <c r="J35" i="63" s="1"/>
  <c r="C18" i="63"/>
  <c r="C19" i="63" s="1"/>
  <c r="J6" i="63" s="1"/>
  <c r="J7" i="63" s="1"/>
  <c r="O18" i="63"/>
  <c r="O19" i="63" s="1"/>
  <c r="I43" i="58"/>
  <c r="I44" i="58" s="1"/>
  <c r="C49" i="58"/>
  <c r="J8" i="50"/>
  <c r="J9" i="50" s="1"/>
  <c r="J10" i="50" s="1"/>
  <c r="F6" i="67"/>
  <c r="G6" i="67" s="1"/>
  <c r="K10" i="30"/>
  <c r="D5" i="67"/>
  <c r="E5" i="67"/>
  <c r="G5" i="67" s="1"/>
  <c r="D7" i="67"/>
  <c r="E7" i="67" s="1"/>
  <c r="G7" i="67" s="1"/>
  <c r="J7" i="52" s="1"/>
  <c r="J11" i="52" s="1"/>
  <c r="D8" i="67"/>
  <c r="E8" i="67" s="1"/>
  <c r="G8" i="67" s="1"/>
  <c r="J7" i="27" s="1"/>
  <c r="J13" i="27" s="1"/>
  <c r="D9" i="67"/>
  <c r="E9" i="67" s="1"/>
  <c r="G9" i="67" s="1"/>
  <c r="D10" i="67"/>
  <c r="E10" i="67" s="1"/>
  <c r="G10" i="67" s="1"/>
  <c r="D11" i="67"/>
  <c r="E11" i="67" s="1"/>
  <c r="G11" i="67" s="1"/>
  <c r="D12" i="67"/>
  <c r="E12" i="67" s="1"/>
  <c r="G12" i="67" s="1"/>
  <c r="J8" i="28" s="1"/>
  <c r="D4" i="67"/>
  <c r="E4" i="67" s="1"/>
  <c r="G4" i="67" s="1"/>
  <c r="C6" i="67"/>
  <c r="D6" i="67"/>
  <c r="C11" i="59"/>
  <c r="C13" i="59" s="1"/>
  <c r="E8" i="65"/>
  <c r="E9" i="65"/>
  <c r="G9" i="65" s="1"/>
  <c r="E10" i="65"/>
  <c r="G10" i="65" s="1"/>
  <c r="E11" i="65"/>
  <c r="G11" i="65" s="1"/>
  <c r="E12" i="65"/>
  <c r="K11" i="30" s="1"/>
  <c r="K14" i="30" s="1"/>
  <c r="K28" i="30" s="1"/>
  <c r="E13" i="65"/>
  <c r="E7" i="65"/>
  <c r="J14" i="9" s="1"/>
  <c r="J17" i="9" s="1"/>
  <c r="F33" i="65"/>
  <c r="C24" i="65" s="1"/>
  <c r="F32" i="65"/>
  <c r="C23" i="65" s="1"/>
  <c r="F31" i="65"/>
  <c r="C22" i="65" s="1"/>
  <c r="F30" i="65"/>
  <c r="C21" i="65" s="1"/>
  <c r="F29" i="65"/>
  <c r="C20" i="65" s="1"/>
  <c r="F28" i="65"/>
  <c r="C19" i="65" s="1"/>
  <c r="B24" i="65"/>
  <c r="E24" i="65" s="1"/>
  <c r="B23" i="65"/>
  <c r="E23" i="65" s="1"/>
  <c r="B22" i="65"/>
  <c r="E22" i="65" s="1"/>
  <c r="B21" i="65"/>
  <c r="E21" i="65" s="1"/>
  <c r="B20" i="65"/>
  <c r="E20" i="65" s="1"/>
  <c r="B19" i="65"/>
  <c r="E19" i="65" s="1"/>
  <c r="B18" i="65"/>
  <c r="E18" i="65" s="1"/>
  <c r="J11" i="49"/>
  <c r="C11" i="64"/>
  <c r="C12" i="64" s="1"/>
  <c r="C13" i="64" s="1"/>
  <c r="C14" i="64" s="1"/>
  <c r="C15" i="64" s="1"/>
  <c r="C16" i="64" s="1"/>
  <c r="C17" i="64" s="1"/>
  <c r="C18" i="64" s="1"/>
  <c r="C19" i="64" s="1"/>
  <c r="C20" i="64" s="1"/>
  <c r="C21" i="64" s="1"/>
  <c r="C22" i="64" s="1"/>
  <c r="J19" i="50"/>
  <c r="K8" i="30"/>
  <c r="K20" i="30" s="1"/>
  <c r="J10" i="26"/>
  <c r="J8" i="26"/>
  <c r="J20" i="26" s="1"/>
  <c r="J30" i="26" s="1"/>
  <c r="K27" i="30"/>
  <c r="K8" i="49"/>
  <c r="K21" i="49" s="1"/>
  <c r="K31" i="49" s="1"/>
  <c r="C41" i="59"/>
  <c r="C32" i="59"/>
  <c r="C49" i="59" s="1"/>
  <c r="E44" i="53"/>
  <c r="E43" i="53"/>
  <c r="E39" i="53"/>
  <c r="E33" i="53"/>
  <c r="E32" i="53"/>
  <c r="E29" i="53"/>
  <c r="E28" i="53"/>
  <c r="E22" i="53"/>
  <c r="E21" i="53"/>
  <c r="E8" i="53"/>
  <c r="E7" i="53"/>
  <c r="E6" i="53"/>
  <c r="E4" i="53"/>
  <c r="E15" i="53"/>
  <c r="E14" i="53"/>
  <c r="I20" i="50"/>
  <c r="I32" i="50" s="1"/>
  <c r="J20" i="50"/>
  <c r="J32" i="50" s="1"/>
  <c r="K16" i="29"/>
  <c r="K28" i="29" s="1"/>
  <c r="J18" i="49"/>
  <c r="J30" i="49" s="1"/>
  <c r="E28" i="41"/>
  <c r="F5" i="41"/>
  <c r="F6" i="41"/>
  <c r="F10" i="41" s="1"/>
  <c r="F7" i="41"/>
  <c r="F8" i="41"/>
  <c r="F9" i="41"/>
  <c r="F4" i="41"/>
  <c r="E16" i="41"/>
  <c r="F16" i="41"/>
  <c r="E17" i="41"/>
  <c r="F17" i="41"/>
  <c r="E18" i="41"/>
  <c r="F18" i="41" s="1"/>
  <c r="E19" i="41"/>
  <c r="F19" i="41" s="1"/>
  <c r="E20" i="41"/>
  <c r="F20" i="41"/>
  <c r="E15" i="41"/>
  <c r="F15" i="41" s="1"/>
  <c r="F21" i="41" s="1"/>
  <c r="F22" i="41" s="1"/>
  <c r="F23" i="41" s="1"/>
  <c r="H23" i="41" s="1"/>
  <c r="K17" i="30"/>
  <c r="K29" i="30" s="1"/>
  <c r="N16" i="30"/>
  <c r="N17" i="30" s="1"/>
  <c r="N29" i="30" s="1"/>
  <c r="J20" i="52"/>
  <c r="J32" i="52" s="1"/>
  <c r="J20" i="27"/>
  <c r="J32" i="27" s="1"/>
  <c r="J17" i="26"/>
  <c r="J29" i="26" s="1"/>
  <c r="J18" i="28"/>
  <c r="K19" i="9"/>
  <c r="L19" i="9" s="1"/>
  <c r="L20" i="9" s="1"/>
  <c r="L32" i="9" s="1"/>
  <c r="J30" i="28"/>
  <c r="L11" i="52"/>
  <c r="L23" i="52" s="1"/>
  <c r="L33" i="52" s="1"/>
  <c r="C18" i="49" l="1"/>
  <c r="C30" i="49" s="1"/>
  <c r="E18" i="49"/>
  <c r="E30" i="49" s="1"/>
  <c r="G18" i="49"/>
  <c r="K12" i="28"/>
  <c r="C14" i="30"/>
  <c r="H15" i="28"/>
  <c r="H29" i="28" s="1"/>
  <c r="M11" i="52"/>
  <c r="K20" i="50"/>
  <c r="K32" i="50" s="1"/>
  <c r="J7" i="49"/>
  <c r="J8" i="49" s="1"/>
  <c r="G28" i="28"/>
  <c r="L17" i="9"/>
  <c r="N8" i="30"/>
  <c r="N20" i="30" s="1"/>
  <c r="N30" i="30" s="1"/>
  <c r="K16" i="50"/>
  <c r="K31" i="50" s="1"/>
  <c r="C28" i="28"/>
  <c r="K11" i="49"/>
  <c r="D23" i="52"/>
  <c r="D33" i="52" s="1"/>
  <c r="G7" i="65"/>
  <c r="C30" i="27"/>
  <c r="H17" i="52"/>
  <c r="H31" i="52" s="1"/>
  <c r="D17" i="52"/>
  <c r="E14" i="30"/>
  <c r="G15" i="28"/>
  <c r="F14" i="49"/>
  <c r="F29" i="49" s="1"/>
  <c r="H14" i="49"/>
  <c r="K14" i="26"/>
  <c r="K28" i="26" s="1"/>
  <c r="G20" i="26"/>
  <c r="G30" i="26" s="1"/>
  <c r="H10" i="26"/>
  <c r="H14" i="26" s="1"/>
  <c r="C14" i="26"/>
  <c r="C28" i="26" s="1"/>
  <c r="J27" i="26"/>
  <c r="G14" i="26"/>
  <c r="D14" i="26"/>
  <c r="D28" i="26" s="1"/>
  <c r="D14" i="49"/>
  <c r="D29" i="49" s="1"/>
  <c r="F30" i="50"/>
  <c r="F23" i="50"/>
  <c r="C30" i="50"/>
  <c r="I34" i="50"/>
  <c r="G12" i="50"/>
  <c r="G16" i="50" s="1"/>
  <c r="G31" i="50" s="1"/>
  <c r="F12" i="50"/>
  <c r="F16" i="50" s="1"/>
  <c r="F31" i="50" s="1"/>
  <c r="I25" i="50"/>
  <c r="I27" i="50" s="1"/>
  <c r="E11" i="28"/>
  <c r="E15" i="28" s="1"/>
  <c r="E21" i="28"/>
  <c r="E31" i="28" s="1"/>
  <c r="E28" i="28"/>
  <c r="K15" i="28"/>
  <c r="C32" i="28"/>
  <c r="F10" i="30"/>
  <c r="F14" i="30" s="1"/>
  <c r="F28" i="30" s="1"/>
  <c r="M8" i="30"/>
  <c r="B107" i="65"/>
  <c r="E107" i="65" s="1"/>
  <c r="F107" i="65" s="1"/>
  <c r="D117" i="58"/>
  <c r="Q8" i="30"/>
  <c r="Q27" i="30" s="1"/>
  <c r="Q10" i="30"/>
  <c r="Q14" i="30" s="1"/>
  <c r="L9" i="29"/>
  <c r="D116" i="58"/>
  <c r="M9" i="29"/>
  <c r="M13" i="29" s="1"/>
  <c r="M27" i="29" s="1"/>
  <c r="E13" i="27"/>
  <c r="E17" i="27" s="1"/>
  <c r="E31" i="27" s="1"/>
  <c r="L13" i="27"/>
  <c r="L17" i="27" s="1"/>
  <c r="L31" i="27" s="1"/>
  <c r="D115" i="58"/>
  <c r="G13" i="27"/>
  <c r="G17" i="27" s="1"/>
  <c r="G31" i="27" s="1"/>
  <c r="D128" i="58"/>
  <c r="D127" i="58"/>
  <c r="D90" i="58"/>
  <c r="D114" i="58"/>
  <c r="G13" i="52"/>
  <c r="G17" i="9"/>
  <c r="B102" i="65"/>
  <c r="E102" i="65" s="1"/>
  <c r="D112" i="58"/>
  <c r="C23" i="9"/>
  <c r="C33" i="9" s="1"/>
  <c r="D88" i="58"/>
  <c r="E10" i="49"/>
  <c r="E14" i="49" s="1"/>
  <c r="G8" i="49"/>
  <c r="B108" i="65"/>
  <c r="E108" i="65" s="1"/>
  <c r="F108" i="65" s="1"/>
  <c r="D118" i="58"/>
  <c r="D94" i="58"/>
  <c r="N10" i="26"/>
  <c r="N14" i="26" s="1"/>
  <c r="N28" i="26" s="1"/>
  <c r="C21" i="49"/>
  <c r="C31" i="49" s="1"/>
  <c r="G14" i="49"/>
  <c r="G29" i="49" s="1"/>
  <c r="B103" i="65"/>
  <c r="E103" i="65" s="1"/>
  <c r="F103" i="65" s="1"/>
  <c r="D113" i="58"/>
  <c r="D126" i="58"/>
  <c r="J9" i="28"/>
  <c r="J11" i="28"/>
  <c r="G23" i="28"/>
  <c r="G25" i="28" s="1"/>
  <c r="G24" i="28" s="1"/>
  <c r="G29" i="28"/>
  <c r="G32" i="28" s="1"/>
  <c r="G23" i="50"/>
  <c r="G33" i="50" s="1"/>
  <c r="G30" i="50"/>
  <c r="H30" i="28"/>
  <c r="H32" i="28" s="1"/>
  <c r="H23" i="28"/>
  <c r="H25" i="28" s="1"/>
  <c r="E23" i="52"/>
  <c r="E33" i="52" s="1"/>
  <c r="E30" i="52"/>
  <c r="D11" i="28"/>
  <c r="D15" i="28" s="1"/>
  <c r="D29" i="28" s="1"/>
  <c r="D28" i="28"/>
  <c r="D21" i="28"/>
  <c r="D31" i="28" s="1"/>
  <c r="H28" i="49"/>
  <c r="H21" i="49"/>
  <c r="H31" i="49" s="1"/>
  <c r="C32" i="50"/>
  <c r="C34" i="50" s="1"/>
  <c r="F141" i="58"/>
  <c r="X138" i="58"/>
  <c r="X139" i="58" s="1"/>
  <c r="X140" i="58" s="1"/>
  <c r="G138" i="58"/>
  <c r="E28" i="49"/>
  <c r="E21" i="49"/>
  <c r="E31" i="49" s="1"/>
  <c r="E29" i="28"/>
  <c r="E32" i="28" s="1"/>
  <c r="E23" i="28"/>
  <c r="E25" i="28" s="1"/>
  <c r="E21" i="41"/>
  <c r="E22" i="41" s="1"/>
  <c r="J14" i="53"/>
  <c r="K14" i="53" s="1"/>
  <c r="J28" i="53"/>
  <c r="K28" i="53" s="1"/>
  <c r="J39" i="53"/>
  <c r="K39" i="53" s="1"/>
  <c r="J49" i="53"/>
  <c r="K49" i="53" s="1"/>
  <c r="F33" i="50"/>
  <c r="C13" i="29"/>
  <c r="F9" i="28"/>
  <c r="O17" i="27"/>
  <c r="O31" i="27" s="1"/>
  <c r="J15" i="53"/>
  <c r="K15" i="53" s="1"/>
  <c r="J29" i="53"/>
  <c r="K29" i="53" s="1"/>
  <c r="J40" i="53"/>
  <c r="K40" i="53" s="1"/>
  <c r="J50" i="53"/>
  <c r="K50" i="53" s="1"/>
  <c r="D8" i="26"/>
  <c r="E10" i="26"/>
  <c r="E14" i="26" s="1"/>
  <c r="E28" i="26" s="1"/>
  <c r="J19" i="53"/>
  <c r="K19" i="53" s="1"/>
  <c r="J30" i="53"/>
  <c r="K30" i="53" s="1"/>
  <c r="K41" i="53"/>
  <c r="J41" i="53"/>
  <c r="J51" i="53"/>
  <c r="K51" i="53" s="1"/>
  <c r="E10" i="50"/>
  <c r="C23" i="28"/>
  <c r="O8" i="30"/>
  <c r="P10" i="30"/>
  <c r="P14" i="30" s="1"/>
  <c r="P28" i="30" s="1"/>
  <c r="K10" i="49"/>
  <c r="K14" i="49" s="1"/>
  <c r="K29" i="49" s="1"/>
  <c r="K14" i="9"/>
  <c r="J20" i="53"/>
  <c r="K20" i="53" s="1"/>
  <c r="J31" i="53"/>
  <c r="K31" i="53" s="1"/>
  <c r="K42" i="53"/>
  <c r="J42" i="53"/>
  <c r="J52" i="53"/>
  <c r="K52" i="53" s="1"/>
  <c r="J23" i="9"/>
  <c r="J33" i="9" s="1"/>
  <c r="C25" i="50"/>
  <c r="D9" i="50"/>
  <c r="D10" i="50" s="1"/>
  <c r="E8" i="30"/>
  <c r="O9" i="29"/>
  <c r="O13" i="29" s="1"/>
  <c r="O27" i="29" s="1"/>
  <c r="O10" i="30"/>
  <c r="O14" i="30" s="1"/>
  <c r="O28" i="30" s="1"/>
  <c r="J21" i="53"/>
  <c r="K21" i="53" s="1"/>
  <c r="J32" i="53"/>
  <c r="K32" i="53" s="1"/>
  <c r="J43" i="53"/>
  <c r="K43" i="53" s="1"/>
  <c r="K53" i="53"/>
  <c r="J53" i="53"/>
  <c r="N27" i="30"/>
  <c r="M14" i="30"/>
  <c r="L14" i="26"/>
  <c r="L28" i="26" s="1"/>
  <c r="H42" i="59"/>
  <c r="H43" i="59" s="1"/>
  <c r="H50" i="59" s="1"/>
  <c r="Q16" i="30"/>
  <c r="H15" i="64"/>
  <c r="K22" i="53"/>
  <c r="J22" i="53"/>
  <c r="J33" i="53"/>
  <c r="K33" i="53" s="1"/>
  <c r="J44" i="53"/>
  <c r="K44" i="53" s="1"/>
  <c r="C14" i="49"/>
  <c r="H14" i="30"/>
  <c r="H28" i="30" s="1"/>
  <c r="L13" i="52"/>
  <c r="H46" i="59"/>
  <c r="Q20" i="30"/>
  <c r="Q30" i="30" s="1"/>
  <c r="J12" i="53"/>
  <c r="K12" i="53" s="1"/>
  <c r="J23" i="53"/>
  <c r="K23" i="53" s="1"/>
  <c r="J34" i="53"/>
  <c r="K34" i="53" s="1"/>
  <c r="K30" i="9"/>
  <c r="C30" i="52"/>
  <c r="C25" i="27"/>
  <c r="C27" i="27" s="1"/>
  <c r="C26" i="27" s="1"/>
  <c r="C28" i="27" s="1"/>
  <c r="C35" i="27" s="1"/>
  <c r="D14" i="30"/>
  <c r="D28" i="30" s="1"/>
  <c r="K9" i="50"/>
  <c r="K10" i="50" s="1"/>
  <c r="O11" i="52"/>
  <c r="O30" i="52" s="1"/>
  <c r="J13" i="53"/>
  <c r="K13" i="53" s="1"/>
  <c r="K24" i="53"/>
  <c r="J24" i="53"/>
  <c r="J38" i="53"/>
  <c r="K38" i="53" s="1"/>
  <c r="K48" i="53"/>
  <c r="J48" i="53"/>
  <c r="L13" i="29"/>
  <c r="M8" i="26"/>
  <c r="S10" i="30"/>
  <c r="S14" i="30" s="1"/>
  <c r="S28" i="30" s="1"/>
  <c r="S8" i="30"/>
  <c r="H32" i="63"/>
  <c r="I31" i="63"/>
  <c r="H33" i="63" s="1"/>
  <c r="F9" i="56"/>
  <c r="F10" i="56" s="1"/>
  <c r="E50" i="53"/>
  <c r="E53" i="53"/>
  <c r="E49" i="53"/>
  <c r="E10" i="53"/>
  <c r="E9" i="53"/>
  <c r="E19" i="53"/>
  <c r="E13" i="53"/>
  <c r="E23" i="53"/>
  <c r="E30" i="53"/>
  <c r="E34" i="53"/>
  <c r="E41" i="53"/>
  <c r="E12" i="53"/>
  <c r="E51" i="53"/>
  <c r="E20" i="53"/>
  <c r="E24" i="53"/>
  <c r="E31" i="53"/>
  <c r="E38" i="53"/>
  <c r="E42" i="53"/>
  <c r="E48" i="53"/>
  <c r="E52" i="53"/>
  <c r="F81" i="65"/>
  <c r="J12" i="50"/>
  <c r="J16" i="50" s="1"/>
  <c r="J31" i="50" s="1"/>
  <c r="J23" i="50"/>
  <c r="J33" i="50" s="1"/>
  <c r="J30" i="50"/>
  <c r="F20" i="26"/>
  <c r="F30" i="26" s="1"/>
  <c r="F27" i="26"/>
  <c r="H20" i="26"/>
  <c r="H30" i="26" s="1"/>
  <c r="H27" i="26"/>
  <c r="F10" i="26"/>
  <c r="F14" i="26" s="1"/>
  <c r="F28" i="26" s="1"/>
  <c r="C20" i="26"/>
  <c r="C30" i="26" s="1"/>
  <c r="R10" i="26"/>
  <c r="R14" i="26" s="1"/>
  <c r="R28" i="26" s="1"/>
  <c r="K17" i="26"/>
  <c r="K29" i="26" s="1"/>
  <c r="P14" i="26"/>
  <c r="P28" i="26" s="1"/>
  <c r="C21" i="29"/>
  <c r="C23" i="29" s="1"/>
  <c r="C22" i="29" s="1"/>
  <c r="C24" i="29" s="1"/>
  <c r="C31" i="29" s="1"/>
  <c r="C27" i="29"/>
  <c r="N9" i="29"/>
  <c r="N13" i="29" s="1"/>
  <c r="N27" i="29" s="1"/>
  <c r="D157" i="58"/>
  <c r="K7" i="29"/>
  <c r="G19" i="29"/>
  <c r="G29" i="29" s="1"/>
  <c r="H9" i="29"/>
  <c r="H13" i="29" s="1"/>
  <c r="L26" i="29"/>
  <c r="F9" i="29"/>
  <c r="F13" i="29" s="1"/>
  <c r="F27" i="29" s="1"/>
  <c r="D92" i="58"/>
  <c r="P13" i="29"/>
  <c r="P27" i="29" s="1"/>
  <c r="E23" i="27"/>
  <c r="E33" i="27" s="1"/>
  <c r="E30" i="27"/>
  <c r="G23" i="27"/>
  <c r="G33" i="27" s="1"/>
  <c r="G30" i="27"/>
  <c r="D30" i="27"/>
  <c r="D23" i="27"/>
  <c r="D33" i="27" s="1"/>
  <c r="F23" i="27"/>
  <c r="F33" i="27" s="1"/>
  <c r="F30" i="27"/>
  <c r="F25" i="27"/>
  <c r="H30" i="27"/>
  <c r="H23" i="27"/>
  <c r="H33" i="27" s="1"/>
  <c r="C34" i="27"/>
  <c r="L11" i="27"/>
  <c r="D91" i="58"/>
  <c r="O11" i="27"/>
  <c r="M11" i="27"/>
  <c r="B105" i="65"/>
  <c r="E105" i="65" s="1"/>
  <c r="N13" i="27"/>
  <c r="N17" i="27" s="1"/>
  <c r="N31" i="27" s="1"/>
  <c r="D156" i="58"/>
  <c r="G23" i="52"/>
  <c r="G33" i="52" s="1"/>
  <c r="G30" i="52"/>
  <c r="L30" i="52"/>
  <c r="C17" i="52"/>
  <c r="C31" i="52" s="1"/>
  <c r="C34" i="52" s="1"/>
  <c r="G17" i="52"/>
  <c r="G31" i="52" s="1"/>
  <c r="G34" i="52" s="1"/>
  <c r="L17" i="52"/>
  <c r="L31" i="52" s="1"/>
  <c r="C25" i="52"/>
  <c r="D31" i="52"/>
  <c r="D34" i="52" s="1"/>
  <c r="D25" i="52"/>
  <c r="E25" i="52"/>
  <c r="E27" i="52" s="1"/>
  <c r="E26" i="52" s="1"/>
  <c r="E31" i="52"/>
  <c r="E34" i="52" s="1"/>
  <c r="F30" i="52"/>
  <c r="F23" i="52"/>
  <c r="F33" i="52" s="1"/>
  <c r="H30" i="52"/>
  <c r="H23" i="52"/>
  <c r="H33" i="52" s="1"/>
  <c r="M31" i="52"/>
  <c r="F13" i="52"/>
  <c r="F17" i="52" s="1"/>
  <c r="F31" i="52" s="1"/>
  <c r="P13" i="52"/>
  <c r="P17" i="52" s="1"/>
  <c r="P31" i="52" s="1"/>
  <c r="B104" i="65"/>
  <c r="E104" i="65" s="1"/>
  <c r="F104" i="65" s="1"/>
  <c r="N13" i="52"/>
  <c r="N17" i="52" s="1"/>
  <c r="N31" i="52" s="1"/>
  <c r="D155" i="58"/>
  <c r="D27" i="52"/>
  <c r="N11" i="52"/>
  <c r="N30" i="52" s="1"/>
  <c r="C17" i="9"/>
  <c r="C25" i="9" s="1"/>
  <c r="E13" i="9"/>
  <c r="E17" i="9" s="1"/>
  <c r="K20" i="9"/>
  <c r="K32" i="9" s="1"/>
  <c r="H10" i="9"/>
  <c r="H23" i="9" s="1"/>
  <c r="H33" i="9" s="1"/>
  <c r="F21" i="49"/>
  <c r="F31" i="49" s="1"/>
  <c r="F28" i="49"/>
  <c r="K28" i="49"/>
  <c r="G30" i="49"/>
  <c r="D8" i="49"/>
  <c r="D89" i="58"/>
  <c r="O8" i="49"/>
  <c r="O21" i="49" s="1"/>
  <c r="O31" i="49" s="1"/>
  <c r="D154" i="58"/>
  <c r="L8" i="49"/>
  <c r="M8" i="49"/>
  <c r="L16" i="49"/>
  <c r="H29" i="49"/>
  <c r="L23" i="9"/>
  <c r="L33" i="9" s="1"/>
  <c r="M30" i="9"/>
  <c r="D17" i="9"/>
  <c r="D31" i="9" s="1"/>
  <c r="M13" i="9"/>
  <c r="M17" i="9" s="1"/>
  <c r="M31" i="9" s="1"/>
  <c r="D125" i="58"/>
  <c r="K17" i="9"/>
  <c r="D10" i="9"/>
  <c r="F10" i="9"/>
  <c r="F23" i="9" s="1"/>
  <c r="F33" i="9" s="1"/>
  <c r="F13" i="9"/>
  <c r="F17" i="9" s="1"/>
  <c r="F31" i="9" s="1"/>
  <c r="E31" i="9"/>
  <c r="G31" i="9"/>
  <c r="L31" i="9"/>
  <c r="M19" i="9"/>
  <c r="C31" i="9"/>
  <c r="C34" i="9" s="1"/>
  <c r="E23" i="9"/>
  <c r="E33" i="9" s="1"/>
  <c r="H30" i="9"/>
  <c r="H34" i="9" s="1"/>
  <c r="N13" i="9"/>
  <c r="N17" i="9" s="1"/>
  <c r="N31" i="9" s="1"/>
  <c r="D153" i="58"/>
  <c r="G10" i="9"/>
  <c r="C22" i="59"/>
  <c r="C23" i="59" s="1"/>
  <c r="C48" i="59" s="1"/>
  <c r="C17" i="59"/>
  <c r="C18" i="59" s="1"/>
  <c r="C47" i="59" s="1"/>
  <c r="C42" i="59"/>
  <c r="C43" i="59" s="1"/>
  <c r="C50" i="59" s="1"/>
  <c r="C46" i="59"/>
  <c r="M22" i="59"/>
  <c r="M23" i="59" s="1"/>
  <c r="M48" i="59" s="1"/>
  <c r="M46" i="59"/>
  <c r="M42" i="59"/>
  <c r="M43" i="59" s="1"/>
  <c r="M50" i="59" s="1"/>
  <c r="M17" i="59"/>
  <c r="M18" i="59" s="1"/>
  <c r="M47" i="59" s="1"/>
  <c r="H17" i="59"/>
  <c r="H18" i="59" s="1"/>
  <c r="H47" i="59" s="1"/>
  <c r="J11" i="26"/>
  <c r="J14" i="26" s="1"/>
  <c r="J15" i="28"/>
  <c r="G13" i="65"/>
  <c r="F83" i="65"/>
  <c r="J14" i="52"/>
  <c r="G8" i="65"/>
  <c r="J14" i="27"/>
  <c r="J17" i="27" s="1"/>
  <c r="J31" i="27" s="1"/>
  <c r="F82" i="65"/>
  <c r="K14" i="52"/>
  <c r="K17" i="52" s="1"/>
  <c r="K31" i="52" s="1"/>
  <c r="F87" i="65"/>
  <c r="K14" i="27"/>
  <c r="K17" i="27" s="1"/>
  <c r="F105" i="65"/>
  <c r="F19" i="65"/>
  <c r="F86" i="65"/>
  <c r="F85" i="65"/>
  <c r="F23" i="65"/>
  <c r="G12" i="65"/>
  <c r="F84" i="65"/>
  <c r="K29" i="28"/>
  <c r="K32" i="28" s="1"/>
  <c r="K23" i="28"/>
  <c r="F24" i="65"/>
  <c r="F102" i="65"/>
  <c r="F20" i="65"/>
  <c r="F21" i="65"/>
  <c r="F22" i="65"/>
  <c r="R27" i="26"/>
  <c r="H22" i="26"/>
  <c r="H24" i="26" s="1"/>
  <c r="H28" i="26"/>
  <c r="L17" i="26"/>
  <c r="L29" i="26" s="1"/>
  <c r="M16" i="26"/>
  <c r="G28" i="26"/>
  <c r="G31" i="26" s="1"/>
  <c r="L20" i="26"/>
  <c r="L30" i="26" s="1"/>
  <c r="L27" i="26"/>
  <c r="N8" i="26"/>
  <c r="O10" i="26"/>
  <c r="O14" i="26" s="1"/>
  <c r="O28" i="26" s="1"/>
  <c r="D159" i="58"/>
  <c r="K27" i="26"/>
  <c r="E20" i="26"/>
  <c r="D131" i="58"/>
  <c r="M20" i="26"/>
  <c r="M30" i="26" s="1"/>
  <c r="K11" i="27"/>
  <c r="K23" i="27" s="1"/>
  <c r="K33" i="27" s="1"/>
  <c r="R20" i="26"/>
  <c r="R30" i="26" s="1"/>
  <c r="P8" i="26"/>
  <c r="O8" i="26"/>
  <c r="Q28" i="30"/>
  <c r="P20" i="30"/>
  <c r="P30" i="30" s="1"/>
  <c r="P27" i="30"/>
  <c r="L14" i="30"/>
  <c r="L22" i="30" s="1"/>
  <c r="D27" i="30"/>
  <c r="D20" i="30"/>
  <c r="D30" i="30" s="1"/>
  <c r="I22" i="30"/>
  <c r="I24" i="30" s="1"/>
  <c r="I28" i="30"/>
  <c r="I31" i="30" s="1"/>
  <c r="C28" i="30"/>
  <c r="C31" i="30" s="1"/>
  <c r="K22" i="30"/>
  <c r="K24" i="30" s="1"/>
  <c r="K30" i="30"/>
  <c r="K31" i="30" s="1"/>
  <c r="F20" i="30"/>
  <c r="F30" i="30" s="1"/>
  <c r="F27" i="30"/>
  <c r="E28" i="30"/>
  <c r="M28" i="30"/>
  <c r="H20" i="30"/>
  <c r="H30" i="30" s="1"/>
  <c r="H27" i="30"/>
  <c r="D93" i="58"/>
  <c r="N10" i="30"/>
  <c r="N14" i="30" s="1"/>
  <c r="G20" i="30"/>
  <c r="G30" i="30" s="1"/>
  <c r="G27" i="30"/>
  <c r="G31" i="30" s="1"/>
  <c r="D130" i="58"/>
  <c r="C22" i="30"/>
  <c r="C24" i="30" s="1"/>
  <c r="P7" i="29"/>
  <c r="O19" i="29"/>
  <c r="O29" i="29" s="1"/>
  <c r="O26" i="29"/>
  <c r="N7" i="29"/>
  <c r="E27" i="29"/>
  <c r="K27" i="29"/>
  <c r="C28" i="29"/>
  <c r="L27" i="29"/>
  <c r="L30" i="29" s="1"/>
  <c r="L21" i="29"/>
  <c r="G27" i="29"/>
  <c r="G30" i="29" s="1"/>
  <c r="G21" i="29"/>
  <c r="J26" i="29"/>
  <c r="J19" i="29"/>
  <c r="J29" i="29" s="1"/>
  <c r="H27" i="29"/>
  <c r="F19" i="29"/>
  <c r="F29" i="29" s="1"/>
  <c r="F26" i="29"/>
  <c r="D129" i="58"/>
  <c r="D19" i="29"/>
  <c r="D29" i="29" s="1"/>
  <c r="E7" i="29"/>
  <c r="D9" i="29"/>
  <c r="D13" i="29" s="1"/>
  <c r="D27" i="29" s="1"/>
  <c r="D30" i="29" s="1"/>
  <c r="J9" i="29"/>
  <c r="J13" i="29" s="1"/>
  <c r="J27" i="29" s="1"/>
  <c r="B106" i="65"/>
  <c r="E106" i="65" s="1"/>
  <c r="F106" i="65" s="1"/>
  <c r="M7" i="29"/>
  <c r="H19" i="29"/>
  <c r="H29" i="29" s="1"/>
  <c r="P11" i="27"/>
  <c r="O23" i="27"/>
  <c r="O33" i="27" s="1"/>
  <c r="N23" i="27"/>
  <c r="J11" i="27"/>
  <c r="P23" i="52"/>
  <c r="P33" i="52" s="1"/>
  <c r="P30" i="52"/>
  <c r="N23" i="52"/>
  <c r="K11" i="52"/>
  <c r="K30" i="52" s="1"/>
  <c r="J13" i="52"/>
  <c r="J30" i="52"/>
  <c r="J23" i="52"/>
  <c r="J33" i="52" s="1"/>
  <c r="P10" i="49"/>
  <c r="P14" i="49" s="1"/>
  <c r="P29" i="49" s="1"/>
  <c r="P21" i="49"/>
  <c r="P31" i="49" s="1"/>
  <c r="P28" i="49"/>
  <c r="O10" i="49"/>
  <c r="O14" i="49" s="1"/>
  <c r="O29" i="49" s="1"/>
  <c r="N10" i="49"/>
  <c r="N14" i="49" s="1"/>
  <c r="N29" i="49" s="1"/>
  <c r="N21" i="49"/>
  <c r="N31" i="49" s="1"/>
  <c r="N28" i="49"/>
  <c r="J10" i="49"/>
  <c r="J14" i="49" s="1"/>
  <c r="J29" i="49" s="1"/>
  <c r="J28" i="49"/>
  <c r="J21" i="49"/>
  <c r="J31" i="49" s="1"/>
  <c r="P10" i="9"/>
  <c r="O17" i="9"/>
  <c r="O31" i="9" s="1"/>
  <c r="O10" i="9"/>
  <c r="N10" i="9"/>
  <c r="K31" i="9"/>
  <c r="J31" i="9"/>
  <c r="J34" i="9" s="1"/>
  <c r="J25" i="9"/>
  <c r="J27" i="9" s="1"/>
  <c r="M27" i="26" l="1"/>
  <c r="D106" i="58"/>
  <c r="G22" i="26"/>
  <c r="F34" i="50"/>
  <c r="L34" i="9"/>
  <c r="L25" i="52"/>
  <c r="I26" i="50"/>
  <c r="I28" i="50" s="1"/>
  <c r="I35" i="50" s="1"/>
  <c r="I36" i="50" s="1"/>
  <c r="I38" i="50" s="1"/>
  <c r="M23" i="52"/>
  <c r="M30" i="52"/>
  <c r="C31" i="26"/>
  <c r="O28" i="49"/>
  <c r="F31" i="26"/>
  <c r="E29" i="49"/>
  <c r="E32" i="49" s="1"/>
  <c r="E23" i="49"/>
  <c r="E25" i="49" s="1"/>
  <c r="E24" i="49" s="1"/>
  <c r="E26" i="49" s="1"/>
  <c r="E33" i="49" s="1"/>
  <c r="C23" i="49"/>
  <c r="G25" i="50"/>
  <c r="G27" i="50" s="1"/>
  <c r="G26" i="50" s="1"/>
  <c r="G28" i="50" s="1"/>
  <c r="G35" i="50" s="1"/>
  <c r="G36" i="50" s="1"/>
  <c r="G38" i="50" s="1"/>
  <c r="F25" i="50"/>
  <c r="F27" i="50" s="1"/>
  <c r="F26" i="50" s="1"/>
  <c r="F28" i="50" s="1"/>
  <c r="F35" i="50" s="1"/>
  <c r="F36" i="50" s="1"/>
  <c r="F38" i="50" s="1"/>
  <c r="G34" i="50"/>
  <c r="H24" i="28"/>
  <c r="H26" i="28" s="1"/>
  <c r="H33" i="28" s="1"/>
  <c r="H34" i="28" s="1"/>
  <c r="H36" i="28" s="1"/>
  <c r="H31" i="30"/>
  <c r="M20" i="30"/>
  <c r="M27" i="30"/>
  <c r="F21" i="29"/>
  <c r="F34" i="27"/>
  <c r="H34" i="27"/>
  <c r="E25" i="27"/>
  <c r="E27" i="27" s="1"/>
  <c r="L34" i="52"/>
  <c r="G28" i="49"/>
  <c r="G21" i="49"/>
  <c r="K22" i="26"/>
  <c r="F22" i="26"/>
  <c r="F24" i="26" s="1"/>
  <c r="F23" i="26" s="1"/>
  <c r="F25" i="26" s="1"/>
  <c r="F32" i="26" s="1"/>
  <c r="F33" i="26" s="1"/>
  <c r="F35" i="26" s="1"/>
  <c r="K31" i="26"/>
  <c r="F23" i="49"/>
  <c r="F25" i="49" s="1"/>
  <c r="F24" i="49" s="1"/>
  <c r="F26" i="49" s="1"/>
  <c r="F33" i="49" s="1"/>
  <c r="H23" i="49"/>
  <c r="H25" i="49" s="1"/>
  <c r="H24" i="49" s="1"/>
  <c r="H26" i="49" s="1"/>
  <c r="H33" i="49" s="1"/>
  <c r="K26" i="53"/>
  <c r="K25" i="53"/>
  <c r="K55" i="53"/>
  <c r="K16" i="53"/>
  <c r="K17" i="53"/>
  <c r="K46" i="53"/>
  <c r="K36" i="53"/>
  <c r="K35" i="53"/>
  <c r="D27" i="26"/>
  <c r="D20" i="26"/>
  <c r="D22" i="26" s="1"/>
  <c r="C30" i="29"/>
  <c r="P22" i="30"/>
  <c r="O27" i="30"/>
  <c r="O20" i="30"/>
  <c r="D23" i="28"/>
  <c r="D25" i="28" s="1"/>
  <c r="D24" i="28" s="1"/>
  <c r="E27" i="30"/>
  <c r="E31" i="30" s="1"/>
  <c r="E20" i="30"/>
  <c r="E30" i="30" s="1"/>
  <c r="J17" i="52"/>
  <c r="J31" i="52" s="1"/>
  <c r="H34" i="63"/>
  <c r="Q17" i="30"/>
  <c r="S16" i="30"/>
  <c r="S17" i="30" s="1"/>
  <c r="R16" i="30"/>
  <c r="R17" i="30" s="1"/>
  <c r="D30" i="50"/>
  <c r="D23" i="50"/>
  <c r="D33" i="50" s="1"/>
  <c r="C25" i="28"/>
  <c r="D32" i="28"/>
  <c r="K54" i="53"/>
  <c r="E30" i="50"/>
  <c r="E23" i="50"/>
  <c r="E33" i="50" s="1"/>
  <c r="H30" i="29"/>
  <c r="O30" i="29"/>
  <c r="E22" i="30"/>
  <c r="E24" i="30" s="1"/>
  <c r="H32" i="49"/>
  <c r="F32" i="49"/>
  <c r="G25" i="27"/>
  <c r="S27" i="30"/>
  <c r="S20" i="30"/>
  <c r="S30" i="30" s="1"/>
  <c r="C27" i="50"/>
  <c r="C26" i="50" s="1"/>
  <c r="C28" i="50" s="1"/>
  <c r="C35" i="50" s="1"/>
  <c r="C36" i="50" s="1"/>
  <c r="C38" i="50" s="1"/>
  <c r="K30" i="50"/>
  <c r="K34" i="50" s="1"/>
  <c r="K23" i="50"/>
  <c r="K33" i="50" s="1"/>
  <c r="K45" i="53"/>
  <c r="F21" i="28"/>
  <c r="F31" i="28" s="1"/>
  <c r="F28" i="28"/>
  <c r="G26" i="28"/>
  <c r="G33" i="28" s="1"/>
  <c r="G34" i="28" s="1"/>
  <c r="G36" i="28" s="1"/>
  <c r="O23" i="52"/>
  <c r="O33" i="52" s="1"/>
  <c r="O34" i="52" s="1"/>
  <c r="H22" i="30"/>
  <c r="F22" i="30"/>
  <c r="F24" i="30" s="1"/>
  <c r="F23" i="30" s="1"/>
  <c r="F25" i="30" s="1"/>
  <c r="F32" i="30" s="1"/>
  <c r="H51" i="59"/>
  <c r="C29" i="49"/>
  <c r="C32" i="49" s="1"/>
  <c r="E34" i="27"/>
  <c r="C24" i="28"/>
  <c r="C26" i="28" s="1"/>
  <c r="C33" i="28" s="1"/>
  <c r="C34" i="28" s="1"/>
  <c r="C36" i="28" s="1"/>
  <c r="E24" i="28"/>
  <c r="E26" i="28" s="1"/>
  <c r="E33" i="28" s="1"/>
  <c r="E34" i="28" s="1"/>
  <c r="E36" i="28" s="1"/>
  <c r="P24" i="30"/>
  <c r="K32" i="49"/>
  <c r="G25" i="52"/>
  <c r="G27" i="52" s="1"/>
  <c r="G26" i="52" s="1"/>
  <c r="G28" i="52" s="1"/>
  <c r="G35" i="52" s="1"/>
  <c r="G36" i="52" s="1"/>
  <c r="G38" i="52" s="1"/>
  <c r="D25" i="27"/>
  <c r="J21" i="28"/>
  <c r="J31" i="28" s="1"/>
  <c r="J28" i="28"/>
  <c r="E36" i="53"/>
  <c r="E16" i="53"/>
  <c r="E17" i="53"/>
  <c r="E55" i="53"/>
  <c r="E54" i="53"/>
  <c r="E26" i="53"/>
  <c r="E25" i="53"/>
  <c r="E46" i="53"/>
  <c r="E45" i="53"/>
  <c r="E35" i="53"/>
  <c r="K23" i="49"/>
  <c r="K25" i="49" s="1"/>
  <c r="K24" i="49" s="1"/>
  <c r="K26" i="49" s="1"/>
  <c r="K33" i="49" s="1"/>
  <c r="K34" i="49" s="1"/>
  <c r="K36" i="49" s="1"/>
  <c r="J34" i="50"/>
  <c r="J25" i="50"/>
  <c r="H31" i="26"/>
  <c r="C22" i="26"/>
  <c r="C24" i="26" s="1"/>
  <c r="L22" i="26"/>
  <c r="L24" i="26" s="1"/>
  <c r="L31" i="26"/>
  <c r="F30" i="29"/>
  <c r="G23" i="29"/>
  <c r="G22" i="29" s="1"/>
  <c r="G24" i="29" s="1"/>
  <c r="G31" i="29" s="1"/>
  <c r="G32" i="29" s="1"/>
  <c r="G34" i="29" s="1"/>
  <c r="K19" i="29"/>
  <c r="K26" i="29"/>
  <c r="O21" i="29"/>
  <c r="O23" i="29" s="1"/>
  <c r="M23" i="27"/>
  <c r="M33" i="27" s="1"/>
  <c r="M30" i="27"/>
  <c r="L23" i="27"/>
  <c r="L33" i="27" s="1"/>
  <c r="L30" i="27"/>
  <c r="F27" i="27"/>
  <c r="F26" i="27" s="1"/>
  <c r="F28" i="27" s="1"/>
  <c r="F35" i="27" s="1"/>
  <c r="F36" i="27" s="1"/>
  <c r="F38" i="27" s="1"/>
  <c r="O25" i="27"/>
  <c r="O27" i="27" s="1"/>
  <c r="O30" i="27"/>
  <c r="O34" i="27" s="1"/>
  <c r="C36" i="27"/>
  <c r="C38" i="27" s="1"/>
  <c r="G27" i="27"/>
  <c r="G26" i="27" s="1"/>
  <c r="G28" i="27" s="1"/>
  <c r="G35" i="27" s="1"/>
  <c r="P30" i="27"/>
  <c r="H25" i="27"/>
  <c r="D34" i="27"/>
  <c r="G34" i="27"/>
  <c r="E26" i="27"/>
  <c r="E28" i="27" s="1"/>
  <c r="E35" i="27" s="1"/>
  <c r="E36" i="27" s="1"/>
  <c r="E38" i="27" s="1"/>
  <c r="F34" i="52"/>
  <c r="P25" i="52"/>
  <c r="P27" i="52" s="1"/>
  <c r="F25" i="52"/>
  <c r="F27" i="52" s="1"/>
  <c r="L27" i="52"/>
  <c r="L26" i="52" s="1"/>
  <c r="L28" i="52" s="1"/>
  <c r="L35" i="52" s="1"/>
  <c r="L36" i="52" s="1"/>
  <c r="F114" i="58" s="1"/>
  <c r="C27" i="52"/>
  <c r="C26" i="52" s="1"/>
  <c r="C28" i="52" s="1"/>
  <c r="C35" i="52" s="1"/>
  <c r="C36" i="52" s="1"/>
  <c r="C38" i="52" s="1"/>
  <c r="H34" i="52"/>
  <c r="O25" i="52"/>
  <c r="O27" i="52" s="1"/>
  <c r="E28" i="52"/>
  <c r="E35" i="52" s="1"/>
  <c r="E36" i="52" s="1"/>
  <c r="E38" i="52" s="1"/>
  <c r="D26" i="52"/>
  <c r="D28" i="52" s="1"/>
  <c r="D35" i="52" s="1"/>
  <c r="D36" i="52" s="1"/>
  <c r="D38" i="52" s="1"/>
  <c r="H25" i="52"/>
  <c r="K34" i="9"/>
  <c r="K25" i="9"/>
  <c r="H25" i="9"/>
  <c r="H27" i="9" s="1"/>
  <c r="H26" i="9" s="1"/>
  <c r="H28" i="9" s="1"/>
  <c r="H35" i="9" s="1"/>
  <c r="H36" i="9" s="1"/>
  <c r="L28" i="49"/>
  <c r="B141" i="65" s="1"/>
  <c r="E141" i="65" s="1"/>
  <c r="F141" i="65" s="1"/>
  <c r="L10" i="49"/>
  <c r="L14" i="49" s="1"/>
  <c r="L29" i="49" s="1"/>
  <c r="L21" i="49"/>
  <c r="L31" i="49" s="1"/>
  <c r="L18" i="49"/>
  <c r="L30" i="49" s="1"/>
  <c r="M16" i="49"/>
  <c r="D28" i="49"/>
  <c r="D21" i="49"/>
  <c r="D31" i="49" s="1"/>
  <c r="C25" i="49"/>
  <c r="C24" i="49" s="1"/>
  <c r="C26" i="49" s="1"/>
  <c r="C33" i="49" s="1"/>
  <c r="C34" i="49" s="1"/>
  <c r="C36" i="49" s="1"/>
  <c r="M10" i="49"/>
  <c r="M14" i="49" s="1"/>
  <c r="M21" i="49"/>
  <c r="M31" i="49" s="1"/>
  <c r="M28" i="49"/>
  <c r="D23" i="9"/>
  <c r="D30" i="9"/>
  <c r="E34" i="9"/>
  <c r="F30" i="9"/>
  <c r="F34" i="9" s="1"/>
  <c r="L25" i="9"/>
  <c r="L27" i="9" s="1"/>
  <c r="L26" i="9" s="1"/>
  <c r="L28" i="9" s="1"/>
  <c r="L35" i="9" s="1"/>
  <c r="L36" i="9" s="1"/>
  <c r="F112" i="58" s="1"/>
  <c r="F25" i="9"/>
  <c r="F27" i="9" s="1"/>
  <c r="F26" i="9" s="1"/>
  <c r="F28" i="9" s="1"/>
  <c r="F35" i="9" s="1"/>
  <c r="F36" i="9" s="1"/>
  <c r="F38" i="9" s="1"/>
  <c r="N19" i="9"/>
  <c r="M20" i="9"/>
  <c r="G30" i="9"/>
  <c r="G23" i="9"/>
  <c r="E25" i="9"/>
  <c r="M51" i="59"/>
  <c r="C51" i="59"/>
  <c r="K30" i="27"/>
  <c r="J29" i="28"/>
  <c r="J22" i="26"/>
  <c r="J24" i="26" s="1"/>
  <c r="J28" i="26"/>
  <c r="J31" i="26" s="1"/>
  <c r="K25" i="28"/>
  <c r="K24" i="28" s="1"/>
  <c r="K26" i="28" s="1"/>
  <c r="K33" i="28" s="1"/>
  <c r="K34" i="28" s="1"/>
  <c r="K36" i="28" s="1"/>
  <c r="H23" i="26"/>
  <c r="H25" i="26" s="1"/>
  <c r="H32" i="26" s="1"/>
  <c r="G24" i="26"/>
  <c r="G23" i="26" s="1"/>
  <c r="G25" i="26" s="1"/>
  <c r="G32" i="26" s="1"/>
  <c r="G33" i="26" s="1"/>
  <c r="G35" i="26" s="1"/>
  <c r="N20" i="26"/>
  <c r="N30" i="26" s="1"/>
  <c r="N27" i="26"/>
  <c r="K24" i="26"/>
  <c r="K23" i="26" s="1"/>
  <c r="K25" i="26" s="1"/>
  <c r="K32" i="26" s="1"/>
  <c r="E22" i="26"/>
  <c r="E30" i="26"/>
  <c r="E31" i="26" s="1"/>
  <c r="M17" i="26"/>
  <c r="N16" i="26"/>
  <c r="K31" i="27"/>
  <c r="K23" i="52"/>
  <c r="K33" i="52" s="1"/>
  <c r="P20" i="26"/>
  <c r="P30" i="26" s="1"/>
  <c r="P27" i="26"/>
  <c r="O20" i="26"/>
  <c r="O30" i="26" s="1"/>
  <c r="O27" i="26"/>
  <c r="P31" i="30"/>
  <c r="L28" i="30"/>
  <c r="L31" i="30" s="1"/>
  <c r="K23" i="30"/>
  <c r="K25" i="30" s="1"/>
  <c r="K32" i="30" s="1"/>
  <c r="K33" i="30" s="1"/>
  <c r="F29" i="58" s="1"/>
  <c r="H24" i="30"/>
  <c r="H23" i="30" s="1"/>
  <c r="H25" i="30" s="1"/>
  <c r="H32" i="30" s="1"/>
  <c r="H33" i="30" s="1"/>
  <c r="H35" i="30" s="1"/>
  <c r="N28" i="30"/>
  <c r="N31" i="30" s="1"/>
  <c r="N22" i="30"/>
  <c r="N24" i="30" s="1"/>
  <c r="N23" i="30" s="1"/>
  <c r="G22" i="30"/>
  <c r="C23" i="30"/>
  <c r="C25" i="30" s="1"/>
  <c r="C32" i="30" s="1"/>
  <c r="C33" i="30" s="1"/>
  <c r="C35" i="30" s="1"/>
  <c r="D22" i="30"/>
  <c r="F31" i="30"/>
  <c r="D31" i="30"/>
  <c r="L24" i="30"/>
  <c r="L23" i="30" s="1"/>
  <c r="L25" i="30" s="1"/>
  <c r="L32" i="30" s="1"/>
  <c r="I23" i="30"/>
  <c r="I25" i="30" s="1"/>
  <c r="I32" i="30" s="1"/>
  <c r="I33" i="30" s="1"/>
  <c r="P19" i="29"/>
  <c r="P29" i="29" s="1"/>
  <c r="P26" i="29"/>
  <c r="N26" i="29"/>
  <c r="N19" i="29"/>
  <c r="N29" i="29" s="1"/>
  <c r="C32" i="29"/>
  <c r="C34" i="29" s="1"/>
  <c r="M19" i="29"/>
  <c r="M29" i="29" s="1"/>
  <c r="M26" i="29"/>
  <c r="J21" i="29"/>
  <c r="J30" i="29"/>
  <c r="L23" i="29"/>
  <c r="L22" i="29" s="1"/>
  <c r="L24" i="29" s="1"/>
  <c r="L31" i="29" s="1"/>
  <c r="L32" i="29" s="1"/>
  <c r="F116" i="58" s="1"/>
  <c r="H21" i="29"/>
  <c r="D21" i="29"/>
  <c r="F23" i="29"/>
  <c r="F22" i="29" s="1"/>
  <c r="F24" i="29" s="1"/>
  <c r="F31" i="29" s="1"/>
  <c r="E19" i="29"/>
  <c r="E26" i="29"/>
  <c r="N33" i="27"/>
  <c r="N34" i="27" s="1"/>
  <c r="N25" i="27"/>
  <c r="N27" i="27" s="1"/>
  <c r="P23" i="27"/>
  <c r="P33" i="27" s="1"/>
  <c r="J30" i="27"/>
  <c r="J23" i="27"/>
  <c r="J33" i="27" s="1"/>
  <c r="N33" i="52"/>
  <c r="N34" i="52" s="1"/>
  <c r="N25" i="52"/>
  <c r="N27" i="52" s="1"/>
  <c r="P34" i="52"/>
  <c r="J25" i="52"/>
  <c r="J27" i="52" s="1"/>
  <c r="J26" i="52" s="1"/>
  <c r="J34" i="52"/>
  <c r="J32" i="49"/>
  <c r="J23" i="49"/>
  <c r="J25" i="49" s="1"/>
  <c r="J24" i="49" s="1"/>
  <c r="P23" i="9"/>
  <c r="P33" i="9" s="1"/>
  <c r="P30" i="9"/>
  <c r="O23" i="9"/>
  <c r="O33" i="9" s="1"/>
  <c r="O30" i="9"/>
  <c r="N23" i="9"/>
  <c r="N30" i="9"/>
  <c r="J26" i="9"/>
  <c r="J28" i="9" s="1"/>
  <c r="J35" i="9" s="1"/>
  <c r="J36" i="9" s="1"/>
  <c r="K27" i="9"/>
  <c r="K26" i="9" s="1"/>
  <c r="K28" i="9" s="1"/>
  <c r="K35" i="9" s="1"/>
  <c r="K36" i="9" s="1"/>
  <c r="K38" i="9" s="1"/>
  <c r="H33" i="26" l="1"/>
  <c r="H35" i="26" s="1"/>
  <c r="E34" i="49"/>
  <c r="E36" i="49" s="1"/>
  <c r="M33" i="52"/>
  <c r="M34" i="52" s="1"/>
  <c r="M25" i="52"/>
  <c r="M27" i="52" s="1"/>
  <c r="K33" i="26"/>
  <c r="K35" i="26" s="1"/>
  <c r="H34" i="49"/>
  <c r="H36" i="49" s="1"/>
  <c r="J32" i="28"/>
  <c r="J23" i="28"/>
  <c r="J25" i="28" s="1"/>
  <c r="J24" i="28" s="1"/>
  <c r="J26" i="28" s="1"/>
  <c r="J33" i="28" s="1"/>
  <c r="J34" i="28" s="1"/>
  <c r="J36" i="28" s="1"/>
  <c r="F32" i="28"/>
  <c r="I35" i="30"/>
  <c r="M30" i="30"/>
  <c r="M31" i="30" s="1"/>
  <c r="M22" i="30"/>
  <c r="M25" i="27"/>
  <c r="M34" i="27"/>
  <c r="H38" i="9"/>
  <c r="F23" i="58"/>
  <c r="E40" i="58"/>
  <c r="F40" i="58" s="1"/>
  <c r="F34" i="49"/>
  <c r="F36" i="49" s="1"/>
  <c r="G31" i="49"/>
  <c r="G32" i="49" s="1"/>
  <c r="G23" i="49"/>
  <c r="G25" i="49" s="1"/>
  <c r="G24" i="49" s="1"/>
  <c r="G26" i="49" s="1"/>
  <c r="G33" i="49" s="1"/>
  <c r="S22" i="30"/>
  <c r="S24" i="30" s="1"/>
  <c r="S29" i="30"/>
  <c r="E25" i="50"/>
  <c r="R22" i="30"/>
  <c r="R24" i="30" s="1"/>
  <c r="R23" i="30" s="1"/>
  <c r="R25" i="30" s="1"/>
  <c r="R32" i="30" s="1"/>
  <c r="R29" i="30"/>
  <c r="R31" i="30" s="1"/>
  <c r="D26" i="28"/>
  <c r="D33" i="28" s="1"/>
  <c r="D34" i="28" s="1"/>
  <c r="D36" i="28" s="1"/>
  <c r="D30" i="26"/>
  <c r="D31" i="26" s="1"/>
  <c r="D24" i="26"/>
  <c r="D23" i="26" s="1"/>
  <c r="D25" i="26" s="1"/>
  <c r="D32" i="26" s="1"/>
  <c r="O30" i="30"/>
  <c r="O31" i="30" s="1"/>
  <c r="E34" i="50"/>
  <c r="Q29" i="30"/>
  <c r="Q31" i="30" s="1"/>
  <c r="Q22" i="30"/>
  <c r="D27" i="27"/>
  <c r="D26" i="27" s="1"/>
  <c r="D28" i="27" s="1"/>
  <c r="D35" i="27" s="1"/>
  <c r="D36" i="27" s="1"/>
  <c r="D38" i="27" s="1"/>
  <c r="O22" i="30"/>
  <c r="E23" i="30"/>
  <c r="E25" i="30" s="1"/>
  <c r="E32" i="30" s="1"/>
  <c r="E33" i="30" s="1"/>
  <c r="E35" i="30" s="1"/>
  <c r="S31" i="30"/>
  <c r="F32" i="29"/>
  <c r="F34" i="29" s="1"/>
  <c r="F23" i="28"/>
  <c r="D25" i="50"/>
  <c r="L32" i="49"/>
  <c r="K25" i="50"/>
  <c r="K27" i="50" s="1"/>
  <c r="E27" i="50"/>
  <c r="E26" i="50" s="1"/>
  <c r="D34" i="50"/>
  <c r="K19" i="27"/>
  <c r="K20" i="27" s="1"/>
  <c r="K19" i="52"/>
  <c r="K20" i="52" s="1"/>
  <c r="K32" i="52" s="1"/>
  <c r="K34" i="52" s="1"/>
  <c r="J27" i="50"/>
  <c r="J26" i="50" s="1"/>
  <c r="J28" i="50" s="1"/>
  <c r="J35" i="50" s="1"/>
  <c r="J36" i="50" s="1"/>
  <c r="J38" i="50" s="1"/>
  <c r="C23" i="26"/>
  <c r="C25" i="26" s="1"/>
  <c r="C32" i="26" s="1"/>
  <c r="C33" i="26" s="1"/>
  <c r="C35" i="26" s="1"/>
  <c r="L23" i="26"/>
  <c r="L25" i="26" s="1"/>
  <c r="L32" i="26" s="1"/>
  <c r="L33" i="26" s="1"/>
  <c r="K29" i="29"/>
  <c r="K30" i="29" s="1"/>
  <c r="K21" i="29"/>
  <c r="K23" i="29" s="1"/>
  <c r="P21" i="29"/>
  <c r="P23" i="29" s="1"/>
  <c r="N21" i="29"/>
  <c r="N23" i="29" s="1"/>
  <c r="H27" i="27"/>
  <c r="H26" i="27" s="1"/>
  <c r="H28" i="27" s="1"/>
  <c r="H35" i="27" s="1"/>
  <c r="H36" i="27" s="1"/>
  <c r="H38" i="27" s="1"/>
  <c r="P25" i="27"/>
  <c r="L34" i="27"/>
  <c r="M27" i="27"/>
  <c r="G36" i="27"/>
  <c r="G38" i="27" s="1"/>
  <c r="P34" i="27"/>
  <c r="P27" i="27"/>
  <c r="L25" i="27"/>
  <c r="M26" i="27"/>
  <c r="M28" i="27" s="1"/>
  <c r="M35" i="27" s="1"/>
  <c r="M36" i="27" s="1"/>
  <c r="E90" i="58"/>
  <c r="F90" i="58" s="1"/>
  <c r="L38" i="52"/>
  <c r="H27" i="52"/>
  <c r="H26" i="52" s="1"/>
  <c r="H28" i="52" s="1"/>
  <c r="H35" i="52" s="1"/>
  <c r="H36" i="52" s="1"/>
  <c r="F26" i="52"/>
  <c r="F28" i="52" s="1"/>
  <c r="F35" i="52" s="1"/>
  <c r="F36" i="52" s="1"/>
  <c r="F38" i="52" s="1"/>
  <c r="M29" i="49"/>
  <c r="D32" i="49"/>
  <c r="D23" i="49"/>
  <c r="N16" i="49"/>
  <c r="M18" i="49"/>
  <c r="M23" i="49" s="1"/>
  <c r="L23" i="49"/>
  <c r="L25" i="49" s="1"/>
  <c r="D33" i="9"/>
  <c r="D34" i="9" s="1"/>
  <c r="D25" i="9"/>
  <c r="C27" i="9" s="1"/>
  <c r="C26" i="9" s="1"/>
  <c r="C28" i="9" s="1"/>
  <c r="C35" i="9" s="1"/>
  <c r="C36" i="9" s="1"/>
  <c r="C38" i="9" s="1"/>
  <c r="L38" i="9"/>
  <c r="E88" i="58"/>
  <c r="F88" i="58" s="1"/>
  <c r="O19" i="9"/>
  <c r="N20" i="9"/>
  <c r="N32" i="9" s="1"/>
  <c r="E27" i="9"/>
  <c r="E26" i="9" s="1"/>
  <c r="E28" i="9" s="1"/>
  <c r="E35" i="9" s="1"/>
  <c r="E36" i="9" s="1"/>
  <c r="E38" i="9" s="1"/>
  <c r="G33" i="9"/>
  <c r="G34" i="9" s="1"/>
  <c r="G25" i="9"/>
  <c r="M32" i="9"/>
  <c r="M34" i="9" s="1"/>
  <c r="M25" i="9"/>
  <c r="M27" i="9" s="1"/>
  <c r="J23" i="26"/>
  <c r="J25" i="26" s="1"/>
  <c r="J32" i="26" s="1"/>
  <c r="J33" i="26" s="1"/>
  <c r="F48" i="58" s="1"/>
  <c r="L33" i="30"/>
  <c r="L35" i="30" s="1"/>
  <c r="O16" i="26"/>
  <c r="Q16" i="26" s="1"/>
  <c r="Q17" i="26" s="1"/>
  <c r="N17" i="26"/>
  <c r="M29" i="26"/>
  <c r="M31" i="26" s="1"/>
  <c r="M22" i="26"/>
  <c r="M24" i="26" s="1"/>
  <c r="M23" i="26" s="1"/>
  <c r="E24" i="26"/>
  <c r="E23" i="26" s="1"/>
  <c r="E25" i="26" s="1"/>
  <c r="E32" i="26" s="1"/>
  <c r="E33" i="26" s="1"/>
  <c r="E35" i="26" s="1"/>
  <c r="P23" i="30"/>
  <c r="P25" i="30" s="1"/>
  <c r="P32" i="30" s="1"/>
  <c r="P33" i="30" s="1"/>
  <c r="E46" i="58"/>
  <c r="F46" i="58" s="1"/>
  <c r="K35" i="30"/>
  <c r="N25" i="30"/>
  <c r="N32" i="30" s="1"/>
  <c r="N33" i="30" s="1"/>
  <c r="G24" i="30"/>
  <c r="G23" i="30" s="1"/>
  <c r="G25" i="30" s="1"/>
  <c r="G32" i="30" s="1"/>
  <c r="G33" i="30" s="1"/>
  <c r="G35" i="30" s="1"/>
  <c r="F33" i="30"/>
  <c r="F35" i="30" s="1"/>
  <c r="D24" i="30"/>
  <c r="D23" i="30" s="1"/>
  <c r="D25" i="30" s="1"/>
  <c r="D32" i="30" s="1"/>
  <c r="D33" i="30" s="1"/>
  <c r="D35" i="30" s="1"/>
  <c r="P30" i="29"/>
  <c r="O22" i="29"/>
  <c r="O24" i="29" s="1"/>
  <c r="O31" i="29" s="1"/>
  <c r="O32" i="29" s="1"/>
  <c r="N30" i="29"/>
  <c r="L34" i="29"/>
  <c r="E92" i="58"/>
  <c r="F92" i="58" s="1"/>
  <c r="E29" i="29"/>
  <c r="E30" i="29" s="1"/>
  <c r="E21" i="29"/>
  <c r="E23" i="29" s="1"/>
  <c r="J23" i="29"/>
  <c r="J22" i="29" s="1"/>
  <c r="J24" i="29" s="1"/>
  <c r="J31" i="29" s="1"/>
  <c r="J32" i="29" s="1"/>
  <c r="H23" i="29"/>
  <c r="H22" i="29" s="1"/>
  <c r="H24" i="29" s="1"/>
  <c r="H31" i="29" s="1"/>
  <c r="H32" i="29" s="1"/>
  <c r="M21" i="29"/>
  <c r="M23" i="29" s="1"/>
  <c r="D23" i="29"/>
  <c r="D22" i="29" s="1"/>
  <c r="D24" i="29" s="1"/>
  <c r="D31" i="29" s="1"/>
  <c r="D32" i="29" s="1"/>
  <c r="D34" i="29" s="1"/>
  <c r="M30" i="29"/>
  <c r="O26" i="27"/>
  <c r="O28" i="27" s="1"/>
  <c r="O35" i="27" s="1"/>
  <c r="O36" i="27" s="1"/>
  <c r="O38" i="27" s="1"/>
  <c r="N26" i="27"/>
  <c r="N28" i="27" s="1"/>
  <c r="N35" i="27" s="1"/>
  <c r="N36" i="27" s="1"/>
  <c r="J25" i="27"/>
  <c r="J27" i="27" s="1"/>
  <c r="J26" i="27" s="1"/>
  <c r="J28" i="27" s="1"/>
  <c r="J35" i="27" s="1"/>
  <c r="J34" i="27"/>
  <c r="P26" i="52"/>
  <c r="P28" i="52" s="1"/>
  <c r="P35" i="52" s="1"/>
  <c r="P36" i="52" s="1"/>
  <c r="O26" i="52"/>
  <c r="O28" i="52" s="1"/>
  <c r="O35" i="52" s="1"/>
  <c r="O36" i="52" s="1"/>
  <c r="N26" i="52"/>
  <c r="N28" i="52" s="1"/>
  <c r="N35" i="52" s="1"/>
  <c r="N36" i="52" s="1"/>
  <c r="J28" i="52"/>
  <c r="J35" i="52" s="1"/>
  <c r="J36" i="52" s="1"/>
  <c r="J26" i="49"/>
  <c r="J33" i="49" s="1"/>
  <c r="J34" i="49" s="1"/>
  <c r="N33" i="9"/>
  <c r="J38" i="9"/>
  <c r="M26" i="52" l="1"/>
  <c r="M28" i="52" s="1"/>
  <c r="M35" i="52" s="1"/>
  <c r="M36" i="52" s="1"/>
  <c r="D33" i="26"/>
  <c r="D35" i="26" s="1"/>
  <c r="S23" i="30"/>
  <c r="S25" i="30" s="1"/>
  <c r="S32" i="30" s="1"/>
  <c r="M24" i="30"/>
  <c r="M23" i="30" s="1"/>
  <c r="M25" i="30" s="1"/>
  <c r="M32" i="30" s="1"/>
  <c r="M33" i="30" s="1"/>
  <c r="H34" i="29"/>
  <c r="J34" i="29"/>
  <c r="F28" i="58"/>
  <c r="J38" i="52"/>
  <c r="F26" i="58"/>
  <c r="H38" i="52"/>
  <c r="G34" i="49"/>
  <c r="G36" i="49" s="1"/>
  <c r="E41" i="58"/>
  <c r="F41" i="58" s="1"/>
  <c r="F24" i="58"/>
  <c r="L35" i="26"/>
  <c r="E94" i="58"/>
  <c r="F94" i="58" s="1"/>
  <c r="F25" i="28"/>
  <c r="F24" i="28" s="1"/>
  <c r="F26" i="28" s="1"/>
  <c r="F33" i="28" s="1"/>
  <c r="F34" i="28" s="1"/>
  <c r="F36" i="28" s="1"/>
  <c r="Q24" i="30"/>
  <c r="Q23" i="30" s="1"/>
  <c r="Q25" i="30" s="1"/>
  <c r="Q32" i="30" s="1"/>
  <c r="Q33" i="30" s="1"/>
  <c r="R33" i="30"/>
  <c r="E28" i="50"/>
  <c r="E35" i="50" s="1"/>
  <c r="E36" i="50" s="1"/>
  <c r="E38" i="50" s="1"/>
  <c r="P35" i="30"/>
  <c r="E170" i="58"/>
  <c r="F170" i="58" s="1"/>
  <c r="K26" i="50"/>
  <c r="K28" i="50" s="1"/>
  <c r="K35" i="50" s="1"/>
  <c r="K36" i="50" s="1"/>
  <c r="K38" i="50" s="1"/>
  <c r="O24" i="30"/>
  <c r="O23" i="30" s="1"/>
  <c r="O25" i="30" s="1"/>
  <c r="O32" i="30" s="1"/>
  <c r="O33" i="30" s="1"/>
  <c r="S33" i="30"/>
  <c r="D27" i="50"/>
  <c r="D26" i="50" s="1"/>
  <c r="D28" i="50" s="1"/>
  <c r="D35" i="50" s="1"/>
  <c r="D36" i="50" s="1"/>
  <c r="D38" i="50" s="1"/>
  <c r="K25" i="52"/>
  <c r="K27" i="52" s="1"/>
  <c r="K26" i="52" s="1"/>
  <c r="K28" i="52" s="1"/>
  <c r="K35" i="52" s="1"/>
  <c r="K36" i="52" s="1"/>
  <c r="K32" i="27"/>
  <c r="K34" i="27" s="1"/>
  <c r="K25" i="27"/>
  <c r="K27" i="27" s="1"/>
  <c r="K26" i="27" s="1"/>
  <c r="K28" i="27" s="1"/>
  <c r="K35" i="27" s="1"/>
  <c r="Q29" i="26"/>
  <c r="Q31" i="26" s="1"/>
  <c r="Q22" i="26"/>
  <c r="K22" i="29"/>
  <c r="K24" i="29" s="1"/>
  <c r="K31" i="29" s="1"/>
  <c r="K32" i="29" s="1"/>
  <c r="E45" i="58" s="1"/>
  <c r="F45" i="58" s="1"/>
  <c r="O34" i="29"/>
  <c r="E169" i="58"/>
  <c r="F169" i="58" s="1"/>
  <c r="E128" i="58"/>
  <c r="F128" i="58" s="1"/>
  <c r="M38" i="27"/>
  <c r="L27" i="27"/>
  <c r="L26" i="27" s="1"/>
  <c r="L28" i="27" s="1"/>
  <c r="L35" i="27" s="1"/>
  <c r="L36" i="27" s="1"/>
  <c r="F115" i="58" s="1"/>
  <c r="N38" i="27"/>
  <c r="E156" i="58"/>
  <c r="F156" i="58" s="1"/>
  <c r="N38" i="52"/>
  <c r="E155" i="58"/>
  <c r="F155" i="58" s="1"/>
  <c r="O38" i="52"/>
  <c r="E167" i="58"/>
  <c r="F167" i="58" s="1"/>
  <c r="E168" i="58"/>
  <c r="F168" i="58" s="1"/>
  <c r="P38" i="52"/>
  <c r="E191" i="58"/>
  <c r="F191" i="58" s="1"/>
  <c r="N25" i="9"/>
  <c r="N27" i="9" s="1"/>
  <c r="N26" i="9" s="1"/>
  <c r="N28" i="9" s="1"/>
  <c r="N35" i="9" s="1"/>
  <c r="N18" i="49"/>
  <c r="O16" i="49"/>
  <c r="L24" i="49"/>
  <c r="L26" i="49" s="1"/>
  <c r="L33" i="49" s="1"/>
  <c r="L34" i="49" s="1"/>
  <c r="D25" i="49"/>
  <c r="D24" i="49" s="1"/>
  <c r="D26" i="49" s="1"/>
  <c r="D33" i="49" s="1"/>
  <c r="D34" i="49" s="1"/>
  <c r="D36" i="49" s="1"/>
  <c r="M30" i="49"/>
  <c r="M32" i="49" s="1"/>
  <c r="M25" i="49"/>
  <c r="M24" i="49" s="1"/>
  <c r="M26" i="49" s="1"/>
  <c r="M33" i="49" s="1"/>
  <c r="D27" i="9"/>
  <c r="D26" i="9" s="1"/>
  <c r="D28" i="9" s="1"/>
  <c r="D35" i="9" s="1"/>
  <c r="D36" i="9" s="1"/>
  <c r="D38" i="9" s="1"/>
  <c r="N34" i="9"/>
  <c r="O20" i="9"/>
  <c r="P19" i="9"/>
  <c r="G27" i="9"/>
  <c r="G26" i="9" s="1"/>
  <c r="G28" i="9" s="1"/>
  <c r="G35" i="9" s="1"/>
  <c r="G36" i="9" s="1"/>
  <c r="G38" i="9" s="1"/>
  <c r="M26" i="9"/>
  <c r="M28" i="9" s="1"/>
  <c r="M35" i="9" s="1"/>
  <c r="M36" i="9" s="1"/>
  <c r="J35" i="26"/>
  <c r="N29" i="26"/>
  <c r="N31" i="26" s="1"/>
  <c r="N22" i="26"/>
  <c r="N24" i="26" s="1"/>
  <c r="O17" i="26"/>
  <c r="P16" i="26"/>
  <c r="M25" i="26"/>
  <c r="M32" i="26" s="1"/>
  <c r="M33" i="26" s="1"/>
  <c r="N35" i="30"/>
  <c r="E130" i="58"/>
  <c r="F130" i="58" s="1"/>
  <c r="P22" i="29"/>
  <c r="P24" i="29" s="1"/>
  <c r="P31" i="29" s="1"/>
  <c r="P32" i="29" s="1"/>
  <c r="N22" i="29"/>
  <c r="N24" i="29" s="1"/>
  <c r="N31" i="29" s="1"/>
  <c r="N32" i="29" s="1"/>
  <c r="E22" i="29"/>
  <c r="E24" i="29" s="1"/>
  <c r="E31" i="29" s="1"/>
  <c r="E32" i="29" s="1"/>
  <c r="E34" i="29" s="1"/>
  <c r="M22" i="29"/>
  <c r="M24" i="29" s="1"/>
  <c r="M31" i="29" s="1"/>
  <c r="M32" i="29" s="1"/>
  <c r="P26" i="27"/>
  <c r="P28" i="27" s="1"/>
  <c r="P35" i="27" s="1"/>
  <c r="P36" i="27" s="1"/>
  <c r="J36" i="27"/>
  <c r="J38" i="27" s="1"/>
  <c r="J36" i="49"/>
  <c r="E118" i="58" l="1"/>
  <c r="F118" i="58" s="1"/>
  <c r="E106" i="58"/>
  <c r="F106" i="58" s="1"/>
  <c r="M38" i="52"/>
  <c r="E127" i="58"/>
  <c r="F127" i="58" s="1"/>
  <c r="F117" i="58"/>
  <c r="E93" i="58"/>
  <c r="F93" i="58" s="1"/>
  <c r="M35" i="30"/>
  <c r="F32" i="58"/>
  <c r="F33" i="58" s="1"/>
  <c r="E43" i="58"/>
  <c r="F43" i="58" s="1"/>
  <c r="E44" i="58"/>
  <c r="F44" i="58" s="1"/>
  <c r="O35" i="30"/>
  <c r="E158" i="58"/>
  <c r="F158" i="58" s="1"/>
  <c r="Q35" i="30"/>
  <c r="E194" i="58"/>
  <c r="F194" i="58" s="1"/>
  <c r="S35" i="30"/>
  <c r="E231" i="58"/>
  <c r="F231" i="58" s="1"/>
  <c r="E219" i="58"/>
  <c r="F219" i="58" s="1"/>
  <c r="R35" i="30"/>
  <c r="E208" i="58"/>
  <c r="F208" i="58" s="1"/>
  <c r="K38" i="52"/>
  <c r="K36" i="27"/>
  <c r="K38" i="27" s="1"/>
  <c r="Q24" i="26"/>
  <c r="Q23" i="26" s="1"/>
  <c r="Q25" i="26" s="1"/>
  <c r="Q32" i="26" s="1"/>
  <c r="Q33" i="26" s="1"/>
  <c r="Q35" i="26" s="1"/>
  <c r="K34" i="29"/>
  <c r="N34" i="29"/>
  <c r="E157" i="58"/>
  <c r="F157" i="58" s="1"/>
  <c r="P34" i="29"/>
  <c r="E193" i="58"/>
  <c r="F193" i="58" s="1"/>
  <c r="E91" i="58"/>
  <c r="F91" i="58" s="1"/>
  <c r="L38" i="27"/>
  <c r="D11" i="58"/>
  <c r="F11" i="58" s="1"/>
  <c r="G11" i="58" s="1"/>
  <c r="P38" i="27"/>
  <c r="E192" i="58"/>
  <c r="F192" i="58" s="1"/>
  <c r="N36" i="9"/>
  <c r="N38" i="9" s="1"/>
  <c r="M34" i="49"/>
  <c r="L36" i="49"/>
  <c r="E89" i="58"/>
  <c r="F89" i="58" s="1"/>
  <c r="O18" i="49"/>
  <c r="P16" i="49"/>
  <c r="R18" i="49" s="1"/>
  <c r="N30" i="49"/>
  <c r="N32" i="49" s="1"/>
  <c r="N23" i="49"/>
  <c r="N25" i="49" s="1"/>
  <c r="N24" i="49" s="1"/>
  <c r="N26" i="49" s="1"/>
  <c r="N33" i="49" s="1"/>
  <c r="M38" i="9"/>
  <c r="E125" i="58"/>
  <c r="F125" i="58" s="1"/>
  <c r="O32" i="9"/>
  <c r="O34" i="9" s="1"/>
  <c r="O25" i="9"/>
  <c r="O27" i="9" s="1"/>
  <c r="O26" i="9" s="1"/>
  <c r="O28" i="9" s="1"/>
  <c r="O35" i="9" s="1"/>
  <c r="R20" i="9"/>
  <c r="Q20" i="9"/>
  <c r="P20" i="9"/>
  <c r="O29" i="26"/>
  <c r="O31" i="26" s="1"/>
  <c r="O22" i="26"/>
  <c r="O24" i="26" s="1"/>
  <c r="M35" i="26"/>
  <c r="P17" i="26"/>
  <c r="R16" i="26"/>
  <c r="R17" i="26" s="1"/>
  <c r="N23" i="26"/>
  <c r="N25" i="26" s="1"/>
  <c r="N32" i="26" s="1"/>
  <c r="N33" i="26" s="1"/>
  <c r="D13" i="58"/>
  <c r="F13" i="58" s="1"/>
  <c r="G13" i="58" s="1"/>
  <c r="M34" i="29"/>
  <c r="E129" i="58"/>
  <c r="F129" i="58" s="1"/>
  <c r="M36" i="49" l="1"/>
  <c r="E101" i="58"/>
  <c r="F101" i="58" s="1"/>
  <c r="F107" i="58" s="1"/>
  <c r="E113" i="58"/>
  <c r="F113" i="58" s="1"/>
  <c r="F119" i="58" s="1"/>
  <c r="D10" i="58"/>
  <c r="F10" i="58" s="1"/>
  <c r="G10" i="58" s="1"/>
  <c r="E153" i="58"/>
  <c r="F153" i="58" s="1"/>
  <c r="E126" i="58"/>
  <c r="F126" i="58" s="1"/>
  <c r="N34" i="49"/>
  <c r="N36" i="49" s="1"/>
  <c r="F49" i="58"/>
  <c r="K40" i="58" s="1"/>
  <c r="F95" i="58"/>
  <c r="R30" i="49"/>
  <c r="R32" i="49" s="1"/>
  <c r="R23" i="49"/>
  <c r="Q18" i="49"/>
  <c r="P18" i="49"/>
  <c r="O30" i="49"/>
  <c r="O32" i="49" s="1"/>
  <c r="O23" i="49"/>
  <c r="O25" i="49" s="1"/>
  <c r="O36" i="9"/>
  <c r="O38" i="9" s="1"/>
  <c r="R32" i="9"/>
  <c r="R34" i="9" s="1"/>
  <c r="R25" i="9"/>
  <c r="Q32" i="9"/>
  <c r="Q34" i="9" s="1"/>
  <c r="Q25" i="9"/>
  <c r="Q27" i="9" s="1"/>
  <c r="Q26" i="9" s="1"/>
  <c r="Q28" i="9" s="1"/>
  <c r="Q35" i="9" s="1"/>
  <c r="P32" i="9"/>
  <c r="P34" i="9" s="1"/>
  <c r="P25" i="9"/>
  <c r="P27" i="9" s="1"/>
  <c r="M41" i="9"/>
  <c r="D7" i="58"/>
  <c r="F7" i="58" s="1"/>
  <c r="G7" i="58" s="1"/>
  <c r="N35" i="26"/>
  <c r="E131" i="58"/>
  <c r="F131" i="58" s="1"/>
  <c r="R29" i="26"/>
  <c r="R31" i="26" s="1"/>
  <c r="R22" i="26"/>
  <c r="R24" i="26" s="1"/>
  <c r="R23" i="26" s="1"/>
  <c r="R25" i="26" s="1"/>
  <c r="R32" i="26" s="1"/>
  <c r="D14" i="58"/>
  <c r="F14" i="58" s="1"/>
  <c r="G14" i="58" s="1"/>
  <c r="P29" i="26"/>
  <c r="P31" i="26" s="1"/>
  <c r="P22" i="26"/>
  <c r="O23" i="26"/>
  <c r="O25" i="26" s="1"/>
  <c r="O32" i="26" s="1"/>
  <c r="O33" i="26" s="1"/>
  <c r="D12" i="58"/>
  <c r="F12" i="58" s="1"/>
  <c r="M39" i="49" l="1"/>
  <c r="D8" i="58"/>
  <c r="F8" i="58" s="1"/>
  <c r="G8" i="58" s="1"/>
  <c r="E154" i="58"/>
  <c r="F154" i="58" s="1"/>
  <c r="F132" i="58"/>
  <c r="F133" i="58" s="1"/>
  <c r="C60" i="63"/>
  <c r="C42" i="63" s="1"/>
  <c r="C56" i="63" s="1"/>
  <c r="F50" i="58"/>
  <c r="R33" i="26"/>
  <c r="R35" i="26" s="1"/>
  <c r="P24" i="26"/>
  <c r="P23" i="26" s="1"/>
  <c r="P25" i="26" s="1"/>
  <c r="P32" i="26" s="1"/>
  <c r="P33" i="26" s="1"/>
  <c r="E165" i="58"/>
  <c r="F165" i="58" s="1"/>
  <c r="R25" i="49"/>
  <c r="R24" i="49" s="1"/>
  <c r="R26" i="49" s="1"/>
  <c r="R33" i="49" s="1"/>
  <c r="R34" i="49" s="1"/>
  <c r="O24" i="49"/>
  <c r="O26" i="49" s="1"/>
  <c r="O33" i="49" s="1"/>
  <c r="O34" i="49" s="1"/>
  <c r="P30" i="49"/>
  <c r="P32" i="49" s="1"/>
  <c r="P23" i="49"/>
  <c r="Q30" i="49"/>
  <c r="Q32" i="49" s="1"/>
  <c r="Q23" i="49"/>
  <c r="Q25" i="49" s="1"/>
  <c r="Q24" i="49" s="1"/>
  <c r="Q26" i="49" s="1"/>
  <c r="Q33" i="49" s="1"/>
  <c r="Q36" i="9"/>
  <c r="R27" i="9"/>
  <c r="R26" i="9" s="1"/>
  <c r="R28" i="9" s="1"/>
  <c r="R35" i="9" s="1"/>
  <c r="R36" i="9" s="1"/>
  <c r="P26" i="9"/>
  <c r="P28" i="9" s="1"/>
  <c r="P35" i="9" s="1"/>
  <c r="P36" i="9" s="1"/>
  <c r="O35" i="26"/>
  <c r="E159" i="58"/>
  <c r="F159" i="58" s="1"/>
  <c r="G12" i="58"/>
  <c r="G16" i="58" l="1"/>
  <c r="S125" i="58" s="1"/>
  <c r="S128" i="58" s="1"/>
  <c r="F16" i="58"/>
  <c r="F160" i="58"/>
  <c r="S137" i="58"/>
  <c r="E195" i="58"/>
  <c r="F195" i="58" s="1"/>
  <c r="Q34" i="49"/>
  <c r="Q36" i="49" s="1"/>
  <c r="Q38" i="9"/>
  <c r="E203" i="58"/>
  <c r="F203" i="58" s="1"/>
  <c r="R38" i="9"/>
  <c r="E225" i="58"/>
  <c r="F225" i="58" s="1"/>
  <c r="E214" i="58"/>
  <c r="F214" i="58" s="1"/>
  <c r="R36" i="49"/>
  <c r="E215" i="58"/>
  <c r="F215" i="58" s="1"/>
  <c r="P35" i="26"/>
  <c r="E171" i="58"/>
  <c r="F171" i="58" s="1"/>
  <c r="P25" i="49"/>
  <c r="P24" i="49" s="1"/>
  <c r="P26" i="49" s="1"/>
  <c r="P33" i="49" s="1"/>
  <c r="P34" i="49" s="1"/>
  <c r="O36" i="49"/>
  <c r="E166" i="58"/>
  <c r="F166" i="58" s="1"/>
  <c r="F144" i="58"/>
  <c r="F143" i="58"/>
  <c r="P38" i="9"/>
  <c r="E189" i="58"/>
  <c r="F189" i="58" s="1"/>
  <c r="F142" i="58"/>
  <c r="E204" i="58" l="1"/>
  <c r="F204" i="58" s="1"/>
  <c r="F210" i="58" s="1"/>
  <c r="F221" i="58"/>
  <c r="F172" i="58"/>
  <c r="F233" i="58"/>
  <c r="P36" i="49"/>
  <c r="E190" i="58"/>
  <c r="F190" i="58" s="1"/>
  <c r="F196" i="58" l="1"/>
  <c r="F197" i="58" s="1"/>
  <c r="F18" i="65" l="1"/>
  <c r="C18" i="6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Celeni Rocha Lopes da Silva</author>
  </authors>
  <commentList>
    <comment ref="J16" authorId="0" shapeId="0" xr:uid="{00000000-0006-0000-0100-000001000000}">
      <text>
        <r>
          <rPr>
            <sz val="9"/>
            <color indexed="81"/>
            <rFont val="Segoe UI"/>
            <family val="2"/>
          </rPr>
          <t xml:space="preserve">cláusula 17ª CCT10/2019
</t>
        </r>
      </text>
    </comment>
    <comment ref="K16" authorId="0" shapeId="0" xr:uid="{00000000-0006-0000-0100-000002000000}">
      <text>
        <r>
          <rPr>
            <sz val="9"/>
            <color indexed="81"/>
            <rFont val="Segoe UI"/>
            <family val="2"/>
          </rPr>
          <t xml:space="preserve">cláusula 17ª CCT10/2019
</t>
        </r>
      </text>
    </comment>
    <comment ref="L16" authorId="0" shapeId="0" xr:uid="{00000000-0006-0000-0100-000003000000}">
      <text>
        <r>
          <rPr>
            <sz val="9"/>
            <color indexed="81"/>
            <rFont val="Segoe UI"/>
            <family val="2"/>
          </rPr>
          <t xml:space="preserve">cláusula 17ª CCT10/2019
</t>
        </r>
      </text>
    </comment>
    <comment ref="M16" authorId="0" shapeId="0" xr:uid="{00000000-0006-0000-0100-000004000000}">
      <text>
        <r>
          <rPr>
            <sz val="9"/>
            <color indexed="81"/>
            <rFont val="Segoe UI"/>
            <family val="2"/>
          </rPr>
          <t xml:space="preserve">cláusula 17ª CCT10/2019
</t>
        </r>
      </text>
    </comment>
    <comment ref="N16" authorId="0" shapeId="0" xr:uid="{00000000-0006-0000-0100-000005000000}">
      <text>
        <r>
          <rPr>
            <sz val="9"/>
            <color indexed="81"/>
            <rFont val="Segoe UI"/>
            <family val="2"/>
          </rPr>
          <t xml:space="preserve">cláusula 17ª CCT10/2019
</t>
        </r>
      </text>
    </comment>
    <comment ref="O16" authorId="0" shapeId="0" xr:uid="{00000000-0006-0000-0100-000006000000}">
      <text>
        <r>
          <rPr>
            <sz val="9"/>
            <color indexed="81"/>
            <rFont val="Segoe UI"/>
            <family val="2"/>
          </rPr>
          <t xml:space="preserve">cláusula 17ª CCT10/2019
</t>
        </r>
      </text>
    </comment>
    <comment ref="P16" authorId="0" shapeId="0" xr:uid="{00000000-0006-0000-0100-000007000000}">
      <text>
        <r>
          <rPr>
            <sz val="9"/>
            <color indexed="81"/>
            <rFont val="Segoe UI"/>
            <family val="2"/>
          </rPr>
          <t xml:space="preserve">cláusula 17ª CCT10/2019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Celeni Rocha Lopes da Silva</author>
  </authors>
  <commentList>
    <comment ref="H12" authorId="0" shapeId="0" xr:uid="{00000000-0006-0000-0A00-000001000000}">
      <text>
        <r>
          <rPr>
            <b/>
            <sz val="9"/>
            <color indexed="81"/>
            <rFont val="Segoe UI"/>
            <family val="2"/>
          </rPr>
          <t>Celeni Rocha Lopes da Silva:</t>
        </r>
        <r>
          <rPr>
            <sz val="9"/>
            <color indexed="81"/>
            <rFont val="Segoe UI"/>
            <family val="2"/>
          </rPr>
          <t xml:space="preserve">
Desconto de 15% sobre auxílio alimentação conforme cláusula 9ª da CCT DF00212/2018</t>
        </r>
      </text>
    </comment>
    <comment ref="J12" authorId="0" shapeId="0" xr:uid="{00000000-0006-0000-0A00-000002000000}">
      <text>
        <r>
          <rPr>
            <b/>
            <sz val="9"/>
            <color indexed="81"/>
            <rFont val="Segoe UI"/>
            <family val="2"/>
          </rPr>
          <t>Celeni Rocha Lopes da Silva:</t>
        </r>
        <r>
          <rPr>
            <sz val="9"/>
            <color indexed="81"/>
            <rFont val="Segoe UI"/>
            <family val="2"/>
          </rPr>
          <t xml:space="preserve">
Desconto de 15% sobre auxílio alimentação conforme cláusula 9ª da CCT DF00212/2018</t>
        </r>
      </text>
    </comment>
    <comment ref="K12" authorId="0" shapeId="0" xr:uid="{00000000-0006-0000-0A00-000003000000}">
      <text>
        <r>
          <rPr>
            <b/>
            <sz val="9"/>
            <color indexed="81"/>
            <rFont val="Segoe UI"/>
            <family val="2"/>
          </rPr>
          <t>Celeni Rocha Lopes da Silva:</t>
        </r>
        <r>
          <rPr>
            <sz val="9"/>
            <color indexed="81"/>
            <rFont val="Segoe UI"/>
            <family val="2"/>
          </rPr>
          <t xml:space="preserve">
Desconto de 15% sobre auxílio alimentação conforme cláusula 9ª da CCT DF00212/2018</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Celeni Rocha Lopes da Silva</author>
  </authors>
  <commentList>
    <comment ref="C6" authorId="0" shapeId="0" xr:uid="{00000000-0006-0000-0C00-000001000000}">
      <text>
        <r>
          <rPr>
            <b/>
            <sz val="9"/>
            <color indexed="81"/>
            <rFont val="Segoe UI"/>
            <family val="2"/>
          </rPr>
          <t>Celeni Rocha Lopes da Silva:</t>
        </r>
        <r>
          <rPr>
            <sz val="9"/>
            <color indexed="81"/>
            <rFont val="Segoe UI"/>
            <family val="2"/>
          </rPr>
          <t xml:space="preserve">
§ 4º, cláusula 13ª
 CCT DF000010/2019
</t>
        </r>
      </text>
    </comment>
    <comment ref="C39" authorId="0" shapeId="0" xr:uid="{00000000-0006-0000-0C00-000002000000}">
      <text>
        <r>
          <rPr>
            <b/>
            <sz val="9"/>
            <color indexed="81"/>
            <rFont val="Segoe UI"/>
            <family val="2"/>
          </rPr>
          <t>Celeni Rocha Lopes da Silva:</t>
        </r>
        <r>
          <rPr>
            <sz val="9"/>
            <color indexed="81"/>
            <rFont val="Segoe UI"/>
            <family val="2"/>
          </rPr>
          <t xml:space="preserve">
§ 4º, cláusula 13ª
 CCT DF000010/2019
</t>
        </r>
      </text>
    </comment>
    <comment ref="C53" authorId="0" shapeId="0" xr:uid="{00000000-0006-0000-0C00-000003000000}">
      <text>
        <r>
          <rPr>
            <b/>
            <sz val="9"/>
            <color indexed="81"/>
            <rFont val="Segoe UI"/>
            <family val="2"/>
          </rPr>
          <t>Celeni Rocha Lopes da Silva:</t>
        </r>
        <r>
          <rPr>
            <sz val="9"/>
            <color indexed="81"/>
            <rFont val="Segoe UI"/>
            <family val="2"/>
          </rPr>
          <t xml:space="preserve">
§ 4º, cláusula 13ª
 CCT DF000010/2019
</t>
        </r>
      </text>
    </comment>
    <comment ref="C64" authorId="0" shapeId="0" xr:uid="{00000000-0006-0000-0C00-000004000000}">
      <text>
        <r>
          <rPr>
            <b/>
            <sz val="9"/>
            <color indexed="81"/>
            <rFont val="Segoe UI"/>
            <family val="2"/>
          </rPr>
          <t>Celeni Rocha Lopes da Silva:</t>
        </r>
        <r>
          <rPr>
            <sz val="9"/>
            <color indexed="81"/>
            <rFont val="Segoe UI"/>
            <family val="2"/>
          </rPr>
          <t xml:space="preserve">
§ 4º, cláusula 13ª
 CCT DF000010/2019
</t>
        </r>
      </text>
    </comment>
    <comment ref="C126" authorId="0" shapeId="0" xr:uid="{00000000-0006-0000-0C00-000005000000}">
      <text>
        <r>
          <rPr>
            <b/>
            <sz val="9"/>
            <color indexed="81"/>
            <rFont val="Segoe UI"/>
            <family val="2"/>
          </rPr>
          <t>Celeni Rocha Lopes da Silva:</t>
        </r>
        <r>
          <rPr>
            <sz val="9"/>
            <color indexed="81"/>
            <rFont val="Segoe UI"/>
            <family val="2"/>
          </rPr>
          <t xml:space="preserve">
§ 4º, cláusula 13ª
 CCT DF000010/2019
</t>
        </r>
      </text>
    </comment>
    <comment ref="C160" authorId="0" shapeId="0" xr:uid="{00000000-0006-0000-0C00-000006000000}">
      <text>
        <r>
          <rPr>
            <b/>
            <sz val="9"/>
            <color indexed="81"/>
            <rFont val="Segoe UI"/>
            <family val="2"/>
          </rPr>
          <t>Celeni Rocha Lopes da Silva:</t>
        </r>
        <r>
          <rPr>
            <sz val="9"/>
            <color indexed="81"/>
            <rFont val="Segoe UI"/>
            <family val="2"/>
          </rPr>
          <t xml:space="preserve">
§ 4º, cláusula 13ª
 CCT DF000010/2019
</t>
        </r>
      </text>
    </comment>
    <comment ref="C171" authorId="0" shapeId="0" xr:uid="{00000000-0006-0000-0C00-000007000000}">
      <text>
        <r>
          <rPr>
            <b/>
            <sz val="9"/>
            <color indexed="81"/>
            <rFont val="Segoe UI"/>
            <family val="2"/>
          </rPr>
          <t>Celeni Rocha Lopes da Silva:</t>
        </r>
        <r>
          <rPr>
            <sz val="9"/>
            <color indexed="81"/>
            <rFont val="Segoe UI"/>
            <family val="2"/>
          </rPr>
          <t xml:space="preserve">
§ 4º, cláusula 13ª
 CCT DF000010/2019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Leumaise Aparecida dos Santos</author>
  </authors>
  <commentList>
    <comment ref="C147" authorId="0" shapeId="0" xr:uid="{00000000-0006-0000-0F00-000001000000}">
      <text>
        <r>
          <rPr>
            <b/>
            <sz val="9"/>
            <color indexed="81"/>
            <rFont val="Segoe UI"/>
            <family val="2"/>
          </rPr>
          <t>Leumaise Aparecida dos Santos:</t>
        </r>
        <r>
          <rPr>
            <sz val="9"/>
            <color indexed="81"/>
            <rFont val="Segoe UI"/>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Leumaise Aparecida dos Santos</author>
  </authors>
  <commentList>
    <comment ref="C60" authorId="0" shapeId="0" xr:uid="{00000000-0006-0000-1300-000001000000}">
      <text>
        <r>
          <rPr>
            <b/>
            <sz val="9"/>
            <color indexed="81"/>
            <rFont val="Segoe UI"/>
            <family val="2"/>
          </rPr>
          <t>Leumaise Aparecida dos Santos:</t>
        </r>
        <r>
          <rPr>
            <sz val="9"/>
            <color indexed="81"/>
            <rFont val="Segoe UI"/>
            <family val="2"/>
          </rPr>
          <t xml:space="preserve">
</t>
        </r>
      </text>
    </comment>
  </commentList>
</comments>
</file>

<file path=xl/sharedStrings.xml><?xml version="1.0" encoding="utf-8"?>
<sst xmlns="http://schemas.openxmlformats.org/spreadsheetml/2006/main" count="3027" uniqueCount="519">
  <si>
    <t>Uniformes</t>
  </si>
  <si>
    <t>%</t>
  </si>
  <si>
    <t>Custos Indiretos</t>
  </si>
  <si>
    <t>Tributos</t>
  </si>
  <si>
    <t>Lucro</t>
  </si>
  <si>
    <t>Valor (R$)</t>
  </si>
  <si>
    <t>Adicional de Periculosidade</t>
  </si>
  <si>
    <t>Adicional de Insalubridade</t>
  </si>
  <si>
    <t>Adicional Noturno</t>
  </si>
  <si>
    <t xml:space="preserve">Transporte </t>
  </si>
  <si>
    <t>INSS</t>
  </si>
  <si>
    <t>INCRA</t>
  </si>
  <si>
    <t>SEBRAE</t>
  </si>
  <si>
    <t>FGTS</t>
  </si>
  <si>
    <t>Férias</t>
  </si>
  <si>
    <t>13º Salário</t>
  </si>
  <si>
    <t>A</t>
  </si>
  <si>
    <t>B</t>
  </si>
  <si>
    <t>C</t>
  </si>
  <si>
    <t>D</t>
  </si>
  <si>
    <t>E</t>
  </si>
  <si>
    <t>F</t>
  </si>
  <si>
    <t>G</t>
  </si>
  <si>
    <t>H</t>
  </si>
  <si>
    <t>Subtotal</t>
  </si>
  <si>
    <t>SALÁRIO EDUCAÇÃO</t>
  </si>
  <si>
    <t>Aviso prévio indenizado</t>
  </si>
  <si>
    <t>Multa do FGTS do aviso prévio indenizado</t>
  </si>
  <si>
    <t>Aviso prévio trabalhado</t>
  </si>
  <si>
    <t>Multa do FGTS do aviso prévio trabalhado</t>
  </si>
  <si>
    <t>Categoria</t>
  </si>
  <si>
    <t>Encarregado</t>
  </si>
  <si>
    <t>Operador de Máquina Reprográfica</t>
  </si>
  <si>
    <t>Garçom</t>
  </si>
  <si>
    <t>Copeira</t>
  </si>
  <si>
    <t>Recepcionista</t>
  </si>
  <si>
    <t>Telefonista</t>
  </si>
  <si>
    <t>Incidência do FGTS sobre o aviso prévio indenizado</t>
  </si>
  <si>
    <t>Qtd</t>
  </si>
  <si>
    <t>Carga-Horária</t>
  </si>
  <si>
    <t>Valor Total</t>
  </si>
  <si>
    <t>Unitário Mensal
R$</t>
  </si>
  <si>
    <t>Total Mensal
R$</t>
  </si>
  <si>
    <t>ACRÉSCIMO DE CATEGORIAS:COPEIRA E GARÇOM</t>
  </si>
  <si>
    <t>Valor Mensal
R$</t>
  </si>
  <si>
    <t>Valor Anual
R$</t>
  </si>
  <si>
    <t>x</t>
  </si>
  <si>
    <t>Total</t>
  </si>
  <si>
    <t>Quantidade de Postos</t>
  </si>
  <si>
    <t>Valor do Acréscimo ao Contrato</t>
  </si>
  <si>
    <t>Módulo 2 - Benefícios Mensais e Diários</t>
  </si>
  <si>
    <t>Módulo 3 - Insumos Diversos</t>
  </si>
  <si>
    <t>Módulo 4 - Encargos Sociais e Trabalhistas</t>
  </si>
  <si>
    <t>Total Benefícios Mensais Diários</t>
  </si>
  <si>
    <t>Total Insumos Diversos</t>
  </si>
  <si>
    <t>Total Encargos Sociais e Trabalhistas</t>
  </si>
  <si>
    <t>Total Custos Indiretos, Tributos e Lucro</t>
  </si>
  <si>
    <t xml:space="preserve">Módulo 1 - Composição da Remuneração  </t>
  </si>
  <si>
    <t>Módulo 5 - Custos Indiretos, Tributos e Lucro</t>
  </si>
  <si>
    <t>Quadro Resumo do Custo por Posto de Trabalho</t>
  </si>
  <si>
    <t>Salário-base</t>
  </si>
  <si>
    <t>Categoria Profissional: ENCARREGADO</t>
  </si>
  <si>
    <t>Categoria Profissional: OPERADOR DE MÁQUINA REPROGRÁFICA</t>
  </si>
  <si>
    <t>Total Benefícios Mensais e Diários</t>
  </si>
  <si>
    <t>Total Remuneração</t>
  </si>
  <si>
    <t>Total  Remuneração</t>
  </si>
  <si>
    <t>Categoria Profissional: RECEPCIONISTA</t>
  </si>
  <si>
    <t>Categoria Profissional: TELEFONISTA</t>
  </si>
  <si>
    <t>Categoria Profissional: GARÇOM</t>
  </si>
  <si>
    <t>Módulo 1 - Composição da Remuneração</t>
  </si>
  <si>
    <t xml:space="preserve">Auxílio-Alimentação </t>
  </si>
  <si>
    <t>Total Mensal</t>
  </si>
  <si>
    <t>Operador de máquina reprográfica</t>
  </si>
  <si>
    <t>Encarregado de Serviços Gerais</t>
  </si>
  <si>
    <t xml:space="preserve">Subtotal   </t>
  </si>
  <si>
    <t>Total da Remuneração</t>
  </si>
  <si>
    <t>Equipamentos e EPI´s</t>
  </si>
  <si>
    <t xml:space="preserve">Subtotal </t>
  </si>
  <si>
    <t>Salário</t>
  </si>
  <si>
    <t>Categoria Profissional</t>
  </si>
  <si>
    <t>Valor Unitário</t>
  </si>
  <si>
    <t>Servente</t>
  </si>
  <si>
    <t>Encarregado Feminino</t>
  </si>
  <si>
    <t>Encarregado-Mensageiro-Operador de máquina reprográfica</t>
  </si>
  <si>
    <t>Jauzeiro</t>
  </si>
  <si>
    <t>Mensageiro</t>
  </si>
  <si>
    <t>Operador de Máquina Reprogáfica</t>
  </si>
  <si>
    <t>EPI</t>
  </si>
  <si>
    <t>Fornecimento</t>
  </si>
  <si>
    <t>Luvas de segurança látex - P, M, G</t>
  </si>
  <si>
    <t>Mensal</t>
  </si>
  <si>
    <t>Calçado de segurança de PVC - 1 por servente</t>
  </si>
  <si>
    <t>Semestral</t>
  </si>
  <si>
    <t>Máscara de segurança descartável</t>
  </si>
  <si>
    <t>Seguro de vida, auxílio funeral</t>
  </si>
  <si>
    <t xml:space="preserve">Assistência Odontológica </t>
  </si>
  <si>
    <t>4.1</t>
  </si>
  <si>
    <t>Encargos Previdenciários</t>
  </si>
  <si>
    <t>Fundamentação</t>
  </si>
  <si>
    <t>Art. 22 Inciso I, Lei 8212-91</t>
  </si>
  <si>
    <t>SESI OU SESC</t>
  </si>
  <si>
    <t>Lei n. 8.036/90, Art 3°</t>
  </si>
  <si>
    <t>SENAI OU SENAC</t>
  </si>
  <si>
    <t>Decreto n. 2.318/86</t>
  </si>
  <si>
    <t>Lei n. 7.787/89 e DL n. 1.146/70</t>
  </si>
  <si>
    <t>Art. 87.043/82. 3°, Inciso I, Decreto</t>
  </si>
  <si>
    <t>Art. 15 Lei n. 8.030/90 e Art. 7°, III, CF</t>
  </si>
  <si>
    <t>SAT</t>
  </si>
  <si>
    <t>Art. 8° Lei n. 8.154/90 e Lei n. 8.029/90</t>
  </si>
  <si>
    <t>4.2</t>
  </si>
  <si>
    <t>13º Salário e Adicional de Férias</t>
  </si>
  <si>
    <t>Art. 7°, Inciso VIII da Constituição Federal, § 1°, do art. 1/ da Lei n. 4.090/62</t>
  </si>
  <si>
    <t>Art. 7°, Inciso XVII da CF</t>
  </si>
  <si>
    <t>Incidência 4.1 sobre o 13º salário e adicional de férias</t>
  </si>
  <si>
    <t>4.3</t>
  </si>
  <si>
    <t>Afastamento Maternidade</t>
  </si>
  <si>
    <t>Artigos 6° e 201, da CF; art. 392, da CLT</t>
  </si>
  <si>
    <t>Incidência 4.1 sobre o afastamento maternidade</t>
  </si>
  <si>
    <t>4.4</t>
  </si>
  <si>
    <t>Provisão para Rescisão</t>
  </si>
  <si>
    <t>Art. 7°, Inciso XXI da CF; artigos 477,487 e 491, da CLT.</t>
  </si>
  <si>
    <t>Art. 18°, § 1°, da Lei n. 8.036/90, com redação dada pela lei n. 9.491/97; Lei Complementar n. 110/2001.</t>
  </si>
  <si>
    <t>Incidência 4.1 sobre o aviso prévio trabalhado</t>
  </si>
  <si>
    <t>4.5</t>
  </si>
  <si>
    <t>Composição do custo de reposição do profissional ausente</t>
  </si>
  <si>
    <t>Art. 7°, XVII. CF/88</t>
  </si>
  <si>
    <t>Ausência por doença</t>
  </si>
  <si>
    <t>Art.59 a 64 da Lei n. 8.213/91</t>
  </si>
  <si>
    <t>Licença paternidade</t>
  </si>
  <si>
    <t>Art. 7°, XIX, CF/88 e 10. § 1°, da CLT.</t>
  </si>
  <si>
    <t>Ausências legais</t>
  </si>
  <si>
    <t>Art. 473 da CLT</t>
  </si>
  <si>
    <t>Ausências por acidentes de trabalho</t>
  </si>
  <si>
    <t>Art. 19 a 23 da Lei n. 8.213/91</t>
  </si>
  <si>
    <t>Outros (especificar)</t>
  </si>
  <si>
    <t>Incidência-4.1 sobre o custo de reposição</t>
  </si>
  <si>
    <t>Resumo - Encargos Sociais e Trabalhistas</t>
  </si>
  <si>
    <t>13º salário + Adicional de férias</t>
  </si>
  <si>
    <t>Encargos previdenciários e FGTS</t>
  </si>
  <si>
    <t>Afastamento maternidade</t>
  </si>
  <si>
    <t>Custo de rescisão</t>
  </si>
  <si>
    <t>Custo de reposição do profissional ausente</t>
  </si>
  <si>
    <t>5.</t>
  </si>
  <si>
    <t>Custos indiretos, Tributos e Lucro</t>
  </si>
  <si>
    <t>Custos indiretos/despesas administrativas</t>
  </si>
  <si>
    <t>COFINS</t>
  </si>
  <si>
    <t>PIS</t>
  </si>
  <si>
    <t>ISSQN</t>
  </si>
  <si>
    <t>Obs.: Qtd = Números de peças fornecidas anualmente</t>
  </si>
  <si>
    <t>Item</t>
  </si>
  <si>
    <t>Valor Anual</t>
  </si>
  <si>
    <t xml:space="preserve"> Valor Total </t>
  </si>
  <si>
    <t>Profissional</t>
  </si>
  <si>
    <t xml:space="preserve">Valor unitário </t>
  </si>
  <si>
    <t>Total Mensal por servente</t>
  </si>
  <si>
    <t>Summer em tecido de microfibra, externo e interno 100% poliéster na cor branca, forrado internamente, inclusive manga em tecido tipo cetim.</t>
  </si>
  <si>
    <t>Pares de sapatos modelo social, em pelica, cor preta, provida de palmilha acolchoada, com salto em borracha e solado em couro com proteção antiderrapante.</t>
  </si>
  <si>
    <t>Adicional de Periculosidade (30% salário-base)</t>
  </si>
  <si>
    <t xml:space="preserve">Valor </t>
  </si>
  <si>
    <t>Total Mensal - Servente</t>
  </si>
  <si>
    <t>Total Mensal  - Encarregado</t>
  </si>
  <si>
    <t xml:space="preserve">Valor do Posto  </t>
  </si>
  <si>
    <t>Valor do Posto</t>
  </si>
  <si>
    <t>Total Mensal - Jauzeiro</t>
  </si>
  <si>
    <t>Total Mensal - Mensageiro</t>
  </si>
  <si>
    <t>Total  Mensal - Operador de Máquina Reprográfica</t>
  </si>
  <si>
    <t>Total Mensal - Garçom</t>
  </si>
  <si>
    <t>Valor</t>
  </si>
  <si>
    <t>Total Mensal - Copeira</t>
  </si>
  <si>
    <t>Total Mensal - Recepcionista</t>
  </si>
  <si>
    <t>Total Mensal - Telefonista</t>
  </si>
  <si>
    <r>
      <t>Data-Base da Categoria:</t>
    </r>
    <r>
      <rPr>
        <sz val="10"/>
        <color indexed="8"/>
        <rFont val="Times New Roman"/>
        <family val="1"/>
      </rPr>
      <t xml:space="preserve"> 1º de janeiro</t>
    </r>
  </si>
  <si>
    <r>
      <rPr>
        <sz val="10"/>
        <color indexed="8"/>
        <rFont val="Times New Roman"/>
        <family val="1"/>
      </rPr>
      <t>Sindicato:</t>
    </r>
    <r>
      <rPr>
        <b/>
        <sz val="10"/>
        <color indexed="8"/>
        <rFont val="Times New Roman"/>
        <family val="1"/>
      </rPr>
      <t xml:space="preserve"> SINDISERVIÇOS/DF</t>
    </r>
  </si>
  <si>
    <t>Categoria Profissional: SERVENTE</t>
  </si>
  <si>
    <r>
      <rPr>
        <sz val="10"/>
        <color indexed="8"/>
        <rFont val="Times New Roman"/>
        <family val="1"/>
      </rPr>
      <t>Sindicato:</t>
    </r>
    <r>
      <rPr>
        <b/>
        <sz val="10"/>
        <color indexed="8"/>
        <rFont val="Times New Roman"/>
        <family val="1"/>
      </rPr>
      <t xml:space="preserve"> SINTTEL/DF</t>
    </r>
  </si>
  <si>
    <t>Categoria Profissional: JAUZEIRO</t>
  </si>
  <si>
    <t>Categoria Profissional: MENSAGEIRO</t>
  </si>
  <si>
    <t>Categoria Profissional: COPEIRA</t>
  </si>
  <si>
    <t>Total Mensal/Posto</t>
  </si>
  <si>
    <t>Total Gasto Mensal</t>
  </si>
  <si>
    <t>Quadro 01</t>
  </si>
  <si>
    <t xml:space="preserve">Salário-Base </t>
  </si>
  <si>
    <t>Custo/Mês</t>
  </si>
  <si>
    <t xml:space="preserve"> 6% Salário-Base</t>
  </si>
  <si>
    <t>Quadro 02</t>
  </si>
  <si>
    <t>Valor Vale Rodoviária-Casa</t>
  </si>
  <si>
    <t>Custo Unitário do Vale-Transporte</t>
  </si>
  <si>
    <t>EQUIPAMENTOS DE PROTEÇÃO INDIVIDUAL</t>
  </si>
  <si>
    <t>UNIFORMES</t>
  </si>
  <si>
    <t>Valor do Contrato</t>
  </si>
  <si>
    <t>21 dias de novembro</t>
  </si>
  <si>
    <t>9 dias de novembro</t>
  </si>
  <si>
    <t xml:space="preserve">Total </t>
  </si>
  <si>
    <t>GARANTIA</t>
  </si>
  <si>
    <t>Conforme GFIP 2018</t>
  </si>
  <si>
    <t>Auxílio-Alimentação</t>
  </si>
  <si>
    <r>
      <t>Tipo</t>
    </r>
    <r>
      <rPr>
        <b/>
        <sz val="11"/>
        <color indexed="8"/>
        <rFont val="Times New Roman"/>
        <family val="1"/>
      </rPr>
      <t xml:space="preserve"> de Uniforme</t>
    </r>
  </si>
  <si>
    <r>
      <rPr>
        <sz val="11"/>
        <color indexed="8"/>
        <rFont val="Times New Roman"/>
        <family val="1"/>
      </rPr>
      <t>Calça:</t>
    </r>
    <r>
      <rPr>
        <i/>
        <sz val="11"/>
        <color indexed="8"/>
        <rFont val="Times New Roman"/>
        <family val="1"/>
      </rPr>
      <t xml:space="preserve"> </t>
    </r>
    <r>
      <rPr>
        <sz val="11"/>
        <color indexed="8"/>
        <rFont val="Times New Roman"/>
        <family val="1"/>
      </rPr>
      <t>Armação Sarja 2/1 Largura (m): 1.60; Peso (g/m2) 185; composição    tecido  33%  Poliéster  67%  Algodão;  padrão santista ou similar; Cor azul marinho</t>
    </r>
  </si>
  <si>
    <r>
      <t>Camisa</t>
    </r>
    <r>
      <rPr>
        <sz val="11"/>
        <color indexed="8"/>
        <rFont val="Times New Roman"/>
        <family val="1"/>
      </rPr>
      <t xml:space="preserve"> 100%  algodão, tipo  gola  pólo  com  02  (dois) botões, bolso lado esquerdo, na cor azul (marinho).</t>
    </r>
  </si>
  <si>
    <r>
      <t>Tênis c</t>
    </r>
    <r>
      <rPr>
        <sz val="11"/>
        <color indexed="8"/>
        <rFont val="Times New Roman"/>
        <family val="1"/>
      </rPr>
      <t>onfeccionado   em   lona   resistente,   espessura 1,8mm, com forro tecido acolchoado, com palmilha em polipropileno, espessura de 3,00mm, solada em borracha de alta durabilidade, antiderrapante, ilhós de alumínio, com cadarço, na cor azul marinho.</t>
    </r>
  </si>
  <si>
    <r>
      <t>Meias c</t>
    </r>
    <r>
      <rPr>
        <sz val="11"/>
        <color indexed="8"/>
        <rFont val="Times New Roman"/>
        <family val="1"/>
      </rPr>
      <t>onfeccionadas  em  algodão,  tipo  soquete,  na  cor branca.</t>
    </r>
  </si>
  <si>
    <r>
      <t>Blazer/calça</t>
    </r>
    <r>
      <rPr>
        <sz val="11"/>
        <color indexed="8"/>
        <rFont val="Times New Roman"/>
        <family val="1"/>
      </rPr>
      <t xml:space="preserve"> em tecido de micro-fibra, externo e interno 100% poliéster na cor preto, sendo o blazer forrado internamente, inclusive manga em tecido tipo cetim e calça social.</t>
    </r>
  </si>
  <si>
    <r>
      <t>Blusa c</t>
    </r>
    <r>
      <rPr>
        <sz val="11"/>
        <color indexed="8"/>
        <rFont val="Times New Roman"/>
        <family val="1"/>
      </rPr>
      <t>onfeccionada em tecido tricoline misto, na cor bege, com gola, abertura frontal, com bolso do lado esquerdo.</t>
    </r>
  </si>
  <si>
    <r>
      <t>Calça</t>
    </r>
    <r>
      <rPr>
        <sz val="11"/>
        <color indexed="8"/>
        <rFont val="Times New Roman"/>
        <family val="1"/>
      </rPr>
      <t xml:space="preserve"> em tecido de microfibra, 100% poliéster na cor preto.</t>
    </r>
  </si>
  <si>
    <r>
      <t>Meia m</t>
    </r>
    <r>
      <rPr>
        <sz val="11"/>
        <color indexed="8"/>
        <rFont val="Times New Roman"/>
        <family val="1"/>
      </rPr>
      <t>odelo meia calça, em tecido liso 84% poliamida e 16% elastano, tamanho condizente com o manequim, cor preta.</t>
    </r>
  </si>
  <si>
    <r>
      <t>Pares</t>
    </r>
    <r>
      <rPr>
        <sz val="11"/>
        <color indexed="8"/>
        <rFont val="Times New Roman"/>
        <family val="1"/>
      </rPr>
      <t xml:space="preserve"> de sapatos modelo scarpin, gáspea lisa, sem cadarço, solado de borracha termoplástica com desenho anti-derrapante, e anabela, a salto inteiriço e altura entre 03 a 04 cm, na cor preta.</t>
    </r>
  </si>
  <si>
    <r>
      <t>Blazer/Calça</t>
    </r>
    <r>
      <rPr>
        <sz val="11"/>
        <color indexed="8"/>
        <rFont val="Times New Roman"/>
        <family val="1"/>
      </rPr>
      <t xml:space="preserve"> em  tecido  de  micro-fibra,  externo  e interno 100% poliéster na cor preto, sendo o paletó forrado internamente, inclusive manga em tecido tipo cetim, e calça social com dois bolsos na frente tipo faca e dois bolsos traseiros.</t>
    </r>
  </si>
  <si>
    <r>
      <t>Camisa</t>
    </r>
    <r>
      <rPr>
        <sz val="11"/>
        <color indexed="8"/>
        <rFont val="Times New Roman"/>
        <family val="1"/>
      </rPr>
      <t xml:space="preserve">  social em  tecido,  gola  com  intertela,  100% algodão na cor branca.</t>
    </r>
  </si>
  <si>
    <r>
      <t>Gravata</t>
    </r>
    <r>
      <rPr>
        <sz val="11"/>
        <color indexed="8"/>
        <rFont val="Times New Roman"/>
        <family val="1"/>
      </rPr>
      <t xml:space="preserve"> em tecido 100% poliéster, na cor preta.</t>
    </r>
  </si>
  <si>
    <r>
      <t>Pares</t>
    </r>
    <r>
      <rPr>
        <sz val="11"/>
        <color indexed="8"/>
        <rFont val="Times New Roman"/>
        <family val="1"/>
      </rPr>
      <t xml:space="preserve"> de meias tecido 79 % algodão, 20% poliamida e 1% elastano, na cor preta.</t>
    </r>
  </si>
  <si>
    <r>
      <t>Cinto</t>
    </r>
    <r>
      <rPr>
        <sz val="11"/>
        <color indexed="8"/>
        <rFont val="Times New Roman"/>
        <family val="1"/>
      </rPr>
      <t xml:space="preserve"> social em couro legítimo cor preta.</t>
    </r>
  </si>
  <si>
    <r>
      <t>Pares</t>
    </r>
    <r>
      <rPr>
        <sz val="11"/>
        <color indexed="8"/>
        <rFont val="Times New Roman"/>
        <family val="1"/>
      </rPr>
      <t xml:space="preserve"> de sapatos modelo social, em pelica, cor preta, provida de palmilha acolchoada, com salto em borracha e solado em couro com proteção antiderrapante.</t>
    </r>
  </si>
  <si>
    <r>
      <t>Calça</t>
    </r>
    <r>
      <rPr>
        <sz val="11"/>
        <color indexed="8"/>
        <rFont val="Times New Roman"/>
        <family val="1"/>
      </rPr>
      <t xml:space="preserve"> e Paletó em tecido de micro-fibra, externo e interno 100% poliéster na cor preto, sendo o paletó forrado internamente, inclusive manga em tecido tipo cetim, e calça social com dois bolsos na frente tipo faca e dois bolsos traseiros.</t>
    </r>
  </si>
  <si>
    <r>
      <t>Camisa</t>
    </r>
    <r>
      <rPr>
        <sz val="11"/>
        <color indexed="8"/>
        <rFont val="Times New Roman"/>
        <family val="1"/>
      </rPr>
      <t xml:space="preserve"> modelo utilizado por garçom ( peito em pique de 1º qualidade) 69% Algodão Penteado, 31%Poliéstes</t>
    </r>
  </si>
  <si>
    <r>
      <t>Gravata m</t>
    </r>
    <r>
      <rPr>
        <sz val="11"/>
        <color indexed="8"/>
        <rFont val="Times New Roman"/>
        <family val="1"/>
      </rPr>
      <t>odelo borboleta, confeccionada em tecido 100% poliéster, forrada em nylon acabamento de 1ª qualidade</t>
    </r>
  </si>
  <si>
    <r>
      <t>Saia</t>
    </r>
    <r>
      <rPr>
        <sz val="11"/>
        <color indexed="8"/>
        <rFont val="Times New Roman"/>
        <family val="1"/>
      </rPr>
      <t xml:space="preserve"> em tecido de micro-fibra, 100% poliéster na cor cinza escuro.</t>
    </r>
  </si>
  <si>
    <r>
      <t>Blusa</t>
    </r>
    <r>
      <rPr>
        <sz val="11"/>
        <color indexed="8"/>
        <rFont val="Times New Roman"/>
        <family val="1"/>
      </rPr>
      <t xml:space="preserve"> confeccionada em tecido tricoline misto, na cor branca, com gola, abertura frontal, com bolso do lado esquerdo.</t>
    </r>
  </si>
  <si>
    <r>
      <t>Meio</t>
    </r>
    <r>
      <rPr>
        <sz val="11"/>
        <color indexed="8"/>
        <rFont val="Times New Roman"/>
        <family val="1"/>
      </rPr>
      <t xml:space="preserve"> avental confeccionado em tecido gabardine na cor branca.</t>
    </r>
  </si>
  <si>
    <r>
      <t>Meias m</t>
    </r>
    <r>
      <rPr>
        <sz val="11"/>
        <color indexed="8"/>
        <rFont val="Times New Roman"/>
        <family val="1"/>
      </rPr>
      <t>odelo   meia   calça,   em   tecido   liso   84% poliamida e 16% elastano, tamanho condizente com o manequim, cor natural</t>
    </r>
  </si>
  <si>
    <r>
      <t>Avental</t>
    </r>
    <r>
      <rPr>
        <sz val="11"/>
        <color indexed="8"/>
        <rFont val="Times New Roman"/>
        <family val="1"/>
      </rPr>
      <t xml:space="preserve"> em napa, na cor branca.</t>
    </r>
  </si>
  <si>
    <t xml:space="preserve">Demonstrativo Custo Auxílio-Alimentação </t>
  </si>
  <si>
    <t>Demonstrativo Custos Vale-Transporte</t>
  </si>
  <si>
    <t xml:space="preserve">MEMÓRIA DE CÁLCULO DO REAJUSTE </t>
  </si>
  <si>
    <t>CONTRATADA: REAL JG</t>
  </si>
  <si>
    <t>CONTRATO Nº: 024/2016-CJF</t>
  </si>
  <si>
    <t>ÍNDICE: IGP-DI/FGV</t>
  </si>
  <si>
    <t>Mês</t>
  </si>
  <si>
    <t>Variação (%)</t>
  </si>
  <si>
    <t>Reajuste</t>
  </si>
  <si>
    <t>Encargos</t>
  </si>
  <si>
    <r>
      <t xml:space="preserve">Convenção Coletiva Vigente: </t>
    </r>
    <r>
      <rPr>
        <sz val="10"/>
        <color indexed="8"/>
        <rFont val="Times New Roman"/>
        <family val="1"/>
      </rPr>
      <t>CCT/MTE n. DF000031/2019</t>
    </r>
  </si>
  <si>
    <t>Valor Unitário
Vale-Alimentação</t>
  </si>
  <si>
    <t xml:space="preserve">Custo 
Vale-Transporte </t>
  </si>
  <si>
    <t>TOTAL</t>
  </si>
  <si>
    <t>Adicional Insalubridade/
Periculosidade</t>
  </si>
  <si>
    <t>Salário base
CCT DF00010/2019</t>
  </si>
  <si>
    <t>Salário base
CCT DF00001/2018</t>
  </si>
  <si>
    <t>Valor
a partir 1º/1/2019</t>
  </si>
  <si>
    <t>Valor
a partir de 10/11/2018</t>
  </si>
  <si>
    <t>IV T.A ao Contrato atual</t>
  </si>
  <si>
    <t>Garantia Complementar (Endosso) =</t>
  </si>
  <si>
    <t>PERÍODO AQUISITIVO DO REAJUSTE: novembro/2017 a outubro/2018</t>
  </si>
  <si>
    <t xml:space="preserve">Valor unitário posto/mensal </t>
  </si>
  <si>
    <t xml:space="preserve">Total mensal </t>
  </si>
  <si>
    <t>Qtd postos</t>
  </si>
  <si>
    <t>novembro/2018 =</t>
  </si>
  <si>
    <t>janeiro/2019=</t>
  </si>
  <si>
    <t>Valor Vale
Rodoviária-CJF</t>
  </si>
  <si>
    <t>Valor Vale 
Casa-Rodoviária</t>
  </si>
  <si>
    <t>Valor Vale
 CJF-Rodoviária</t>
  </si>
  <si>
    <t>X</t>
  </si>
  <si>
    <t>junho/2019=</t>
  </si>
  <si>
    <t>Garantia V T.A.</t>
  </si>
  <si>
    <t>I T.A. (SUPRESSÃO)</t>
  </si>
  <si>
    <t>VALOR COM POSTO JAUZEIRO</t>
  </si>
  <si>
    <t>VALOR SEM POSTO JAUZEIRO</t>
  </si>
  <si>
    <t>jauzeiro mensal =</t>
  </si>
  <si>
    <t>valor 1/11 a 9/11/19 =</t>
  </si>
  <si>
    <t>valor até out/2019 =</t>
  </si>
  <si>
    <t xml:space="preserve">total até  novembro = </t>
  </si>
  <si>
    <t>OBS: Exclusão dos 2 (dois) postos de trabalho a partir de 1º/6/2019</t>
  </si>
  <si>
    <t>Contribuição PAT</t>
  </si>
  <si>
    <t>Quantidade Mensal/Posto</t>
  </si>
  <si>
    <t>Reajuste negativo (Parecer n. CJF-PAR/00215)</t>
  </si>
  <si>
    <t>Quantidade</t>
  </si>
  <si>
    <r>
      <t>Touca c</t>
    </r>
    <r>
      <rPr>
        <sz val="11"/>
        <color indexed="8"/>
        <rFont val="Times New Roman"/>
        <family val="1"/>
      </rPr>
      <t>onfeccionada em filó, com detalhe em lese na cor branca.</t>
    </r>
  </si>
  <si>
    <t>Valor
a partir 10/11/2019</t>
  </si>
  <si>
    <t>OBS: Exclusão dos 2 (dois) postos de trabalho a partir de 10/11/2019</t>
  </si>
  <si>
    <t>Valores a partir de 10/11/2019</t>
  </si>
  <si>
    <t xml:space="preserve">PLANILHA DE FORMAÇÃO DE PREÇOS E CUSTOS </t>
  </si>
  <si>
    <t>TOTAL ANUAL</t>
  </si>
  <si>
    <t>Quantidade/
Mês</t>
  </si>
  <si>
    <t>ANEXO II - SEXTO TERMO ADITIVO CONTRATO N. 024/2016 - CJF</t>
  </si>
  <si>
    <t xml:space="preserve">ANEXO I AO SEXTO TERMO ADITIVO CONTRATO N. 024/2016 - CJF
PLANILHA DE FORMAÇÃO DE PREÇOS E CUSTOS 
</t>
  </si>
  <si>
    <t>redução uniformes blazer/calça e gravata</t>
  </si>
  <si>
    <t>ANEXO IV AO SEXTO TERMO ADITIVO CONTRATO N. 024/2016-CJF
RESUMO DO VALOR MENSAL/ANUAL</t>
  </si>
  <si>
    <t>TABELA DE ENCARGOS
SEXTO TERMO ADITIVO CONTRATO N. 024/2016-CJF</t>
  </si>
  <si>
    <t>Recepcionista -Telefonista</t>
  </si>
  <si>
    <r>
      <t>Blazer</t>
    </r>
    <r>
      <rPr>
        <sz val="11"/>
        <color indexed="8"/>
        <rFont val="Times New Roman"/>
        <family val="1"/>
      </rPr>
      <t xml:space="preserve"> em tecido de micro-fibra, externo e interno 100% poliéster na cor azul marinho, forrado internamente, inclusive a manga, com tecido tipo cetim.</t>
    </r>
  </si>
  <si>
    <r>
      <t>Saia</t>
    </r>
    <r>
      <rPr>
        <sz val="11"/>
        <color indexed="8"/>
        <rFont val="Times New Roman"/>
        <family val="1"/>
      </rPr>
      <t xml:space="preserve"> em tecido de micro-fibra, 100% poliéster na cor preto.</t>
    </r>
  </si>
  <si>
    <r>
      <t>Calça</t>
    </r>
    <r>
      <rPr>
        <sz val="11"/>
        <color indexed="8"/>
        <rFont val="Times New Roman"/>
        <family val="1"/>
      </rPr>
      <t xml:space="preserve"> em  tecido  de  micro-fibra,  100%  poliéster  na  cor preto.</t>
    </r>
  </si>
  <si>
    <r>
      <t>Blusa</t>
    </r>
    <r>
      <rPr>
        <sz val="11"/>
        <color indexed="8"/>
        <rFont val="Times New Roman"/>
        <family val="1"/>
      </rPr>
      <t xml:space="preserve"> confeccionada  em  tecido  tricoline  misto,  na  cor bege,  com  gola,  abertura  frontal,  com  bolso  do  lado esquerdo.</t>
    </r>
  </si>
  <si>
    <t>Meia modelo meia calça, em tecido liso 84% poliamida e 16% elastano, tamanho condizente com o manequim, cor preta.</t>
  </si>
  <si>
    <r>
      <t>Pares</t>
    </r>
    <r>
      <rPr>
        <sz val="11"/>
        <color indexed="8"/>
        <rFont val="Times New Roman"/>
        <family val="1"/>
      </rPr>
      <t xml:space="preserve">  de  sapatos modelo  scarpin,  gáspea  lisa,  sem cadarço, com palmilha interna, couro vacum, solado de borracha termoplástica com desenho antiderrapante, e anabela, a salto inteiriço e altura entre 03 a 04 cm, na cor preta.</t>
    </r>
  </si>
  <si>
    <t>Salário base/remuneração</t>
  </si>
  <si>
    <t>Valor inicial
(R$)</t>
  </si>
  <si>
    <t xml:space="preserve">Valor I T.A
Repactuação
a partir de 1º/1/2017 </t>
  </si>
  <si>
    <t>Valor I T.A
Reeq. V.Transporte
a partir de 2/1/2017</t>
  </si>
  <si>
    <t>Valor I T.A 
Repactuação
1°/1/2017</t>
  </si>
  <si>
    <t>Valor III T.A</t>
  </si>
  <si>
    <t>Valor II T.A</t>
  </si>
  <si>
    <t>Valor VI T.A 10/11/2019</t>
  </si>
  <si>
    <t>Valor IV T.A</t>
  </si>
  <si>
    <t>Valor V T.A</t>
  </si>
  <si>
    <t>Valor I T.A
Repactuação
1°/1/2017</t>
  </si>
  <si>
    <t>Valor I T.A
Reeq. V. Transporte
2/1/2017</t>
  </si>
  <si>
    <t>Valor VI T.A
a partir 10/11/2019</t>
  </si>
  <si>
    <t xml:space="preserve">Supressão
a partir de 1º/3/2017 </t>
  </si>
  <si>
    <t>I T.A (10/11/2016)</t>
  </si>
  <si>
    <t>Repactuação do contrato, a partir de 1°/1/2017, pela superveniência de disposição legal sobre a remuneção e, os custos dos benefícios mensais e diários e demais componenetes da planilha de valores da prestação dos serviços, por força da Convenção Coletiva de Trabalho 2017/2017, registrada no MTE sob o n. DF000115/2017:
Reajuste de 6,57% sobre os salários das categorias de Encarregado de Serviços Gerais, Servente, Jauzeiro, Mensageiro, Operador de Máquina Reprográfica, Garçom, Copeira e Recepcionista;
Alteração do valor do auxílio alimentação para R$29,50;
Alteração do Seguro de Vida e Assistência Funeral para R$1,50.</t>
  </si>
  <si>
    <t>Repactuação do contrato, a partir de 1°/1/2017, pela superveniência de disposição legal sobre a remuneção e, os custos dos benefícios mensais e diários e demais componenetes da planilha de valores da prestação dos serviços, por força da Convenção Coletiva de Trabalho, registrada no MTE sob o n. DF000205/2017:
Reajuste de 6,58% sobre o salário da categoria Telefonista;
Alteração do valor do auxílio alimentação para R$29,50;
Alteração do valor do Seguro de Vida e Assistência Funeral para R$10,00.</t>
  </si>
  <si>
    <t>II T.A (10/11/2017)</t>
  </si>
  <si>
    <t>Alteração contratual para acréscimo de 2,18% sobre o valor do contrato n. 024/2016-CJF, referente ao aumento de 2 postos de trabalho da categoria Servente, a partir de 16/10/2017.</t>
  </si>
  <si>
    <t>IV T.A (10/11/2018)</t>
  </si>
  <si>
    <t>III T.A (2017)</t>
  </si>
  <si>
    <t>Repactuação do valor contratual, incidente sobre a remuneração e os custos dos insumos e demais componentes da Planilha de Formação de Preços e Custos, por força da Convenção Coletiva de Trabalho n. DF000001/2018 e da Convenção Coletiva de Trabalho n. DF000212/2018, com efeitos a partir de 1°/1/2018.</t>
  </si>
  <si>
    <t>Prorrogação do contrato por 12 (doze) meses, a partir de 10/11/2017.</t>
  </si>
  <si>
    <t>Reequilíbrio do contrato em virtude do reajuste dos valores das tarifas de transporte público do Distrito Federal, a partir de 2/1/2017.</t>
  </si>
  <si>
    <t>Supressão de 1,09% sobre o valor do contrato, correspondente a redução de 01 (um) posto de trabalho da categoria de Copeiragem, a partir de 1°/3/2017.</t>
  </si>
  <si>
    <t>Revisão do contrato para alteração do percentual do SAT 2018, que passa de 1,66% para 1,98% e, por conseguinte dos Encargos Sociais e Previdenciários, passando de 71,78% para 72,18%, com efeitos a partir de 1°/1/2018.</t>
  </si>
  <si>
    <t>Prorrogação da vigência contratual por 12 meses, a partir de 10/11/2018.</t>
  </si>
  <si>
    <t xml:space="preserve">Não pagamentos do Seguro de Vida, Auxílio Funeral, previsto no Módulo 2 - Benefícios Mensais e Diários, da Planilha de Formação de Preços e Custos, nos termos do art. 6° da IN MPOG n. 5/2017, a partir de 1°/1/2019 </t>
  </si>
  <si>
    <t>V T.A (2019)</t>
  </si>
  <si>
    <t>Reajuste do valor do insumo Uniformes, em virtude do reajuste de 9,55%, com efeitos a partir de 10/11/2018.</t>
  </si>
  <si>
    <t>Repactuação por força de Convenção Coletiva de Trabalho 2019/2019 (df000010/2019):
Reajuste de 3,70% sobre os salários das categorias de encarregado de serviços gerais, servente, juazeiro, mensageiro, operador de máquina reprográfica, garçom, copeira e recepcionista;
Alteração do valor do auaxílio alimentação para R$32,70;
Alteração do valor do insumo Assistência Odontológica para R$10,30;
Alteração do valor do insumo Transporte;
Alteração do valor do adicional de periculosidade, na ordem de 30%, em razão do reajuste no salário do posto de trabalho de jauzeiro.</t>
  </si>
  <si>
    <t>Repactuação por força de Convenção Coletiva de Trabalho 2019/2019 (df000010/2019):
Reajuste de 3,70% sobre o salário da categoria de telefonista;
Alteração do valor unitário do insumo auxílio alimentação para R$28,05;
Alteração do valor do insumo Transporte, em virtude do reajuste dos salários.</t>
  </si>
  <si>
    <t>Alteração do percentual do SAT de 1,98% para 2,04%, ocasionando aumento de 72,18% para 72,26%, no total dos encargos sociais, com efeitos a partir de 1°/1/2019.</t>
  </si>
  <si>
    <t>VI T.A (10/11/2019)</t>
  </si>
  <si>
    <t>Prorrogação da vigÊncia contratual por 12 meses.</t>
  </si>
  <si>
    <t>Inclusão dos itens e subitens 2.4, 2.4.1, 2.5, 2.5.1 e 2.5.2, na Cláusula Seguda - Das Obrigações da Contratada.</t>
  </si>
  <si>
    <t>Supressão de 29,09% sobre o valor inicial total atualizado do contrato em faze das alterações quantitativas nos postos de trabalho.</t>
  </si>
  <si>
    <t>Redução de postos de trabaçho: 1 de Encarregado; 5 de Servente; 2 de Mensageiro; 2 de Operador de máquina reprográfica; 3 de Copeira; e 8 de Recepcionista.</t>
  </si>
  <si>
    <t>Exclusão de 2 postos de trabalho de Telefonista.</t>
  </si>
  <si>
    <t>VII T.A (2020)</t>
  </si>
  <si>
    <t>IV T.A (2018)</t>
  </si>
  <si>
    <t>I T.A (2017)</t>
  </si>
  <si>
    <t>Repactuação do contrato, a partir de 1°/1/2017, por força da Convenção Coletiva de Trabalho 2017/2017, registrada no MTE sob o n. DF000115/2017:
Reajuste de 6,57% sobre os salários das categorias de Encarregado de Serviços Gerais, Servente, Jauzeiro, Mensageiro, Operador de Máquina Reprográfica, Garçom, Copeira e Recepcionista;
Alteração do valor do auxílio alimentação para R$29,50;
Alteração do Seguro de Vida e Assistência Funeral para R$1,50.</t>
  </si>
  <si>
    <r>
      <t>Alteração contratual para acréscimo de</t>
    </r>
    <r>
      <rPr>
        <b/>
        <sz val="10"/>
        <color indexed="8"/>
        <rFont val="Times New Roman"/>
        <family val="1"/>
      </rPr>
      <t xml:space="preserve"> 2,18% </t>
    </r>
    <r>
      <rPr>
        <sz val="10"/>
        <color indexed="8"/>
        <rFont val="Times New Roman"/>
        <family val="1"/>
      </rPr>
      <t>sobre o valor do contrato n. 024/2016-CJF, referente ao aumento de 2 postos de trabalho da categoria Servente, a partir de 16/10/2017.</t>
    </r>
  </si>
  <si>
    <t>Repactuação do valor contratual, incidente sobre a remuneração e os custos dos insumos e demais componentes da Planilha de Formação de Preços e Custos, por força da CCT n. DF000001/2018 e da CCT n. DF000212/2018, com efeitos a partir de 1°/1/2018.</t>
  </si>
  <si>
    <t>Revisão: alteração do percentual do SAT 2018, que passa de 1,66% para 1,98% e, por conseguinte dos Encargos Sociais e Previdenciários, passando de 71,78% para 72,18%, com efeitos a partir de 1°/1/2018.</t>
  </si>
  <si>
    <t xml:space="preserve">Reajuste do valor do insumo Uniformes, em virtude do reajuste de 9,55%, com efeitos a partir de 10/11/2018.
Repactuação por força de CCTrabalho 2019/2019 (DF000010/2019):
Reajuste de 3,70% sobre os salários das categorias de encarregado de serviços gerais, servente, juazeiro, mensageiro, operador de máquina reprográfica, garçom, copeira e recepcionista;
Alteração do valor do auaxílio alimentação para R$32,70;
Alteração do valor do insumo Assistência Odontológica para R$10,30;
Alteração do valor do insumo Transporte;
Alteração do valor do adicional de periculosidade, na ordem de 30%, em razão do reajuste no salário do posto de trabalho de jauzeiro.
</t>
  </si>
  <si>
    <t>Reequilíbrio do contrato em virtude do reajuste dos valores das tarifas de transporte público do Distrito Federal, a partir de 2/1/2017.
Supressão de 1,09% sobre o valor do contrato, correspondente a redução de 01 (um) posto de trabalho da categoria de Copeiragem, a partir de 1°/3/2017.</t>
  </si>
  <si>
    <t>Repactuação do contrato, a partir de 1°/1/2017, por força da CCT 2017/2017, registrada no MTE sob o n. DF000115/2017:
Reajuste de 6,57% sobre os salários das categorias de Encarregado de Serviços Gerais, Servente, Jauzeiro, Mensageiro, Operador de Máquina Reprográfica, Garçom, Copeira e Recepcionista;
Alteração do valor do auxílio alimentação para R$29,50;
Alteração do Seguro de Vida e Assistência Funeral para R$1,50.</t>
  </si>
  <si>
    <t>Prorrogação da vigência contratual por 12 meses.</t>
  </si>
  <si>
    <t>Reajuste do valor do insumo Uniformes, em virtude do reajuste de 9,55%, com efeitos a partir de 10/11/2018.
Repactuação por força de CCT 2019/2019 (DF000010/2019):
Reajuste de 3,70% sobre os salários das categorias de encarregado de serviços gerais, servente, juazeiro, mensageiro, operador de máquina reprográfica, garçom, copeira e recepcionista;
Alteração do valor do auaxílio alimentação para R$32,70;
Alteração do valor do insumo Assistência Odontológica para R$10,30;
Alteração do valor do insumo Transporte;
Alteração do valor do adicional de periculosidade, na ordem de 30%, em razão do reajuste no salário do posto de trabalho de jauzeiro.
Revisão de encargos: alteração FAP para 2,04% e total de encargos para 72,26%, a partir de 1//1/2019</t>
  </si>
  <si>
    <t xml:space="preserve">Reajuste do valor do insumo Uniformes, em virtude do reajuste de 9,55%, com efeitos a partir de 10/11/2018; Revisão de encargos: alteração FAP para 2,04% e total de encargos para 72,26%, a partir de 1//1/2019
Repactuação por força de CCTrabalho 2019/2019 (DF000010/2019):
Reajuste de 3,70% sobre os salários das categorias de encarregado de serviços gerais, servente, juazeiro, mensageiro, operador de máquina reprográfica, garçom, copeira e recepcionista;
Alteração do valor do auaxílio alimentação para R$32,70;
Alteração do valor do insumo Assistência Odontológica para R$10,30;
Alteração do valor do insumo Transporte;
Alteração do valor do adicional de periculosidade, na ordem de 30%, em razão do reajuste no salário do posto de trabalho de jauzeiro.
</t>
  </si>
  <si>
    <t>Revisão de encargos: alteração FAP para 2,04% e total de encargos para 72,26%, a partir de 1//1/2019</t>
  </si>
  <si>
    <t xml:space="preserve">Reajuste do valor do insumo Uniformes, em virtude do reajuste de 9,55%, com efeitos a partir de 10/11/2018; Revisão de encargos: alteração FAP para 2,04% e total de encargos para 72,26%, a partir de 1//1/2019
Repactuação por força de CCT 2019/2019 (DF000010/2019): Reajuste de 3,70% sobre os salários das categorias de encarregado de serviços gerais, servente, juazeiro, mensageiro, operador de máquina reprográfica, garçom, copeira e recepcionista;
Alteração do valor do auaxílio alimentação para R$32,70;
Alteração do valor do insumo Assistência Odontológica para R$10,30;
Alteração do valor do insumo Transporte;
Alteração do valor do adicional de periculosidade, na ordem de 30%, em razão do reajuste no salário do posto de trabalho de jauzeiro.
</t>
  </si>
  <si>
    <t>Valor VI TA
a partir 1º/1/2019</t>
  </si>
  <si>
    <t>Reequilíbrio do contrato em virtude do reajuste dos valores das tarifas de transporte público do Distrito Federal, a partir de 2/1/2017.
Supressão de 1,09% sobre o valor do contrato, correspondente a redução de 01 (um) posto de trabalho da categoria de Copeiragem, a partir de 1°/3/2017.
Repactuação do contrato, a partir de 1°/1/2017, por força da CCT 2017/2017, registrada no MTE sob o n. DF000115/2017:
Reajuste de 6,57% sobre os salários das categorias de Encarregado de Serviços Gerais, Servente, Jauzeiro, Mensageiro, Operador de Máquina Reprográfica, Garçom, Copeira e Recepcionista;
Alteração do valor do auxílio alimentação para R$29,50;
Alteração do Seguro de Vida e Assistência Funeral para R$1,50.</t>
  </si>
  <si>
    <t>Repactuação por força de CCT 2020/2020 (DF000001/2020): reajuste de 3,20% sobre os salários das categorias de encarregado de serviços gerais, servente, juazeiro, mensageiro, operador de máquina reprográfica, garçom, copeira e recepcionista;
Alteração do valor do auaxílio alimentação para R$33,62;
Alteração do valor do insumo Assistência Odontológica para R$10,63;
Alteração do valor do custeio insumo Transporte;
Reequilíbrio do insumo transporte (tarifa de R$5,00 para R5,50, totalizando R$ 11,00 por dia e por profissionoal), a partir de 13/1/2020, nos termo do Dec. GDF 40.381/2020
Acréscimo de      % : 3 postos de trabalho da categoria de recepcionista, a partir da assinatura do termo</t>
  </si>
  <si>
    <t>Repactuação por força de CCT 2020/2020 (DF000001/2020): reajuste de 3,20% sobre os salários das categorias de encarregado de serviços gerais, servente, juazeiro, mensageiro, operador de máquina reprográfica, garçom, copeira e recepcionista;
Alteração do valor do auaxílio alimentação para R$33,62;
Alteração do valor do insumo Assistência Odontológica para R$10,63;
Alteração do valor do custeio insumo Transporte;
Reequilíbrio do insumo transporte (tarifa de R$5,00 para R5,50, totalizando R$ 11,00 por dia e por profissionoal), a partir de 13/1/2020, nos termo do Dec. GDF 40.381/2020
Acréscimo de      % : 3 postos de trabalho da categoria de recepcionista, a partir da assinatura do termo aditivo</t>
  </si>
  <si>
    <t>Repactuação por força de CCT 2020/2020 (DF000001/2020): reajuste de 3,20% sobre os salários das categorias de encarregado de serviços gerais, servente, juazeiro, mensageiro, operador de máquina reprográfica, garçom, copeira e recepcionista;
Alteração do valor do auaxílio alimentação para R$33,62;
Alteração do valor do insumo Assistência Odontológica para R$10,63;
Alteração do valor do custeio insumo Transporte;
Reequilíbrio do insumo transporte (tarifa de R$5,00 para R5,50, totalizando R$ 11,00 por dia e por profissionoal), a partir de 13/1/2020, nos termo do Dec. GDF 40.381/2020
Acréscimo de      % : 3 postos de trabalho da categoria de recepcionista</t>
  </si>
  <si>
    <t>Repactuação por força de CCT 2020/2020 (DF000001/2020): reajuste de 3,20% sobre os salários das categorias de encarregado de serviços gerais, servente, juazeiro, mensageiro, operador de máquina reprográfica, garçom, copeira e recepcionista;
Alteração do valor do auaxílio alimentação para R$33,62;
Alteração do valor do insumo Assistência Odontológica para R$10,63;
Alteração do valor do custeio insumo Transporte;
Reequilíbrio do insumo transporte (tarifa de R$5,00 para R5,50, totalizando R$ 11,00 por dia e por profissionoal), a partir de 13/1/2020, nos termo do Dec. GDF 40.381/2020
Acréscimo de      % : 3 postos de trabalho da categoria de recepcionista, a partir da assiantura do termo.</t>
  </si>
  <si>
    <t>Conforme GFIP 2020</t>
  </si>
  <si>
    <t>ALTERAÇÕES QUANTITATIVOS DE POSTOS DE TRABALHO - VI T. A.  - CTR N. 024/2016 - CJF</t>
  </si>
  <si>
    <t>Valor mensal do posto</t>
  </si>
  <si>
    <t>Qtd Postos</t>
  </si>
  <si>
    <t>Total Anual</t>
  </si>
  <si>
    <t>TOTAL DA CONTRATAÇÃO</t>
  </si>
  <si>
    <t>Quadro I - Contratação incial - valor atualizado (equilíbrio econômico-financeiro 2020)</t>
  </si>
  <si>
    <t>Calculo do acréscimo</t>
  </si>
  <si>
    <t>Total do acréscimo (%)</t>
  </si>
  <si>
    <t>=</t>
  </si>
  <si>
    <t>-</t>
  </si>
  <si>
    <t>Demonstrativo Custo Auxílio-Alimentação (a partir de 1º/1/2020)</t>
  </si>
  <si>
    <t>Demonstrativo Custos Vale-Transporte (a partir de 1º/1/2020)</t>
  </si>
  <si>
    <t>Demonstrativo Custos Vale-Transporte (a partir de 13/1/2020)</t>
  </si>
  <si>
    <t>Demonstrativo Custo Auxílio-Alimentação (VI T.A)</t>
  </si>
  <si>
    <t>21 dias</t>
  </si>
  <si>
    <t>12 dias</t>
  </si>
  <si>
    <t>18 dias</t>
  </si>
  <si>
    <t>acréscimo</t>
  </si>
  <si>
    <t>9 dias (9/11/2020)</t>
  </si>
  <si>
    <t>VI T.A ao Contrato atual</t>
  </si>
  <si>
    <t>13 dias</t>
  </si>
  <si>
    <t>17 dias</t>
  </si>
  <si>
    <t>Demonstrativo Custo Auxílio-Alimentação (a partir de 60 dias após assinatura do termo)</t>
  </si>
  <si>
    <t>EQUIPAMENTOS DE PROTEÇÃO INDIVIDUAL - EPI</t>
  </si>
  <si>
    <t>TOTAL (para 12 (doze) meses)</t>
  </si>
  <si>
    <t>RAT ajustado (RAT X FAP)</t>
  </si>
  <si>
    <t>ANEXO III AO OITAVO TERMO ADITIVO</t>
  </si>
  <si>
    <t>ANEXO II AO OITAVO TERMO ADITIVO</t>
  </si>
  <si>
    <t>ANEXO IV AO OITAVO TERMO ADITIVO CONTRATO N. 024/2016-CJF
QUADRO II RESUMO DO VALOR MENSAL/ANUAL (repactuação/revisão/reequilíbrio 2020)</t>
  </si>
  <si>
    <t xml:space="preserve">QUADRO III - ACRÉSCIMOS VIII T. A.  (Quantitativo de postos de trabalho)  
</t>
  </si>
  <si>
    <t>TABELA DE ENCARGOS - VIII TERMO ADITIVO 01/01/2020
SEXTO TERMO ADITIVO CONTRATO N. 024/2016-CJF</t>
  </si>
  <si>
    <t>Garantia VIII T.A.</t>
  </si>
  <si>
    <t>VIII T.A (2020)</t>
  </si>
  <si>
    <t>Valor VIII T.A
13/1/2020</t>
  </si>
  <si>
    <t>Valor VIII T.A
1º/1/2020</t>
  </si>
  <si>
    <t>Valor VIII T.A
a partir de 1º/1/2020</t>
  </si>
  <si>
    <t>Valor VIII T.A
a partir de 13/1/2020</t>
  </si>
  <si>
    <t xml:space="preserve">Lei n. 8.036/90, Art 3° / </t>
  </si>
  <si>
    <t>Lei n. 8.036/90, Art 3° / MP 932/2020</t>
  </si>
  <si>
    <t>Valor IX T.A
 1º/4/2020 a 30/6/2020</t>
  </si>
  <si>
    <t xml:space="preserve">Valor IX T.A
a partir de 1º/7/2020 </t>
  </si>
  <si>
    <t xml:space="preserve">Valor IX T.A
a partir de 10/11/2020 </t>
  </si>
  <si>
    <t>Valores (acréscimo de 3 postos de recepcionista) a partir de 60 dias após ordem de serviço</t>
  </si>
  <si>
    <t>RESUMO DO CONTRATO (a partir de 1º/7/2020)</t>
  </si>
  <si>
    <t>Valores a partir de 10/11/2020 (prorrogação)</t>
  </si>
  <si>
    <t xml:space="preserve"> </t>
  </si>
  <si>
    <t>Data base: 1º de janeiro</t>
  </si>
  <si>
    <t>Demonstrativo Custos Vale-Transporte (a partir de 10/11/2020)</t>
  </si>
  <si>
    <r>
      <t xml:space="preserve"> Auxílio-Alimentação</t>
    </r>
    <r>
      <rPr>
        <b/>
        <sz val="9"/>
        <rFont val="Times New Roman"/>
        <family val="1"/>
      </rPr>
      <t xml:space="preserve"> </t>
    </r>
  </si>
  <si>
    <t>Demonstrativo Custo Auxílio-Alimentação</t>
  </si>
  <si>
    <t>ANEXO II AO NONO TERMO ADITIVO AO CONTRATO N. 024/2016-CJF</t>
  </si>
  <si>
    <t>ANEXO III AO NONO TERMO ADITIVO AO CONTRATO N. 024/2016-CJF</t>
  </si>
  <si>
    <t>ANEXO IV AO NONO TERMO ADITIVO AO CONTRATO N. 024-2016-CJF</t>
  </si>
  <si>
    <t>ANEXO V AO NONO TERMO ADITIVO CONTRATO 024/2016 - CJF</t>
  </si>
  <si>
    <t>ANEXO VI AO NOVO TERMO ADITIVO AO CONTRATO N. 024-2016-CJF</t>
  </si>
  <si>
    <t xml:space="preserve">Valor X T.A
a partir de 1º/1/2021 </t>
  </si>
  <si>
    <t>TABELA DE ENCARGOS - X TERMO ADITIVO 1º/1/2021
SEXTO TERMO ADITIVO CONTRATO N. 024/2016-CJF</t>
  </si>
  <si>
    <t>Multa do FGTS rescisão sem justa causa (Lei 13.932/2019, art. 12: extinção da cobrança da contrituição de 10%, a partir de 1º/1/2020)</t>
  </si>
  <si>
    <t>TABELA DE ENCARGOS - VIIII TERMO ADITIVO 01/4/2020 A 30/6/2020 (MP 932/2020)
SEXTO TERMO ADITIVO CONTRATO N. 024/2016-CJF</t>
  </si>
  <si>
    <t xml:space="preserve">Valor X T.A
a partir de 10/11/2020 </t>
  </si>
  <si>
    <t>Valor X T.A supressão 2 postos a partir de 1º/6/2021</t>
  </si>
  <si>
    <t xml:space="preserve">Valor X T.A reinclusão 2 postos a partir de 1º/6/2021
</t>
  </si>
  <si>
    <t>ANEXO II AO DÉCIMO TERMO ADITIVO AO CONTRATO N. 024/2016-CJF</t>
  </si>
  <si>
    <t>Demonstrativo Custos Vale-Transporte (a partir de 1º/1/2021)</t>
  </si>
  <si>
    <t>Demonstrativo Custo Auxílio-Alimentação a partir de 1º/6/2021</t>
  </si>
  <si>
    <t>Demonstrativo Custo Auxílio-Alimentação a partir de 1º/1/2021</t>
  </si>
  <si>
    <t>ANEXO III AO DÉCIMO TERMO ADITIVO AO CONTRATO N. 024/2016-CJF</t>
  </si>
  <si>
    <t>Demonstrativo Custos Vale-Transporte (a partir de 1º/6/2021)</t>
  </si>
  <si>
    <t>ANEXO IV AO DÉCIMO TERMO ADITIVO CONTRATO N. 024/2016-CJF</t>
  </si>
  <si>
    <t>ANEXO V AO DÉCIMO TERMO ADITIVO CONTRATO 024/2016 - CJF</t>
  </si>
  <si>
    <t>Limpadores de Fachadas (Jauzeiros)</t>
  </si>
  <si>
    <t>Calça: Armação Sarja 2/1 Largura (m): 1.60; Peso (g/m2) 185; composição    tecido  33%  Poliéster  67%  Algodão;  padrão santista ou similar; Cor azul marinho</t>
  </si>
  <si>
    <t>CAMISA - 100% algodão - tipo gola polo com 02 (dois) botões, bolso lado esquerdo, na cor azul (marinho).</t>
  </si>
  <si>
    <t>JALECO LONGO Confeccionado em tecido algodão poliéster, padrão santista ou similar. Especificações técnicas do técido: Armação: Sarja 3/1; Composição: 40% poliéster e 60% algodão; Largura: 1,61 m; Peso (g/m²): 158; e Cor: Azul marinho.</t>
  </si>
  <si>
    <t>Botina: Confeccionada em vaqueta curtida ao cromo, espessura de 2,2 cm = 0,2 mm, com forro em raspa de couro curtido ao cromo, espessura de 1,00mm, com palmilha natural curtida ao tanino, espessura de 3,00mm, solado em PU antiestático injetado diretamente no cabedal.</t>
  </si>
  <si>
    <t xml:space="preserve">Meias: Confeccionada em algodão, tipo soquete, na cor branca. </t>
  </si>
  <si>
    <t>Tipo de Uniforme</t>
  </si>
  <si>
    <t>9 dias</t>
  </si>
  <si>
    <t>Garantia X T.A.</t>
  </si>
  <si>
    <t>IX T.A ao Contrato atual</t>
  </si>
  <si>
    <t>Capacete</t>
  </si>
  <si>
    <t>1 kit para cada jauzeiro por semestre</t>
  </si>
  <si>
    <t>Vestimenta para proteção do tronco contra umidade proveniente de operação com uso de água.</t>
  </si>
  <si>
    <t xml:space="preserve">Luvas para proteção contra umidade proveniente de operações com uso de água. </t>
  </si>
  <si>
    <t>Calçado para proteção dos pés e pernas contra umidade proveniente de operações com uso de água.</t>
  </si>
  <si>
    <t xml:space="preserve">Perneira para proteção da perna contra umidade proveniente de operações com uso de água. </t>
  </si>
  <si>
    <t>Óculos contra respingos e de proteção contra luminosidade.</t>
  </si>
  <si>
    <t xml:space="preserve">Dispositivo trava-queda para uso com cinturão de segurança. </t>
  </si>
  <si>
    <t>Cinturão de segurança para proteção contra riscos de queda em trabalhos em altura.</t>
  </si>
  <si>
    <t>Total Mensal por jauzeiro</t>
  </si>
  <si>
    <t>(A) Material</t>
  </si>
  <si>
    <t>Und</t>
  </si>
  <si>
    <t xml:space="preserve">Cadeira Suspensa (Balancim Individual) com capacidade para 120Kg, para serviços de limpeza em fachadas, com trava-quedas, trava de segurança, manivela sobe/desce, caixa de engrenangem de redução e sistema de segurança Backup com trava-quedas com cabo de aço de 6,3mm para fixação em dispositivos de ancoragem de equipamentos de sustentação e cadeira suspensa. </t>
  </si>
  <si>
    <t>und</t>
  </si>
  <si>
    <t xml:space="preserve">*valores atualizados de acordo com o X T.A. </t>
  </si>
  <si>
    <t>acréscimos X T.A.</t>
  </si>
  <si>
    <t>supressão X T.A.</t>
  </si>
  <si>
    <t>Valor diferença</t>
  </si>
  <si>
    <t>III T.A.</t>
  </si>
  <si>
    <t>Aditivo</t>
  </si>
  <si>
    <t>VIII T.A.</t>
  </si>
  <si>
    <t>X T.A.</t>
  </si>
  <si>
    <t>% Acréscimo</t>
  </si>
  <si>
    <t>% Supressão</t>
  </si>
  <si>
    <t>I T.A.</t>
  </si>
  <si>
    <t>V T.A.</t>
  </si>
  <si>
    <t xml:space="preserve">Cálculo % </t>
  </si>
  <si>
    <t>Cálculo %</t>
  </si>
  <si>
    <t>*VI T.A. 29,09% por acordo entre as partes</t>
  </si>
  <si>
    <t>Conforme GFIP 2021</t>
  </si>
  <si>
    <t>Anexos ao Décimo Termo Aditivo ao Contrato n. 024/2016-CJF celebrado entre o CONSELHO DA JUSTIÇA FEDERAL e a empresa REAL JG SERVIÇOS GERAIS EIRELI para a prestação de serviços de natureza continuada de limpeza, copeiragem, recepção, mensageria, reprografia e telefonia, nas instalações do Edifício-Sede e da Gráfica do Conselho da Justiça Federal.</t>
  </si>
  <si>
    <t xml:space="preserve">ANEXO I AO DÉCIMO TERMO ADITIVO CONTRATO N. 024/2016 - CJF
</t>
  </si>
  <si>
    <t>Convenção Coletiva Vigente: CCT/MTE n. DF000038/2021</t>
  </si>
  <si>
    <r>
      <t xml:space="preserve">Convenção Coletiva Vigente: </t>
    </r>
    <r>
      <rPr>
        <sz val="10"/>
        <color indexed="8"/>
        <rFont val="Times New Roman"/>
        <family val="1"/>
      </rPr>
      <t>CCT/MTE n. DF000038/2021</t>
    </r>
  </si>
  <si>
    <t xml:space="preserve">ANEXO I AO DÉCIMO TERMO ADITIVO CONTRATO N. 024/2016 - CJF
PLANILHA DE FORMAÇÃO DE PREÇOS E CUSTOS 
</t>
  </si>
  <si>
    <t xml:space="preserve">ANEXO I AO DÉCIMO TERMO ADITIVO CONTRATO N. 024/2016 - CJF
PLANILHA DE FORMAÇÃO DE PREÇOS E CUSTOS </t>
  </si>
  <si>
    <t>Adicional de Insalubridade: 20% salário mínimo vigente</t>
  </si>
  <si>
    <t>Blazer/calça em tecido de micro-fibra, externo e interno 100% poliéster na cor preto, sendo o blazer forrado internamente, inclusive manga em tecido tipo cetim e calça social.</t>
  </si>
  <si>
    <t>Blusa confeccionada em tecido tricoline misto, na cor bege, com gola, abertura frontal, com bolso do lado esquerdo.</t>
  </si>
  <si>
    <t>Calça em tecido de microfibra, 100% poliéster na cor preto.</t>
  </si>
  <si>
    <t>Pares de sapatos modelo scarpin, gáspea lisa, sem cadarço, solado de borracha termoplástica com desenho anti-derrapante, e anabela, a salto inteiriço e altura entre 03 a 04 cm, na cor preta.</t>
  </si>
  <si>
    <r>
      <rPr>
        <sz val="11"/>
        <rFont val="Times New Roman"/>
        <family val="1"/>
      </rPr>
      <t>Calça:</t>
    </r>
    <r>
      <rPr>
        <i/>
        <sz val="11"/>
        <rFont val="Times New Roman"/>
        <family val="1"/>
      </rPr>
      <t xml:space="preserve"> </t>
    </r>
    <r>
      <rPr>
        <sz val="11"/>
        <rFont val="Times New Roman"/>
        <family val="1"/>
      </rPr>
      <t>Armação Sarja 2/1 Largura (m): 1.60; Peso (g/m2) 185; composição    tecido  33%  Poliéster  67%  Algodão;  padrão santista ou similar; Cor azul marinho</t>
    </r>
  </si>
  <si>
    <t>Camisa 100%  algodão, tipo  gola  pólo  com  02  (dois) botões, bolso lado esquerdo, na cor azul (marinho).</t>
  </si>
  <si>
    <t>Tênis confeccionado   em   lona   resistente,   espessura 1,8mm, com forro tecido acolchoado, com palmilha em polipropileno, espessura de 3,00mm, solada em borracha de alta durabilidade, antiderrapante, ilhós de alumínio, com cadarço, na cor azul marinho.</t>
  </si>
  <si>
    <t>Meias confeccionadas  em  algodão,  tipo  soquete,  na  cor branca.</t>
  </si>
  <si>
    <t>Blazer/Calça em  tecido  de  micro-fibra,  externo  e interno 100% poliéster na cor preto, sendo o paletó forrado internamente, inclusive manga em tecido tipo cetim, e calça social com dois bolsos na frente tipo faca e dois bolsos traseiros.</t>
  </si>
  <si>
    <t>Camisa  social em  tecido,  gola  com  intertela,  100% algodão na cor branca.</t>
  </si>
  <si>
    <t>Gravata em tecido 100% poliéster, na cor preta.</t>
  </si>
  <si>
    <t>Pares de meias tecido 79 % algodão, 20% poliamida e 1% elastano, na cor preta.</t>
  </si>
  <si>
    <t>Cinto social em couro legítimo cor preta.</t>
  </si>
  <si>
    <t>Calça e Paletó em tecido de micro-fibra, externo e interno 100% poliéster na cor preto, sendo o paletó forrado internamente, inclusive manga em tecido tipo cetim, e calça social com dois bolsos na frente tipo faca e dois bolsos traseiros.</t>
  </si>
  <si>
    <t>Camisa modelo utilizado por garçom ( peito em pique de 1º qualidade) 69% Algodão Penteado, 31%Poliéstes</t>
  </si>
  <si>
    <t>Gravata modelo borboleta, confeccionada em tecido 100% poliéster, forrada em nylon acabamento de 1ª qualidade</t>
  </si>
  <si>
    <t>Saia em tecido de micro-fibra, 100% poliéster na cor cinza escuro.</t>
  </si>
  <si>
    <t>Blusa confeccionada em tecido tricoline misto, na cor branca, com gola, abertura frontal, com bolso do lado esquerdo.</t>
  </si>
  <si>
    <t>Meio avental confeccionado em tecido gabardine na cor branca.</t>
  </si>
  <si>
    <t>Touca confeccionada em filó, com detalhe em lese na cor branca.</t>
  </si>
  <si>
    <t>Meias modelo   meia   calça,   em   tecido   liso   84% poliamida e 16% elastano, tamanho condizente com o manequim, cor natural</t>
  </si>
  <si>
    <t>Avental em napa, na cor branca.</t>
  </si>
  <si>
    <t>Blazer em tecido de micro-fibra, externo e interno 100% poliéster na cor azul marinho, forrado internamente, inclusive a manga, com tecido tipo cetim.</t>
  </si>
  <si>
    <t>Saia em tecido de micro-fibra, 100% poliéster na cor preto.</t>
  </si>
  <si>
    <t>Calça em  tecido  de  micro-fibra,  100%  poliéster  na  cor preto.</t>
  </si>
  <si>
    <t>Blusa confeccionada  em  tecido  tricoline  misto,  na  cor bege,  com  gola,  abertura  frontal,  com  bolso  do  lado esquerdo.</t>
  </si>
  <si>
    <t>Pares  de  sapatos modelo  scarpin,  gáspea  lisa,  sem cadarço, com palmilha interna, couro vacum, solado de borracha termoplástica com desenho antiderrapante, e anabela, a salto inteiriço e altura entre 03 a 04 cm, na cor preta.</t>
  </si>
  <si>
    <t>Valores a partir de 1º/1/2020</t>
  </si>
  <si>
    <t>Valores a partir de 13/1/2020</t>
  </si>
  <si>
    <t>RESUMO CONTRATO (1º/4/2020 a 30/06/2020 - MP 932/2020)</t>
  </si>
  <si>
    <t>Valores a partir de 10/11/2020</t>
  </si>
  <si>
    <t>Valores a partir de 1º/1/2021</t>
  </si>
  <si>
    <t>Valores a partir de 1º/6/2021</t>
  </si>
  <si>
    <t>Servente Posto Médico</t>
  </si>
  <si>
    <t>Recepcionista Posto Médico</t>
  </si>
  <si>
    <t>Valores a partir de 1º/2/2020</t>
  </si>
  <si>
    <t>Valor unitário posto/mensal</t>
  </si>
  <si>
    <t>Total mensal</t>
  </si>
  <si>
    <t>ANEXO IV AO QUINTO TERMO ADITIVO CONTRATO N. 024/2016-CJF                                                                                         
RESUMO DO VALOR MENSAL/ANUAL</t>
  </si>
  <si>
    <t>Valor V T.A a partir de 10/11/2018</t>
  </si>
  <si>
    <t>Valor V T.A a partir de 1º/1/2019</t>
  </si>
  <si>
    <t>Valor
a partir 1º/6/2019</t>
  </si>
  <si>
    <t>Valores a partir de 10/11/2018
Reajuste uniformes</t>
  </si>
  <si>
    <t>Valores a partir de 1º/1/2019
Repactuação</t>
  </si>
  <si>
    <t>ANEXO IV AO QUINTO TERMO ADITIVO CONTRATO N. 024/2016-CJF
RESUMO DO VALOR MENSAL/ANUAL</t>
  </si>
  <si>
    <t>Valores a partir de 1º/6/2019
Exclusão posto jauzeiro</t>
  </si>
  <si>
    <t xml:space="preserve">ANEXO IV AO SEXTO TERMO ADITIVO CONTRATO N. 024/2016-CJF
QUADRO RESUMO DO VALOR MENSAL/ANUAL </t>
  </si>
  <si>
    <t xml:space="preserve">Termo de Reconhecimento que altera Valor X T.A
a partir de 10/11/2020 </t>
  </si>
  <si>
    <t>Termo de Reconhecimento com efeitos
a partir de 15/9/2021</t>
  </si>
  <si>
    <t>Valor VI T.A
10/11/2019</t>
  </si>
  <si>
    <t>Valor VIII T.A
60 dias da ordem de serviço</t>
  </si>
  <si>
    <t>Valor IX T.A
a partir de 60 dias após ordem de serviço</t>
  </si>
  <si>
    <t>Termo de Reconhecimento - Valores a partir de 15/9/2021</t>
  </si>
  <si>
    <t>2.1</t>
  </si>
  <si>
    <t>8.1</t>
  </si>
  <si>
    <t xml:space="preserve">ANEXO I AO TERMO DE RECONHECIMENTO CONTRATO N. 024/2016 - CJF
PLANILHA DE FORMAÇÃO DE PREÇOS E CUSTOS 
</t>
  </si>
  <si>
    <t>Sindicato: SINDISERVIÇOS/DF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</si>
</sst>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R$&quot;* #,##0.00_-;\-&quot;R$&quot;* #,##0.00_-;_-&quot;R$&quot;* &quot;-&quot;??_-;_-@_-"/>
    <numFmt numFmtId="43" formatCode="_-* #,##0.00_-;\-* #,##0.00_-;_-* &quot;-&quot;??_-;_-@_-"/>
    <numFmt numFmtId="164" formatCode="_-&quot;R$&quot;\ * #,##0.00_-;\-&quot;R$&quot;\ * #,##0.00_-;_-&quot;R$&quot;\ * &quot;-&quot;??_-;_-@_-"/>
    <numFmt numFmtId="165" formatCode="_(* #,##0.00_);_(* \(#,##0.00\);_(* &quot;-&quot;??_);_(@_)"/>
    <numFmt numFmtId="166" formatCode="_(&quot;R$ &quot;* #,##0.00_);_(&quot;R$ &quot;* \(#,##0.00\);_(&quot;R$ &quot;* &quot;-&quot;??_);_(@_)"/>
    <numFmt numFmtId="167" formatCode="0.00;[Red]0.00"/>
    <numFmt numFmtId="168" formatCode="0.000%"/>
    <numFmt numFmtId="169" formatCode="0.00000%"/>
    <numFmt numFmtId="170" formatCode="#,##0.0000_);\(#,##0.0000\)"/>
    <numFmt numFmtId="171" formatCode="_(* #,##0.0000000_);_(* \(#,##0.0000000\);_(* &quot;-&quot;???????_);_(@_)"/>
    <numFmt numFmtId="172" formatCode="_(* #,##0.000_);_(* \(#,##0.000\);_(* &quot;-&quot;???????_);_(@_)"/>
    <numFmt numFmtId="173" formatCode="#,##0_ ;\-#,##0\ "/>
    <numFmt numFmtId="174" formatCode="0.000000%"/>
  </numFmts>
  <fonts count="51" x14ac:knownFonts="1">
    <font>
      <sz val="11"/>
      <color theme="1"/>
      <name val="Calibri"/>
      <family val="2"/>
      <scheme val="minor"/>
    </font>
    <font>
      <b/>
      <sz val="10"/>
      <color indexed="8"/>
      <name val="Times New Roman"/>
      <family val="1"/>
    </font>
    <font>
      <sz val="10"/>
      <color indexed="8"/>
      <name val="Times New Roman"/>
      <family val="1"/>
    </font>
    <font>
      <sz val="11"/>
      <color indexed="8"/>
      <name val="Times New Roman"/>
      <family val="1"/>
    </font>
    <font>
      <sz val="10"/>
      <name val="Arial"/>
      <family val="2"/>
    </font>
    <font>
      <b/>
      <sz val="15"/>
      <color indexed="56"/>
      <name val="Calibri"/>
      <family val="2"/>
    </font>
    <font>
      <sz val="10"/>
      <name val="Times New Roman"/>
      <family val="1"/>
    </font>
    <font>
      <sz val="11"/>
      <color indexed="8"/>
      <name val="Calibri"/>
      <family val="2"/>
    </font>
    <font>
      <b/>
      <sz val="10"/>
      <name val="Times New Roman"/>
      <family val="1"/>
    </font>
    <font>
      <sz val="9"/>
      <name val="Times New Roman"/>
      <family val="1"/>
    </font>
    <font>
      <sz val="8"/>
      <name val="Times New Roman"/>
      <family val="1"/>
    </font>
    <font>
      <b/>
      <sz val="9"/>
      <name val="Times New Roman"/>
      <family val="1"/>
    </font>
    <font>
      <b/>
      <sz val="8"/>
      <name val="Times New Roman"/>
      <family val="1"/>
    </font>
    <font>
      <b/>
      <sz val="12"/>
      <name val="Times New Roman"/>
      <family val="1"/>
    </font>
    <font>
      <b/>
      <u/>
      <sz val="10"/>
      <name val="Times New Roman"/>
      <family val="1"/>
    </font>
    <font>
      <sz val="9"/>
      <color indexed="81"/>
      <name val="Segoe UI"/>
      <family val="2"/>
    </font>
    <font>
      <b/>
      <sz val="9"/>
      <color indexed="81"/>
      <name val="Segoe UI"/>
      <family val="2"/>
    </font>
    <font>
      <sz val="12"/>
      <name val="Times New Roman"/>
      <family val="1"/>
    </font>
    <font>
      <b/>
      <sz val="11"/>
      <color indexed="8"/>
      <name val="Times New Roman"/>
      <family val="1"/>
    </font>
    <font>
      <i/>
      <sz val="11"/>
      <color indexed="8"/>
      <name val="Times New Roman"/>
      <family val="1"/>
    </font>
    <font>
      <sz val="10"/>
      <name val="Arial"/>
      <family val="2"/>
    </font>
    <font>
      <b/>
      <u/>
      <sz val="12"/>
      <name val="Times New Roman"/>
      <family val="1"/>
    </font>
    <font>
      <b/>
      <sz val="14"/>
      <name val="Times New Roman"/>
      <family val="1"/>
    </font>
    <font>
      <sz val="11"/>
      <color theme="1"/>
      <name val="Calibri"/>
      <family val="2"/>
      <scheme val="minor"/>
    </font>
    <font>
      <sz val="10"/>
      <color theme="1"/>
      <name val="Times New Roman"/>
      <family val="2"/>
    </font>
    <font>
      <sz val="11"/>
      <color theme="1"/>
      <name val="Times New Roman"/>
      <family val="1"/>
    </font>
    <font>
      <b/>
      <sz val="11"/>
      <color rgb="FFFF0000"/>
      <name val="Times New Roman"/>
      <family val="1"/>
    </font>
    <font>
      <b/>
      <sz val="11"/>
      <color theme="1"/>
      <name val="Times New Roman"/>
      <family val="1"/>
    </font>
    <font>
      <sz val="10"/>
      <color theme="1"/>
      <name val="Times New Roman"/>
      <family val="1"/>
    </font>
    <font>
      <b/>
      <sz val="10"/>
      <color theme="1"/>
      <name val="Times New Roman"/>
      <family val="1"/>
    </font>
    <font>
      <sz val="10"/>
      <color rgb="FFFF0000"/>
      <name val="Times New Roman"/>
      <family val="1"/>
    </font>
    <font>
      <sz val="9"/>
      <color rgb="FFFF0000"/>
      <name val="Times New Roman"/>
      <family val="1"/>
    </font>
    <font>
      <sz val="9"/>
      <color theme="1"/>
      <name val="Times New Roman"/>
      <family val="1"/>
    </font>
    <font>
      <i/>
      <sz val="11"/>
      <color theme="1"/>
      <name val="Times New Roman"/>
      <family val="1"/>
    </font>
    <font>
      <sz val="12"/>
      <color rgb="FFFF0000"/>
      <name val="Times New Roman"/>
      <family val="1"/>
    </font>
    <font>
      <sz val="12"/>
      <color theme="1"/>
      <name val="Times New Roman"/>
      <family val="1"/>
    </font>
    <font>
      <b/>
      <sz val="12"/>
      <color theme="1"/>
      <name val="Times New Roman"/>
      <family val="1"/>
    </font>
    <font>
      <u val="singleAccounting"/>
      <sz val="12"/>
      <color theme="1"/>
      <name val="Times New Roman"/>
      <family val="1"/>
    </font>
    <font>
      <sz val="9"/>
      <color rgb="FF0000FF"/>
      <name val="Times New Roman"/>
      <family val="1"/>
    </font>
    <font>
      <b/>
      <sz val="12"/>
      <color rgb="FFFF0000"/>
      <name val="Times New Roman"/>
      <family val="1"/>
    </font>
    <font>
      <b/>
      <sz val="10"/>
      <color rgb="FFFF0000"/>
      <name val="Times New Roman"/>
      <family val="1"/>
    </font>
    <font>
      <sz val="10"/>
      <color theme="4" tint="-0.249977111117893"/>
      <name val="Times New Roman"/>
      <family val="1"/>
    </font>
    <font>
      <b/>
      <sz val="11"/>
      <name val="Times New Roman"/>
      <family val="1"/>
    </font>
    <font>
      <sz val="11"/>
      <name val="Times New Roman"/>
      <family val="1"/>
    </font>
    <font>
      <i/>
      <sz val="11"/>
      <name val="Times New Roman"/>
      <family val="1"/>
    </font>
    <font>
      <sz val="11"/>
      <name val="Calibri"/>
      <family val="2"/>
      <scheme val="minor"/>
    </font>
    <font>
      <b/>
      <sz val="11"/>
      <name val="Calibri"/>
      <family val="2"/>
      <scheme val="minor"/>
    </font>
    <font>
      <sz val="10"/>
      <name val="Times New Roman"/>
      <family val="2"/>
    </font>
    <font>
      <sz val="10"/>
      <name val="Calibri"/>
      <family val="2"/>
      <scheme val="minor"/>
    </font>
    <font>
      <sz val="8"/>
      <name val="Calibri"/>
      <family val="2"/>
      <scheme val="minor"/>
    </font>
    <font>
      <b/>
      <sz val="12"/>
      <color rgb="FFC00000"/>
      <name val="Times New Roman"/>
      <family val="1"/>
    </font>
  </fonts>
  <fills count="1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4" tint="0.79998168889431442"/>
        <bgColor indexed="64"/>
      </patternFill>
    </fill>
  </fills>
  <borders count="60">
    <border>
      <left/>
      <right/>
      <top/>
      <bottom/>
      <diagonal/>
    </border>
    <border>
      <left/>
      <right/>
      <top/>
      <bottom style="thick">
        <color indexed="6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right style="thin">
        <color theme="0" tint="-0.499984740745262"/>
      </right>
      <top style="thin">
        <color theme="0" tint="-0.499984740745262"/>
      </top>
      <bottom style="thin">
        <color theme="0" tint="-0.499984740745262"/>
      </bottom>
      <diagonal/>
    </border>
    <border>
      <left/>
      <right/>
      <top/>
      <bottom style="medium">
        <color indexed="64"/>
      </bottom>
      <diagonal/>
    </border>
    <border>
      <left/>
      <right/>
      <top style="thin">
        <color theme="0" tint="-0.499984740745262"/>
      </top>
      <bottom style="thin">
        <color theme="0" tint="-0.499984740745262"/>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top style="thin">
        <color indexed="64"/>
      </top>
      <bottom/>
      <diagonal/>
    </border>
  </borders>
  <cellStyleXfs count="19">
    <xf numFmtId="0" fontId="0" fillId="0" borderId="0"/>
    <xf numFmtId="166" fontId="23" fillId="0" borderId="0" applyFont="0" applyFill="0" applyBorder="0" applyAlignment="0" applyProtection="0"/>
    <xf numFmtId="166" fontId="23" fillId="0" borderId="0" applyFont="0" applyFill="0" applyBorder="0" applyAlignment="0" applyProtection="0"/>
    <xf numFmtId="166" fontId="4" fillId="0" borderId="0" applyFill="0" applyBorder="0" applyAlignment="0" applyProtection="0"/>
    <xf numFmtId="164" fontId="7" fillId="0" borderId="0" applyFont="0" applyFill="0" applyBorder="0" applyAlignment="0" applyProtection="0"/>
    <xf numFmtId="0" fontId="4" fillId="0" borderId="0"/>
    <xf numFmtId="0" fontId="23" fillId="0" borderId="0"/>
    <xf numFmtId="0" fontId="24" fillId="0" borderId="0"/>
    <xf numFmtId="0" fontId="24" fillId="0" borderId="0"/>
    <xf numFmtId="0" fontId="24" fillId="0" borderId="0"/>
    <xf numFmtId="0" fontId="20" fillId="0" borderId="0"/>
    <xf numFmtId="9" fontId="23" fillId="0" borderId="0" applyFont="0" applyFill="0" applyBorder="0" applyAlignment="0" applyProtection="0"/>
    <xf numFmtId="9" fontId="4" fillId="0" borderId="0" applyFill="0" applyBorder="0" applyAlignment="0" applyProtection="0"/>
    <xf numFmtId="9" fontId="4" fillId="0" borderId="0" applyFont="0" applyFill="0" applyBorder="0" applyAlignment="0" applyProtection="0"/>
    <xf numFmtId="165" fontId="23" fillId="0" borderId="0" applyFont="0" applyFill="0" applyBorder="0" applyAlignment="0" applyProtection="0"/>
    <xf numFmtId="43" fontId="23" fillId="0" borderId="0" applyFont="0" applyFill="0" applyBorder="0" applyAlignment="0" applyProtection="0"/>
    <xf numFmtId="0" fontId="5" fillId="0" borderId="1" applyNumberFormat="0" applyFill="0" applyAlignment="0" applyProtection="0"/>
    <xf numFmtId="165" fontId="23" fillId="0" borderId="0" applyFont="0" applyFill="0" applyBorder="0" applyAlignment="0" applyProtection="0"/>
    <xf numFmtId="43" fontId="23" fillId="0" borderId="0" applyFont="0" applyFill="0" applyBorder="0" applyAlignment="0" applyProtection="0"/>
  </cellStyleXfs>
  <cellXfs count="750">
    <xf numFmtId="0" fontId="0" fillId="0" borderId="0" xfId="0"/>
    <xf numFmtId="0" fontId="25" fillId="0" borderId="0" xfId="0" applyFont="1"/>
    <xf numFmtId="165" fontId="26" fillId="3" borderId="0" xfId="0" applyNumberFormat="1" applyFont="1" applyFill="1"/>
    <xf numFmtId="165" fontId="25" fillId="0" borderId="0" xfId="0" applyNumberFormat="1" applyFont="1"/>
    <xf numFmtId="0" fontId="27" fillId="4" borderId="2" xfId="0" applyFont="1" applyFill="1" applyBorder="1" applyAlignment="1">
      <alignment horizontal="center" vertical="center" wrapText="1"/>
    </xf>
    <xf numFmtId="0" fontId="25" fillId="3" borderId="0" xfId="0" applyFont="1" applyFill="1"/>
    <xf numFmtId="165" fontId="27" fillId="4" borderId="2" xfId="0" applyNumberFormat="1" applyFont="1" applyFill="1" applyBorder="1" applyAlignment="1">
      <alignment horizontal="center" vertical="center" wrapText="1"/>
    </xf>
    <xf numFmtId="2" fontId="25" fillId="0" borderId="0" xfId="0" applyNumberFormat="1" applyFont="1"/>
    <xf numFmtId="0" fontId="25" fillId="0" borderId="0" xfId="0" applyFont="1" applyAlignment="1">
      <alignment horizontal="center"/>
    </xf>
    <xf numFmtId="0" fontId="25" fillId="0" borderId="3" xfId="0" applyFont="1" applyBorder="1" applyAlignment="1">
      <alignment vertical="center" wrapText="1"/>
    </xf>
    <xf numFmtId="0" fontId="25" fillId="0" borderId="3" xfId="0" applyFont="1" applyBorder="1" applyAlignment="1">
      <alignment horizontal="center" vertical="center" wrapText="1"/>
    </xf>
    <xf numFmtId="165" fontId="25" fillId="0" borderId="3" xfId="1" applyNumberFormat="1" applyFont="1" applyBorder="1" applyAlignment="1">
      <alignment horizontal="right" vertical="center" wrapText="1"/>
    </xf>
    <xf numFmtId="0" fontId="25" fillId="0" borderId="4" xfId="0" applyFont="1" applyBorder="1" applyAlignment="1">
      <alignment vertical="center" wrapText="1"/>
    </xf>
    <xf numFmtId="0" fontId="25" fillId="0" borderId="4" xfId="0" applyFont="1" applyBorder="1" applyAlignment="1">
      <alignment horizontal="center" vertical="center" wrapText="1"/>
    </xf>
    <xf numFmtId="165" fontId="25" fillId="0" borderId="4" xfId="1" applyNumberFormat="1" applyFont="1" applyBorder="1" applyAlignment="1">
      <alignment horizontal="right" vertical="center" wrapText="1"/>
    </xf>
    <xf numFmtId="0" fontId="25" fillId="0" borderId="5" xfId="0" applyFont="1" applyBorder="1" applyAlignment="1">
      <alignment vertical="center" wrapText="1"/>
    </xf>
    <xf numFmtId="0" fontId="25" fillId="0" borderId="5" xfId="0" applyFont="1" applyBorder="1" applyAlignment="1">
      <alignment horizontal="center" vertical="center" wrapText="1"/>
    </xf>
    <xf numFmtId="165" fontId="25" fillId="0" borderId="5" xfId="1" applyNumberFormat="1" applyFont="1" applyBorder="1" applyAlignment="1">
      <alignment horizontal="right" vertical="center" wrapText="1"/>
    </xf>
    <xf numFmtId="0" fontId="25" fillId="0" borderId="40" xfId="0" applyFont="1" applyBorder="1" applyAlignment="1">
      <alignment vertical="center" wrapText="1"/>
    </xf>
    <xf numFmtId="0" fontId="25" fillId="0" borderId="41" xfId="0" applyFont="1" applyBorder="1" applyAlignment="1">
      <alignment horizontal="center" vertical="center" wrapText="1"/>
    </xf>
    <xf numFmtId="165" fontId="25" fillId="0" borderId="41" xfId="1" applyNumberFormat="1" applyFont="1" applyBorder="1" applyAlignment="1">
      <alignment horizontal="right" vertical="center" wrapText="1"/>
    </xf>
    <xf numFmtId="165" fontId="25" fillId="0" borderId="42" xfId="1" applyNumberFormat="1" applyFont="1" applyBorder="1" applyAlignment="1">
      <alignment horizontal="right" vertical="center" wrapText="1"/>
    </xf>
    <xf numFmtId="0" fontId="25" fillId="0" borderId="43" xfId="0" applyFont="1" applyBorder="1" applyAlignment="1">
      <alignment vertical="center" wrapText="1"/>
    </xf>
    <xf numFmtId="0" fontId="25" fillId="0" borderId="44" xfId="0" applyFont="1" applyBorder="1" applyAlignment="1">
      <alignment horizontal="center" vertical="center" wrapText="1"/>
    </xf>
    <xf numFmtId="165" fontId="25" fillId="0" borderId="44" xfId="1" applyNumberFormat="1" applyFont="1" applyBorder="1" applyAlignment="1">
      <alignment horizontal="right" vertical="center" wrapText="1"/>
    </xf>
    <xf numFmtId="165" fontId="25" fillId="0" borderId="45" xfId="1" applyNumberFormat="1" applyFont="1" applyBorder="1" applyAlignment="1">
      <alignment horizontal="right" vertical="center" wrapText="1"/>
    </xf>
    <xf numFmtId="0" fontId="27" fillId="4" borderId="46" xfId="0" applyFont="1" applyFill="1" applyBorder="1" applyAlignment="1">
      <alignment horizontal="center" vertical="center" wrapText="1"/>
    </xf>
    <xf numFmtId="0" fontId="27" fillId="4" borderId="47" xfId="0" applyFont="1" applyFill="1" applyBorder="1" applyAlignment="1">
      <alignment horizontal="center" vertical="center" wrapText="1"/>
    </xf>
    <xf numFmtId="0" fontId="27" fillId="4" borderId="48" xfId="0" applyFont="1" applyFill="1" applyBorder="1" applyAlignment="1">
      <alignment horizontal="center" vertical="center" wrapText="1"/>
    </xf>
    <xf numFmtId="0" fontId="25" fillId="0" borderId="49" xfId="0" applyFont="1" applyBorder="1" applyAlignment="1">
      <alignment vertical="center" wrapText="1"/>
    </xf>
    <xf numFmtId="0" fontId="25" fillId="0" borderId="50" xfId="0" applyFont="1" applyBorder="1" applyAlignment="1">
      <alignment horizontal="center" vertical="center" wrapText="1"/>
    </xf>
    <xf numFmtId="165" fontId="25" fillId="0" borderId="50" xfId="1" applyNumberFormat="1" applyFont="1" applyBorder="1" applyAlignment="1">
      <alignment horizontal="right" vertical="center" wrapText="1"/>
    </xf>
    <xf numFmtId="165" fontId="25" fillId="0" borderId="51" xfId="1" applyNumberFormat="1" applyFont="1" applyBorder="1" applyAlignment="1">
      <alignment horizontal="right" vertical="center" wrapText="1"/>
    </xf>
    <xf numFmtId="165" fontId="27" fillId="5" borderId="47" xfId="0" applyNumberFormat="1" applyFont="1" applyFill="1" applyBorder="1" applyAlignment="1">
      <alignment horizontal="right" vertical="center" wrapText="1"/>
    </xf>
    <xf numFmtId="165" fontId="27" fillId="5" borderId="48" xfId="0" applyNumberFormat="1" applyFont="1" applyFill="1" applyBorder="1" applyAlignment="1">
      <alignment horizontal="right" vertical="center" wrapText="1"/>
    </xf>
    <xf numFmtId="165" fontId="27" fillId="5" borderId="52" xfId="0" applyNumberFormat="1" applyFont="1" applyFill="1" applyBorder="1" applyAlignment="1">
      <alignment horizontal="right" vertical="center" wrapText="1"/>
    </xf>
    <xf numFmtId="0" fontId="27" fillId="5" borderId="52" xfId="0" applyFont="1" applyFill="1" applyBorder="1" applyAlignment="1">
      <alignment horizontal="center"/>
    </xf>
    <xf numFmtId="2" fontId="27" fillId="5" borderId="52" xfId="0" applyNumberFormat="1" applyFont="1" applyFill="1" applyBorder="1"/>
    <xf numFmtId="0" fontId="28" fillId="0" borderId="0" xfId="0" applyFont="1" applyFill="1" applyAlignment="1">
      <alignment vertical="center"/>
    </xf>
    <xf numFmtId="0" fontId="28" fillId="0" borderId="0" xfId="0" applyFont="1" applyFill="1" applyBorder="1" applyAlignment="1">
      <alignment vertical="center"/>
    </xf>
    <xf numFmtId="9" fontId="28" fillId="0" borderId="0" xfId="0" applyNumberFormat="1" applyFont="1" applyFill="1" applyAlignment="1">
      <alignment vertical="center"/>
    </xf>
    <xf numFmtId="166" fontId="28" fillId="0" borderId="0" xfId="0" applyNumberFormat="1" applyFont="1" applyFill="1" applyAlignment="1">
      <alignment vertical="center"/>
    </xf>
    <xf numFmtId="0" fontId="29" fillId="0" borderId="0" xfId="0" applyFont="1" applyFill="1" applyBorder="1" applyAlignment="1">
      <alignment vertical="center"/>
    </xf>
    <xf numFmtId="10" fontId="28" fillId="0" borderId="0" xfId="0" applyNumberFormat="1" applyFont="1" applyFill="1" applyBorder="1" applyAlignment="1">
      <alignment vertical="center"/>
    </xf>
    <xf numFmtId="0" fontId="28" fillId="0" borderId="0" xfId="0" applyFont="1" applyFill="1" applyAlignment="1">
      <alignment vertical="center"/>
    </xf>
    <xf numFmtId="165" fontId="28" fillId="0" borderId="0" xfId="0" applyNumberFormat="1" applyFont="1" applyFill="1" applyAlignment="1">
      <alignment vertical="center"/>
    </xf>
    <xf numFmtId="0" fontId="29" fillId="4" borderId="6" xfId="0" applyFont="1" applyFill="1" applyBorder="1" applyAlignment="1">
      <alignment horizontal="center" vertical="center"/>
    </xf>
    <xf numFmtId="0" fontId="28" fillId="0" borderId="6" xfId="0" applyFont="1" applyFill="1" applyBorder="1" applyAlignment="1">
      <alignment vertical="center"/>
    </xf>
    <xf numFmtId="0" fontId="28" fillId="0" borderId="7" xfId="0" applyFont="1" applyFill="1" applyBorder="1" applyAlignment="1">
      <alignment vertical="center"/>
    </xf>
    <xf numFmtId="0" fontId="28" fillId="0" borderId="8" xfId="0" applyFont="1" applyFill="1" applyBorder="1" applyAlignment="1">
      <alignment vertical="center"/>
    </xf>
    <xf numFmtId="10" fontId="28" fillId="0" borderId="6" xfId="0" applyNumberFormat="1" applyFont="1" applyFill="1" applyBorder="1" applyAlignment="1">
      <alignment vertical="center"/>
    </xf>
    <xf numFmtId="0" fontId="29" fillId="4" borderId="6" xfId="0" applyFont="1" applyFill="1" applyBorder="1" applyAlignment="1">
      <alignment horizontal="center" vertical="center"/>
    </xf>
    <xf numFmtId="166" fontId="30" fillId="0" borderId="0" xfId="0" applyNumberFormat="1" applyFont="1" applyFill="1" applyAlignment="1">
      <alignment vertical="center"/>
    </xf>
    <xf numFmtId="0" fontId="6" fillId="0" borderId="0" xfId="0" applyFont="1" applyFill="1" applyAlignment="1">
      <alignment vertical="center"/>
    </xf>
    <xf numFmtId="0" fontId="28" fillId="0" borderId="0" xfId="0" applyNumberFormat="1" applyFont="1" applyFill="1" applyAlignment="1">
      <alignment vertical="center"/>
    </xf>
    <xf numFmtId="0" fontId="29" fillId="0" borderId="0" xfId="0" applyFont="1" applyFill="1" applyBorder="1" applyAlignment="1">
      <alignment horizontal="left" vertical="center"/>
    </xf>
    <xf numFmtId="166" fontId="6" fillId="0" borderId="0" xfId="0" applyNumberFormat="1" applyFont="1" applyFill="1" applyAlignment="1">
      <alignment vertical="center"/>
    </xf>
    <xf numFmtId="166" fontId="6" fillId="0" borderId="0" xfId="0" applyNumberFormat="1" applyFont="1" applyFill="1" applyBorder="1" applyAlignment="1">
      <alignment vertical="center"/>
    </xf>
    <xf numFmtId="0" fontId="6" fillId="0" borderId="0" xfId="0" applyFont="1" applyFill="1" applyBorder="1" applyAlignment="1">
      <alignment vertical="center"/>
    </xf>
    <xf numFmtId="165" fontId="6" fillId="0" borderId="0" xfId="0" applyNumberFormat="1" applyFont="1" applyFill="1" applyAlignment="1">
      <alignment vertical="center"/>
    </xf>
    <xf numFmtId="166" fontId="6" fillId="0" borderId="0" xfId="17" applyNumberFormat="1" applyFont="1" applyFill="1" applyAlignment="1">
      <alignment vertical="center"/>
    </xf>
    <xf numFmtId="165" fontId="6" fillId="0" borderId="0" xfId="17" applyFont="1" applyFill="1" applyAlignment="1">
      <alignment vertical="center"/>
    </xf>
    <xf numFmtId="0" fontId="6" fillId="6" borderId="0" xfId="0" applyFont="1" applyFill="1" applyAlignment="1">
      <alignment horizontal="justify" vertical="center" wrapText="1"/>
    </xf>
    <xf numFmtId="0" fontId="9" fillId="0" borderId="0" xfId="0" applyFont="1" applyAlignment="1">
      <alignment horizontal="center" vertical="center"/>
    </xf>
    <xf numFmtId="0" fontId="9" fillId="0" borderId="0" xfId="0" applyFont="1" applyAlignment="1">
      <alignment vertical="center" wrapText="1"/>
    </xf>
    <xf numFmtId="0" fontId="10" fillId="0" borderId="0" xfId="0" applyFont="1" applyAlignment="1">
      <alignment vertical="center"/>
    </xf>
    <xf numFmtId="0" fontId="9" fillId="0" borderId="0" xfId="0" applyFont="1" applyAlignment="1">
      <alignment vertical="center"/>
    </xf>
    <xf numFmtId="0" fontId="9" fillId="4" borderId="6" xfId="0" applyFont="1" applyFill="1" applyBorder="1" applyAlignment="1">
      <alignment horizontal="center" vertical="center"/>
    </xf>
    <xf numFmtId="0" fontId="11" fillId="4" borderId="6" xfId="0" applyFont="1" applyFill="1" applyBorder="1" applyAlignment="1">
      <alignment horizontal="center" vertical="center" wrapText="1"/>
    </xf>
    <xf numFmtId="0" fontId="11" fillId="4" borderId="6" xfId="0" applyFont="1" applyFill="1" applyBorder="1" applyAlignment="1">
      <alignment horizontal="center" vertical="center"/>
    </xf>
    <xf numFmtId="0" fontId="12" fillId="4" borderId="6" xfId="0" applyFont="1" applyFill="1" applyBorder="1" applyAlignment="1">
      <alignment horizontal="center" vertical="center" wrapText="1"/>
    </xf>
    <xf numFmtId="0" fontId="9" fillId="0" borderId="6" xfId="0" applyFont="1" applyBorder="1" applyAlignment="1">
      <alignment horizontal="center" vertical="center"/>
    </xf>
    <xf numFmtId="0" fontId="9" fillId="0" borderId="6" xfId="0" applyFont="1" applyBorder="1" applyAlignment="1">
      <alignment vertical="center" wrapText="1"/>
    </xf>
    <xf numFmtId="2" fontId="9" fillId="0" borderId="6" xfId="0" applyNumberFormat="1" applyFont="1" applyBorder="1" applyAlignment="1">
      <alignment horizontal="center" vertical="center"/>
    </xf>
    <xf numFmtId="0" fontId="10" fillId="0" borderId="6" xfId="0" applyFont="1" applyBorder="1" applyAlignment="1">
      <alignment vertical="center" wrapText="1"/>
    </xf>
    <xf numFmtId="0" fontId="31" fillId="0" borderId="0" xfId="0" applyFont="1" applyAlignment="1">
      <alignment vertical="center"/>
    </xf>
    <xf numFmtId="2" fontId="11" fillId="4" borderId="6" xfId="0" applyNumberFormat="1" applyFont="1" applyFill="1" applyBorder="1" applyAlignment="1">
      <alignment horizontal="center" vertical="center"/>
    </xf>
    <xf numFmtId="167" fontId="9" fillId="0" borderId="6" xfId="0" applyNumberFormat="1" applyFont="1" applyBorder="1" applyAlignment="1">
      <alignment horizontal="center" vertical="center"/>
    </xf>
    <xf numFmtId="2" fontId="11" fillId="0" borderId="6" xfId="0" applyNumberFormat="1" applyFont="1" applyBorder="1" applyAlignment="1">
      <alignment horizontal="center" vertical="center"/>
    </xf>
    <xf numFmtId="0" fontId="10" fillId="0" borderId="6" xfId="0" applyFont="1" applyBorder="1" applyAlignment="1">
      <alignment horizontal="justify" vertical="center" wrapText="1"/>
    </xf>
    <xf numFmtId="0" fontId="10" fillId="0" borderId="6" xfId="0" applyFont="1" applyFill="1" applyBorder="1" applyAlignment="1">
      <alignment horizontal="justify" vertical="center" wrapText="1"/>
    </xf>
    <xf numFmtId="167" fontId="9" fillId="0" borderId="6" xfId="0" applyNumberFormat="1" applyFont="1" applyFill="1" applyBorder="1" applyAlignment="1">
      <alignment horizontal="center" vertical="center"/>
    </xf>
    <xf numFmtId="0" fontId="10" fillId="0" borderId="0" xfId="0" applyFont="1" applyFill="1" applyAlignment="1">
      <alignment vertical="center"/>
    </xf>
    <xf numFmtId="0" fontId="10" fillId="0" borderId="0" xfId="0" applyFont="1" applyBorder="1" applyAlignment="1">
      <alignment horizontal="justify" vertical="center" wrapText="1"/>
    </xf>
    <xf numFmtId="0" fontId="11" fillId="4" borderId="6" xfId="0" applyFont="1" applyFill="1" applyBorder="1" applyAlignment="1">
      <alignment vertical="center" wrapText="1"/>
    </xf>
    <xf numFmtId="0" fontId="28" fillId="0" borderId="0" xfId="0" applyFont="1" applyAlignment="1">
      <alignment vertical="center" wrapText="1"/>
    </xf>
    <xf numFmtId="0" fontId="30" fillId="0" borderId="0" xfId="0" applyFont="1" applyFill="1" applyAlignment="1">
      <alignment vertical="center"/>
    </xf>
    <xf numFmtId="0" fontId="29" fillId="4" borderId="6" xfId="0" applyFont="1" applyFill="1" applyBorder="1" applyAlignment="1">
      <alignment horizontal="center" vertical="center"/>
    </xf>
    <xf numFmtId="0" fontId="28" fillId="0" borderId="0" xfId="0" applyFont="1" applyAlignment="1">
      <alignment vertical="center"/>
    </xf>
    <xf numFmtId="10" fontId="11" fillId="4" borderId="6" xfId="0" applyNumberFormat="1" applyFont="1" applyFill="1" applyBorder="1" applyAlignment="1">
      <alignment horizontal="center" vertical="center"/>
    </xf>
    <xf numFmtId="10" fontId="11" fillId="0" borderId="6" xfId="0" applyNumberFormat="1" applyFont="1" applyBorder="1" applyAlignment="1">
      <alignment horizontal="center" vertical="center"/>
    </xf>
    <xf numFmtId="10" fontId="9" fillId="0" borderId="6" xfId="0" applyNumberFormat="1" applyFont="1" applyBorder="1" applyAlignment="1">
      <alignment horizontal="center" vertical="center"/>
    </xf>
    <xf numFmtId="9" fontId="9" fillId="0" borderId="6" xfId="0" applyNumberFormat="1" applyFont="1" applyBorder="1" applyAlignment="1">
      <alignment horizontal="center" vertical="center"/>
    </xf>
    <xf numFmtId="9" fontId="11" fillId="4" borderId="6" xfId="0" applyNumberFormat="1" applyFont="1" applyFill="1" applyBorder="1" applyAlignment="1">
      <alignment horizontal="center" vertical="center"/>
    </xf>
    <xf numFmtId="0" fontId="29" fillId="4" borderId="6" xfId="0" applyFont="1" applyFill="1" applyBorder="1" applyAlignment="1">
      <alignment horizontal="center" vertical="center"/>
    </xf>
    <xf numFmtId="0" fontId="28" fillId="0" borderId="8" xfId="0" applyFont="1" applyFill="1" applyBorder="1" applyAlignment="1">
      <alignment horizontal="left" vertical="center"/>
    </xf>
    <xf numFmtId="10" fontId="28" fillId="0" borderId="7" xfId="0" applyNumberFormat="1" applyFont="1" applyFill="1" applyBorder="1" applyAlignment="1">
      <alignment vertical="center"/>
    </xf>
    <xf numFmtId="166" fontId="29" fillId="4" borderId="6" xfId="0" applyNumberFormat="1" applyFont="1" applyFill="1" applyBorder="1" applyAlignment="1">
      <alignment horizontal="center" vertical="center"/>
    </xf>
    <xf numFmtId="166" fontId="29" fillId="4" borderId="6" xfId="1" applyNumberFormat="1" applyFont="1" applyFill="1" applyBorder="1" applyAlignment="1">
      <alignment vertical="center"/>
    </xf>
    <xf numFmtId="166" fontId="28" fillId="0" borderId="0" xfId="0" applyNumberFormat="1" applyFont="1" applyFill="1" applyBorder="1" applyAlignment="1">
      <alignment vertical="center"/>
    </xf>
    <xf numFmtId="166" fontId="8" fillId="4" borderId="6" xfId="1" applyNumberFormat="1" applyFont="1" applyFill="1" applyBorder="1" applyAlignment="1">
      <alignment vertical="center"/>
    </xf>
    <xf numFmtId="166" fontId="6" fillId="0" borderId="6" xfId="1" applyNumberFormat="1" applyFont="1" applyFill="1" applyBorder="1" applyAlignment="1">
      <alignment vertical="center"/>
    </xf>
    <xf numFmtId="166" fontId="29" fillId="4" borderId="6" xfId="0" applyNumberFormat="1" applyFont="1" applyFill="1" applyBorder="1" applyAlignment="1">
      <alignment vertical="center"/>
    </xf>
    <xf numFmtId="166" fontId="28" fillId="0" borderId="6" xfId="0" applyNumberFormat="1" applyFont="1" applyFill="1" applyBorder="1" applyAlignment="1">
      <alignment vertical="center"/>
    </xf>
    <xf numFmtId="166" fontId="8" fillId="4" borderId="6" xfId="0" applyNumberFormat="1" applyFont="1" applyFill="1" applyBorder="1" applyAlignment="1">
      <alignment vertical="center"/>
    </xf>
    <xf numFmtId="0" fontId="28" fillId="0" borderId="6" xfId="0" applyNumberFormat="1" applyFont="1" applyFill="1" applyBorder="1" applyAlignment="1">
      <alignment vertical="center"/>
    </xf>
    <xf numFmtId="10" fontId="28" fillId="0" borderId="0" xfId="11" applyNumberFormat="1" applyFont="1" applyFill="1" applyAlignment="1">
      <alignment vertical="center"/>
    </xf>
    <xf numFmtId="1" fontId="28" fillId="0" borderId="0" xfId="0" applyNumberFormat="1" applyFont="1" applyFill="1" applyAlignment="1">
      <alignment vertical="center"/>
    </xf>
    <xf numFmtId="10" fontId="28" fillId="0" borderId="0" xfId="0" applyNumberFormat="1" applyFont="1" applyFill="1" applyAlignment="1">
      <alignment vertical="center"/>
    </xf>
    <xf numFmtId="0" fontId="28" fillId="0" borderId="8" xfId="0" applyFont="1" applyFill="1" applyBorder="1" applyAlignment="1">
      <alignment horizontal="left" vertical="center"/>
    </xf>
    <xf numFmtId="0" fontId="28" fillId="0" borderId="0" xfId="0" applyFont="1" applyAlignment="1">
      <alignment horizontal="center" vertical="center"/>
    </xf>
    <xf numFmtId="166" fontId="8" fillId="4" borderId="6" xfId="0" applyNumberFormat="1" applyFont="1" applyFill="1" applyBorder="1" applyAlignment="1">
      <alignment horizontal="center" vertical="center"/>
    </xf>
    <xf numFmtId="0" fontId="6" fillId="0" borderId="8" xfId="0" applyFont="1" applyFill="1" applyBorder="1" applyAlignment="1">
      <alignment horizontal="left" vertical="center"/>
    </xf>
    <xf numFmtId="10" fontId="6" fillId="0" borderId="7" xfId="0" applyNumberFormat="1" applyFont="1" applyFill="1" applyBorder="1" applyAlignment="1">
      <alignment vertical="center"/>
    </xf>
    <xf numFmtId="0" fontId="6" fillId="0" borderId="6" xfId="0" applyFont="1" applyFill="1" applyBorder="1" applyAlignment="1">
      <alignment vertical="center"/>
    </xf>
    <xf numFmtId="10" fontId="6" fillId="0" borderId="6" xfId="0" applyNumberFormat="1" applyFont="1" applyFill="1" applyBorder="1" applyAlignment="1">
      <alignment vertical="center"/>
    </xf>
    <xf numFmtId="166" fontId="6" fillId="0" borderId="6" xfId="1" applyNumberFormat="1" applyFont="1" applyFill="1" applyBorder="1" applyAlignment="1">
      <alignment horizontal="right" vertical="center"/>
    </xf>
    <xf numFmtId="0" fontId="8" fillId="4" borderId="6" xfId="0" applyFont="1" applyFill="1" applyBorder="1" applyAlignment="1">
      <alignment horizontal="center" vertical="center"/>
    </xf>
    <xf numFmtId="10" fontId="8" fillId="4" borderId="6" xfId="0" applyNumberFormat="1" applyFont="1" applyFill="1" applyBorder="1" applyAlignment="1">
      <alignment horizontal="center" vertical="center"/>
    </xf>
    <xf numFmtId="166" fontId="6" fillId="0" borderId="6" xfId="0" applyNumberFormat="1" applyFont="1" applyFill="1" applyBorder="1" applyAlignment="1">
      <alignment vertical="center"/>
    </xf>
    <xf numFmtId="0" fontId="6" fillId="0" borderId="6" xfId="0" applyNumberFormat="1" applyFont="1" applyFill="1" applyBorder="1" applyAlignment="1">
      <alignment vertical="center"/>
    </xf>
    <xf numFmtId="166" fontId="6" fillId="0" borderId="53" xfId="1" applyNumberFormat="1" applyFont="1" applyFill="1" applyBorder="1" applyAlignment="1">
      <alignment vertical="center"/>
    </xf>
    <xf numFmtId="0" fontId="10" fillId="0" borderId="8" xfId="0" applyFont="1" applyBorder="1" applyAlignment="1">
      <alignment horizontal="justify" vertical="center" wrapText="1"/>
    </xf>
    <xf numFmtId="14" fontId="8" fillId="4" borderId="6" xfId="0" applyNumberFormat="1" applyFont="1" applyFill="1" applyBorder="1" applyAlignment="1">
      <alignment horizontal="center" vertical="center" wrapText="1"/>
    </xf>
    <xf numFmtId="0" fontId="8" fillId="4" borderId="6" xfId="0" applyFont="1" applyFill="1" applyBorder="1" applyAlignment="1">
      <alignment horizontal="center" vertical="center"/>
    </xf>
    <xf numFmtId="0" fontId="29" fillId="4" borderId="6" xfId="0" applyFont="1" applyFill="1" applyBorder="1" applyAlignment="1">
      <alignment horizontal="center" vertical="center"/>
    </xf>
    <xf numFmtId="0" fontId="29" fillId="0" borderId="6" xfId="0" applyFont="1" applyFill="1" applyBorder="1" applyAlignment="1">
      <alignment horizontal="left" vertical="center"/>
    </xf>
    <xf numFmtId="0" fontId="32" fillId="0" borderId="0" xfId="0" applyFont="1" applyAlignment="1">
      <alignment vertical="center" wrapText="1"/>
    </xf>
    <xf numFmtId="0" fontId="32" fillId="0" borderId="0" xfId="0" applyFont="1" applyFill="1" applyAlignment="1">
      <alignment vertical="center" wrapText="1"/>
    </xf>
    <xf numFmtId="0" fontId="28" fillId="0" borderId="0" xfId="0" applyFont="1" applyFill="1" applyAlignment="1">
      <alignment vertical="center" wrapText="1"/>
    </xf>
    <xf numFmtId="0" fontId="6" fillId="0" borderId="6" xfId="0" applyFont="1" applyFill="1" applyBorder="1" applyAlignment="1">
      <alignment horizontal="center" vertical="center" wrapText="1"/>
    </xf>
    <xf numFmtId="10" fontId="30" fillId="0" borderId="0" xfId="0" applyNumberFormat="1" applyFont="1" applyFill="1" applyAlignment="1">
      <alignment vertical="center"/>
    </xf>
    <xf numFmtId="0" fontId="17" fillId="6" borderId="9" xfId="0" applyFont="1" applyFill="1" applyBorder="1" applyAlignment="1">
      <alignment horizontal="center" vertical="center" wrapText="1"/>
    </xf>
    <xf numFmtId="49" fontId="17" fillId="2" borderId="9" xfId="0" applyNumberFormat="1" applyFont="1" applyFill="1" applyBorder="1" applyAlignment="1">
      <alignment horizontal="left" vertical="center" wrapText="1"/>
    </xf>
    <xf numFmtId="164" fontId="17" fillId="6" borderId="9" xfId="4" applyFont="1" applyFill="1" applyBorder="1" applyAlignment="1">
      <alignment horizontal="left" vertical="center" wrapText="1"/>
    </xf>
    <xf numFmtId="0" fontId="17" fillId="6" borderId="10" xfId="0" applyFont="1" applyFill="1" applyBorder="1" applyAlignment="1">
      <alignment horizontal="center" vertical="center" wrapText="1"/>
    </xf>
    <xf numFmtId="49" fontId="17" fillId="2" borderId="10" xfId="0" applyNumberFormat="1" applyFont="1" applyFill="1" applyBorder="1" applyAlignment="1">
      <alignment horizontal="left" vertical="center" wrapText="1"/>
    </xf>
    <xf numFmtId="164" fontId="17" fillId="6" borderId="10" xfId="4" applyFont="1" applyFill="1" applyBorder="1" applyAlignment="1">
      <alignment horizontal="left" vertical="center" wrapText="1"/>
    </xf>
    <xf numFmtId="49" fontId="17" fillId="0" borderId="10" xfId="0" applyNumberFormat="1" applyFont="1" applyFill="1" applyBorder="1" applyAlignment="1">
      <alignment horizontal="left" vertical="center" wrapText="1"/>
    </xf>
    <xf numFmtId="164" fontId="17" fillId="0" borderId="10" xfId="4" applyFont="1" applyFill="1" applyBorder="1" applyAlignment="1">
      <alignment horizontal="center" vertical="center" wrapText="1"/>
    </xf>
    <xf numFmtId="0" fontId="27" fillId="4" borderId="6" xfId="0" applyFont="1" applyFill="1" applyBorder="1" applyAlignment="1">
      <alignment horizontal="center" vertical="center" wrapText="1"/>
    </xf>
    <xf numFmtId="164" fontId="27" fillId="4" borderId="6" xfId="4" applyFont="1" applyFill="1" applyBorder="1" applyAlignment="1">
      <alignment horizontal="center" vertical="center" wrapText="1"/>
    </xf>
    <xf numFmtId="164" fontId="25" fillId="0" borderId="6" xfId="4" applyFont="1" applyBorder="1" applyAlignment="1">
      <alignment vertical="center" wrapText="1"/>
    </xf>
    <xf numFmtId="1" fontId="25" fillId="6" borderId="6" xfId="0" applyNumberFormat="1" applyFont="1" applyFill="1" applyBorder="1" applyAlignment="1">
      <alignment horizontal="center" vertical="center" wrapText="1"/>
    </xf>
    <xf numFmtId="164" fontId="27" fillId="4" borderId="6" xfId="4" applyFont="1" applyFill="1" applyBorder="1" applyAlignment="1">
      <alignment vertical="center" wrapText="1"/>
    </xf>
    <xf numFmtId="164" fontId="27" fillId="4" borderId="6" xfId="0" applyNumberFormat="1" applyFont="1" applyFill="1" applyBorder="1" applyAlignment="1">
      <alignment vertical="center"/>
    </xf>
    <xf numFmtId="164" fontId="25" fillId="0" borderId="0" xfId="4" applyFont="1" applyAlignment="1">
      <alignment vertical="center" wrapText="1"/>
    </xf>
    <xf numFmtId="0" fontId="25" fillId="0" borderId="0" xfId="0" applyFont="1" applyAlignment="1">
      <alignment vertical="center" wrapText="1"/>
    </xf>
    <xf numFmtId="0" fontId="25" fillId="0" borderId="6" xfId="0" applyFont="1" applyFill="1" applyBorder="1" applyAlignment="1">
      <alignment horizontal="center" vertical="center" wrapText="1"/>
    </xf>
    <xf numFmtId="0" fontId="33" fillId="0" borderId="6" xfId="0" applyFont="1" applyFill="1" applyBorder="1" applyAlignment="1">
      <alignment horizontal="justify" vertical="center" wrapText="1"/>
    </xf>
    <xf numFmtId="0" fontId="25" fillId="0" borderId="6" xfId="0" applyFont="1" applyFill="1" applyBorder="1" applyAlignment="1">
      <alignment horizontal="justify" vertical="center" wrapText="1"/>
    </xf>
    <xf numFmtId="0" fontId="25" fillId="0" borderId="11" xfId="0" applyFont="1" applyFill="1" applyBorder="1" applyAlignment="1">
      <alignment horizontal="center" vertical="center" wrapText="1"/>
    </xf>
    <xf numFmtId="0" fontId="25" fillId="0" borderId="11" xfId="0" applyFont="1" applyFill="1" applyBorder="1" applyAlignment="1">
      <alignment horizontal="justify" vertical="center" wrapText="1"/>
    </xf>
    <xf numFmtId="0" fontId="25" fillId="0" borderId="0" xfId="0" applyFont="1" applyAlignment="1">
      <alignment horizontal="center" vertical="center" wrapText="1"/>
    </xf>
    <xf numFmtId="0" fontId="25" fillId="0" borderId="6" xfId="0" applyFont="1" applyBorder="1" applyAlignment="1">
      <alignment horizontal="center" vertical="center" wrapText="1"/>
    </xf>
    <xf numFmtId="0" fontId="27" fillId="4" borderId="6" xfId="0" applyFont="1" applyFill="1" applyBorder="1" applyAlignment="1">
      <alignment horizontal="center" vertical="center" wrapText="1"/>
    </xf>
    <xf numFmtId="0" fontId="28" fillId="0" borderId="0" xfId="0" applyFont="1" applyAlignment="1">
      <alignment horizontal="left" vertical="center"/>
    </xf>
    <xf numFmtId="0" fontId="25" fillId="0" borderId="6" xfId="0" applyFont="1" applyBorder="1" applyAlignment="1">
      <alignment horizontal="left" vertical="center" wrapText="1"/>
    </xf>
    <xf numFmtId="164" fontId="28" fillId="0" borderId="0" xfId="4" applyFont="1" applyAlignment="1">
      <alignment vertical="center"/>
    </xf>
    <xf numFmtId="0" fontId="13" fillId="0" borderId="12" xfId="0" applyFont="1" applyFill="1" applyBorder="1" applyAlignment="1">
      <alignment horizontal="center" vertical="center" wrapText="1"/>
    </xf>
    <xf numFmtId="0" fontId="8" fillId="4" borderId="6" xfId="0" applyFont="1" applyFill="1" applyBorder="1" applyAlignment="1">
      <alignment horizontal="right" vertical="center"/>
    </xf>
    <xf numFmtId="0" fontId="21" fillId="0" borderId="0" xfId="10" applyFont="1" applyFill="1" applyAlignment="1">
      <alignment vertical="center"/>
    </xf>
    <xf numFmtId="0" fontId="13" fillId="0" borderId="0" xfId="10" applyFont="1" applyFill="1" applyAlignment="1">
      <alignment horizontal="center" vertical="center"/>
    </xf>
    <xf numFmtId="0" fontId="13" fillId="0" borderId="0" xfId="10" applyFont="1" applyFill="1" applyAlignment="1"/>
    <xf numFmtId="0" fontId="17" fillId="0" borderId="0" xfId="10" applyFont="1" applyFill="1"/>
    <xf numFmtId="0" fontId="13" fillId="0" borderId="0" xfId="10" applyFont="1" applyFill="1" applyAlignment="1">
      <alignment vertical="center"/>
    </xf>
    <xf numFmtId="0" fontId="13" fillId="0" borderId="0" xfId="10" applyFont="1" applyAlignment="1">
      <alignment horizontal="center"/>
    </xf>
    <xf numFmtId="0" fontId="17" fillId="0" borderId="0" xfId="10" applyFont="1"/>
    <xf numFmtId="39" fontId="13" fillId="7" borderId="41" xfId="10" applyNumberFormat="1" applyFont="1" applyFill="1" applyBorder="1" applyAlignment="1">
      <alignment horizontal="center" vertical="center"/>
    </xf>
    <xf numFmtId="0" fontId="13" fillId="0" borderId="0" xfId="10" applyFont="1" applyBorder="1" applyAlignment="1"/>
    <xf numFmtId="2" fontId="17" fillId="0" borderId="0" xfId="10" applyNumberFormat="1" applyFont="1" applyBorder="1" applyAlignment="1"/>
    <xf numFmtId="2" fontId="17" fillId="0" borderId="0" xfId="10" applyNumberFormat="1" applyFont="1"/>
    <xf numFmtId="17" fontId="17" fillId="0" borderId="41" xfId="10" applyNumberFormat="1" applyFont="1" applyBorder="1" applyAlignment="1">
      <alignment horizontal="center"/>
    </xf>
    <xf numFmtId="168" fontId="13" fillId="0" borderId="41" xfId="10" applyNumberFormat="1" applyFont="1" applyBorder="1"/>
    <xf numFmtId="39" fontId="17" fillId="0" borderId="41" xfId="10" applyNumberFormat="1" applyFont="1" applyBorder="1"/>
    <xf numFmtId="17" fontId="17" fillId="0" borderId="41" xfId="10" applyNumberFormat="1" applyFont="1" applyFill="1" applyBorder="1" applyAlignment="1">
      <alignment horizontal="center"/>
    </xf>
    <xf numFmtId="169" fontId="17" fillId="0" borderId="41" xfId="10" applyNumberFormat="1" applyFont="1" applyFill="1" applyBorder="1"/>
    <xf numFmtId="170" fontId="17" fillId="0" borderId="41" xfId="10" applyNumberFormat="1" applyFont="1" applyFill="1" applyBorder="1"/>
    <xf numFmtId="0" fontId="13" fillId="0" borderId="0" xfId="10" applyFont="1" applyAlignment="1">
      <alignment horizontal="center" vertical="center"/>
    </xf>
    <xf numFmtId="0" fontId="13" fillId="0" borderId="0" xfId="10" applyFont="1" applyFill="1"/>
    <xf numFmtId="171" fontId="17" fillId="0" borderId="0" xfId="10" applyNumberFormat="1" applyFont="1" applyFill="1"/>
    <xf numFmtId="172" fontId="17" fillId="0" borderId="0" xfId="10" applyNumberFormat="1" applyFont="1"/>
    <xf numFmtId="17" fontId="34" fillId="0" borderId="0" xfId="10" applyNumberFormat="1" applyFont="1" applyBorder="1" applyAlignment="1"/>
    <xf numFmtId="10" fontId="34" fillId="0" borderId="0" xfId="10" applyNumberFormat="1" applyFont="1" applyBorder="1" applyAlignment="1"/>
    <xf numFmtId="10" fontId="13" fillId="4" borderId="6" xfId="10" applyNumberFormat="1" applyFont="1" applyFill="1" applyBorder="1" applyAlignment="1"/>
    <xf numFmtId="0" fontId="9" fillId="0" borderId="0" xfId="10" applyFont="1"/>
    <xf numFmtId="17" fontId="17" fillId="0" borderId="0" xfId="10" applyNumberFormat="1" applyFont="1" applyFill="1" applyBorder="1" applyAlignment="1">
      <alignment horizontal="left"/>
    </xf>
    <xf numFmtId="0" fontId="17" fillId="0" borderId="0" xfId="10" applyFont="1" applyAlignment="1">
      <alignment horizontal="center"/>
    </xf>
    <xf numFmtId="166" fontId="8" fillId="4" borderId="7" xfId="0" applyNumberFormat="1" applyFont="1" applyFill="1" applyBorder="1" applyAlignment="1">
      <alignment horizontal="center" vertical="center"/>
    </xf>
    <xf numFmtId="10" fontId="8" fillId="4" borderId="7" xfId="0" applyNumberFormat="1" applyFont="1" applyFill="1" applyBorder="1" applyAlignment="1">
      <alignment horizontal="center" vertical="center"/>
    </xf>
    <xf numFmtId="166" fontId="29" fillId="4" borderId="6" xfId="0" applyNumberFormat="1" applyFont="1" applyFill="1" applyBorder="1" applyAlignment="1">
      <alignment horizontal="right" vertical="center"/>
    </xf>
    <xf numFmtId="166" fontId="28" fillId="0" borderId="6" xfId="0" applyNumberFormat="1" applyFont="1" applyFill="1" applyBorder="1" applyAlignment="1">
      <alignment horizontal="left" vertical="center"/>
    </xf>
    <xf numFmtId="166" fontId="29" fillId="4" borderId="6" xfId="0" applyNumberFormat="1" applyFont="1" applyFill="1" applyBorder="1" applyAlignment="1">
      <alignment horizontal="right" vertical="center" wrapText="1"/>
    </xf>
    <xf numFmtId="166" fontId="29" fillId="4" borderId="6" xfId="0" applyNumberFormat="1" applyFont="1" applyFill="1" applyBorder="1" applyAlignment="1">
      <alignment horizontal="center" vertical="center" wrapText="1"/>
    </xf>
    <xf numFmtId="166" fontId="8" fillId="4" borderId="53" xfId="1" applyNumberFormat="1" applyFont="1" applyFill="1" applyBorder="1" applyAlignment="1">
      <alignment vertical="center"/>
    </xf>
    <xf numFmtId="44" fontId="28" fillId="0" borderId="0" xfId="0" applyNumberFormat="1" applyFont="1" applyFill="1" applyAlignment="1">
      <alignment vertical="center" wrapText="1"/>
    </xf>
    <xf numFmtId="44" fontId="28" fillId="0" borderId="0" xfId="0" applyNumberFormat="1" applyFont="1" applyAlignment="1">
      <alignment vertical="center" wrapText="1"/>
    </xf>
    <xf numFmtId="44" fontId="6" fillId="0" borderId="6" xfId="0" applyNumberFormat="1" applyFont="1" applyBorder="1" applyAlignment="1">
      <alignment vertical="center" wrapText="1"/>
    </xf>
    <xf numFmtId="0" fontId="35" fillId="0" borderId="0" xfId="0" applyFont="1" applyAlignment="1">
      <alignment vertical="center"/>
    </xf>
    <xf numFmtId="0" fontId="35" fillId="0" borderId="6" xfId="0" applyFont="1" applyBorder="1" applyAlignment="1">
      <alignment vertical="center"/>
    </xf>
    <xf numFmtId="44" fontId="35" fillId="0" borderId="6" xfId="0" applyNumberFormat="1" applyFont="1" applyBorder="1" applyAlignment="1">
      <alignment vertical="center"/>
    </xf>
    <xf numFmtId="44" fontId="35" fillId="8" borderId="6" xfId="0" applyNumberFormat="1" applyFont="1" applyFill="1" applyBorder="1" applyAlignment="1">
      <alignment vertical="center"/>
    </xf>
    <xf numFmtId="44" fontId="36" fillId="8" borderId="6" xfId="0" applyNumberFormat="1" applyFont="1" applyFill="1" applyBorder="1" applyAlignment="1">
      <alignment vertical="center"/>
    </xf>
    <xf numFmtId="44" fontId="36" fillId="0" borderId="6" xfId="0" applyNumberFormat="1" applyFont="1" applyBorder="1" applyAlignment="1">
      <alignment vertical="center"/>
    </xf>
    <xf numFmtId="0" fontId="35" fillId="7" borderId="6" xfId="0" applyFont="1" applyFill="1" applyBorder="1" applyAlignment="1">
      <alignment horizontal="center" vertical="center"/>
    </xf>
    <xf numFmtId="44" fontId="35" fillId="0" borderId="0" xfId="0" applyNumberFormat="1" applyFont="1" applyAlignment="1">
      <alignment vertical="center"/>
    </xf>
    <xf numFmtId="44" fontId="25" fillId="0" borderId="0" xfId="4" applyNumberFormat="1" applyFont="1" applyAlignment="1">
      <alignment vertical="center" wrapText="1"/>
    </xf>
    <xf numFmtId="44" fontId="27" fillId="4" borderId="6" xfId="0" applyNumberFormat="1" applyFont="1" applyFill="1" applyBorder="1" applyAlignment="1">
      <alignment horizontal="center" vertical="center" wrapText="1"/>
    </xf>
    <xf numFmtId="44" fontId="25" fillId="0" borderId="6" xfId="4" applyNumberFormat="1" applyFont="1" applyFill="1" applyBorder="1" applyAlignment="1">
      <alignment horizontal="center" vertical="center" wrapText="1"/>
    </xf>
    <xf numFmtId="44" fontId="25" fillId="0" borderId="11" xfId="4" applyNumberFormat="1" applyFont="1" applyFill="1" applyBorder="1" applyAlignment="1">
      <alignment horizontal="center" vertical="center" wrapText="1"/>
    </xf>
    <xf numFmtId="44" fontId="27" fillId="4" borderId="6" xfId="4" applyNumberFormat="1" applyFont="1" applyFill="1" applyBorder="1" applyAlignment="1">
      <alignment horizontal="center" vertical="center" wrapText="1"/>
    </xf>
    <xf numFmtId="165" fontId="36" fillId="8" borderId="6" xfId="0" applyNumberFormat="1" applyFont="1" applyFill="1" applyBorder="1" applyAlignment="1">
      <alignment horizontal="center" vertical="center" wrapText="1"/>
    </xf>
    <xf numFmtId="165" fontId="36" fillId="7" borderId="6" xfId="0" applyNumberFormat="1" applyFont="1" applyFill="1" applyBorder="1" applyAlignment="1">
      <alignment horizontal="center" vertical="center" wrapText="1"/>
    </xf>
    <xf numFmtId="0" fontId="36" fillId="0" borderId="0" xfId="0" applyFont="1" applyAlignment="1">
      <alignment vertical="center"/>
    </xf>
    <xf numFmtId="17" fontId="35" fillId="0" borderId="6" xfId="6" applyNumberFormat="1" applyFont="1" applyBorder="1" applyAlignment="1">
      <alignment horizontal="center" vertical="center" wrapText="1"/>
    </xf>
    <xf numFmtId="166" fontId="35" fillId="0" borderId="6" xfId="1" applyFont="1" applyBorder="1" applyAlignment="1">
      <alignment horizontal="center" vertical="center" wrapText="1"/>
    </xf>
    <xf numFmtId="0" fontId="17" fillId="3" borderId="0" xfId="0" applyFont="1" applyFill="1" applyAlignment="1">
      <alignment vertical="center"/>
    </xf>
    <xf numFmtId="0" fontId="35" fillId="3" borderId="0" xfId="0" applyFont="1" applyFill="1" applyAlignment="1">
      <alignment vertical="center"/>
    </xf>
    <xf numFmtId="166" fontId="35" fillId="0" borderId="0" xfId="1" applyFont="1" applyAlignment="1">
      <alignment vertical="center"/>
    </xf>
    <xf numFmtId="166" fontId="35" fillId="0" borderId="0" xfId="0" applyNumberFormat="1" applyFont="1" applyAlignment="1">
      <alignment vertical="center"/>
    </xf>
    <xf numFmtId="0" fontId="17" fillId="0" borderId="0" xfId="0" applyFont="1" applyAlignment="1">
      <alignment vertical="center"/>
    </xf>
    <xf numFmtId="166" fontId="35" fillId="3" borderId="0" xfId="0" applyNumberFormat="1" applyFont="1" applyFill="1" applyAlignment="1">
      <alignment horizontal="center" vertical="center"/>
    </xf>
    <xf numFmtId="0" fontId="35" fillId="0" borderId="0" xfId="0" applyFont="1" applyAlignment="1">
      <alignment horizontal="center" vertical="center"/>
    </xf>
    <xf numFmtId="43" fontId="35" fillId="0" borderId="0" xfId="0" applyNumberFormat="1" applyFont="1" applyAlignment="1">
      <alignment vertical="center"/>
    </xf>
    <xf numFmtId="0" fontId="17" fillId="6" borderId="0" xfId="0" applyFont="1" applyFill="1" applyAlignment="1">
      <alignment horizontal="center" vertical="center"/>
    </xf>
    <xf numFmtId="0" fontId="35" fillId="6" borderId="0" xfId="0" applyFont="1" applyFill="1" applyAlignment="1">
      <alignment vertical="center"/>
    </xf>
    <xf numFmtId="0" fontId="34" fillId="0" borderId="0" xfId="0" applyFont="1" applyAlignment="1">
      <alignment vertical="center"/>
    </xf>
    <xf numFmtId="0" fontId="36" fillId="0" borderId="0" xfId="0" applyFont="1" applyFill="1" applyAlignment="1">
      <alignment vertical="center"/>
    </xf>
    <xf numFmtId="43" fontId="36" fillId="0" borderId="0" xfId="0" applyNumberFormat="1" applyFont="1" applyFill="1" applyAlignment="1">
      <alignment vertical="center"/>
    </xf>
    <xf numFmtId="166" fontId="35" fillId="6" borderId="0" xfId="0" applyNumberFormat="1" applyFont="1" applyFill="1" applyAlignment="1">
      <alignment vertical="center"/>
    </xf>
    <xf numFmtId="0" fontId="36" fillId="0" borderId="6" xfId="0" applyFont="1" applyFill="1" applyBorder="1" applyAlignment="1">
      <alignment horizontal="center" vertical="center"/>
    </xf>
    <xf numFmtId="166" fontId="36" fillId="0" borderId="6" xfId="0" applyNumberFormat="1" applyFont="1" applyFill="1" applyBorder="1" applyAlignment="1">
      <alignment vertical="center"/>
    </xf>
    <xf numFmtId="14" fontId="35" fillId="0" borderId="0" xfId="0" applyNumberFormat="1" applyFont="1" applyAlignment="1">
      <alignment vertical="center"/>
    </xf>
    <xf numFmtId="166" fontId="35" fillId="6" borderId="0" xfId="1" applyFont="1" applyFill="1" applyAlignment="1">
      <alignment vertical="center"/>
    </xf>
    <xf numFmtId="0" fontId="35" fillId="6" borderId="0" xfId="0" applyFont="1" applyFill="1" applyAlignment="1">
      <alignment horizontal="center" vertical="center"/>
    </xf>
    <xf numFmtId="10" fontId="35" fillId="6" borderId="0" xfId="11" applyNumberFormat="1" applyFont="1" applyFill="1" applyAlignment="1">
      <alignment vertical="center"/>
    </xf>
    <xf numFmtId="164" fontId="35" fillId="0" borderId="0" xfId="0" applyNumberFormat="1" applyFont="1" applyAlignment="1">
      <alignment vertical="center"/>
    </xf>
    <xf numFmtId="17" fontId="35" fillId="0" borderId="0" xfId="0" applyNumberFormat="1" applyFont="1" applyAlignment="1">
      <alignment vertical="center"/>
    </xf>
    <xf numFmtId="0" fontId="35" fillId="0" borderId="0" xfId="0" applyFont="1" applyFill="1" applyAlignment="1">
      <alignment vertical="center"/>
    </xf>
    <xf numFmtId="166" fontId="35" fillId="0" borderId="0" xfId="0" applyNumberFormat="1" applyFont="1" applyFill="1" applyAlignment="1">
      <alignment vertical="center"/>
    </xf>
    <xf numFmtId="166" fontId="13" fillId="0" borderId="0" xfId="0" applyNumberFormat="1" applyFont="1" applyFill="1" applyAlignment="1">
      <alignment vertical="center"/>
    </xf>
    <xf numFmtId="166" fontId="37" fillId="0" borderId="0" xfId="0" applyNumberFormat="1" applyFont="1" applyAlignment="1">
      <alignment vertical="center"/>
    </xf>
    <xf numFmtId="0" fontId="13" fillId="0" borderId="13" xfId="0" applyFont="1" applyFill="1" applyBorder="1" applyAlignment="1">
      <alignment horizontal="center" vertical="center" wrapText="1"/>
    </xf>
    <xf numFmtId="0" fontId="17" fillId="6" borderId="14" xfId="0" applyFont="1" applyFill="1" applyBorder="1" applyAlignment="1">
      <alignment horizontal="center" vertical="center" wrapText="1"/>
    </xf>
    <xf numFmtId="0" fontId="17" fillId="6" borderId="15" xfId="0" applyFont="1" applyFill="1" applyBorder="1" applyAlignment="1">
      <alignment horizontal="center" vertical="center" wrapText="1"/>
    </xf>
    <xf numFmtId="0" fontId="17" fillId="0" borderId="15" xfId="0" applyFont="1" applyFill="1" applyBorder="1" applyAlignment="1">
      <alignment horizontal="center" vertical="center" wrapText="1"/>
    </xf>
    <xf numFmtId="49" fontId="35" fillId="0" borderId="0" xfId="0" applyNumberFormat="1" applyFont="1" applyAlignment="1">
      <alignment horizontal="right" vertical="center"/>
    </xf>
    <xf numFmtId="164" fontId="35" fillId="0" borderId="6" xfId="1" applyNumberFormat="1" applyFont="1" applyBorder="1" applyAlignment="1">
      <alignment horizontal="center" vertical="center" wrapText="1"/>
    </xf>
    <xf numFmtId="0" fontId="25" fillId="0" borderId="0" xfId="0" applyFont="1" applyFill="1" applyAlignment="1">
      <alignment vertical="center" wrapText="1"/>
    </xf>
    <xf numFmtId="165" fontId="25" fillId="0" borderId="0" xfId="0" applyNumberFormat="1" applyFont="1" applyAlignment="1">
      <alignment vertical="center" wrapText="1"/>
    </xf>
    <xf numFmtId="0" fontId="28" fillId="0" borderId="0" xfId="0" applyFont="1" applyAlignment="1">
      <alignment horizontal="center" vertical="center" wrapText="1"/>
    </xf>
    <xf numFmtId="164" fontId="35" fillId="0" borderId="6" xfId="0" applyNumberFormat="1" applyFont="1" applyBorder="1" applyAlignment="1">
      <alignment vertical="center"/>
    </xf>
    <xf numFmtId="164" fontId="13" fillId="0" borderId="9" xfId="4" applyFont="1" applyFill="1" applyBorder="1" applyAlignment="1">
      <alignment horizontal="left" vertical="center" wrapText="1"/>
    </xf>
    <xf numFmtId="0" fontId="8" fillId="6" borderId="0" xfId="0" applyFont="1" applyFill="1" applyAlignment="1">
      <alignment horizontal="justify" vertical="center" wrapText="1"/>
    </xf>
    <xf numFmtId="44" fontId="6" fillId="6" borderId="0" xfId="0" applyNumberFormat="1" applyFont="1" applyFill="1" applyAlignment="1">
      <alignment horizontal="justify" vertical="center" wrapText="1"/>
    </xf>
    <xf numFmtId="44" fontId="17" fillId="6" borderId="0" xfId="0" applyNumberFormat="1" applyFont="1" applyFill="1" applyAlignment="1">
      <alignment horizontal="justify" vertical="center" wrapText="1"/>
    </xf>
    <xf numFmtId="0" fontId="17" fillId="6" borderId="0" xfId="0" applyFont="1" applyFill="1" applyAlignment="1">
      <alignment horizontal="justify" vertical="center" wrapText="1"/>
    </xf>
    <xf numFmtId="166" fontId="35" fillId="6" borderId="0" xfId="11" applyNumberFormat="1" applyFont="1" applyFill="1" applyAlignment="1">
      <alignment vertical="center"/>
    </xf>
    <xf numFmtId="43" fontId="35" fillId="6" borderId="0" xfId="0" applyNumberFormat="1" applyFont="1" applyFill="1" applyAlignment="1">
      <alignment vertical="center"/>
    </xf>
    <xf numFmtId="9" fontId="35" fillId="6" borderId="0" xfId="0" applyNumberFormat="1" applyFont="1" applyFill="1" applyAlignment="1">
      <alignment vertical="center"/>
    </xf>
    <xf numFmtId="0" fontId="35" fillId="0" borderId="0" xfId="0" applyFont="1" applyAlignment="1">
      <alignment horizontal="right" vertical="center"/>
    </xf>
    <xf numFmtId="0" fontId="35" fillId="6" borderId="0" xfId="0" applyFont="1" applyFill="1" applyAlignment="1">
      <alignment horizontal="right" vertical="center"/>
    </xf>
    <xf numFmtId="0" fontId="35" fillId="0" borderId="0" xfId="0" applyFont="1" applyFill="1" applyAlignment="1">
      <alignment horizontal="right" vertical="center"/>
    </xf>
    <xf numFmtId="166" fontId="35" fillId="0" borderId="0" xfId="1" applyFont="1" applyAlignment="1">
      <alignment horizontal="right" vertical="center"/>
    </xf>
    <xf numFmtId="10" fontId="17" fillId="0" borderId="0" xfId="10" applyNumberFormat="1" applyFont="1"/>
    <xf numFmtId="44" fontId="6" fillId="0" borderId="0" xfId="0" applyNumberFormat="1" applyFont="1" applyFill="1" applyAlignment="1">
      <alignment vertical="center"/>
    </xf>
    <xf numFmtId="44" fontId="28" fillId="0" borderId="0" xfId="0" applyNumberFormat="1" applyFont="1" applyFill="1" applyAlignment="1">
      <alignment vertical="center"/>
    </xf>
    <xf numFmtId="17" fontId="38" fillId="0" borderId="0" xfId="10" applyNumberFormat="1" applyFont="1" applyFill="1" applyBorder="1" applyAlignment="1">
      <alignment wrapText="1"/>
    </xf>
    <xf numFmtId="0" fontId="13" fillId="0" borderId="0" xfId="10" applyNumberFormat="1" applyFont="1"/>
    <xf numFmtId="0" fontId="27" fillId="4" borderId="6" xfId="0" applyFont="1" applyFill="1" applyBorder="1" applyAlignment="1">
      <alignment horizontal="right" vertical="center" wrapText="1"/>
    </xf>
    <xf numFmtId="0" fontId="29" fillId="0" borderId="6" xfId="0" applyFont="1" applyFill="1" applyBorder="1" applyAlignment="1">
      <alignment horizontal="left" vertical="center"/>
    </xf>
    <xf numFmtId="44" fontId="8" fillId="6" borderId="0" xfId="0" applyNumberFormat="1" applyFont="1" applyFill="1" applyAlignment="1">
      <alignment horizontal="justify" vertical="center" wrapText="1"/>
    </xf>
    <xf numFmtId="0" fontId="27" fillId="0" borderId="0" xfId="0" applyFont="1" applyFill="1" applyAlignment="1">
      <alignment horizontal="left" vertical="justify" wrapText="1" indent="19"/>
    </xf>
    <xf numFmtId="0" fontId="13" fillId="4" borderId="16" xfId="0" applyFont="1" applyFill="1" applyBorder="1" applyAlignment="1">
      <alignment horizontal="center" vertical="center" wrapText="1"/>
    </xf>
    <xf numFmtId="164" fontId="27" fillId="0" borderId="0" xfId="4" applyFont="1" applyAlignment="1">
      <alignment vertical="center" wrapText="1"/>
    </xf>
    <xf numFmtId="0" fontId="25" fillId="0" borderId="6" xfId="0" applyFont="1" applyFill="1" applyBorder="1" applyAlignment="1">
      <alignment horizontal="center" vertical="center" wrapText="1"/>
    </xf>
    <xf numFmtId="0" fontId="27" fillId="0" borderId="0" xfId="0" applyFont="1" applyFill="1" applyBorder="1" applyAlignment="1">
      <alignment horizontal="center" vertical="center" wrapText="1"/>
    </xf>
    <xf numFmtId="44" fontId="27" fillId="0" borderId="0" xfId="0" applyNumberFormat="1" applyFont="1" applyFill="1" applyBorder="1" applyAlignment="1">
      <alignment horizontal="center" vertical="center" wrapText="1"/>
    </xf>
    <xf numFmtId="164" fontId="25" fillId="0" borderId="0" xfId="4" applyFont="1" applyFill="1" applyAlignment="1">
      <alignment vertical="center" wrapText="1"/>
    </xf>
    <xf numFmtId="0" fontId="6" fillId="0" borderId="6" xfId="0" applyFont="1" applyFill="1" applyBorder="1" applyAlignment="1">
      <alignment horizontal="right" vertical="center"/>
    </xf>
    <xf numFmtId="0" fontId="8" fillId="4" borderId="18" xfId="0" applyFont="1" applyFill="1" applyBorder="1" applyAlignment="1">
      <alignment horizontal="center" vertical="center"/>
    </xf>
    <xf numFmtId="0" fontId="28" fillId="0" borderId="6" xfId="0" applyFont="1" applyFill="1" applyBorder="1" applyAlignment="1">
      <alignment horizontal="right" vertical="center"/>
    </xf>
    <xf numFmtId="165" fontId="28" fillId="0" borderId="6" xfId="1" applyNumberFormat="1" applyFont="1" applyFill="1" applyBorder="1" applyAlignment="1">
      <alignment vertical="center"/>
    </xf>
    <xf numFmtId="0" fontId="29" fillId="4" borderId="8" xfId="0" applyFont="1" applyFill="1" applyBorder="1" applyAlignment="1">
      <alignment vertical="center"/>
    </xf>
    <xf numFmtId="0" fontId="29" fillId="4" borderId="6" xfId="0" applyFont="1" applyFill="1" applyBorder="1" applyAlignment="1">
      <alignment vertical="center"/>
    </xf>
    <xf numFmtId="10" fontId="8" fillId="4" borderId="19" xfId="0" applyNumberFormat="1" applyFont="1" applyFill="1" applyBorder="1" applyAlignment="1">
      <alignment horizontal="center" vertical="center"/>
    </xf>
    <xf numFmtId="166" fontId="29" fillId="0" borderId="6" xfId="0" applyNumberFormat="1" applyFont="1" applyFill="1" applyBorder="1" applyAlignment="1">
      <alignment horizontal="left" vertical="center"/>
    </xf>
    <xf numFmtId="166" fontId="8" fillId="4" borderId="6" xfId="0" applyNumberFormat="1" applyFont="1" applyFill="1" applyBorder="1" applyAlignment="1">
      <alignment horizontal="center" vertical="center" wrapText="1"/>
    </xf>
    <xf numFmtId="44" fontId="28" fillId="0" borderId="6" xfId="1" applyNumberFormat="1" applyFont="1" applyFill="1" applyBorder="1" applyAlignment="1">
      <alignment vertical="center"/>
    </xf>
    <xf numFmtId="44" fontId="8" fillId="4" borderId="6" xfId="0" applyNumberFormat="1" applyFont="1" applyFill="1" applyBorder="1" applyAlignment="1">
      <alignment horizontal="center" vertical="center"/>
    </xf>
    <xf numFmtId="44" fontId="28" fillId="0" borderId="6" xfId="1" applyNumberFormat="1" applyFont="1" applyFill="1" applyBorder="1" applyAlignment="1">
      <alignment horizontal="right" vertical="center"/>
    </xf>
    <xf numFmtId="44" fontId="29" fillId="4" borderId="6" xfId="0" applyNumberFormat="1" applyFont="1" applyFill="1" applyBorder="1" applyAlignment="1">
      <alignment horizontal="right" vertical="center"/>
    </xf>
    <xf numFmtId="44" fontId="8" fillId="4" borderId="7" xfId="0" applyNumberFormat="1" applyFont="1" applyFill="1" applyBorder="1" applyAlignment="1">
      <alignment horizontal="left" vertical="center"/>
    </xf>
    <xf numFmtId="44" fontId="6" fillId="0" borderId="7" xfId="0" applyNumberFormat="1" applyFont="1" applyFill="1" applyBorder="1" applyAlignment="1">
      <alignment horizontal="left" vertical="center"/>
    </xf>
    <xf numFmtId="44" fontId="6" fillId="0" borderId="6" xfId="0" applyNumberFormat="1" applyFont="1" applyFill="1" applyBorder="1" applyAlignment="1">
      <alignment horizontal="left" vertical="center"/>
    </xf>
    <xf numFmtId="44" fontId="8" fillId="4" borderId="6" xfId="1" applyNumberFormat="1" applyFont="1" applyFill="1" applyBorder="1" applyAlignment="1">
      <alignment vertical="center"/>
    </xf>
    <xf numFmtId="44" fontId="8" fillId="4" borderId="6" xfId="0" applyNumberFormat="1" applyFont="1" applyFill="1" applyBorder="1" applyAlignment="1">
      <alignment horizontal="right" vertical="center" wrapText="1"/>
    </xf>
    <xf numFmtId="166" fontId="6" fillId="0" borderId="6" xfId="0" applyNumberFormat="1" applyFont="1" applyFill="1" applyBorder="1" applyAlignment="1">
      <alignment horizontal="left" vertical="center"/>
    </xf>
    <xf numFmtId="44" fontId="8" fillId="4" borderId="6" xfId="0" applyNumberFormat="1" applyFont="1" applyFill="1" applyBorder="1" applyAlignment="1">
      <alignment horizontal="right" vertical="center"/>
    </xf>
    <xf numFmtId="0" fontId="28" fillId="0" borderId="6" xfId="0" applyFont="1" applyFill="1" applyBorder="1" applyAlignment="1">
      <alignment horizontal="right" vertical="center"/>
    </xf>
    <xf numFmtId="0" fontId="29" fillId="4" borderId="6" xfId="0" applyFont="1" applyFill="1" applyBorder="1" applyAlignment="1">
      <alignment horizontal="center" vertical="center"/>
    </xf>
    <xf numFmtId="166" fontId="6" fillId="0" borderId="7" xfId="1" applyFont="1" applyFill="1" applyBorder="1" applyAlignment="1">
      <alignment vertical="center"/>
    </xf>
    <xf numFmtId="166" fontId="6" fillId="0" borderId="6" xfId="1" applyFont="1" applyFill="1" applyBorder="1" applyAlignment="1">
      <alignment horizontal="left" vertical="center"/>
    </xf>
    <xf numFmtId="166" fontId="6" fillId="0" borderId="6" xfId="1" applyFont="1" applyFill="1" applyBorder="1" applyAlignment="1">
      <alignment horizontal="left" vertical="center" wrapText="1"/>
    </xf>
    <xf numFmtId="166" fontId="6" fillId="0" borderId="6" xfId="1" applyFont="1" applyFill="1" applyBorder="1" applyAlignment="1">
      <alignment vertical="center"/>
    </xf>
    <xf numFmtId="166" fontId="28" fillId="0" borderId="6" xfId="1" applyFont="1" applyFill="1" applyBorder="1" applyAlignment="1">
      <alignment horizontal="left" vertical="center"/>
    </xf>
    <xf numFmtId="166" fontId="28" fillId="0" borderId="6" xfId="1" applyFont="1" applyFill="1" applyBorder="1" applyAlignment="1">
      <alignment horizontal="left" vertical="center" wrapText="1"/>
    </xf>
    <xf numFmtId="166" fontId="28" fillId="0" borderId="7" xfId="1" applyFont="1" applyFill="1" applyBorder="1" applyAlignment="1">
      <alignment horizontal="left" vertical="center"/>
    </xf>
    <xf numFmtId="166" fontId="28" fillId="0" borderId="6" xfId="1" applyFont="1" applyFill="1" applyBorder="1" applyAlignment="1">
      <alignment vertical="center"/>
    </xf>
    <xf numFmtId="166" fontId="28" fillId="0" borderId="7" xfId="1" applyFont="1" applyFill="1" applyBorder="1" applyAlignment="1">
      <alignment vertical="center"/>
    </xf>
    <xf numFmtId="166" fontId="28" fillId="0" borderId="6" xfId="1" applyFont="1" applyFill="1" applyBorder="1" applyAlignment="1">
      <alignment horizontal="right" vertical="center"/>
    </xf>
    <xf numFmtId="10" fontId="29" fillId="4" borderId="6" xfId="0" applyNumberFormat="1" applyFont="1" applyFill="1" applyBorder="1" applyAlignment="1">
      <alignment horizontal="center" vertical="center"/>
    </xf>
    <xf numFmtId="166" fontId="8" fillId="4" borderId="6" xfId="1" applyFont="1" applyFill="1" applyBorder="1" applyAlignment="1">
      <alignment vertical="center"/>
    </xf>
    <xf numFmtId="165" fontId="6" fillId="0" borderId="6" xfId="1" applyNumberFormat="1" applyFont="1" applyFill="1" applyBorder="1" applyAlignment="1">
      <alignment vertical="center"/>
    </xf>
    <xf numFmtId="0" fontId="8" fillId="4" borderId="7" xfId="0" applyFont="1" applyFill="1" applyBorder="1" applyAlignment="1">
      <alignment horizontal="center" vertical="center" wrapText="1"/>
    </xf>
    <xf numFmtId="166" fontId="29" fillId="4" borderId="6" xfId="1" applyFont="1" applyFill="1" applyBorder="1" applyAlignment="1">
      <alignment horizontal="right" vertical="center"/>
    </xf>
    <xf numFmtId="166" fontId="8" fillId="4" borderId="7" xfId="1" applyNumberFormat="1" applyFont="1" applyFill="1" applyBorder="1" applyAlignment="1">
      <alignment vertical="center"/>
    </xf>
    <xf numFmtId="166" fontId="6" fillId="0" borderId="7" xfId="0" applyNumberFormat="1" applyFont="1" applyFill="1" applyBorder="1" applyAlignment="1">
      <alignment vertical="center"/>
    </xf>
    <xf numFmtId="166" fontId="8" fillId="4" borderId="7" xfId="0" applyNumberFormat="1" applyFont="1" applyFill="1" applyBorder="1" applyAlignment="1">
      <alignment vertical="center"/>
    </xf>
    <xf numFmtId="0" fontId="6" fillId="0" borderId="7" xfId="0" applyNumberFormat="1" applyFont="1" applyFill="1" applyBorder="1" applyAlignment="1">
      <alignment vertical="center"/>
    </xf>
    <xf numFmtId="165" fontId="28" fillId="0" borderId="53" xfId="1" applyNumberFormat="1" applyFont="1" applyFill="1" applyBorder="1" applyAlignment="1">
      <alignment vertical="center"/>
    </xf>
    <xf numFmtId="166" fontId="8" fillId="4" borderId="6" xfId="0" applyNumberFormat="1" applyFont="1" applyFill="1" applyBorder="1" applyAlignment="1">
      <alignment horizontal="right" vertical="center" wrapText="1"/>
    </xf>
    <xf numFmtId="0" fontId="28" fillId="0" borderId="6" xfId="0" applyFont="1" applyFill="1" applyBorder="1" applyAlignment="1">
      <alignment horizontal="left" vertical="center" wrapText="1"/>
    </xf>
    <xf numFmtId="10" fontId="28" fillId="0" borderId="6" xfId="11" applyNumberFormat="1" applyFont="1" applyFill="1" applyBorder="1" applyAlignment="1">
      <alignment vertical="center"/>
    </xf>
    <xf numFmtId="0" fontId="28" fillId="0" borderId="11" xfId="0" applyFont="1" applyFill="1" applyBorder="1" applyAlignment="1">
      <alignment vertical="center"/>
    </xf>
    <xf numFmtId="0" fontId="29" fillId="0" borderId="0" xfId="0" applyFont="1" applyFill="1" applyBorder="1" applyAlignment="1">
      <alignment horizontal="center" vertical="center" wrapText="1"/>
    </xf>
    <xf numFmtId="0" fontId="0" fillId="0" borderId="0" xfId="0" applyAlignment="1">
      <alignment vertical="center"/>
    </xf>
    <xf numFmtId="0" fontId="28" fillId="0" borderId="6" xfId="0" applyFont="1" applyFill="1" applyBorder="1" applyAlignment="1">
      <alignment horizontal="left" vertical="center" wrapText="1"/>
    </xf>
    <xf numFmtId="0" fontId="11" fillId="4" borderId="6" xfId="0" applyFont="1" applyFill="1" applyBorder="1" applyAlignment="1">
      <alignment horizontal="center" vertical="center" wrapText="1"/>
    </xf>
    <xf numFmtId="0" fontId="29" fillId="9" borderId="6" xfId="0" applyFont="1" applyFill="1" applyBorder="1" applyAlignment="1">
      <alignment horizontal="center" vertical="center"/>
    </xf>
    <xf numFmtId="0" fontId="28" fillId="0" borderId="0" xfId="0" applyFont="1" applyFill="1" applyBorder="1" applyAlignment="1">
      <alignment horizontal="left" vertical="center" wrapText="1"/>
    </xf>
    <xf numFmtId="0" fontId="29" fillId="9" borderId="6" xfId="0" applyFont="1" applyFill="1" applyBorder="1" applyAlignment="1">
      <alignment horizontal="center" vertical="center"/>
    </xf>
    <xf numFmtId="0" fontId="29" fillId="9" borderId="11" xfId="0" applyFont="1" applyFill="1" applyBorder="1" applyAlignment="1">
      <alignment horizontal="center" vertical="center"/>
    </xf>
    <xf numFmtId="10" fontId="28" fillId="0" borderId="0" xfId="11" applyNumberFormat="1" applyFont="1" applyFill="1" applyBorder="1" applyAlignment="1">
      <alignment vertical="center"/>
    </xf>
    <xf numFmtId="0" fontId="36" fillId="3" borderId="0" xfId="0" applyFont="1" applyFill="1" applyAlignment="1">
      <alignment horizontal="left" vertical="center" wrapText="1"/>
    </xf>
    <xf numFmtId="0" fontId="36" fillId="3" borderId="0" xfId="0" applyFont="1" applyFill="1" applyAlignment="1">
      <alignment horizontal="left" vertical="center"/>
    </xf>
    <xf numFmtId="14" fontId="8" fillId="4" borderId="0" xfId="0" applyNumberFormat="1" applyFont="1" applyFill="1" applyBorder="1" applyAlignment="1">
      <alignment horizontal="center" vertical="center" wrapText="1"/>
    </xf>
    <xf numFmtId="166" fontId="6" fillId="0" borderId="0" xfId="1" applyNumberFormat="1" applyFont="1" applyFill="1" applyBorder="1" applyAlignment="1">
      <alignment vertical="center"/>
    </xf>
    <xf numFmtId="166" fontId="8" fillId="4" borderId="0" xfId="1" applyNumberFormat="1" applyFont="1" applyFill="1" applyBorder="1" applyAlignment="1">
      <alignment vertical="center"/>
    </xf>
    <xf numFmtId="166" fontId="8" fillId="4" borderId="0" xfId="0" applyNumberFormat="1" applyFont="1" applyFill="1" applyBorder="1" applyAlignment="1">
      <alignment horizontal="center" vertical="center"/>
    </xf>
    <xf numFmtId="10" fontId="8" fillId="4" borderId="0" xfId="0" applyNumberFormat="1" applyFont="1" applyFill="1" applyBorder="1" applyAlignment="1">
      <alignment horizontal="center" vertical="center"/>
    </xf>
    <xf numFmtId="166" fontId="8" fillId="4" borderId="0" xfId="0" applyNumberFormat="1" applyFont="1" applyFill="1" applyBorder="1" applyAlignment="1">
      <alignment vertical="center"/>
    </xf>
    <xf numFmtId="0" fontId="30" fillId="0" borderId="0" xfId="0" applyNumberFormat="1" applyFont="1" applyFill="1" applyBorder="1" applyAlignment="1">
      <alignment vertical="center"/>
    </xf>
    <xf numFmtId="166" fontId="40" fillId="4" borderId="0" xfId="0" applyNumberFormat="1" applyFont="1" applyFill="1" applyBorder="1" applyAlignment="1">
      <alignment vertical="center"/>
    </xf>
    <xf numFmtId="0" fontId="8" fillId="4" borderId="0" xfId="0" applyFont="1" applyFill="1" applyBorder="1" applyAlignment="1">
      <alignment horizontal="center" vertical="center"/>
    </xf>
    <xf numFmtId="0" fontId="29" fillId="0" borderId="0" xfId="0" applyFont="1" applyFill="1" applyBorder="1" applyAlignment="1">
      <alignment horizontal="center" vertical="center"/>
    </xf>
    <xf numFmtId="0" fontId="40" fillId="0" borderId="0" xfId="0" applyFont="1" applyFill="1" applyBorder="1" applyAlignment="1">
      <alignment horizontal="center" vertical="center"/>
    </xf>
    <xf numFmtId="43" fontId="17" fillId="0" borderId="0" xfId="0" applyNumberFormat="1" applyFont="1" applyFill="1" applyBorder="1" applyAlignment="1">
      <alignment horizontal="center" vertical="center" wrapText="1"/>
    </xf>
    <xf numFmtId="43" fontId="17" fillId="0" borderId="0" xfId="0" applyNumberFormat="1" applyFont="1" applyFill="1" applyBorder="1" applyAlignment="1">
      <alignment horizontal="justify" vertical="center" wrapText="1"/>
    </xf>
    <xf numFmtId="43" fontId="6" fillId="0" borderId="0" xfId="0" applyNumberFormat="1" applyFont="1" applyFill="1" applyBorder="1" applyAlignment="1">
      <alignment horizontal="justify" vertical="center" wrapText="1"/>
    </xf>
    <xf numFmtId="166" fontId="28" fillId="0" borderId="0" xfId="1" applyNumberFormat="1" applyFont="1" applyFill="1" applyBorder="1" applyAlignment="1">
      <alignment vertical="center"/>
    </xf>
    <xf numFmtId="166" fontId="29" fillId="4" borderId="0" xfId="1" applyNumberFormat="1" applyFont="1" applyFill="1" applyBorder="1" applyAlignment="1">
      <alignment vertical="center"/>
    </xf>
    <xf numFmtId="166" fontId="29" fillId="4" borderId="0" xfId="0" applyNumberFormat="1" applyFont="1" applyFill="1" applyBorder="1" applyAlignment="1">
      <alignment horizontal="center" vertical="center"/>
    </xf>
    <xf numFmtId="166" fontId="28" fillId="0" borderId="0" xfId="1" applyNumberFormat="1" applyFont="1" applyFill="1" applyBorder="1" applyAlignment="1">
      <alignment horizontal="right" vertical="center"/>
    </xf>
    <xf numFmtId="166" fontId="29" fillId="4" borderId="0" xfId="0" applyNumberFormat="1" applyFont="1" applyFill="1" applyBorder="1" applyAlignment="1">
      <alignment vertical="center"/>
    </xf>
    <xf numFmtId="0" fontId="29" fillId="9" borderId="21" xfId="0" applyFont="1" applyFill="1" applyBorder="1" applyAlignment="1">
      <alignment vertical="center"/>
    </xf>
    <xf numFmtId="0" fontId="28" fillId="0" borderId="11" xfId="0" applyFont="1" applyFill="1" applyBorder="1" applyAlignment="1">
      <alignment vertical="center" wrapText="1"/>
    </xf>
    <xf numFmtId="0" fontId="28" fillId="0" borderId="0" xfId="0" applyFont="1" applyFill="1" applyBorder="1" applyAlignment="1">
      <alignment vertical="center" wrapText="1"/>
    </xf>
    <xf numFmtId="0" fontId="28" fillId="0" borderId="0" xfId="0" applyFont="1" applyFill="1" applyBorder="1" applyAlignment="1">
      <alignment vertical="top" wrapText="1"/>
    </xf>
    <xf numFmtId="0" fontId="6" fillId="0" borderId="6" xfId="0" applyNumberFormat="1" applyFont="1" applyFill="1" applyBorder="1" applyAlignment="1">
      <alignment horizontal="right" vertical="center"/>
    </xf>
    <xf numFmtId="0" fontId="28" fillId="0" borderId="0" xfId="0" applyFont="1" applyBorder="1" applyAlignment="1">
      <alignment vertical="center" wrapText="1"/>
    </xf>
    <xf numFmtId="0" fontId="41" fillId="0" borderId="0" xfId="0" applyFont="1" applyFill="1" applyAlignment="1">
      <alignment vertical="center"/>
    </xf>
    <xf numFmtId="0" fontId="6" fillId="6" borderId="0" xfId="0" applyFont="1" applyFill="1" applyAlignment="1">
      <alignment horizontal="justify" vertical="center" wrapText="1"/>
    </xf>
    <xf numFmtId="0" fontId="6" fillId="6" borderId="6" xfId="0" applyFont="1" applyFill="1" applyBorder="1" applyAlignment="1">
      <alignment horizontal="center" vertical="center" wrapText="1"/>
    </xf>
    <xf numFmtId="49" fontId="6" fillId="2" borderId="7" xfId="0" applyNumberFormat="1" applyFont="1" applyFill="1" applyBorder="1" applyAlignment="1">
      <alignment horizontal="left" vertical="center" wrapText="1"/>
    </xf>
    <xf numFmtId="164" fontId="6" fillId="6" borderId="6" xfId="4" applyFont="1" applyFill="1" applyBorder="1" applyAlignment="1">
      <alignment horizontal="left" vertical="center" wrapText="1"/>
    </xf>
    <xf numFmtId="164" fontId="8" fillId="4" borderId="6" xfId="4" applyFont="1" applyFill="1" applyBorder="1" applyAlignment="1">
      <alignment horizontal="left" vertical="center" wrapText="1"/>
    </xf>
    <xf numFmtId="164" fontId="6" fillId="0" borderId="6" xfId="4" applyFont="1" applyFill="1" applyBorder="1" applyAlignment="1">
      <alignment horizontal="left" vertical="center" wrapText="1"/>
    </xf>
    <xf numFmtId="164" fontId="13" fillId="0" borderId="14" xfId="4" applyFont="1" applyFill="1" applyBorder="1" applyAlignment="1">
      <alignment horizontal="left" vertical="center" wrapText="1"/>
    </xf>
    <xf numFmtId="173" fontId="17" fillId="6" borderId="10" xfId="4" applyNumberFormat="1" applyFont="1" applyFill="1" applyBorder="1" applyAlignment="1">
      <alignment horizontal="center" vertical="center" wrapText="1"/>
    </xf>
    <xf numFmtId="44" fontId="8" fillId="6" borderId="6" xfId="0" applyNumberFormat="1" applyFont="1" applyFill="1" applyBorder="1" applyAlignment="1">
      <alignment horizontal="justify" vertical="center" wrapText="1"/>
    </xf>
    <xf numFmtId="0" fontId="6" fillId="6" borderId="0" xfId="0" applyFont="1" applyFill="1" applyAlignment="1">
      <alignment horizontal="justify" vertical="center" wrapText="1"/>
    </xf>
    <xf numFmtId="0" fontId="8" fillId="4" borderId="7" xfId="0" applyFont="1" applyFill="1" applyBorder="1" applyAlignment="1">
      <alignment horizontal="center" vertical="center" wrapText="1"/>
    </xf>
    <xf numFmtId="0" fontId="8" fillId="6" borderId="0" xfId="0" applyFont="1" applyFill="1" applyAlignment="1">
      <alignment horizontal="justify" vertical="center" wrapText="1"/>
    </xf>
    <xf numFmtId="0" fontId="6" fillId="6" borderId="0" xfId="0" applyFont="1" applyFill="1" applyBorder="1" applyAlignment="1">
      <alignment horizontal="center" vertical="center" wrapText="1"/>
    </xf>
    <xf numFmtId="164" fontId="17" fillId="6" borderId="25" xfId="4" applyFont="1" applyFill="1" applyBorder="1" applyAlignment="1">
      <alignment horizontal="left" vertical="center" wrapText="1"/>
    </xf>
    <xf numFmtId="0" fontId="17" fillId="6" borderId="25" xfId="0" applyFont="1" applyFill="1" applyBorder="1" applyAlignment="1">
      <alignment horizontal="center" vertical="center" wrapText="1"/>
    </xf>
    <xf numFmtId="49" fontId="17" fillId="2" borderId="25" xfId="0" applyNumberFormat="1" applyFont="1" applyFill="1" applyBorder="1" applyAlignment="1">
      <alignment horizontal="left" vertical="center" wrapText="1"/>
    </xf>
    <xf numFmtId="0" fontId="13" fillId="4" borderId="2"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0" fillId="0" borderId="0" xfId="0" applyAlignment="1">
      <alignment vertical="center"/>
    </xf>
    <xf numFmtId="0" fontId="8" fillId="0" borderId="0" xfId="0" applyFont="1" applyFill="1" applyBorder="1" applyAlignment="1">
      <alignment horizontal="center" vertical="center"/>
    </xf>
    <xf numFmtId="43" fontId="28" fillId="0" borderId="0" xfId="0" applyNumberFormat="1" applyFont="1" applyFill="1" applyAlignment="1">
      <alignment vertical="center"/>
    </xf>
    <xf numFmtId="44" fontId="17" fillId="0" borderId="10" xfId="4" applyNumberFormat="1" applyFont="1" applyBorder="1" applyAlignment="1">
      <alignment vertical="center"/>
    </xf>
    <xf numFmtId="0" fontId="29" fillId="0" borderId="6" xfId="0" applyFont="1" applyFill="1" applyBorder="1" applyAlignment="1">
      <alignment horizontal="right" vertical="center"/>
    </xf>
    <xf numFmtId="0" fontId="29" fillId="0" borderId="0" xfId="0" applyFont="1" applyAlignment="1">
      <alignment horizontal="center" vertical="center" wrapText="1"/>
    </xf>
    <xf numFmtId="0" fontId="29" fillId="0" borderId="7" xfId="0" applyFont="1" applyFill="1" applyBorder="1" applyAlignment="1">
      <alignment horizontal="left" vertical="center"/>
    </xf>
    <xf numFmtId="0" fontId="29" fillId="0" borderId="30" xfId="0" applyFont="1" applyFill="1" applyBorder="1" applyAlignment="1">
      <alignment vertical="center"/>
    </xf>
    <xf numFmtId="0" fontId="29" fillId="0" borderId="31" xfId="0" applyFont="1" applyFill="1" applyBorder="1" applyAlignment="1">
      <alignment vertical="center"/>
    </xf>
    <xf numFmtId="0" fontId="6" fillId="0" borderId="6" xfId="0" applyFont="1" applyFill="1" applyBorder="1" applyAlignment="1">
      <alignment vertical="center" wrapText="1"/>
    </xf>
    <xf numFmtId="44" fontId="6" fillId="0" borderId="6"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165" fontId="11" fillId="4" borderId="6" xfId="0" applyNumberFormat="1" applyFont="1" applyFill="1" applyBorder="1" applyAlignment="1">
      <alignment horizontal="center" vertical="center" wrapText="1"/>
    </xf>
    <xf numFmtId="0" fontId="11" fillId="4" borderId="6" xfId="0" applyNumberFormat="1" applyFont="1" applyFill="1" applyBorder="1" applyAlignment="1">
      <alignment horizontal="center" vertical="center" wrapText="1"/>
    </xf>
    <xf numFmtId="44" fontId="11" fillId="4" borderId="6" xfId="0" applyNumberFormat="1" applyFont="1" applyFill="1" applyBorder="1" applyAlignment="1">
      <alignment horizontal="center" vertical="center" wrapText="1"/>
    </xf>
    <xf numFmtId="0" fontId="6" fillId="6" borderId="54"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8" fillId="4" borderId="18" xfId="0" applyFont="1" applyFill="1" applyBorder="1" applyAlignment="1">
      <alignment horizontal="left" vertical="center"/>
    </xf>
    <xf numFmtId="14" fontId="8" fillId="4" borderId="8" xfId="0" applyNumberFormat="1" applyFont="1" applyFill="1" applyBorder="1" applyAlignment="1">
      <alignment horizontal="center" vertical="center" wrapText="1"/>
    </xf>
    <xf numFmtId="166" fontId="6" fillId="0" borderId="8" xfId="1" applyNumberFormat="1" applyFont="1" applyFill="1" applyBorder="1" applyAlignment="1">
      <alignment vertical="center"/>
    </xf>
    <xf numFmtId="166" fontId="8" fillId="4" borderId="8" xfId="1" applyNumberFormat="1" applyFont="1" applyFill="1" applyBorder="1" applyAlignment="1">
      <alignment vertical="center"/>
    </xf>
    <xf numFmtId="166" fontId="8" fillId="4" borderId="8" xfId="0" applyNumberFormat="1" applyFont="1" applyFill="1" applyBorder="1" applyAlignment="1">
      <alignment horizontal="center" vertical="center"/>
    </xf>
    <xf numFmtId="166" fontId="6" fillId="0" borderId="8" xfId="1" applyFont="1" applyFill="1" applyBorder="1" applyAlignment="1">
      <alignment horizontal="left" vertical="center"/>
    </xf>
    <xf numFmtId="166" fontId="6" fillId="0" borderId="8" xfId="1" applyNumberFormat="1" applyFont="1" applyFill="1" applyBorder="1" applyAlignment="1">
      <alignment horizontal="right" vertical="center"/>
    </xf>
    <xf numFmtId="10" fontId="8" fillId="4" borderId="8" xfId="0" applyNumberFormat="1" applyFont="1" applyFill="1" applyBorder="1" applyAlignment="1">
      <alignment horizontal="center" vertical="center"/>
    </xf>
    <xf numFmtId="166" fontId="6" fillId="0" borderId="8" xfId="0" applyNumberFormat="1" applyFont="1" applyFill="1" applyBorder="1" applyAlignment="1">
      <alignment vertical="center"/>
    </xf>
    <xf numFmtId="166" fontId="8" fillId="4" borderId="8" xfId="0" applyNumberFormat="1" applyFont="1" applyFill="1" applyBorder="1" applyAlignment="1">
      <alignment vertical="center"/>
    </xf>
    <xf numFmtId="0" fontId="6" fillId="0" borderId="8" xfId="0" applyNumberFormat="1" applyFont="1" applyFill="1" applyBorder="1" applyAlignment="1">
      <alignment vertical="center"/>
    </xf>
    <xf numFmtId="0" fontId="29" fillId="0" borderId="0" xfId="0" applyFont="1" applyFill="1" applyBorder="1" applyAlignment="1">
      <alignment horizontal="center" vertical="center" wrapText="1"/>
    </xf>
    <xf numFmtId="0" fontId="0" fillId="0" borderId="0" xfId="0" applyAlignment="1">
      <alignment vertical="center"/>
    </xf>
    <xf numFmtId="0" fontId="8" fillId="4" borderId="0" xfId="0" applyFont="1" applyFill="1" applyBorder="1" applyAlignment="1">
      <alignment horizontal="left" vertical="center"/>
    </xf>
    <xf numFmtId="0" fontId="13" fillId="4" borderId="0" xfId="0" applyFont="1" applyFill="1" applyBorder="1" applyAlignment="1">
      <alignment horizontal="left" vertical="center"/>
    </xf>
    <xf numFmtId="166" fontId="6" fillId="0" borderId="55" xfId="1" applyNumberFormat="1" applyFont="1" applyFill="1" applyBorder="1" applyAlignment="1">
      <alignment vertical="center"/>
    </xf>
    <xf numFmtId="166" fontId="8" fillId="4" borderId="55" xfId="1" applyNumberFormat="1" applyFont="1" applyFill="1" applyBorder="1" applyAlignment="1">
      <alignment vertical="center"/>
    </xf>
    <xf numFmtId="0" fontId="29" fillId="0" borderId="0" xfId="0" applyFont="1" applyFill="1" applyBorder="1" applyAlignment="1">
      <alignment horizontal="right" vertical="center"/>
    </xf>
    <xf numFmtId="0" fontId="36" fillId="3" borderId="0" xfId="0" applyFont="1" applyFill="1" applyAlignment="1">
      <alignment horizontal="left" vertical="center" wrapText="1"/>
    </xf>
    <xf numFmtId="0" fontId="36" fillId="3" borderId="0" xfId="0" applyFont="1" applyFill="1" applyAlignment="1">
      <alignment horizontal="left" vertical="center"/>
    </xf>
    <xf numFmtId="0" fontId="17" fillId="6" borderId="6" xfId="0" applyFont="1" applyFill="1" applyBorder="1" applyAlignment="1">
      <alignment horizontal="center" vertical="center" wrapText="1"/>
    </xf>
    <xf numFmtId="49" fontId="17" fillId="2" borderId="6" xfId="0" applyNumberFormat="1" applyFont="1" applyFill="1" applyBorder="1" applyAlignment="1">
      <alignment horizontal="left" vertical="center" wrapText="1"/>
    </xf>
    <xf numFmtId="44" fontId="17" fillId="0" borderId="6" xfId="4" applyNumberFormat="1" applyFont="1" applyBorder="1" applyAlignment="1">
      <alignment vertical="center"/>
    </xf>
    <xf numFmtId="164" fontId="17" fillId="6" borderId="6" xfId="4" applyFont="1" applyFill="1" applyBorder="1" applyAlignment="1">
      <alignment horizontal="left" vertical="center" wrapText="1"/>
    </xf>
    <xf numFmtId="164" fontId="13" fillId="0" borderId="6" xfId="4" applyFont="1" applyFill="1" applyBorder="1" applyAlignment="1">
      <alignment horizontal="left" vertical="center" wrapText="1"/>
    </xf>
    <xf numFmtId="0" fontId="42" fillId="4" borderId="6" xfId="0" applyFont="1" applyFill="1" applyBorder="1" applyAlignment="1">
      <alignment horizontal="center" vertical="center" wrapText="1"/>
    </xf>
    <xf numFmtId="44" fontId="42" fillId="4" borderId="6" xfId="0" applyNumberFormat="1" applyFont="1" applyFill="1" applyBorder="1" applyAlignment="1">
      <alignment horizontal="center" vertical="center" wrapText="1"/>
    </xf>
    <xf numFmtId="0" fontId="27" fillId="4" borderId="6" xfId="0" applyFont="1" applyFill="1" applyBorder="1" applyAlignment="1">
      <alignment horizontal="center" vertical="center" wrapText="1"/>
    </xf>
    <xf numFmtId="164" fontId="6" fillId="6" borderId="0" xfId="0" applyNumberFormat="1" applyFont="1" applyFill="1" applyAlignment="1">
      <alignment horizontal="justify" vertical="center" wrapText="1"/>
    </xf>
    <xf numFmtId="166" fontId="35" fillId="6" borderId="6" xfId="1" applyFont="1" applyFill="1" applyBorder="1" applyAlignment="1">
      <alignment horizontal="center" vertical="center" wrapText="1"/>
    </xf>
    <xf numFmtId="0" fontId="43" fillId="0" borderId="6" xfId="0" applyFont="1" applyBorder="1" applyAlignment="1">
      <alignment horizontal="left" vertical="center" wrapText="1"/>
    </xf>
    <xf numFmtId="164" fontId="43" fillId="0" borderId="6" xfId="4" applyFont="1" applyBorder="1" applyAlignment="1">
      <alignment vertical="center" wrapText="1"/>
    </xf>
    <xf numFmtId="164" fontId="42" fillId="4" borderId="6" xfId="4" applyFont="1" applyFill="1" applyBorder="1" applyAlignment="1">
      <alignment vertical="center" wrapText="1"/>
    </xf>
    <xf numFmtId="164" fontId="42" fillId="4" borderId="6" xfId="0" applyNumberFormat="1" applyFont="1" applyFill="1" applyBorder="1" applyAlignment="1">
      <alignment vertical="center"/>
    </xf>
    <xf numFmtId="0" fontId="6" fillId="0" borderId="0" xfId="0" applyFont="1" applyAlignment="1">
      <alignment vertical="center"/>
    </xf>
    <xf numFmtId="0" fontId="6" fillId="0" borderId="0" xfId="0" applyFont="1" applyAlignment="1">
      <alignment horizontal="left" vertical="center"/>
    </xf>
    <xf numFmtId="0" fontId="6" fillId="0" borderId="0" xfId="0" applyFont="1" applyAlignment="1">
      <alignment horizontal="center" vertical="center"/>
    </xf>
    <xf numFmtId="164" fontId="6" fillId="0" borderId="0" xfId="4" applyFont="1" applyAlignment="1">
      <alignment vertical="center"/>
    </xf>
    <xf numFmtId="164" fontId="42" fillId="4" borderId="6" xfId="4" applyFont="1" applyFill="1" applyBorder="1" applyAlignment="1">
      <alignment horizontal="center" vertical="center" wrapText="1"/>
    </xf>
    <xf numFmtId="44" fontId="0" fillId="0" borderId="0" xfId="0" applyNumberFormat="1"/>
    <xf numFmtId="0" fontId="10" fillId="0" borderId="6" xfId="0" applyFont="1" applyFill="1" applyBorder="1" applyAlignment="1">
      <alignment vertical="center" wrapText="1"/>
    </xf>
    <xf numFmtId="0" fontId="8" fillId="4" borderId="6" xfId="0" applyFont="1" applyFill="1" applyBorder="1" applyAlignment="1">
      <alignment horizontal="center" vertical="center"/>
    </xf>
    <xf numFmtId="0" fontId="6" fillId="0" borderId="6" xfId="0" applyFont="1" applyFill="1" applyBorder="1" applyAlignment="1">
      <alignment horizontal="right" vertical="center"/>
    </xf>
    <xf numFmtId="0" fontId="6" fillId="0" borderId="8" xfId="0" applyFont="1" applyFill="1" applyBorder="1" applyAlignment="1">
      <alignment horizontal="left" vertical="center"/>
    </xf>
    <xf numFmtId="0" fontId="28" fillId="0" borderId="6" xfId="0" applyFont="1" applyFill="1" applyBorder="1" applyAlignment="1">
      <alignment horizontal="left" vertical="center" wrapText="1"/>
    </xf>
    <xf numFmtId="0" fontId="28" fillId="0" borderId="8" xfId="0" applyFont="1" applyFill="1" applyBorder="1" applyAlignment="1">
      <alignment horizontal="left" vertical="center"/>
    </xf>
    <xf numFmtId="0" fontId="29" fillId="4" borderId="6" xfId="0" applyFont="1" applyFill="1" applyBorder="1" applyAlignment="1">
      <alignment horizontal="center" vertical="center"/>
    </xf>
    <xf numFmtId="0" fontId="29" fillId="9" borderId="11" xfId="0" applyFont="1" applyFill="1" applyBorder="1" applyAlignment="1">
      <alignment horizontal="center" vertical="center"/>
    </xf>
    <xf numFmtId="0" fontId="29" fillId="9" borderId="6" xfId="0" applyFont="1" applyFill="1" applyBorder="1" applyAlignment="1">
      <alignment horizontal="center" vertical="center"/>
    </xf>
    <xf numFmtId="0" fontId="14" fillId="2" borderId="0"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11" fillId="4" borderId="6" xfId="0" applyFont="1" applyFill="1" applyBorder="1" applyAlignment="1">
      <alignment horizontal="center" vertical="center" wrapText="1"/>
    </xf>
    <xf numFmtId="14" fontId="8" fillId="4" borderId="7" xfId="0" applyNumberFormat="1" applyFont="1" applyFill="1" applyBorder="1" applyAlignment="1">
      <alignment horizontal="center" vertical="center" wrapText="1"/>
    </xf>
    <xf numFmtId="166" fontId="6" fillId="0" borderId="7" xfId="1" applyFont="1" applyFill="1" applyBorder="1" applyAlignment="1">
      <alignment horizontal="left" vertical="center"/>
    </xf>
    <xf numFmtId="166" fontId="6" fillId="0" borderId="7" xfId="1" applyNumberFormat="1" applyFont="1" applyFill="1" applyBorder="1" applyAlignment="1">
      <alignment vertical="center"/>
    </xf>
    <xf numFmtId="166" fontId="8" fillId="4" borderId="6" xfId="1" applyFont="1" applyFill="1" applyBorder="1" applyAlignment="1">
      <alignment horizontal="right" vertical="center"/>
    </xf>
    <xf numFmtId="166" fontId="6" fillId="0" borderId="6" xfId="1" applyFont="1" applyFill="1" applyBorder="1" applyAlignment="1">
      <alignment horizontal="right" vertical="center"/>
    </xf>
    <xf numFmtId="166" fontId="8" fillId="0" borderId="6" xfId="0" applyNumberFormat="1" applyFont="1" applyFill="1" applyBorder="1" applyAlignment="1">
      <alignment horizontal="left" vertical="center"/>
    </xf>
    <xf numFmtId="165" fontId="6" fillId="0" borderId="53" xfId="1" applyNumberFormat="1" applyFont="1" applyFill="1" applyBorder="1" applyAlignment="1">
      <alignment vertical="center"/>
    </xf>
    <xf numFmtId="166" fontId="8" fillId="4" borderId="6" xfId="0" applyNumberFormat="1" applyFont="1" applyFill="1" applyBorder="1" applyAlignment="1">
      <alignment horizontal="right" vertical="center"/>
    </xf>
    <xf numFmtId="0" fontId="6" fillId="0" borderId="8" xfId="0" applyFont="1" applyFill="1" applyBorder="1" applyAlignment="1">
      <alignment vertical="center"/>
    </xf>
    <xf numFmtId="166" fontId="6" fillId="0" borderId="6" xfId="0" applyNumberFormat="1" applyFont="1" applyFill="1" applyBorder="1" applyAlignment="1">
      <alignment horizontal="left" vertical="center" wrapText="1"/>
    </xf>
    <xf numFmtId="166" fontId="6" fillId="0" borderId="7" xfId="0" applyNumberFormat="1" applyFont="1" applyFill="1" applyBorder="1" applyAlignment="1">
      <alignment horizontal="left" vertical="center"/>
    </xf>
    <xf numFmtId="0" fontId="43" fillId="0" borderId="6" xfId="0" applyFont="1" applyFill="1" applyBorder="1" applyAlignment="1">
      <alignment horizontal="center" vertical="center" wrapText="1"/>
    </xf>
    <xf numFmtId="0" fontId="43" fillId="0" borderId="6" xfId="0" applyFont="1" applyFill="1" applyBorder="1" applyAlignment="1">
      <alignment horizontal="justify" vertical="center" wrapText="1"/>
    </xf>
    <xf numFmtId="44" fontId="43" fillId="0" borderId="6" xfId="4" applyNumberFormat="1" applyFont="1" applyFill="1" applyBorder="1" applyAlignment="1">
      <alignment horizontal="center" vertical="center" wrapText="1"/>
    </xf>
    <xf numFmtId="0" fontId="43" fillId="0" borderId="11" xfId="0" applyFont="1" applyFill="1" applyBorder="1" applyAlignment="1">
      <alignment horizontal="center" vertical="center" wrapText="1"/>
    </xf>
    <xf numFmtId="0" fontId="43" fillId="0" borderId="11" xfId="0" applyFont="1" applyFill="1" applyBorder="1" applyAlignment="1">
      <alignment horizontal="justify" vertical="center" wrapText="1"/>
    </xf>
    <xf numFmtId="44" fontId="43" fillId="0" borderId="11" xfId="4" applyNumberFormat="1" applyFont="1" applyFill="1" applyBorder="1" applyAlignment="1">
      <alignment horizontal="center" vertical="center" wrapText="1"/>
    </xf>
    <xf numFmtId="44" fontId="42" fillId="4" borderId="6" xfId="4" applyNumberFormat="1" applyFont="1" applyFill="1" applyBorder="1" applyAlignment="1">
      <alignment horizontal="center" vertical="center" wrapText="1"/>
    </xf>
    <xf numFmtId="0" fontId="44" fillId="0" borderId="6" xfId="0" applyFont="1" applyFill="1" applyBorder="1" applyAlignment="1">
      <alignment horizontal="justify" vertical="center" wrapText="1"/>
    </xf>
    <xf numFmtId="0" fontId="42" fillId="4" borderId="6" xfId="0" applyFont="1" applyFill="1" applyBorder="1" applyAlignment="1">
      <alignment horizontal="right" vertical="center" wrapText="1"/>
    </xf>
    <xf numFmtId="164" fontId="6" fillId="0" borderId="6" xfId="4" applyFont="1" applyBorder="1" applyAlignment="1">
      <alignment horizontal="center"/>
    </xf>
    <xf numFmtId="164" fontId="6" fillId="0" borderId="6" xfId="4" applyFont="1" applyBorder="1"/>
    <xf numFmtId="44" fontId="17" fillId="0" borderId="9" xfId="4" applyNumberFormat="1" applyFont="1" applyBorder="1" applyAlignment="1">
      <alignment vertical="center"/>
    </xf>
    <xf numFmtId="44" fontId="17" fillId="0" borderId="10" xfId="4" applyNumberFormat="1" applyFont="1" applyFill="1" applyBorder="1" applyAlignment="1">
      <alignment horizontal="center" vertical="center"/>
    </xf>
    <xf numFmtId="44" fontId="17" fillId="0" borderId="25" xfId="4" applyNumberFormat="1" applyFont="1" applyBorder="1" applyAlignment="1">
      <alignment vertical="center"/>
    </xf>
    <xf numFmtId="44" fontId="6" fillId="0" borderId="10" xfId="4" applyNumberFormat="1" applyFont="1" applyBorder="1" applyAlignment="1">
      <alignment vertical="center"/>
    </xf>
    <xf numFmtId="166" fontId="6" fillId="0" borderId="23" xfId="0" applyNumberFormat="1" applyFont="1" applyBorder="1" applyAlignment="1">
      <alignment vertical="center" wrapText="1"/>
    </xf>
    <xf numFmtId="0" fontId="6" fillId="0" borderId="0" xfId="0" applyFont="1" applyBorder="1" applyAlignment="1">
      <alignment vertical="center" wrapText="1"/>
    </xf>
    <xf numFmtId="0" fontId="6" fillId="0" borderId="24" xfId="0" applyFont="1" applyBorder="1" applyAlignment="1">
      <alignment vertical="center" wrapText="1"/>
    </xf>
    <xf numFmtId="0" fontId="6" fillId="0" borderId="0" xfId="0" applyFont="1" applyBorder="1" applyAlignment="1">
      <alignment horizontal="right" vertical="center" wrapText="1"/>
    </xf>
    <xf numFmtId="166" fontId="6" fillId="10" borderId="6" xfId="0" applyNumberFormat="1" applyFont="1" applyFill="1" applyBorder="1" applyAlignment="1">
      <alignment horizontal="center" vertical="center" wrapText="1"/>
    </xf>
    <xf numFmtId="164" fontId="13" fillId="4" borderId="58" xfId="0" applyNumberFormat="1" applyFont="1" applyFill="1" applyBorder="1" applyAlignment="1">
      <alignment horizontal="center" vertical="center" wrapText="1"/>
    </xf>
    <xf numFmtId="0" fontId="45" fillId="0" borderId="0" xfId="0" applyFont="1"/>
    <xf numFmtId="0" fontId="43" fillId="4" borderId="6" xfId="0" applyFont="1" applyFill="1" applyBorder="1" applyAlignment="1">
      <alignment horizontal="center" vertical="center"/>
    </xf>
    <xf numFmtId="0" fontId="45" fillId="0" borderId="6" xfId="0" applyFont="1" applyBorder="1" applyAlignment="1">
      <alignment horizontal="center"/>
    </xf>
    <xf numFmtId="164" fontId="45" fillId="0" borderId="6" xfId="4" applyFont="1" applyBorder="1"/>
    <xf numFmtId="0" fontId="45" fillId="0" borderId="6" xfId="0" applyFont="1" applyBorder="1" applyAlignment="1">
      <alignment horizontal="center" vertical="center"/>
    </xf>
    <xf numFmtId="0" fontId="45" fillId="0" borderId="6" xfId="0" applyFont="1" applyBorder="1"/>
    <xf numFmtId="10" fontId="45" fillId="0" borderId="6" xfId="0" applyNumberFormat="1" applyFont="1" applyBorder="1"/>
    <xf numFmtId="164" fontId="6" fillId="0" borderId="6" xfId="4" applyFont="1" applyFill="1" applyBorder="1"/>
    <xf numFmtId="174" fontId="45" fillId="0" borderId="6" xfId="0" applyNumberFormat="1" applyFont="1" applyBorder="1"/>
    <xf numFmtId="0" fontId="46" fillId="4" borderId="6" xfId="0" applyFont="1" applyFill="1" applyBorder="1"/>
    <xf numFmtId="174" fontId="46" fillId="4" borderId="6" xfId="0" applyNumberFormat="1" applyFont="1" applyFill="1" applyBorder="1"/>
    <xf numFmtId="164" fontId="6" fillId="0" borderId="6" xfId="4" applyFont="1" applyBorder="1" applyAlignment="1">
      <alignment vertical="center"/>
    </xf>
    <xf numFmtId="164" fontId="45" fillId="0" borderId="6" xfId="4" applyFont="1" applyBorder="1" applyAlignment="1">
      <alignment vertical="center"/>
    </xf>
    <xf numFmtId="164" fontId="45" fillId="0" borderId="6" xfId="4" applyFont="1" applyBorder="1" applyAlignment="1">
      <alignment horizontal="center" vertical="center"/>
    </xf>
    <xf numFmtId="0" fontId="46" fillId="4" borderId="6" xfId="0" applyFont="1" applyFill="1" applyBorder="1" applyAlignment="1">
      <alignment horizontal="center"/>
    </xf>
    <xf numFmtId="164" fontId="46" fillId="4" borderId="6" xfId="4" applyFont="1" applyFill="1" applyBorder="1"/>
    <xf numFmtId="164" fontId="46" fillId="4" borderId="6" xfId="0" applyNumberFormat="1" applyFont="1" applyFill="1" applyBorder="1"/>
    <xf numFmtId="174" fontId="45" fillId="0" borderId="6" xfId="0" applyNumberFormat="1" applyFont="1" applyFill="1" applyBorder="1"/>
    <xf numFmtId="0" fontId="45" fillId="4" borderId="6" xfId="0" applyFont="1" applyFill="1" applyBorder="1"/>
    <xf numFmtId="0" fontId="46" fillId="4" borderId="11" xfId="0" applyFont="1" applyFill="1" applyBorder="1" applyAlignment="1">
      <alignment horizontal="center"/>
    </xf>
    <xf numFmtId="174" fontId="46" fillId="4" borderId="6" xfId="0" applyNumberFormat="1" applyFont="1" applyFill="1" applyBorder="1" applyAlignment="1">
      <alignment horizontal="center"/>
    </xf>
    <xf numFmtId="0" fontId="46" fillId="4" borderId="6" xfId="0" applyFont="1" applyFill="1" applyBorder="1" applyAlignment="1">
      <alignment horizontal="center" vertical="center"/>
    </xf>
    <xf numFmtId="164" fontId="45" fillId="4" borderId="6" xfId="4" applyFont="1" applyFill="1" applyBorder="1"/>
    <xf numFmtId="0" fontId="46" fillId="4" borderId="6" xfId="0" applyFont="1" applyFill="1" applyBorder="1" applyAlignment="1">
      <alignment vertical="center"/>
    </xf>
    <xf numFmtId="44" fontId="47" fillId="4" borderId="6" xfId="9" applyNumberFormat="1" applyFont="1" applyFill="1" applyBorder="1"/>
    <xf numFmtId="0" fontId="48" fillId="0" borderId="59" xfId="0" applyFont="1" applyFill="1" applyBorder="1"/>
    <xf numFmtId="10" fontId="13" fillId="0" borderId="0" xfId="10" applyNumberFormat="1" applyFont="1" applyFill="1" applyBorder="1" applyAlignment="1">
      <alignment wrapText="1"/>
    </xf>
    <xf numFmtId="0" fontId="8" fillId="6" borderId="0"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8" fillId="6" borderId="0" xfId="0" applyFont="1" applyFill="1" applyBorder="1" applyAlignment="1">
      <alignment horizontal="right" vertical="center" wrapText="1" indent="1"/>
    </xf>
    <xf numFmtId="164" fontId="8" fillId="6" borderId="0" xfId="4" applyFont="1" applyFill="1" applyBorder="1" applyAlignment="1">
      <alignment horizontal="left" vertical="center" wrapText="1"/>
    </xf>
    <xf numFmtId="0" fontId="13" fillId="6" borderId="0" xfId="0" applyFont="1" applyFill="1" applyBorder="1" applyAlignment="1">
      <alignment horizontal="center" vertical="center" wrapText="1"/>
    </xf>
    <xf numFmtId="44" fontId="50" fillId="6" borderId="0" xfId="0" applyNumberFormat="1" applyFont="1" applyFill="1" applyBorder="1" applyAlignment="1">
      <alignment horizontal="justify" vertical="center" wrapText="1"/>
    </xf>
    <xf numFmtId="0" fontId="17" fillId="6" borderId="26" xfId="0" applyFont="1" applyFill="1" applyBorder="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44" fontId="6" fillId="0" borderId="0" xfId="0" applyNumberFormat="1" applyFont="1" applyAlignment="1">
      <alignment vertical="center" wrapText="1"/>
    </xf>
    <xf numFmtId="44" fontId="6" fillId="0" borderId="0" xfId="0" applyNumberFormat="1" applyFont="1" applyFill="1" applyAlignment="1">
      <alignment vertical="center" wrapText="1"/>
    </xf>
    <xf numFmtId="0" fontId="6" fillId="0" borderId="0" xfId="0" applyFont="1" applyFill="1" applyAlignment="1">
      <alignment vertical="center" wrapText="1"/>
    </xf>
    <xf numFmtId="0" fontId="42" fillId="0" borderId="0" xfId="0" applyFont="1" applyAlignment="1">
      <alignment horizontal="center" vertical="center" wrapText="1"/>
    </xf>
    <xf numFmtId="0" fontId="43" fillId="0" borderId="0" xfId="0" applyFont="1" applyFill="1" applyAlignment="1">
      <alignment vertical="center" wrapText="1"/>
    </xf>
    <xf numFmtId="0" fontId="9" fillId="0" borderId="0" xfId="0" applyFont="1" applyFill="1" applyAlignment="1">
      <alignment vertical="center" wrapText="1"/>
    </xf>
    <xf numFmtId="0" fontId="43" fillId="0" borderId="0" xfId="0" applyFont="1" applyAlignment="1">
      <alignment vertical="center" wrapText="1"/>
    </xf>
    <xf numFmtId="0" fontId="43" fillId="0" borderId="0" xfId="0" applyNumberFormat="1" applyFont="1" applyAlignment="1">
      <alignment horizontal="center" vertical="center" wrapText="1"/>
    </xf>
    <xf numFmtId="44" fontId="43" fillId="0" borderId="0" xfId="0" applyNumberFormat="1" applyFont="1" applyAlignment="1">
      <alignment vertical="center" wrapText="1"/>
    </xf>
    <xf numFmtId="44" fontId="43" fillId="0" borderId="0" xfId="0" applyNumberFormat="1" applyFont="1" applyFill="1" applyAlignment="1">
      <alignment vertical="center" wrapText="1"/>
    </xf>
    <xf numFmtId="44" fontId="9" fillId="0" borderId="0" xfId="0" applyNumberFormat="1" applyFont="1" applyAlignment="1">
      <alignment vertical="center" wrapText="1"/>
    </xf>
    <xf numFmtId="44" fontId="9" fillId="0" borderId="0" xfId="0" applyNumberFormat="1" applyFont="1" applyFill="1" applyAlignment="1">
      <alignment vertical="center" wrapText="1"/>
    </xf>
    <xf numFmtId="165" fontId="6" fillId="0" borderId="6" xfId="0" applyNumberFormat="1" applyFont="1" applyBorder="1" applyAlignment="1">
      <alignment vertical="center" wrapText="1"/>
    </xf>
    <xf numFmtId="0" fontId="6" fillId="0" borderId="0" xfId="0" applyFont="1" applyFill="1" applyBorder="1" applyAlignment="1">
      <alignment vertical="center" wrapText="1"/>
    </xf>
    <xf numFmtId="44" fontId="6" fillId="0" borderId="0" xfId="0" applyNumberFormat="1" applyFont="1" applyBorder="1" applyAlignment="1">
      <alignment vertical="center" wrapText="1"/>
    </xf>
    <xf numFmtId="44" fontId="6" fillId="0" borderId="0" xfId="0" applyNumberFormat="1" applyFont="1" applyBorder="1" applyAlignment="1">
      <alignment horizontal="center" vertical="center" wrapText="1"/>
    </xf>
    <xf numFmtId="0" fontId="6" fillId="0" borderId="0" xfId="0" applyNumberFormat="1" applyFont="1" applyBorder="1" applyAlignment="1">
      <alignment horizontal="center" vertical="center" wrapText="1"/>
    </xf>
    <xf numFmtId="165" fontId="6" fillId="0" borderId="0" xfId="0" applyNumberFormat="1" applyFont="1" applyBorder="1" applyAlignment="1">
      <alignment vertical="center" wrapText="1"/>
    </xf>
    <xf numFmtId="44" fontId="43" fillId="0" borderId="0" xfId="0" applyNumberFormat="1" applyFont="1" applyFill="1" applyBorder="1" applyAlignment="1">
      <alignment vertical="center" wrapText="1"/>
    </xf>
    <xf numFmtId="0" fontId="22" fillId="0" borderId="0" xfId="0" applyFont="1" applyFill="1" applyBorder="1" applyAlignment="1">
      <alignment vertical="center" wrapText="1"/>
    </xf>
    <xf numFmtId="166" fontId="6" fillId="6" borderId="6" xfId="1" applyFont="1" applyFill="1" applyBorder="1" applyAlignment="1">
      <alignment horizontal="left" vertical="center"/>
    </xf>
    <xf numFmtId="164" fontId="13" fillId="4" borderId="17" xfId="0" applyNumberFormat="1" applyFont="1" applyFill="1" applyBorder="1" applyAlignment="1">
      <alignment horizontal="center" vertical="center" wrapText="1"/>
    </xf>
    <xf numFmtId="44" fontId="13" fillId="4" borderId="6" xfId="0" applyNumberFormat="1" applyFont="1" applyFill="1" applyBorder="1" applyAlignment="1">
      <alignment horizontal="justify" vertical="center" wrapText="1"/>
    </xf>
    <xf numFmtId="0" fontId="8" fillId="4" borderId="6" xfId="0" applyFont="1" applyFill="1" applyBorder="1" applyAlignment="1">
      <alignment horizontal="center" vertical="center"/>
    </xf>
    <xf numFmtId="0" fontId="6" fillId="0" borderId="6" xfId="0" applyFont="1" applyFill="1" applyBorder="1" applyAlignment="1">
      <alignment horizontal="right" vertical="center"/>
    </xf>
    <xf numFmtId="0" fontId="8" fillId="0" borderId="19" xfId="0" applyFont="1" applyFill="1" applyBorder="1" applyAlignment="1">
      <alignment horizontal="center" vertical="center"/>
    </xf>
    <xf numFmtId="0" fontId="6" fillId="6" borderId="6" xfId="0" applyNumberFormat="1" applyFont="1" applyFill="1" applyBorder="1" applyAlignment="1">
      <alignment vertical="center"/>
    </xf>
    <xf numFmtId="10" fontId="6" fillId="0" borderId="0" xfId="0" applyNumberFormat="1" applyFont="1" applyFill="1" applyBorder="1" applyAlignment="1">
      <alignment vertical="center"/>
    </xf>
    <xf numFmtId="0" fontId="42" fillId="0" borderId="0" xfId="0" applyFont="1" applyFill="1" applyAlignment="1">
      <alignment horizontal="left" vertical="justify" wrapText="1" indent="19"/>
    </xf>
    <xf numFmtId="0" fontId="8" fillId="0" borderId="7" xfId="0" applyFont="1" applyFill="1" applyBorder="1" applyAlignment="1">
      <alignment horizontal="left" vertical="center"/>
    </xf>
    <xf numFmtId="0" fontId="8" fillId="0" borderId="0" xfId="0" applyFont="1" applyFill="1" applyBorder="1" applyAlignment="1">
      <alignment horizontal="left" vertical="center"/>
    </xf>
    <xf numFmtId="0" fontId="8" fillId="0" borderId="19" xfId="0" applyFont="1" applyFill="1" applyBorder="1" applyAlignment="1">
      <alignment horizontal="left" vertical="center"/>
    </xf>
    <xf numFmtId="164" fontId="39" fillId="6" borderId="0" xfId="0" applyNumberFormat="1"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6" xfId="0" applyFont="1" applyFill="1" applyBorder="1" applyAlignment="1">
      <alignment horizontal="left" vertical="center"/>
    </xf>
    <xf numFmtId="0" fontId="13" fillId="4" borderId="13" xfId="0" applyFont="1" applyFill="1" applyBorder="1" applyAlignment="1">
      <alignment horizontal="center" vertical="center" wrapText="1"/>
    </xf>
    <xf numFmtId="164" fontId="13" fillId="0" borderId="10" xfId="4" applyFont="1" applyFill="1" applyBorder="1" applyAlignment="1">
      <alignment horizontal="left" vertical="center" wrapText="1"/>
    </xf>
    <xf numFmtId="164" fontId="13" fillId="4" borderId="28" xfId="0" applyNumberFormat="1" applyFont="1" applyFill="1" applyBorder="1" applyAlignment="1">
      <alignment horizontal="center" vertical="center" wrapText="1"/>
    </xf>
    <xf numFmtId="164" fontId="13" fillId="4" borderId="6" xfId="0" applyNumberFormat="1" applyFont="1" applyFill="1" applyBorder="1" applyAlignment="1">
      <alignment horizontal="center" vertical="center" wrapText="1"/>
    </xf>
    <xf numFmtId="0" fontId="29" fillId="0" borderId="6" xfId="0" applyFont="1" applyFill="1" applyBorder="1" applyAlignment="1">
      <alignment horizontal="center" vertical="center" wrapText="1"/>
    </xf>
    <xf numFmtId="0" fontId="1" fillId="0" borderId="8" xfId="0" applyFont="1" applyFill="1" applyBorder="1" applyAlignment="1">
      <alignment horizontal="left" vertical="center" wrapText="1"/>
    </xf>
    <xf numFmtId="0" fontId="29" fillId="0" borderId="19" xfId="0" applyFont="1" applyFill="1" applyBorder="1" applyAlignment="1">
      <alignment horizontal="left" vertical="center" wrapText="1"/>
    </xf>
    <xf numFmtId="0" fontId="29" fillId="0" borderId="20" xfId="0" applyFont="1" applyFill="1" applyBorder="1" applyAlignment="1">
      <alignment horizontal="left" vertical="center" wrapText="1"/>
    </xf>
    <xf numFmtId="0" fontId="1" fillId="0" borderId="30" xfId="0" applyFont="1" applyFill="1" applyBorder="1" applyAlignment="1">
      <alignment horizontal="left" vertical="center" wrapText="1"/>
    </xf>
    <xf numFmtId="0" fontId="29" fillId="0" borderId="20"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0" xfId="0" applyFont="1" applyFill="1" applyBorder="1" applyAlignment="1">
      <alignment horizontal="center" vertical="top" wrapText="1"/>
    </xf>
    <xf numFmtId="0" fontId="25" fillId="0" borderId="0" xfId="0" applyFont="1" applyFill="1" applyAlignment="1">
      <alignment horizontal="left" vertical="justify" wrapText="1" indent="19"/>
    </xf>
    <xf numFmtId="0" fontId="8" fillId="4" borderId="6" xfId="0" applyFont="1" applyFill="1" applyBorder="1" applyAlignment="1">
      <alignment horizontal="center" vertical="center"/>
    </xf>
    <xf numFmtId="0" fontId="6" fillId="0" borderId="6" xfId="0" applyFont="1" applyFill="1" applyBorder="1" applyAlignment="1">
      <alignment horizontal="left" vertical="center"/>
    </xf>
    <xf numFmtId="0" fontId="29" fillId="0" borderId="30" xfId="0" applyFont="1" applyFill="1" applyBorder="1" applyAlignment="1">
      <alignment horizontal="left" vertical="center"/>
    </xf>
    <xf numFmtId="0" fontId="29" fillId="0" borderId="31" xfId="0" applyFont="1" applyFill="1" applyBorder="1" applyAlignment="1">
      <alignment horizontal="left" vertical="center"/>
    </xf>
    <xf numFmtId="0" fontId="29" fillId="0" borderId="19" xfId="0" applyFont="1" applyFill="1" applyBorder="1" applyAlignment="1">
      <alignment horizontal="left" vertical="center"/>
    </xf>
    <xf numFmtId="0" fontId="40" fillId="0" borderId="8" xfId="0" applyFont="1" applyFill="1" applyBorder="1" applyAlignment="1">
      <alignment horizontal="center" vertical="center"/>
    </xf>
    <xf numFmtId="0" fontId="40" fillId="0" borderId="22" xfId="0" applyFont="1" applyFill="1" applyBorder="1" applyAlignment="1">
      <alignment horizontal="center" vertical="center"/>
    </xf>
    <xf numFmtId="0" fontId="40" fillId="0" borderId="31" xfId="0" applyFont="1" applyFill="1" applyBorder="1" applyAlignment="1">
      <alignment horizontal="center" vertical="center"/>
    </xf>
    <xf numFmtId="0" fontId="8" fillId="4" borderId="6" xfId="0" applyFont="1" applyFill="1" applyBorder="1" applyAlignment="1">
      <alignment horizontal="left" vertical="center"/>
    </xf>
    <xf numFmtId="0" fontId="8" fillId="4" borderId="8" xfId="0" applyFont="1" applyFill="1" applyBorder="1" applyAlignment="1">
      <alignment horizontal="left" vertical="center"/>
    </xf>
    <xf numFmtId="0" fontId="29" fillId="0" borderId="6" xfId="0" applyFont="1" applyFill="1" applyBorder="1" applyAlignment="1">
      <alignment horizontal="left" vertical="center"/>
    </xf>
    <xf numFmtId="0" fontId="29" fillId="0" borderId="8" xfId="0" applyFont="1" applyFill="1" applyBorder="1" applyAlignment="1">
      <alignment horizontal="left" vertical="center"/>
    </xf>
    <xf numFmtId="0" fontId="29" fillId="0" borderId="22" xfId="0" applyFont="1" applyFill="1" applyBorder="1" applyAlignment="1">
      <alignment horizontal="left" vertical="center"/>
    </xf>
    <xf numFmtId="0" fontId="29" fillId="0" borderId="7" xfId="0" applyFont="1" applyFill="1" applyBorder="1" applyAlignment="1">
      <alignment horizontal="left" vertical="center"/>
    </xf>
    <xf numFmtId="0" fontId="6" fillId="0" borderId="6" xfId="0" applyFont="1" applyFill="1" applyBorder="1" applyAlignment="1">
      <alignment horizontal="right" vertical="center"/>
    </xf>
    <xf numFmtId="0" fontId="6" fillId="0" borderId="8" xfId="0" applyFont="1" applyFill="1" applyBorder="1" applyAlignment="1">
      <alignment horizontal="left" vertical="center"/>
    </xf>
    <xf numFmtId="0" fontId="6" fillId="0" borderId="7" xfId="0" applyFont="1" applyFill="1" applyBorder="1" applyAlignment="1">
      <alignment horizontal="left" vertical="center"/>
    </xf>
    <xf numFmtId="0" fontId="8" fillId="4" borderId="6" xfId="0" applyFont="1" applyFill="1" applyBorder="1" applyAlignment="1">
      <alignment horizontal="right" vertical="center"/>
    </xf>
    <xf numFmtId="0" fontId="8" fillId="4" borderId="6" xfId="0" applyFont="1" applyFill="1" applyBorder="1" applyAlignment="1">
      <alignment horizontal="right" vertical="center" wrapText="1"/>
    </xf>
    <xf numFmtId="0" fontId="6" fillId="0" borderId="6" xfId="0" applyFont="1" applyFill="1" applyBorder="1" applyAlignment="1">
      <alignment horizontal="left" vertical="center" wrapText="1"/>
    </xf>
    <xf numFmtId="0" fontId="28" fillId="0" borderId="11" xfId="0" applyFont="1" applyFill="1" applyBorder="1" applyAlignment="1">
      <alignment horizontal="left" vertical="center" wrapText="1"/>
    </xf>
    <xf numFmtId="0" fontId="28" fillId="0" borderId="21"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8" fillId="4" borderId="29" xfId="0" applyFont="1" applyFill="1" applyBorder="1" applyAlignment="1">
      <alignment horizontal="center" vertical="center"/>
    </xf>
    <xf numFmtId="0" fontId="8" fillId="4" borderId="18" xfId="0" applyFont="1" applyFill="1" applyBorder="1" applyAlignment="1">
      <alignment horizontal="center" vertical="center"/>
    </xf>
    <xf numFmtId="0" fontId="8" fillId="4" borderId="30" xfId="0" applyFont="1" applyFill="1" applyBorder="1" applyAlignment="1">
      <alignment horizontal="center" vertical="center"/>
    </xf>
    <xf numFmtId="0" fontId="8" fillId="4" borderId="19" xfId="0" applyFont="1" applyFill="1" applyBorder="1" applyAlignment="1">
      <alignment horizontal="center" vertical="center"/>
    </xf>
    <xf numFmtId="0" fontId="8" fillId="4" borderId="8" xfId="0" applyFont="1" applyFill="1" applyBorder="1" applyAlignment="1">
      <alignment horizontal="center" vertical="center"/>
    </xf>
    <xf numFmtId="0" fontId="8" fillId="4" borderId="7" xfId="0" applyFont="1" applyFill="1" applyBorder="1" applyAlignment="1">
      <alignment horizontal="center" vertical="center"/>
    </xf>
    <xf numFmtId="0" fontId="8" fillId="4" borderId="7" xfId="0" applyFont="1" applyFill="1" applyBorder="1" applyAlignment="1">
      <alignment horizontal="left" vertical="center"/>
    </xf>
    <xf numFmtId="0" fontId="29" fillId="4" borderId="6" xfId="0" applyFont="1" applyFill="1" applyBorder="1" applyAlignment="1">
      <alignment horizontal="right" vertical="center"/>
    </xf>
    <xf numFmtId="0" fontId="28" fillId="0" borderId="6" xfId="0" applyFont="1" applyFill="1" applyBorder="1" applyAlignment="1">
      <alignment horizontal="left" vertical="center"/>
    </xf>
    <xf numFmtId="0" fontId="28" fillId="0" borderId="6" xfId="0" applyFont="1" applyFill="1" applyBorder="1" applyAlignment="1">
      <alignment horizontal="right" vertical="center"/>
    </xf>
    <xf numFmtId="0" fontId="28" fillId="0" borderId="6" xfId="0" applyFont="1" applyFill="1" applyBorder="1" applyAlignment="1">
      <alignment horizontal="left" vertical="center" wrapText="1"/>
    </xf>
    <xf numFmtId="0" fontId="29" fillId="4" borderId="8" xfId="0" applyFont="1" applyFill="1" applyBorder="1" applyAlignment="1">
      <alignment horizontal="center" vertical="center"/>
    </xf>
    <xf numFmtId="0" fontId="29" fillId="4" borderId="7" xfId="0" applyFont="1" applyFill="1" applyBorder="1" applyAlignment="1">
      <alignment horizontal="center" vertical="center"/>
    </xf>
    <xf numFmtId="0" fontId="28" fillId="0" borderId="8" xfId="0" applyFont="1" applyFill="1" applyBorder="1" applyAlignment="1">
      <alignment horizontal="left" vertical="center"/>
    </xf>
    <xf numFmtId="0" fontId="28" fillId="0" borderId="7" xfId="0" applyFont="1" applyFill="1" applyBorder="1" applyAlignment="1">
      <alignment horizontal="left" vertical="center"/>
    </xf>
    <xf numFmtId="0" fontId="8" fillId="0" borderId="30" xfId="0" applyFont="1" applyFill="1" applyBorder="1" applyAlignment="1">
      <alignment horizontal="center" vertical="center"/>
    </xf>
    <xf numFmtId="0" fontId="8" fillId="0" borderId="31" xfId="0" applyFont="1" applyFill="1" applyBorder="1" applyAlignment="1">
      <alignment horizontal="center" vertical="center"/>
    </xf>
    <xf numFmtId="0" fontId="27" fillId="0" borderId="0" xfId="0" applyFont="1" applyFill="1" applyAlignment="1">
      <alignment horizontal="center" vertical="center"/>
    </xf>
    <xf numFmtId="0" fontId="0" fillId="0" borderId="0" xfId="0" applyAlignment="1">
      <alignment vertical="center"/>
    </xf>
    <xf numFmtId="0" fontId="29" fillId="0" borderId="20" xfId="0" applyFont="1" applyFill="1" applyBorder="1" applyAlignment="1">
      <alignment horizontal="left" vertical="center"/>
    </xf>
    <xf numFmtId="0" fontId="29" fillId="0" borderId="6" xfId="0" applyFont="1" applyFill="1" applyBorder="1" applyAlignment="1">
      <alignment horizontal="left" vertical="center" wrapText="1"/>
    </xf>
    <xf numFmtId="0" fontId="29" fillId="0" borderId="20" xfId="0" applyFont="1" applyFill="1" applyBorder="1" applyAlignment="1">
      <alignment horizontal="center" vertical="center"/>
    </xf>
    <xf numFmtId="0" fontId="13" fillId="4" borderId="6" xfId="0" applyFont="1" applyFill="1" applyBorder="1" applyAlignment="1">
      <alignment horizontal="center" vertical="center"/>
    </xf>
    <xf numFmtId="0" fontId="13" fillId="4" borderId="6" xfId="0" applyFont="1" applyFill="1" applyBorder="1" applyAlignment="1">
      <alignment horizontal="left" vertical="center"/>
    </xf>
    <xf numFmtId="0" fontId="13" fillId="4" borderId="8" xfId="0" applyFont="1" applyFill="1" applyBorder="1" applyAlignment="1">
      <alignment horizontal="left" vertical="center"/>
    </xf>
    <xf numFmtId="0" fontId="28" fillId="0" borderId="8"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8" fillId="0" borderId="6" xfId="0" applyFont="1" applyFill="1" applyBorder="1" applyAlignment="1">
      <alignment horizontal="center" vertical="center"/>
    </xf>
    <xf numFmtId="0" fontId="29" fillId="4" borderId="6" xfId="0" applyFont="1" applyFill="1" applyBorder="1" applyAlignment="1">
      <alignment horizontal="right" vertical="center" wrapText="1"/>
    </xf>
    <xf numFmtId="0" fontId="8" fillId="0" borderId="8"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19" xfId="0" applyFont="1" applyFill="1" applyBorder="1" applyAlignment="1">
      <alignment horizontal="center" vertical="center"/>
    </xf>
    <xf numFmtId="0" fontId="29" fillId="4" borderId="6" xfId="0" applyFont="1" applyFill="1" applyBorder="1" applyAlignment="1">
      <alignment horizontal="center" vertical="center"/>
    </xf>
    <xf numFmtId="0" fontId="29" fillId="0" borderId="6" xfId="0" applyFont="1" applyFill="1" applyBorder="1" applyAlignment="1">
      <alignment horizontal="center" vertical="center"/>
    </xf>
    <xf numFmtId="0" fontId="29" fillId="0" borderId="6" xfId="0" applyFont="1" applyFill="1" applyBorder="1" applyAlignment="1">
      <alignment horizontal="right" vertical="center"/>
    </xf>
    <xf numFmtId="0" fontId="29" fillId="4" borderId="6" xfId="0" applyFont="1" applyFill="1" applyBorder="1" applyAlignment="1">
      <alignment horizontal="center" vertical="center" wrapText="1"/>
    </xf>
    <xf numFmtId="0" fontId="28" fillId="0" borderId="11" xfId="0" applyFont="1" applyFill="1" applyBorder="1" applyAlignment="1">
      <alignment horizontal="left" vertical="top" wrapText="1"/>
    </xf>
    <xf numFmtId="0" fontId="28" fillId="0" borderId="21" xfId="0" applyFont="1" applyFill="1" applyBorder="1" applyAlignment="1">
      <alignment horizontal="left" vertical="top" wrapText="1"/>
    </xf>
    <xf numFmtId="0" fontId="28" fillId="0" borderId="20" xfId="0" applyFont="1" applyFill="1" applyBorder="1" applyAlignment="1">
      <alignment horizontal="left" vertical="top" wrapText="1"/>
    </xf>
    <xf numFmtId="0" fontId="29" fillId="0" borderId="30" xfId="0" applyFont="1" applyFill="1" applyBorder="1" applyAlignment="1">
      <alignment horizontal="center" vertical="center"/>
    </xf>
    <xf numFmtId="0" fontId="29" fillId="0" borderId="31" xfId="0" applyFont="1" applyFill="1" applyBorder="1" applyAlignment="1">
      <alignment horizontal="center" vertical="center"/>
    </xf>
    <xf numFmtId="0" fontId="29" fillId="0" borderId="19" xfId="0" applyFont="1" applyFill="1" applyBorder="1" applyAlignment="1">
      <alignment horizontal="center" vertical="center"/>
    </xf>
    <xf numFmtId="0" fontId="29" fillId="9" borderId="11" xfId="0" applyFont="1" applyFill="1" applyBorder="1" applyAlignment="1">
      <alignment horizontal="center" vertical="center"/>
    </xf>
    <xf numFmtId="0" fontId="29" fillId="9" borderId="21" xfId="0" applyFont="1" applyFill="1" applyBorder="1" applyAlignment="1">
      <alignment horizontal="center" vertical="center"/>
    </xf>
    <xf numFmtId="0" fontId="29" fillId="9" borderId="20" xfId="0" applyFont="1" applyFill="1" applyBorder="1" applyAlignment="1">
      <alignment horizontal="center" vertical="center"/>
    </xf>
    <xf numFmtId="0" fontId="29" fillId="9" borderId="6" xfId="0" applyFont="1" applyFill="1" applyBorder="1" applyAlignment="1">
      <alignment horizontal="center" vertical="center"/>
    </xf>
    <xf numFmtId="0" fontId="8" fillId="4" borderId="6" xfId="0" applyFont="1" applyFill="1" applyBorder="1" applyAlignment="1">
      <alignment horizontal="center" vertical="center" wrapText="1"/>
    </xf>
    <xf numFmtId="0" fontId="8" fillId="4" borderId="8" xfId="0" applyFont="1" applyFill="1" applyBorder="1" applyAlignment="1">
      <alignment horizontal="right" vertical="center"/>
    </xf>
    <xf numFmtId="0" fontId="8" fillId="4" borderId="7" xfId="0" applyFont="1" applyFill="1" applyBorder="1" applyAlignment="1">
      <alignment horizontal="right" vertical="center"/>
    </xf>
    <xf numFmtId="0" fontId="0" fillId="4" borderId="6" xfId="0" applyFill="1" applyBorder="1" applyAlignment="1">
      <alignment horizontal="left" vertical="center"/>
    </xf>
    <xf numFmtId="0" fontId="8" fillId="0" borderId="6"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3" fillId="4" borderId="22"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Fill="1" applyBorder="1" applyAlignment="1">
      <alignment horizontal="center" vertical="center" wrapText="1"/>
    </xf>
    <xf numFmtId="0" fontId="42" fillId="0" borderId="0" xfId="0" applyFont="1" applyAlignment="1">
      <alignment horizontal="center" vertical="center" wrapText="1"/>
    </xf>
    <xf numFmtId="0" fontId="6" fillId="0" borderId="0" xfId="0" applyFont="1" applyAlignment="1">
      <alignment horizontal="left" vertical="center" wrapText="1"/>
    </xf>
    <xf numFmtId="0" fontId="29" fillId="0" borderId="0" xfId="0" applyFont="1" applyAlignment="1">
      <alignment horizontal="center" vertical="center" wrapText="1"/>
    </xf>
    <xf numFmtId="0" fontId="36" fillId="0" borderId="0" xfId="0" applyFont="1" applyAlignment="1">
      <alignment horizontal="center" vertical="center"/>
    </xf>
    <xf numFmtId="0" fontId="25" fillId="0" borderId="6" xfId="0" applyFont="1" applyBorder="1" applyAlignment="1">
      <alignment horizontal="center" vertical="center"/>
    </xf>
    <xf numFmtId="0" fontId="27" fillId="4" borderId="6" xfId="0" applyFont="1" applyFill="1" applyBorder="1" applyAlignment="1">
      <alignment horizontal="right" vertical="center"/>
    </xf>
    <xf numFmtId="0" fontId="27" fillId="4" borderId="6" xfId="0" applyFont="1" applyFill="1" applyBorder="1" applyAlignment="1">
      <alignment horizontal="center" vertical="center"/>
    </xf>
    <xf numFmtId="0" fontId="43" fillId="0" borderId="11" xfId="0" applyFont="1" applyBorder="1" applyAlignment="1">
      <alignment horizontal="center" vertical="center"/>
    </xf>
    <xf numFmtId="0" fontId="43" fillId="0" borderId="21" xfId="0" applyFont="1" applyBorder="1" applyAlignment="1">
      <alignment horizontal="center" vertical="center"/>
    </xf>
    <xf numFmtId="0" fontId="43" fillId="0" borderId="20" xfId="0" applyFont="1" applyBorder="1" applyAlignment="1">
      <alignment horizontal="center" vertical="center"/>
    </xf>
    <xf numFmtId="0" fontId="43" fillId="0" borderId="11" xfId="0" applyFont="1" applyBorder="1" applyAlignment="1">
      <alignment horizontal="center" vertical="center" wrapText="1"/>
    </xf>
    <xf numFmtId="0" fontId="43" fillId="0" borderId="21" xfId="0" applyFont="1" applyBorder="1" applyAlignment="1">
      <alignment horizontal="center" vertical="center" wrapText="1"/>
    </xf>
    <xf numFmtId="0" fontId="43" fillId="0" borderId="20" xfId="0" applyFont="1" applyBorder="1" applyAlignment="1">
      <alignment horizontal="center" vertical="center" wrapText="1"/>
    </xf>
    <xf numFmtId="0" fontId="42" fillId="4" borderId="6" xfId="0" applyFont="1" applyFill="1" applyBorder="1" applyAlignment="1">
      <alignment horizontal="right" vertical="center"/>
    </xf>
    <xf numFmtId="164" fontId="43" fillId="0" borderId="11" xfId="4" applyFont="1" applyBorder="1" applyAlignment="1">
      <alignment horizontal="center" vertical="center" wrapText="1"/>
    </xf>
    <xf numFmtId="164" fontId="43" fillId="0" borderId="21" xfId="4" applyFont="1" applyBorder="1" applyAlignment="1">
      <alignment horizontal="center" vertical="center" wrapText="1"/>
    </xf>
    <xf numFmtId="164" fontId="43" fillId="0" borderId="20" xfId="4" applyFont="1" applyBorder="1" applyAlignment="1">
      <alignment horizontal="center" vertical="center" wrapText="1"/>
    </xf>
    <xf numFmtId="0" fontId="42" fillId="4" borderId="8" xfId="0" applyFont="1" applyFill="1" applyBorder="1" applyAlignment="1">
      <alignment horizontal="center" vertical="center" wrapText="1"/>
    </xf>
    <xf numFmtId="0" fontId="42" fillId="4" borderId="7" xfId="0" applyFont="1" applyFill="1" applyBorder="1" applyAlignment="1">
      <alignment horizontal="center" vertical="center" wrapText="1"/>
    </xf>
    <xf numFmtId="0" fontId="43" fillId="6" borderId="29" xfId="0" applyFont="1" applyFill="1" applyBorder="1" applyAlignment="1">
      <alignment horizontal="center" vertical="center" wrapText="1"/>
    </xf>
    <xf numFmtId="0" fontId="43" fillId="6" borderId="18" xfId="0" applyFont="1" applyFill="1" applyBorder="1" applyAlignment="1">
      <alignment horizontal="center" vertical="center" wrapText="1"/>
    </xf>
    <xf numFmtId="0" fontId="43" fillId="6" borderId="23" xfId="0" applyFont="1" applyFill="1" applyBorder="1" applyAlignment="1">
      <alignment horizontal="center" vertical="center" wrapText="1"/>
    </xf>
    <xf numFmtId="0" fontId="43" fillId="6" borderId="24" xfId="0" applyFont="1" applyFill="1" applyBorder="1" applyAlignment="1">
      <alignment horizontal="center" vertical="center" wrapText="1"/>
    </xf>
    <xf numFmtId="0" fontId="43" fillId="6" borderId="30" xfId="0" applyFont="1" applyFill="1" applyBorder="1" applyAlignment="1">
      <alignment horizontal="center" vertical="center" wrapText="1"/>
    </xf>
    <xf numFmtId="0" fontId="43" fillId="6" borderId="19" xfId="0" applyFont="1" applyFill="1" applyBorder="1" applyAlignment="1">
      <alignment horizontal="center" vertical="center" wrapText="1"/>
    </xf>
    <xf numFmtId="0" fontId="25" fillId="0" borderId="0" xfId="0" applyFont="1" applyAlignment="1">
      <alignment horizontal="left" vertical="center" wrapText="1"/>
    </xf>
    <xf numFmtId="0" fontId="27" fillId="4" borderId="6" xfId="0" applyFont="1" applyFill="1" applyBorder="1" applyAlignment="1">
      <alignment horizontal="right" vertical="center" wrapText="1"/>
    </xf>
    <xf numFmtId="0" fontId="25" fillId="0" borderId="6" xfId="0" applyFont="1" applyFill="1" applyBorder="1" applyAlignment="1">
      <alignment horizontal="center" vertical="center" wrapText="1"/>
    </xf>
    <xf numFmtId="0" fontId="36" fillId="0" borderId="0" xfId="0" applyFont="1" applyAlignment="1">
      <alignment horizontal="center" vertical="center" wrapText="1"/>
    </xf>
    <xf numFmtId="0" fontId="27" fillId="4" borderId="6"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42" fillId="4" borderId="6" xfId="0" applyFont="1" applyFill="1" applyBorder="1" applyAlignment="1">
      <alignment horizontal="right" vertical="center" wrapText="1"/>
    </xf>
    <xf numFmtId="0" fontId="43" fillId="0" borderId="6" xfId="0" applyFont="1" applyFill="1" applyBorder="1" applyAlignment="1">
      <alignment horizontal="center" vertical="center" wrapText="1"/>
    </xf>
    <xf numFmtId="0" fontId="43" fillId="0" borderId="11" xfId="0" applyFont="1" applyFill="1" applyBorder="1" applyAlignment="1">
      <alignment horizontal="center" vertical="center" wrapText="1"/>
    </xf>
    <xf numFmtId="0" fontId="13" fillId="0" borderId="31" xfId="0" applyFont="1" applyBorder="1" applyAlignment="1">
      <alignment horizontal="center" vertical="center" wrapText="1"/>
    </xf>
    <xf numFmtId="0" fontId="42" fillId="4" borderId="6" xfId="0" applyFont="1" applyFill="1" applyBorder="1" applyAlignment="1">
      <alignment horizontal="center" vertical="center" wrapText="1"/>
    </xf>
    <xf numFmtId="0" fontId="13" fillId="4" borderId="33" xfId="0" applyFont="1" applyFill="1" applyBorder="1" applyAlignment="1">
      <alignment horizontal="center" vertical="center" wrapText="1"/>
    </xf>
    <xf numFmtId="0" fontId="13" fillId="4" borderId="34" xfId="0" applyFont="1" applyFill="1" applyBorder="1" applyAlignment="1">
      <alignment horizontal="center" vertical="center" wrapText="1"/>
    </xf>
    <xf numFmtId="0" fontId="13" fillId="4" borderId="35"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8" fillId="6" borderId="0" xfId="0" applyFont="1" applyFill="1" applyBorder="1" applyAlignment="1">
      <alignment horizontal="center" vertical="center" wrapText="1"/>
    </xf>
    <xf numFmtId="166" fontId="6" fillId="10" borderId="8" xfId="0" applyNumberFormat="1" applyFont="1" applyFill="1" applyBorder="1" applyAlignment="1">
      <alignment horizontal="center" vertical="center" wrapText="1"/>
    </xf>
    <xf numFmtId="166" fontId="6" fillId="10" borderId="22" xfId="0" applyNumberFormat="1" applyFont="1" applyFill="1" applyBorder="1" applyAlignment="1">
      <alignment horizontal="center" vertical="center" wrapText="1"/>
    </xf>
    <xf numFmtId="166" fontId="6" fillId="10" borderId="7" xfId="0" applyNumberFormat="1"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3" fillId="4" borderId="32"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39" xfId="0" applyFont="1" applyFill="1" applyBorder="1" applyAlignment="1">
      <alignment horizontal="center" vertical="center" wrapText="1"/>
    </xf>
    <xf numFmtId="0" fontId="13" fillId="0" borderId="37" xfId="0" applyFont="1" applyFill="1" applyBorder="1" applyAlignment="1">
      <alignment horizontal="center" vertical="center" wrapText="1"/>
    </xf>
    <xf numFmtId="2" fontId="6" fillId="10" borderId="8" xfId="0" applyNumberFormat="1" applyFont="1" applyFill="1" applyBorder="1" applyAlignment="1">
      <alignment horizontal="center" vertical="center" wrapText="1"/>
    </xf>
    <xf numFmtId="2" fontId="6" fillId="10" borderId="7" xfId="0" applyNumberFormat="1"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3" fillId="4" borderId="28" xfId="0" applyFont="1" applyFill="1" applyBorder="1" applyAlignment="1">
      <alignment horizontal="center" vertical="center" wrapText="1"/>
    </xf>
    <xf numFmtId="0" fontId="13" fillId="2" borderId="0" xfId="0" applyFont="1" applyFill="1" applyAlignment="1">
      <alignment horizontal="center" vertical="center" wrapText="1"/>
    </xf>
    <xf numFmtId="0" fontId="8" fillId="4" borderId="8" xfId="0" applyFont="1" applyFill="1" applyBorder="1" applyAlignment="1">
      <alignment horizontal="right" vertical="center" wrapText="1" indent="1"/>
    </xf>
    <xf numFmtId="0" fontId="8" fillId="4" borderId="22" xfId="0" applyFont="1" applyFill="1" applyBorder="1" applyAlignment="1">
      <alignment horizontal="right" vertical="center" wrapText="1" indent="1"/>
    </xf>
    <xf numFmtId="0" fontId="8" fillId="4" borderId="7" xfId="0" applyFont="1" applyFill="1" applyBorder="1" applyAlignment="1">
      <alignment horizontal="right" vertical="center" wrapText="1" indent="1"/>
    </xf>
    <xf numFmtId="0" fontId="22" fillId="0" borderId="54" xfId="0" applyFont="1" applyFill="1" applyBorder="1" applyAlignment="1">
      <alignment horizontal="center" vertical="center" wrapText="1"/>
    </xf>
    <xf numFmtId="0" fontId="22" fillId="6" borderId="54"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3" fillId="0" borderId="28" xfId="0" applyFont="1" applyFill="1" applyBorder="1" applyAlignment="1">
      <alignment horizontal="center" vertical="center" wrapText="1"/>
    </xf>
    <xf numFmtId="0" fontId="13" fillId="7" borderId="33" xfId="0" applyFont="1" applyFill="1" applyBorder="1" applyAlignment="1">
      <alignment horizontal="center" vertical="center" wrapText="1"/>
    </xf>
    <xf numFmtId="0" fontId="13" fillId="7" borderId="34" xfId="0" applyFont="1" applyFill="1" applyBorder="1" applyAlignment="1">
      <alignment horizontal="center" vertical="center" wrapText="1"/>
    </xf>
    <xf numFmtId="0" fontId="13" fillId="7" borderId="35"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0" borderId="56"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8" fillId="6" borderId="0" xfId="0" applyFont="1" applyFill="1" applyAlignment="1">
      <alignment horizontal="center" vertical="center" wrapText="1"/>
    </xf>
    <xf numFmtId="0" fontId="8" fillId="6" borderId="31" xfId="0" applyFont="1" applyFill="1" applyBorder="1" applyAlignment="1">
      <alignment horizontal="center" vertical="center" wrapText="1"/>
    </xf>
    <xf numFmtId="0" fontId="8" fillId="4" borderId="6" xfId="0" applyFont="1" applyFill="1" applyBorder="1" applyAlignment="1">
      <alignment horizontal="center"/>
    </xf>
    <xf numFmtId="0" fontId="11" fillId="4" borderId="6" xfId="0" applyFont="1" applyFill="1" applyBorder="1" applyAlignment="1">
      <alignment horizontal="center" vertical="center" wrapText="1"/>
    </xf>
    <xf numFmtId="0" fontId="11" fillId="4" borderId="8" xfId="0" applyFont="1" applyFill="1" applyBorder="1" applyAlignment="1">
      <alignment horizontal="center" vertical="center"/>
    </xf>
    <xf numFmtId="0" fontId="11" fillId="4" borderId="7" xfId="0" applyFont="1" applyFill="1" applyBorder="1" applyAlignment="1">
      <alignment horizontal="center" vertical="center"/>
    </xf>
    <xf numFmtId="0" fontId="8" fillId="0" borderId="6" xfId="0" applyFont="1" applyBorder="1" applyAlignment="1">
      <alignment horizontal="center" vertical="center" wrapText="1"/>
    </xf>
    <xf numFmtId="0" fontId="8" fillId="0" borderId="6" xfId="0" applyFont="1" applyBorder="1" applyAlignment="1">
      <alignment horizontal="center" vertical="center"/>
    </xf>
    <xf numFmtId="0" fontId="13" fillId="0" borderId="0" xfId="10" applyFont="1" applyAlignment="1">
      <alignment horizontal="center"/>
    </xf>
    <xf numFmtId="0" fontId="13" fillId="0" borderId="0" xfId="10" applyFont="1" applyFill="1" applyAlignment="1">
      <alignment horizontal="center" vertical="center"/>
    </xf>
    <xf numFmtId="0" fontId="13" fillId="0" borderId="0" xfId="10" applyFont="1" applyFill="1" applyAlignment="1">
      <alignment horizontal="justify" vertical="center"/>
    </xf>
    <xf numFmtId="0" fontId="13" fillId="0" borderId="0" xfId="10" applyFont="1" applyFill="1" applyAlignment="1">
      <alignment horizontal="left"/>
    </xf>
    <xf numFmtId="17" fontId="17" fillId="0" borderId="0" xfId="10" applyNumberFormat="1" applyFont="1" applyFill="1" applyBorder="1" applyAlignment="1">
      <alignment horizontal="justify" wrapText="1"/>
    </xf>
    <xf numFmtId="0" fontId="35" fillId="0" borderId="0" xfId="0" applyFont="1" applyAlignment="1">
      <alignment horizontal="left" vertical="center"/>
    </xf>
    <xf numFmtId="0" fontId="36" fillId="3" borderId="0" xfId="0" applyFont="1" applyFill="1" applyAlignment="1">
      <alignment horizontal="left" vertical="center" wrapText="1"/>
    </xf>
    <xf numFmtId="0" fontId="36" fillId="3" borderId="0" xfId="0" applyFont="1" applyFill="1" applyAlignment="1">
      <alignment horizontal="left" vertical="center"/>
    </xf>
    <xf numFmtId="0" fontId="39" fillId="0" borderId="0" xfId="0" applyFont="1" applyAlignment="1">
      <alignment horizontal="center" vertical="center" wrapText="1"/>
    </xf>
    <xf numFmtId="0" fontId="36" fillId="4" borderId="6" xfId="6" applyFont="1" applyFill="1" applyBorder="1" applyAlignment="1">
      <alignment horizontal="center" vertical="center" wrapText="1"/>
    </xf>
    <xf numFmtId="0" fontId="13" fillId="0" borderId="0" xfId="0" applyFont="1" applyFill="1" applyAlignment="1">
      <alignment horizontal="center" vertical="center"/>
    </xf>
    <xf numFmtId="166" fontId="35" fillId="0" borderId="0" xfId="1" applyFont="1" applyAlignment="1">
      <alignment horizontal="left" vertical="center"/>
    </xf>
    <xf numFmtId="0" fontId="36" fillId="3" borderId="0" xfId="0" applyFont="1" applyFill="1" applyBorder="1" applyAlignment="1">
      <alignment horizontal="center" vertical="center"/>
    </xf>
    <xf numFmtId="0" fontId="27" fillId="4" borderId="27" xfId="0" applyFont="1" applyFill="1" applyBorder="1" applyAlignment="1">
      <alignment horizontal="center" vertical="center" wrapText="1"/>
    </xf>
    <xf numFmtId="0" fontId="27" fillId="4" borderId="32" xfId="0" applyFont="1" applyFill="1" applyBorder="1" applyAlignment="1">
      <alignment horizontal="center" vertical="center" wrapText="1"/>
    </xf>
    <xf numFmtId="0" fontId="27" fillId="4" borderId="28" xfId="0" applyFont="1" applyFill="1" applyBorder="1" applyAlignment="1">
      <alignment horizontal="center" vertical="center" wrapText="1"/>
    </xf>
    <xf numFmtId="0" fontId="27" fillId="5" borderId="46" xfId="0" applyFont="1" applyFill="1" applyBorder="1" applyAlignment="1">
      <alignment horizontal="right" vertical="center" wrapText="1"/>
    </xf>
    <xf numFmtId="0" fontId="27" fillId="5" borderId="47" xfId="0" applyFont="1" applyFill="1" applyBorder="1" applyAlignment="1">
      <alignment horizontal="right" vertical="center" wrapText="1"/>
    </xf>
    <xf numFmtId="0" fontId="27" fillId="5" borderId="52" xfId="0" applyFont="1" applyFill="1" applyBorder="1" applyAlignment="1">
      <alignment horizontal="right" vertical="center" wrapText="1"/>
    </xf>
  </cellXfs>
  <cellStyles count="19">
    <cellStyle name="Moeda" xfId="1" builtinId="4"/>
    <cellStyle name="Moeda 2" xfId="2" xr:uid="{00000000-0005-0000-0000-000001000000}"/>
    <cellStyle name="Moeda 3" xfId="3" xr:uid="{00000000-0005-0000-0000-000002000000}"/>
    <cellStyle name="Moeda 4" xfId="4" xr:uid="{00000000-0005-0000-0000-000003000000}"/>
    <cellStyle name="Normal" xfId="0" builtinId="0"/>
    <cellStyle name="Normal 2" xfId="5" xr:uid="{00000000-0005-0000-0000-000005000000}"/>
    <cellStyle name="Normal 2 2" xfId="6" xr:uid="{00000000-0005-0000-0000-000006000000}"/>
    <cellStyle name="Normal 3" xfId="7" xr:uid="{00000000-0005-0000-0000-000007000000}"/>
    <cellStyle name="Normal 3 2" xfId="8" xr:uid="{00000000-0005-0000-0000-000008000000}"/>
    <cellStyle name="Normal 4" xfId="9" xr:uid="{00000000-0005-0000-0000-000009000000}"/>
    <cellStyle name="Normal 5" xfId="10" xr:uid="{00000000-0005-0000-0000-00000A000000}"/>
    <cellStyle name="Porcentagem" xfId="11" builtinId="5"/>
    <cellStyle name="Porcentagem 2" xfId="12" xr:uid="{00000000-0005-0000-0000-00000C000000}"/>
    <cellStyle name="Porcentagem 2 2" xfId="13" xr:uid="{00000000-0005-0000-0000-00000D000000}"/>
    <cellStyle name="Separador de milhares 2" xfId="14" xr:uid="{00000000-0005-0000-0000-00000E000000}"/>
    <cellStyle name="Separador de milhares 2 2" xfId="15" xr:uid="{00000000-0005-0000-0000-00000F000000}"/>
    <cellStyle name="Título 1 1" xfId="16" xr:uid="{00000000-0005-0000-0000-000010000000}"/>
    <cellStyle name="Vírgula" xfId="17" builtinId="3"/>
    <cellStyle name="Vírgula 2" xfId="18" xr:uid="{00000000-0005-0000-0000-00001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eleni\Documents\Arquivos%20SUMAP\Real%20JG%20V%20T.A.CTR%20024-2016%20%20SEI%200000490-45.2019%20Repactuacao%20Revisao%20SAT%20Reajuste%20uniform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carregado"/>
      <sheetName val="servente"/>
      <sheetName val="jauzeiro"/>
      <sheetName val="mensageiro"/>
      <sheetName val="op.maq.reprografica"/>
      <sheetName val="garcom"/>
      <sheetName val="copeira"/>
      <sheetName val="recepcionista"/>
      <sheetName val="telefonista"/>
      <sheetName val="Anexo II V.T. E Aux Alimentacao"/>
      <sheetName val="Anexo III EPI"/>
      <sheetName val="Anexo IV Uniformes"/>
      <sheetName val="Quadro Resumo "/>
      <sheetName val="Encargos Sociais"/>
      <sheetName val="Reajuste Uniforme Calculo"/>
      <sheetName val="Garantia Calculo"/>
      <sheetName val="acrescimo"/>
    </sheetNames>
    <sheetDataSet>
      <sheetData sheetId="0" refreshError="1">
        <row r="8">
          <cell r="C8">
            <v>3061.96</v>
          </cell>
        </row>
      </sheetData>
      <sheetData sheetId="1" refreshError="1">
        <row r="8">
          <cell r="C8">
            <v>1198.8699999999999</v>
          </cell>
        </row>
      </sheetData>
      <sheetData sheetId="2" refreshError="1"/>
      <sheetData sheetId="3" refreshError="1">
        <row r="8">
          <cell r="C8">
            <v>1198.8699999999999</v>
          </cell>
        </row>
      </sheetData>
      <sheetData sheetId="4" refreshError="1">
        <row r="8">
          <cell r="C8">
            <v>1198.8699999999999</v>
          </cell>
        </row>
      </sheetData>
      <sheetData sheetId="5" refreshError="1">
        <row r="8">
          <cell r="C8">
            <v>1770</v>
          </cell>
        </row>
      </sheetData>
      <sheetData sheetId="6" refreshError="1">
        <row r="8">
          <cell r="C8">
            <v>1198.8699999999999</v>
          </cell>
        </row>
      </sheetData>
      <sheetData sheetId="7" refreshError="1">
        <row r="8">
          <cell r="C8">
            <v>1770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16.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I13"/>
  <sheetViews>
    <sheetView showGridLines="0" zoomScaleNormal="100" workbookViewId="0">
      <selection activeCell="A28" sqref="A28"/>
    </sheetView>
  </sheetViews>
  <sheetFormatPr defaultColWidth="9.140625" defaultRowHeight="15.75" x14ac:dyDescent="0.25"/>
  <cols>
    <col min="1" max="1" width="33.28515625" style="198" customWidth="1"/>
    <col min="2" max="2" width="20.28515625" style="198" bestFit="1" customWidth="1"/>
    <col min="3" max="3" width="17.28515625" style="198" customWidth="1"/>
    <col min="4" max="4" width="13.42578125" style="198" bestFit="1" customWidth="1"/>
    <col min="5" max="5" width="20.28515625" style="198" bestFit="1" customWidth="1"/>
    <col min="6" max="6" width="19" style="198" customWidth="1"/>
    <col min="7" max="7" width="17.5703125" style="198" customWidth="1"/>
    <col min="8" max="8" width="9.140625" style="198"/>
    <col min="9" max="9" width="11.5703125" style="198" bestFit="1" customWidth="1"/>
    <col min="10" max="16384" width="9.140625" style="198"/>
  </cols>
  <sheetData>
    <row r="3" spans="1:9" ht="47.25" x14ac:dyDescent="0.25">
      <c r="A3" s="204" t="s">
        <v>30</v>
      </c>
      <c r="B3" s="211" t="s">
        <v>236</v>
      </c>
      <c r="C3" s="211" t="s">
        <v>234</v>
      </c>
      <c r="D3" s="211" t="s">
        <v>233</v>
      </c>
      <c r="E3" s="212" t="s">
        <v>235</v>
      </c>
      <c r="F3" s="212" t="s">
        <v>234</v>
      </c>
      <c r="G3" s="212" t="s">
        <v>233</v>
      </c>
    </row>
    <row r="4" spans="1:9" ht="18" customHeight="1" x14ac:dyDescent="0.25">
      <c r="A4" s="199" t="s">
        <v>73</v>
      </c>
      <c r="B4" s="201">
        <v>2952.71</v>
      </c>
      <c r="C4" s="201">
        <v>0</v>
      </c>
      <c r="D4" s="202">
        <f>B4+C4</f>
        <v>2952.71</v>
      </c>
      <c r="E4" s="200">
        <f>ROUND((D4*1.037),2)</f>
        <v>3061.96</v>
      </c>
      <c r="F4" s="200">
        <v>0</v>
      </c>
      <c r="G4" s="203">
        <f>ROUND((E4+F4),2)</f>
        <v>3061.96</v>
      </c>
      <c r="I4" s="205"/>
    </row>
    <row r="5" spans="1:9" ht="18" customHeight="1" x14ac:dyDescent="0.25">
      <c r="A5" s="199" t="s">
        <v>81</v>
      </c>
      <c r="B5" s="201">
        <v>1156.0899999999999</v>
      </c>
      <c r="C5" s="201">
        <v>0</v>
      </c>
      <c r="D5" s="202">
        <f t="shared" ref="D5:D12" si="0">B5+C5</f>
        <v>1156.0899999999999</v>
      </c>
      <c r="E5" s="200">
        <f>ROUND((D5*1.037),2)</f>
        <v>1198.8699999999999</v>
      </c>
      <c r="F5" s="200">
        <v>0</v>
      </c>
      <c r="G5" s="203">
        <f t="shared" ref="G5:G12" si="1">ROUND((E5+F5),2)</f>
        <v>1198.8699999999999</v>
      </c>
    </row>
    <row r="6" spans="1:9" ht="18" customHeight="1" x14ac:dyDescent="0.25">
      <c r="A6" s="199" t="s">
        <v>84</v>
      </c>
      <c r="B6" s="201">
        <v>1370.69</v>
      </c>
      <c r="C6" s="201">
        <f>ROUND((B6*30%),2)</f>
        <v>411.21</v>
      </c>
      <c r="D6" s="202">
        <f t="shared" si="0"/>
        <v>1781.9</v>
      </c>
      <c r="E6" s="200">
        <v>1421.4</v>
      </c>
      <c r="F6" s="200">
        <f>ROUND((E6*30%),2)</f>
        <v>426.42</v>
      </c>
      <c r="G6" s="203">
        <f t="shared" si="1"/>
        <v>1847.82</v>
      </c>
    </row>
    <row r="7" spans="1:9" ht="18" customHeight="1" x14ac:dyDescent="0.25">
      <c r="A7" s="199" t="s">
        <v>85</v>
      </c>
      <c r="B7" s="201">
        <v>1156.0899999999999</v>
      </c>
      <c r="C7" s="201">
        <v>0</v>
      </c>
      <c r="D7" s="202">
        <f t="shared" si="0"/>
        <v>1156.0899999999999</v>
      </c>
      <c r="E7" s="200">
        <f t="shared" ref="E7:E12" si="2">ROUND((D7*1.037),2)</f>
        <v>1198.8699999999999</v>
      </c>
      <c r="F7" s="200">
        <v>0</v>
      </c>
      <c r="G7" s="203">
        <f t="shared" si="1"/>
        <v>1198.8699999999999</v>
      </c>
    </row>
    <row r="8" spans="1:9" ht="18" customHeight="1" x14ac:dyDescent="0.25">
      <c r="A8" s="199" t="s">
        <v>86</v>
      </c>
      <c r="B8" s="201">
        <v>1156.0899999999999</v>
      </c>
      <c r="C8" s="201">
        <v>0</v>
      </c>
      <c r="D8" s="202">
        <f t="shared" si="0"/>
        <v>1156.0899999999999</v>
      </c>
      <c r="E8" s="200">
        <f t="shared" si="2"/>
        <v>1198.8699999999999</v>
      </c>
      <c r="F8" s="200">
        <v>0</v>
      </c>
      <c r="G8" s="203">
        <f t="shared" si="1"/>
        <v>1198.8699999999999</v>
      </c>
    </row>
    <row r="9" spans="1:9" ht="18" customHeight="1" x14ac:dyDescent="0.25">
      <c r="A9" s="199" t="s">
        <v>33</v>
      </c>
      <c r="B9" s="201">
        <v>1706.84</v>
      </c>
      <c r="C9" s="201">
        <v>0</v>
      </c>
      <c r="D9" s="202">
        <f t="shared" si="0"/>
        <v>1706.84</v>
      </c>
      <c r="E9" s="200">
        <f t="shared" si="2"/>
        <v>1769.99</v>
      </c>
      <c r="F9" s="200">
        <v>0</v>
      </c>
      <c r="G9" s="203">
        <f>ROUND((E9+F9),2)+0.01</f>
        <v>1770</v>
      </c>
    </row>
    <row r="10" spans="1:9" ht="18" customHeight="1" x14ac:dyDescent="0.25">
      <c r="A10" s="199" t="s">
        <v>34</v>
      </c>
      <c r="B10" s="201">
        <v>1156.0899999999999</v>
      </c>
      <c r="C10" s="201">
        <v>0</v>
      </c>
      <c r="D10" s="202">
        <f t="shared" si="0"/>
        <v>1156.0899999999999</v>
      </c>
      <c r="E10" s="200">
        <f t="shared" si="2"/>
        <v>1198.8699999999999</v>
      </c>
      <c r="F10" s="200">
        <v>0</v>
      </c>
      <c r="G10" s="203">
        <f t="shared" si="1"/>
        <v>1198.8699999999999</v>
      </c>
      <c r="I10" s="205"/>
    </row>
    <row r="11" spans="1:9" ht="18" customHeight="1" x14ac:dyDescent="0.25">
      <c r="A11" s="199" t="s">
        <v>35</v>
      </c>
      <c r="B11" s="201">
        <v>1706.84</v>
      </c>
      <c r="C11" s="201">
        <v>0</v>
      </c>
      <c r="D11" s="202">
        <f t="shared" si="0"/>
        <v>1706.84</v>
      </c>
      <c r="E11" s="200">
        <f t="shared" si="2"/>
        <v>1769.99</v>
      </c>
      <c r="F11" s="200">
        <v>0</v>
      </c>
      <c r="G11" s="203">
        <f>ROUND((E11+F11),2)+0.01</f>
        <v>1770</v>
      </c>
      <c r="I11" s="205"/>
    </row>
    <row r="12" spans="1:9" ht="18" customHeight="1" x14ac:dyDescent="0.25">
      <c r="A12" s="199" t="s">
        <v>36</v>
      </c>
      <c r="B12" s="201">
        <v>1221.9100000000001</v>
      </c>
      <c r="C12" s="201">
        <v>0</v>
      </c>
      <c r="D12" s="202">
        <f t="shared" si="0"/>
        <v>1221.9100000000001</v>
      </c>
      <c r="E12" s="200">
        <f t="shared" si="2"/>
        <v>1267.1199999999999</v>
      </c>
      <c r="F12" s="200">
        <v>0</v>
      </c>
      <c r="G12" s="203">
        <f t="shared" si="1"/>
        <v>1267.1199999999999</v>
      </c>
      <c r="I12" s="205"/>
    </row>
    <row r="13" spans="1:9" ht="18" customHeight="1" x14ac:dyDescent="0.25"/>
  </sheetData>
  <pageMargins left="0.511811024" right="0.511811024" top="0.78740157499999996" bottom="0.78740157499999996" header="0.31496062000000002" footer="0.31496062000000002"/>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58"/>
  <sheetViews>
    <sheetView showGridLines="0" zoomScale="80" zoomScaleNormal="80" workbookViewId="0">
      <selection activeCell="L7" sqref="L7"/>
    </sheetView>
  </sheetViews>
  <sheetFormatPr defaultColWidth="9.140625" defaultRowHeight="15" customHeight="1" x14ac:dyDescent="0.25"/>
  <cols>
    <col min="1" max="1" width="50.7109375" style="44" customWidth="1"/>
    <col min="2" max="2" width="10.7109375" style="44" customWidth="1"/>
    <col min="3" max="3" width="17.85546875" style="44" customWidth="1"/>
    <col min="4" max="4" width="21" style="53" hidden="1" customWidth="1"/>
    <col min="5" max="5" width="20.5703125" style="53" customWidth="1"/>
    <col min="6" max="6" width="9.140625" style="44"/>
    <col min="7" max="7" width="206" style="44" hidden="1" customWidth="1"/>
    <col min="8" max="16384" width="9.140625" style="44"/>
  </cols>
  <sheetData>
    <row r="1" spans="1:7" ht="15" customHeight="1" x14ac:dyDescent="0.25">
      <c r="A1" s="608"/>
      <c r="B1" s="608"/>
      <c r="C1" s="608"/>
    </row>
    <row r="2" spans="1:7" ht="24" customHeight="1" x14ac:dyDescent="0.25">
      <c r="A2" s="565" t="s">
        <v>517</v>
      </c>
      <c r="B2" s="565"/>
      <c r="C2" s="565"/>
      <c r="D2" s="44"/>
      <c r="E2" s="44"/>
    </row>
    <row r="3" spans="1:7" ht="15" customHeight="1" x14ac:dyDescent="0.25">
      <c r="A3" s="568" t="s">
        <v>66</v>
      </c>
      <c r="B3" s="568"/>
      <c r="C3" s="568"/>
      <c r="D3" s="568"/>
      <c r="E3" s="568"/>
    </row>
    <row r="4" spans="1:7" ht="42" customHeight="1" x14ac:dyDescent="0.25">
      <c r="A4" s="612" t="s">
        <v>171</v>
      </c>
      <c r="B4" s="612"/>
      <c r="C4" s="561" t="s">
        <v>518</v>
      </c>
      <c r="D4" s="55"/>
      <c r="E4" s="562" t="s">
        <v>457</v>
      </c>
    </row>
    <row r="5" spans="1:7" ht="15" customHeight="1" x14ac:dyDescent="0.25">
      <c r="A5" s="620" t="s">
        <v>390</v>
      </c>
      <c r="B5" s="621"/>
      <c r="C5" s="621"/>
      <c r="D5" s="382"/>
      <c r="E5" s="382"/>
      <c r="G5" s="446" t="s">
        <v>325</v>
      </c>
    </row>
    <row r="6" spans="1:7" ht="67.5" customHeight="1" x14ac:dyDescent="0.25">
      <c r="A6" s="568" t="s">
        <v>69</v>
      </c>
      <c r="B6" s="568"/>
      <c r="C6" s="123" t="s">
        <v>285</v>
      </c>
      <c r="D6" s="123" t="s">
        <v>509</v>
      </c>
      <c r="E6" s="123" t="s">
        <v>510</v>
      </c>
      <c r="G6" s="356" t="s">
        <v>331</v>
      </c>
    </row>
    <row r="7" spans="1:7" ht="15" customHeight="1" x14ac:dyDescent="0.25">
      <c r="A7" s="443" t="s">
        <v>60</v>
      </c>
      <c r="B7" s="96"/>
      <c r="C7" s="304">
        <v>1553.46</v>
      </c>
      <c r="D7" s="101">
        <f t="shared" ref="D7" si="0">ROUND(1770*1.032,2)</f>
        <v>1826.64</v>
      </c>
      <c r="E7" s="101">
        <f>ROUND(D7*1.041,2)</f>
        <v>1901.53</v>
      </c>
      <c r="G7" s="588" t="s">
        <v>332</v>
      </c>
    </row>
    <row r="8" spans="1:7" ht="15" customHeight="1" x14ac:dyDescent="0.25">
      <c r="A8" s="443" t="s">
        <v>461</v>
      </c>
      <c r="B8" s="96"/>
      <c r="C8" s="304"/>
      <c r="D8" s="304">
        <f t="shared" ref="D8" si="1">1045*20%</f>
        <v>209</v>
      </c>
      <c r="E8" s="101">
        <f>1100*20%</f>
        <v>220</v>
      </c>
      <c r="G8" s="589"/>
    </row>
    <row r="9" spans="1:7" ht="15" customHeight="1" x14ac:dyDescent="0.25">
      <c r="A9" s="623" t="s">
        <v>64</v>
      </c>
      <c r="B9" s="623"/>
      <c r="C9" s="100">
        <f t="shared" ref="C9" si="2">SUM(C7:C7)</f>
        <v>1553.46</v>
      </c>
      <c r="D9" s="100">
        <f t="shared" ref="D9:E9" si="3">SUM(D7:D8)</f>
        <v>2035.64</v>
      </c>
      <c r="E9" s="100">
        <f t="shared" si="3"/>
        <v>2121.5299999999997</v>
      </c>
      <c r="G9" s="589"/>
    </row>
    <row r="10" spans="1:7" ht="15" customHeight="1" x14ac:dyDescent="0.25">
      <c r="A10" s="623" t="s">
        <v>50</v>
      </c>
      <c r="B10" s="623"/>
      <c r="C10" s="111" t="s">
        <v>158</v>
      </c>
      <c r="D10" s="111" t="s">
        <v>158</v>
      </c>
      <c r="E10" s="111" t="s">
        <v>158</v>
      </c>
      <c r="G10" s="589"/>
    </row>
    <row r="11" spans="1:7" ht="15" customHeight="1" x14ac:dyDescent="0.25">
      <c r="A11" s="599" t="s">
        <v>9</v>
      </c>
      <c r="B11" s="599"/>
      <c r="C11" s="304">
        <f>ROUND((22*8-C7*6%),2)</f>
        <v>82.79</v>
      </c>
      <c r="D11" s="101">
        <f t="shared" ref="D11:E11" si="4">ROUND((22*11-D7*6%),2)</f>
        <v>132.4</v>
      </c>
      <c r="E11" s="101">
        <f t="shared" si="4"/>
        <v>127.91</v>
      </c>
      <c r="G11" s="589"/>
    </row>
    <row r="12" spans="1:7" ht="15" customHeight="1" x14ac:dyDescent="0.25">
      <c r="A12" s="599" t="s">
        <v>70</v>
      </c>
      <c r="B12" s="599"/>
      <c r="C12" s="454">
        <f>ROUND((22*27.5),2)</f>
        <v>605</v>
      </c>
      <c r="D12" s="116">
        <f t="shared" ref="D12" si="5">22*33.62</f>
        <v>739.64</v>
      </c>
      <c r="E12" s="116">
        <f>22*35</f>
        <v>770</v>
      </c>
      <c r="G12" s="589"/>
    </row>
    <row r="13" spans="1:7" ht="15" customHeight="1" x14ac:dyDescent="0.25">
      <c r="A13" s="601" t="s">
        <v>94</v>
      </c>
      <c r="B13" s="601"/>
      <c r="C13" s="454">
        <v>2.5</v>
      </c>
      <c r="D13" s="116">
        <v>0</v>
      </c>
      <c r="E13" s="116">
        <v>0</v>
      </c>
      <c r="G13" s="590"/>
    </row>
    <row r="14" spans="1:7" ht="15" customHeight="1" x14ac:dyDescent="0.25">
      <c r="A14" s="601" t="s">
        <v>95</v>
      </c>
      <c r="B14" s="601"/>
      <c r="C14" s="454">
        <v>5</v>
      </c>
      <c r="D14" s="116">
        <v>10.63</v>
      </c>
      <c r="E14" s="116">
        <v>10.63</v>
      </c>
      <c r="G14" s="357"/>
    </row>
    <row r="15" spans="1:7" ht="15" customHeight="1" x14ac:dyDescent="0.25">
      <c r="A15" s="623" t="s">
        <v>63</v>
      </c>
      <c r="B15" s="623"/>
      <c r="C15" s="100">
        <f t="shared" ref="C15" si="6">ROUND(SUM(C11:C14),2)</f>
        <v>695.29</v>
      </c>
      <c r="D15" s="100">
        <f t="shared" ref="D15:E15" si="7">ROUND(SUM(D11:D14),2)</f>
        <v>882.67</v>
      </c>
      <c r="E15" s="100">
        <f t="shared" si="7"/>
        <v>908.54</v>
      </c>
      <c r="G15" s="445" t="s">
        <v>301</v>
      </c>
    </row>
    <row r="16" spans="1:7" ht="15" customHeight="1" x14ac:dyDescent="0.25">
      <c r="A16" s="623" t="s">
        <v>51</v>
      </c>
      <c r="B16" s="623"/>
      <c r="C16" s="111" t="s">
        <v>158</v>
      </c>
      <c r="D16" s="111" t="s">
        <v>158</v>
      </c>
      <c r="E16" s="111" t="s">
        <v>158</v>
      </c>
      <c r="G16" s="47" t="s">
        <v>306</v>
      </c>
    </row>
    <row r="17" spans="1:7" ht="15" customHeight="1" x14ac:dyDescent="0.25">
      <c r="A17" s="49" t="s">
        <v>0</v>
      </c>
      <c r="B17" s="48"/>
      <c r="C17" s="301">
        <f t="shared" ref="C17" si="8">(68+30+40+120+24+77.2)/12</f>
        <v>29.933333333333334</v>
      </c>
      <c r="D17" s="101">
        <f>37.7</f>
        <v>37.700000000000003</v>
      </c>
      <c r="E17" s="101">
        <f>37.7</f>
        <v>37.700000000000003</v>
      </c>
      <c r="G17" s="357"/>
    </row>
    <row r="18" spans="1:7" ht="15" customHeight="1" x14ac:dyDescent="0.25">
      <c r="A18" s="623" t="s">
        <v>54</v>
      </c>
      <c r="B18" s="623"/>
      <c r="C18" s="100">
        <f t="shared" ref="C18" si="9">SUM(C17)</f>
        <v>29.933333333333334</v>
      </c>
      <c r="D18" s="100">
        <f t="shared" ref="D18:E18" si="10">SUM(D17)</f>
        <v>37.700000000000003</v>
      </c>
      <c r="E18" s="100">
        <f t="shared" si="10"/>
        <v>37.700000000000003</v>
      </c>
      <c r="G18" s="446" t="s">
        <v>304</v>
      </c>
    </row>
    <row r="19" spans="1:7" ht="15" customHeight="1" x14ac:dyDescent="0.25">
      <c r="A19" s="591" t="s">
        <v>52</v>
      </c>
      <c r="B19" s="592"/>
      <c r="C19" s="111" t="s">
        <v>229</v>
      </c>
      <c r="D19" s="111" t="s">
        <v>229</v>
      </c>
      <c r="E19" s="111" t="s">
        <v>229</v>
      </c>
      <c r="G19" s="47" t="s">
        <v>327</v>
      </c>
    </row>
    <row r="20" spans="1:7" ht="15" customHeight="1" x14ac:dyDescent="0.25">
      <c r="A20" s="593"/>
      <c r="B20" s="594"/>
      <c r="C20" s="118">
        <v>0.71779999999999999</v>
      </c>
      <c r="D20" s="118">
        <v>0.71330000000000005</v>
      </c>
      <c r="E20" s="118">
        <v>0.71530000000000005</v>
      </c>
    </row>
    <row r="21" spans="1:7" ht="15" customHeight="1" x14ac:dyDescent="0.25">
      <c r="A21" s="595" t="s">
        <v>55</v>
      </c>
      <c r="B21" s="596"/>
      <c r="C21" s="100">
        <f t="shared" ref="C21:E21" si="11">ROUND((C9*C20),2)</f>
        <v>1115.07</v>
      </c>
      <c r="D21" s="100">
        <f t="shared" si="11"/>
        <v>1452.02</v>
      </c>
      <c r="E21" s="100">
        <f t="shared" si="11"/>
        <v>1517.53</v>
      </c>
      <c r="G21" s="445" t="s">
        <v>324</v>
      </c>
    </row>
    <row r="22" spans="1:7" ht="15" customHeight="1" x14ac:dyDescent="0.25">
      <c r="A22" s="444" t="s">
        <v>58</v>
      </c>
      <c r="B22" s="444" t="s">
        <v>1</v>
      </c>
      <c r="C22" s="111" t="s">
        <v>5</v>
      </c>
      <c r="D22" s="111" t="s">
        <v>5</v>
      </c>
      <c r="E22" s="111" t="s">
        <v>5</v>
      </c>
      <c r="G22" s="47" t="s">
        <v>328</v>
      </c>
    </row>
    <row r="23" spans="1:7" ht="15" customHeight="1" x14ac:dyDescent="0.25">
      <c r="A23" s="47" t="s">
        <v>2</v>
      </c>
      <c r="B23" s="50">
        <v>1.2699999999999999E-2</v>
      </c>
      <c r="C23" s="304">
        <f>ROUND((C9+C15+C18+C21)*B23,2)</f>
        <v>43.1</v>
      </c>
      <c r="D23" s="101">
        <f>ROUND((D9+D15+D18+D21)*B23,2)</f>
        <v>55.98</v>
      </c>
      <c r="E23" s="101">
        <f>ROUND((E9+E15+E18+E21)*B23,2)</f>
        <v>58.23</v>
      </c>
      <c r="G23" s="323" t="s">
        <v>329</v>
      </c>
    </row>
    <row r="24" spans="1:7" ht="15" customHeight="1" x14ac:dyDescent="0.25">
      <c r="A24" s="47" t="s">
        <v>3</v>
      </c>
      <c r="B24" s="50">
        <v>0.14249999999999999</v>
      </c>
      <c r="C24" s="304">
        <f t="shared" ref="C24" si="12">ROUND((C7+C15+C18+C21+C23+C25)*14.25/85.75,2)</f>
        <v>576.85</v>
      </c>
      <c r="D24" s="101">
        <f t="shared" ref="D24:E24" si="13">ROUND((D9+D15+D18+D21+D23+D25)*14.25/85.75,2)</f>
        <v>749.25</v>
      </c>
      <c r="E24" s="101">
        <f t="shared" si="13"/>
        <v>779.38</v>
      </c>
      <c r="G24" s="47" t="s">
        <v>310</v>
      </c>
    </row>
    <row r="25" spans="1:7" ht="15" customHeight="1" x14ac:dyDescent="0.25">
      <c r="A25" s="47" t="s">
        <v>4</v>
      </c>
      <c r="B25" s="50">
        <v>0.01</v>
      </c>
      <c r="C25" s="304">
        <f>ROUND((C7+C15+C18+C21+C23)*B25,2)</f>
        <v>34.369999999999997</v>
      </c>
      <c r="D25" s="101">
        <f>ROUND((D9+D15+D18+D21+D23)*B25,2)</f>
        <v>44.64</v>
      </c>
      <c r="E25" s="101">
        <f>ROUND((E9+E15+E18+E21+E23)*B25,2)</f>
        <v>46.44</v>
      </c>
      <c r="G25" s="47" t="s">
        <v>311</v>
      </c>
    </row>
    <row r="26" spans="1:7" ht="15" customHeight="1" x14ac:dyDescent="0.25">
      <c r="A26" s="623" t="s">
        <v>56</v>
      </c>
      <c r="B26" s="623"/>
      <c r="C26" s="100">
        <f t="shared" ref="C26" si="14">ROUND(SUM(C23:C25),2)</f>
        <v>654.32000000000005</v>
      </c>
      <c r="D26" s="100">
        <f t="shared" ref="D26:E26" si="15">ROUND(SUM(D23:D25),2)</f>
        <v>849.87</v>
      </c>
      <c r="E26" s="100">
        <f t="shared" si="15"/>
        <v>884.05</v>
      </c>
      <c r="G26" s="39"/>
    </row>
    <row r="27" spans="1:7" ht="69.75" customHeight="1" x14ac:dyDescent="0.25">
      <c r="A27" s="595" t="s">
        <v>59</v>
      </c>
      <c r="B27" s="596"/>
      <c r="C27" s="123" t="s">
        <v>285</v>
      </c>
      <c r="D27" s="123" t="s">
        <v>509</v>
      </c>
      <c r="E27" s="123" t="s">
        <v>510</v>
      </c>
      <c r="G27" s="445" t="s">
        <v>312</v>
      </c>
    </row>
    <row r="28" spans="1:7" ht="15" customHeight="1" x14ac:dyDescent="0.25">
      <c r="A28" s="601" t="s">
        <v>57</v>
      </c>
      <c r="B28" s="599"/>
      <c r="C28" s="119">
        <f t="shared" ref="C28:E28" si="16">C9</f>
        <v>1553.46</v>
      </c>
      <c r="D28" s="119">
        <f t="shared" si="16"/>
        <v>2035.64</v>
      </c>
      <c r="E28" s="119">
        <f t="shared" si="16"/>
        <v>2121.5299999999997</v>
      </c>
      <c r="G28" s="588" t="s">
        <v>330</v>
      </c>
    </row>
    <row r="29" spans="1:7" ht="15" customHeight="1" x14ac:dyDescent="0.25">
      <c r="A29" s="599" t="s">
        <v>50</v>
      </c>
      <c r="B29" s="599"/>
      <c r="C29" s="119">
        <f t="shared" ref="C29:E29" si="17">C15</f>
        <v>695.29</v>
      </c>
      <c r="D29" s="119">
        <f t="shared" si="17"/>
        <v>882.67</v>
      </c>
      <c r="E29" s="119">
        <f t="shared" si="17"/>
        <v>908.54</v>
      </c>
      <c r="G29" s="589"/>
    </row>
    <row r="30" spans="1:7" ht="15" customHeight="1" x14ac:dyDescent="0.25">
      <c r="A30" s="599" t="s">
        <v>51</v>
      </c>
      <c r="B30" s="599"/>
      <c r="C30" s="119">
        <f t="shared" ref="C30:E30" si="18">C18</f>
        <v>29.933333333333334</v>
      </c>
      <c r="D30" s="119">
        <f t="shared" si="18"/>
        <v>37.700000000000003</v>
      </c>
      <c r="E30" s="119">
        <f t="shared" si="18"/>
        <v>37.700000000000003</v>
      </c>
      <c r="G30" s="589"/>
    </row>
    <row r="31" spans="1:7" ht="15" customHeight="1" x14ac:dyDescent="0.25">
      <c r="A31" s="599" t="s">
        <v>52</v>
      </c>
      <c r="B31" s="599"/>
      <c r="C31" s="119">
        <f t="shared" ref="C31:E31" si="19">C21</f>
        <v>1115.07</v>
      </c>
      <c r="D31" s="119">
        <f t="shared" si="19"/>
        <v>1452.02</v>
      </c>
      <c r="E31" s="119">
        <f t="shared" si="19"/>
        <v>1517.53</v>
      </c>
      <c r="G31" s="589"/>
    </row>
    <row r="32" spans="1:7" ht="15" customHeight="1" x14ac:dyDescent="0.25">
      <c r="A32" s="619" t="s">
        <v>74</v>
      </c>
      <c r="B32" s="619"/>
      <c r="C32" s="104">
        <f t="shared" ref="C32:E32" si="20">ROUND(SUM(C28:C31),2)</f>
        <v>3393.75</v>
      </c>
      <c r="D32" s="104">
        <f t="shared" si="20"/>
        <v>4408.03</v>
      </c>
      <c r="E32" s="104">
        <f t="shared" si="20"/>
        <v>4585.3</v>
      </c>
      <c r="G32" s="590"/>
    </row>
    <row r="33" spans="1:7" ht="15" customHeight="1" x14ac:dyDescent="0.25">
      <c r="A33" s="599" t="s">
        <v>58</v>
      </c>
      <c r="B33" s="599"/>
      <c r="C33" s="119">
        <f t="shared" ref="C33:E33" si="21">C26</f>
        <v>654.32000000000005</v>
      </c>
      <c r="D33" s="119">
        <f t="shared" si="21"/>
        <v>849.87</v>
      </c>
      <c r="E33" s="119">
        <f t="shared" si="21"/>
        <v>884.05</v>
      </c>
    </row>
    <row r="34" spans="1:7" ht="15" customHeight="1" x14ac:dyDescent="0.25">
      <c r="A34" s="619" t="s">
        <v>161</v>
      </c>
      <c r="B34" s="619"/>
      <c r="C34" s="104">
        <f t="shared" ref="C34:E34" si="22">ROUND(SUM(C32:C33),2)</f>
        <v>4048.07</v>
      </c>
      <c r="D34" s="104">
        <f t="shared" si="22"/>
        <v>5257.9</v>
      </c>
      <c r="E34" s="104">
        <f t="shared" si="22"/>
        <v>5469.35</v>
      </c>
      <c r="G34" s="445" t="s">
        <v>317</v>
      </c>
    </row>
    <row r="35" spans="1:7" ht="15" customHeight="1" x14ac:dyDescent="0.25">
      <c r="A35" s="600" t="s">
        <v>48</v>
      </c>
      <c r="B35" s="600"/>
      <c r="C35" s="120">
        <v>0</v>
      </c>
      <c r="D35" s="120">
        <v>1</v>
      </c>
      <c r="E35" s="120">
        <v>1</v>
      </c>
      <c r="G35" s="47" t="s">
        <v>333</v>
      </c>
    </row>
    <row r="36" spans="1:7" ht="15" customHeight="1" x14ac:dyDescent="0.25">
      <c r="A36" s="598" t="s">
        <v>169</v>
      </c>
      <c r="B36" s="598"/>
      <c r="C36" s="100">
        <f t="shared" ref="C36:E36" si="23">ROUND((C34*C35),2)</f>
        <v>0</v>
      </c>
      <c r="D36" s="100">
        <f t="shared" si="23"/>
        <v>5257.9</v>
      </c>
      <c r="E36" s="100">
        <f t="shared" si="23"/>
        <v>5469.35</v>
      </c>
      <c r="G36" s="47" t="s">
        <v>319</v>
      </c>
    </row>
    <row r="37" spans="1:7" ht="15" customHeight="1" x14ac:dyDescent="0.25">
      <c r="A37" s="39"/>
      <c r="B37" s="39"/>
      <c r="C37" s="39"/>
      <c r="G37" s="323" t="s">
        <v>320</v>
      </c>
    </row>
    <row r="38" spans="1:7" ht="15" customHeight="1" x14ac:dyDescent="0.25">
      <c r="A38" s="42"/>
      <c r="B38" s="39"/>
      <c r="C38" s="39"/>
      <c r="G38" s="323" t="s">
        <v>321</v>
      </c>
    </row>
    <row r="39" spans="1:7" ht="15" customHeight="1" x14ac:dyDescent="0.25">
      <c r="A39" s="39"/>
      <c r="B39" s="43"/>
      <c r="C39" s="43"/>
      <c r="G39" s="323" t="s">
        <v>322</v>
      </c>
    </row>
    <row r="40" spans="1:7" ht="15" customHeight="1" x14ac:dyDescent="0.25">
      <c r="A40" s="42"/>
      <c r="B40" s="39"/>
      <c r="C40" s="39"/>
    </row>
    <row r="41" spans="1:7" ht="15" customHeight="1" x14ac:dyDescent="0.25">
      <c r="A41" s="39"/>
      <c r="B41" s="39"/>
      <c r="C41" s="39"/>
      <c r="G41" s="445" t="s">
        <v>323</v>
      </c>
    </row>
    <row r="42" spans="1:7" ht="96" customHeight="1" x14ac:dyDescent="0.25">
      <c r="A42" s="39"/>
      <c r="B42" s="39"/>
      <c r="C42" s="39"/>
      <c r="G42" s="442" t="s">
        <v>340</v>
      </c>
    </row>
    <row r="43" spans="1:7" ht="15" customHeight="1" x14ac:dyDescent="0.25">
      <c r="A43" s="39"/>
      <c r="B43" s="39"/>
      <c r="C43" s="39"/>
    </row>
    <row r="44" spans="1:7" ht="15" customHeight="1" x14ac:dyDescent="0.25">
      <c r="A44" s="39"/>
      <c r="B44" s="39"/>
      <c r="C44" s="39"/>
    </row>
    <row r="45" spans="1:7" ht="15" customHeight="1" x14ac:dyDescent="0.25">
      <c r="A45" s="39"/>
      <c r="B45" s="39"/>
      <c r="C45" s="39"/>
    </row>
    <row r="46" spans="1:7" ht="15" customHeight="1" x14ac:dyDescent="0.25">
      <c r="A46" s="39"/>
      <c r="B46" s="39"/>
      <c r="C46" s="39"/>
    </row>
    <row r="47" spans="1:7" ht="15" customHeight="1" x14ac:dyDescent="0.25">
      <c r="A47" s="39"/>
      <c r="B47" s="39"/>
      <c r="C47" s="39"/>
    </row>
    <row r="48" spans="1:7" ht="15" customHeight="1" x14ac:dyDescent="0.25">
      <c r="A48" s="39"/>
      <c r="B48" s="39"/>
      <c r="C48" s="39"/>
    </row>
    <row r="49" spans="1:7" ht="15" customHeight="1" x14ac:dyDescent="0.25">
      <c r="A49" s="39"/>
      <c r="B49" s="39"/>
      <c r="C49" s="39"/>
    </row>
    <row r="50" spans="1:7" s="53" customFormat="1" ht="15" customHeight="1" x14ac:dyDescent="0.25">
      <c r="A50" s="39"/>
      <c r="B50" s="39"/>
      <c r="C50" s="39"/>
      <c r="F50" s="44"/>
      <c r="G50" s="44"/>
    </row>
    <row r="51" spans="1:7" s="53" customFormat="1" ht="15" customHeight="1" x14ac:dyDescent="0.25">
      <c r="A51" s="39"/>
      <c r="B51" s="39"/>
      <c r="C51" s="39"/>
      <c r="F51" s="44"/>
      <c r="G51" s="44"/>
    </row>
    <row r="52" spans="1:7" s="53" customFormat="1" ht="15" customHeight="1" x14ac:dyDescent="0.25">
      <c r="A52" s="39"/>
      <c r="B52" s="39"/>
      <c r="C52" s="39"/>
      <c r="F52" s="44"/>
      <c r="G52" s="44"/>
    </row>
    <row r="53" spans="1:7" s="53" customFormat="1" ht="15" customHeight="1" x14ac:dyDescent="0.25">
      <c r="A53" s="39"/>
      <c r="B53" s="39"/>
      <c r="C53" s="39"/>
      <c r="F53" s="44"/>
      <c r="G53" s="44"/>
    </row>
    <row r="54" spans="1:7" s="53" customFormat="1" ht="15" customHeight="1" x14ac:dyDescent="0.25">
      <c r="A54" s="39"/>
      <c r="B54" s="39"/>
      <c r="C54" s="39"/>
      <c r="F54" s="44"/>
      <c r="G54" s="44"/>
    </row>
    <row r="55" spans="1:7" s="53" customFormat="1" ht="15" customHeight="1" x14ac:dyDescent="0.25">
      <c r="A55" s="39"/>
      <c r="B55" s="39"/>
      <c r="C55" s="39"/>
      <c r="F55" s="44"/>
      <c r="G55" s="44"/>
    </row>
    <row r="56" spans="1:7" s="53" customFormat="1" ht="15" customHeight="1" x14ac:dyDescent="0.25">
      <c r="A56" s="39"/>
      <c r="B56" s="39"/>
      <c r="C56" s="39"/>
      <c r="F56" s="44"/>
      <c r="G56" s="44"/>
    </row>
    <row r="57" spans="1:7" s="53" customFormat="1" ht="15" customHeight="1" x14ac:dyDescent="0.25">
      <c r="A57" s="42"/>
      <c r="B57" s="39"/>
      <c r="C57" s="39"/>
      <c r="F57" s="44"/>
      <c r="G57" s="44"/>
    </row>
    <row r="58" spans="1:7" s="53" customFormat="1" ht="15" customHeight="1" x14ac:dyDescent="0.25">
      <c r="A58" s="39"/>
      <c r="B58" s="39"/>
      <c r="C58" s="39"/>
      <c r="F58" s="44"/>
      <c r="G58" s="44"/>
    </row>
    <row r="59" spans="1:7" s="53" customFormat="1" ht="15" customHeight="1" x14ac:dyDescent="0.25">
      <c r="A59" s="39"/>
      <c r="B59" s="39"/>
      <c r="C59" s="39"/>
      <c r="F59" s="44"/>
      <c r="G59" s="44"/>
    </row>
    <row r="60" spans="1:7" s="53" customFormat="1" ht="15" customHeight="1" x14ac:dyDescent="0.25">
      <c r="A60" s="39"/>
      <c r="B60" s="39"/>
      <c r="C60" s="39"/>
      <c r="F60" s="44"/>
      <c r="G60" s="44"/>
    </row>
    <row r="61" spans="1:7" s="53" customFormat="1" ht="15" customHeight="1" x14ac:dyDescent="0.25">
      <c r="A61" s="39"/>
      <c r="B61" s="39"/>
      <c r="C61" s="39"/>
      <c r="F61" s="44"/>
      <c r="G61" s="44"/>
    </row>
    <row r="62" spans="1:7" s="53" customFormat="1" ht="15" customHeight="1" x14ac:dyDescent="0.25">
      <c r="A62" s="39"/>
      <c r="B62" s="39"/>
      <c r="C62" s="39"/>
      <c r="F62" s="44"/>
      <c r="G62" s="44"/>
    </row>
    <row r="63" spans="1:7" s="53" customFormat="1" ht="15" customHeight="1" x14ac:dyDescent="0.25">
      <c r="A63" s="39"/>
      <c r="B63" s="39"/>
      <c r="C63" s="39"/>
      <c r="F63" s="44"/>
      <c r="G63" s="44"/>
    </row>
    <row r="64" spans="1:7" s="53" customFormat="1" ht="15" customHeight="1" x14ac:dyDescent="0.25">
      <c r="A64" s="39"/>
      <c r="B64" s="39"/>
      <c r="C64" s="39"/>
      <c r="F64" s="44"/>
      <c r="G64" s="44"/>
    </row>
    <row r="65" spans="1:7" s="53" customFormat="1" ht="15" customHeight="1" x14ac:dyDescent="0.25">
      <c r="A65" s="39"/>
      <c r="B65" s="39"/>
      <c r="C65" s="39"/>
      <c r="F65" s="44"/>
      <c r="G65" s="44"/>
    </row>
    <row r="66" spans="1:7" s="53" customFormat="1" ht="15" customHeight="1" x14ac:dyDescent="0.25">
      <c r="A66" s="42"/>
      <c r="B66" s="39"/>
      <c r="C66" s="39"/>
      <c r="F66" s="44"/>
      <c r="G66" s="44"/>
    </row>
    <row r="67" spans="1:7" s="53" customFormat="1" ht="15" customHeight="1" x14ac:dyDescent="0.25">
      <c r="A67" s="39"/>
      <c r="B67" s="43"/>
      <c r="C67" s="43"/>
      <c r="F67" s="44"/>
      <c r="G67" s="44"/>
    </row>
    <row r="68" spans="1:7" s="53" customFormat="1" ht="15" customHeight="1" x14ac:dyDescent="0.25">
      <c r="A68" s="42"/>
      <c r="B68" s="39"/>
      <c r="C68" s="39"/>
      <c r="F68" s="44"/>
      <c r="G68" s="44"/>
    </row>
    <row r="69" spans="1:7" s="53" customFormat="1" ht="15" customHeight="1" x14ac:dyDescent="0.25">
      <c r="A69" s="39"/>
      <c r="B69" s="39"/>
      <c r="C69" s="39"/>
      <c r="F69" s="44"/>
      <c r="G69" s="44"/>
    </row>
    <row r="70" spans="1:7" s="53" customFormat="1" ht="15" customHeight="1" x14ac:dyDescent="0.25">
      <c r="A70" s="39"/>
      <c r="B70" s="39"/>
      <c r="C70" s="39"/>
      <c r="F70" s="44"/>
      <c r="G70" s="44"/>
    </row>
    <row r="71" spans="1:7" s="53" customFormat="1" ht="15" customHeight="1" x14ac:dyDescent="0.25">
      <c r="A71" s="39"/>
      <c r="B71" s="39"/>
      <c r="C71" s="39"/>
      <c r="F71" s="44"/>
      <c r="G71" s="44"/>
    </row>
    <row r="72" spans="1:7" s="53" customFormat="1" ht="15" customHeight="1" x14ac:dyDescent="0.25">
      <c r="A72" s="39"/>
      <c r="B72" s="39"/>
      <c r="C72" s="39"/>
      <c r="F72" s="44"/>
      <c r="G72" s="44"/>
    </row>
    <row r="73" spans="1:7" s="53" customFormat="1" ht="15" customHeight="1" x14ac:dyDescent="0.25">
      <c r="A73" s="39"/>
      <c r="B73" s="39"/>
      <c r="C73" s="39"/>
      <c r="F73" s="44"/>
      <c r="G73" s="44"/>
    </row>
    <row r="74" spans="1:7" s="53" customFormat="1" ht="15" customHeight="1" x14ac:dyDescent="0.25">
      <c r="A74" s="39"/>
      <c r="B74" s="39"/>
      <c r="C74" s="39"/>
      <c r="F74" s="44"/>
      <c r="G74" s="44"/>
    </row>
    <row r="75" spans="1:7" s="53" customFormat="1" ht="15" customHeight="1" x14ac:dyDescent="0.25">
      <c r="A75" s="39"/>
      <c r="B75" s="39"/>
      <c r="C75" s="39"/>
      <c r="F75" s="44"/>
      <c r="G75" s="44"/>
    </row>
    <row r="76" spans="1:7" s="53" customFormat="1" ht="15" customHeight="1" x14ac:dyDescent="0.25">
      <c r="A76" s="39"/>
      <c r="B76" s="39"/>
      <c r="C76" s="39"/>
      <c r="F76" s="44"/>
      <c r="G76" s="44"/>
    </row>
    <row r="77" spans="1:7" s="53" customFormat="1" ht="15" customHeight="1" x14ac:dyDescent="0.25">
      <c r="A77" s="39"/>
      <c r="B77" s="39"/>
      <c r="C77" s="39"/>
      <c r="F77" s="44"/>
      <c r="G77" s="44"/>
    </row>
    <row r="78" spans="1:7" s="53" customFormat="1" ht="15" customHeight="1" x14ac:dyDescent="0.25">
      <c r="A78" s="39"/>
      <c r="B78" s="39"/>
      <c r="C78" s="39"/>
      <c r="F78" s="44"/>
      <c r="G78" s="44"/>
    </row>
    <row r="79" spans="1:7" s="53" customFormat="1" ht="15" customHeight="1" x14ac:dyDescent="0.25">
      <c r="A79" s="39"/>
      <c r="B79" s="39"/>
      <c r="C79" s="39"/>
      <c r="F79" s="44"/>
      <c r="G79" s="44"/>
    </row>
    <row r="80" spans="1:7" s="53" customFormat="1" ht="15" customHeight="1" x14ac:dyDescent="0.25">
      <c r="A80" s="39"/>
      <c r="B80" s="39"/>
      <c r="C80" s="39"/>
      <c r="F80" s="44"/>
      <c r="G80" s="44"/>
    </row>
    <row r="81" spans="1:7" s="53" customFormat="1" ht="15" customHeight="1" x14ac:dyDescent="0.25">
      <c r="A81" s="39"/>
      <c r="B81" s="39"/>
      <c r="C81" s="39"/>
      <c r="F81" s="44"/>
      <c r="G81" s="44"/>
    </row>
    <row r="82" spans="1:7" s="53" customFormat="1" ht="15" customHeight="1" x14ac:dyDescent="0.25">
      <c r="A82" s="39"/>
      <c r="B82" s="39"/>
      <c r="C82" s="39"/>
      <c r="F82" s="44"/>
      <c r="G82" s="44"/>
    </row>
    <row r="83" spans="1:7" s="53" customFormat="1" ht="15" customHeight="1" x14ac:dyDescent="0.25">
      <c r="A83" s="39"/>
      <c r="B83" s="39"/>
      <c r="C83" s="39"/>
      <c r="F83" s="44"/>
      <c r="G83" s="44"/>
    </row>
    <row r="84" spans="1:7" s="53" customFormat="1" ht="15" customHeight="1" x14ac:dyDescent="0.25">
      <c r="A84" s="39"/>
      <c r="B84" s="39"/>
      <c r="C84" s="39"/>
      <c r="F84" s="44"/>
      <c r="G84" s="44"/>
    </row>
    <row r="85" spans="1:7" s="53" customFormat="1" ht="15" customHeight="1" x14ac:dyDescent="0.25">
      <c r="A85" s="42"/>
      <c r="B85" s="39"/>
      <c r="C85" s="39"/>
      <c r="F85" s="44"/>
      <c r="G85" s="44"/>
    </row>
    <row r="86" spans="1:7" s="53" customFormat="1" ht="15" customHeight="1" x14ac:dyDescent="0.25">
      <c r="A86" s="39"/>
      <c r="B86" s="39"/>
      <c r="C86" s="39"/>
      <c r="F86" s="44"/>
      <c r="G86" s="44"/>
    </row>
    <row r="87" spans="1:7" s="53" customFormat="1" ht="15" customHeight="1" x14ac:dyDescent="0.25">
      <c r="A87" s="39"/>
      <c r="B87" s="39"/>
      <c r="C87" s="39"/>
      <c r="F87" s="44"/>
      <c r="G87" s="44"/>
    </row>
    <row r="88" spans="1:7" s="53" customFormat="1" ht="15" customHeight="1" x14ac:dyDescent="0.25">
      <c r="A88" s="39"/>
      <c r="B88" s="39"/>
      <c r="C88" s="39"/>
      <c r="F88" s="44"/>
      <c r="G88" s="44"/>
    </row>
    <row r="89" spans="1:7" s="53" customFormat="1" ht="15" customHeight="1" x14ac:dyDescent="0.25">
      <c r="A89" s="39"/>
      <c r="B89" s="39"/>
      <c r="C89" s="39"/>
      <c r="F89" s="44"/>
      <c r="G89" s="44"/>
    </row>
    <row r="90" spans="1:7" s="53" customFormat="1" ht="15" customHeight="1" x14ac:dyDescent="0.25">
      <c r="A90" s="39"/>
      <c r="B90" s="39"/>
      <c r="C90" s="39"/>
      <c r="F90" s="44"/>
      <c r="G90" s="44"/>
    </row>
    <row r="91" spans="1:7" s="53" customFormat="1" ht="15" customHeight="1" x14ac:dyDescent="0.25">
      <c r="A91" s="39"/>
      <c r="B91" s="39"/>
      <c r="C91" s="39"/>
      <c r="F91" s="44"/>
      <c r="G91" s="44"/>
    </row>
    <row r="92" spans="1:7" s="53" customFormat="1" ht="15" customHeight="1" x14ac:dyDescent="0.25">
      <c r="A92" s="39"/>
      <c r="B92" s="39"/>
      <c r="C92" s="39"/>
      <c r="F92" s="44"/>
      <c r="G92" s="44"/>
    </row>
    <row r="93" spans="1:7" s="53" customFormat="1" ht="15" customHeight="1" x14ac:dyDescent="0.25">
      <c r="A93" s="39"/>
      <c r="B93" s="39"/>
      <c r="C93" s="39"/>
      <c r="F93" s="44"/>
      <c r="G93" s="44"/>
    </row>
    <row r="94" spans="1:7" s="53" customFormat="1" ht="15" customHeight="1" x14ac:dyDescent="0.25">
      <c r="A94" s="42"/>
      <c r="B94" s="39"/>
      <c r="C94" s="39"/>
      <c r="F94" s="44"/>
      <c r="G94" s="44"/>
    </row>
    <row r="95" spans="1:7" s="53" customFormat="1" ht="15" customHeight="1" x14ac:dyDescent="0.25">
      <c r="A95" s="39"/>
      <c r="B95" s="43"/>
      <c r="C95" s="43"/>
      <c r="F95" s="44"/>
      <c r="G95" s="44"/>
    </row>
    <row r="96" spans="1:7" s="53" customFormat="1" ht="15" customHeight="1" x14ac:dyDescent="0.25">
      <c r="A96" s="42"/>
      <c r="B96" s="39"/>
      <c r="C96" s="39"/>
      <c r="F96" s="44"/>
      <c r="G96" s="44"/>
    </row>
    <row r="97" spans="1:7" s="53" customFormat="1" ht="15" customHeight="1" x14ac:dyDescent="0.25">
      <c r="A97" s="39"/>
      <c r="B97" s="39"/>
      <c r="C97" s="39"/>
      <c r="F97" s="44"/>
      <c r="G97" s="44"/>
    </row>
    <row r="98" spans="1:7" s="53" customFormat="1" ht="15" customHeight="1" x14ac:dyDescent="0.25">
      <c r="A98" s="39"/>
      <c r="B98" s="39"/>
      <c r="C98" s="39"/>
      <c r="F98" s="44"/>
      <c r="G98" s="44"/>
    </row>
    <row r="99" spans="1:7" s="53" customFormat="1" ht="15" customHeight="1" x14ac:dyDescent="0.25">
      <c r="A99" s="39"/>
      <c r="B99" s="39"/>
      <c r="C99" s="39"/>
      <c r="F99" s="44"/>
      <c r="G99" s="44"/>
    </row>
    <row r="100" spans="1:7" s="53" customFormat="1" ht="15" customHeight="1" x14ac:dyDescent="0.25">
      <c r="A100" s="39"/>
      <c r="B100" s="39"/>
      <c r="C100" s="39"/>
      <c r="F100" s="44"/>
      <c r="G100" s="44"/>
    </row>
    <row r="101" spans="1:7" s="53" customFormat="1" ht="15" customHeight="1" x14ac:dyDescent="0.25">
      <c r="A101" s="39"/>
      <c r="B101" s="39"/>
      <c r="C101" s="39"/>
      <c r="F101" s="44"/>
      <c r="G101" s="44"/>
    </row>
    <row r="102" spans="1:7" s="53" customFormat="1" ht="15" customHeight="1" x14ac:dyDescent="0.25">
      <c r="A102" s="39"/>
      <c r="B102" s="39"/>
      <c r="C102" s="39"/>
      <c r="F102" s="44"/>
      <c r="G102" s="44"/>
    </row>
    <row r="103" spans="1:7" s="53" customFormat="1" ht="15" customHeight="1" x14ac:dyDescent="0.25">
      <c r="A103" s="39"/>
      <c r="B103" s="39"/>
      <c r="C103" s="39"/>
      <c r="F103" s="44"/>
      <c r="G103" s="44"/>
    </row>
    <row r="104" spans="1:7" s="53" customFormat="1" ht="15" customHeight="1" x14ac:dyDescent="0.25">
      <c r="A104" s="39"/>
      <c r="B104" s="39"/>
      <c r="C104" s="39"/>
      <c r="F104" s="44"/>
      <c r="G104" s="44"/>
    </row>
    <row r="105" spans="1:7" s="53" customFormat="1" ht="15" customHeight="1" x14ac:dyDescent="0.25">
      <c r="A105" s="39"/>
      <c r="B105" s="39"/>
      <c r="C105" s="39"/>
      <c r="F105" s="44"/>
      <c r="G105" s="44"/>
    </row>
    <row r="106" spans="1:7" s="53" customFormat="1" ht="15" customHeight="1" x14ac:dyDescent="0.25">
      <c r="A106" s="39"/>
      <c r="B106" s="39"/>
      <c r="C106" s="39"/>
      <c r="F106" s="44"/>
      <c r="G106" s="44"/>
    </row>
    <row r="107" spans="1:7" s="53" customFormat="1" ht="15" customHeight="1" x14ac:dyDescent="0.25">
      <c r="A107" s="39"/>
      <c r="B107" s="39"/>
      <c r="C107" s="39"/>
      <c r="F107" s="44"/>
      <c r="G107" s="44"/>
    </row>
    <row r="108" spans="1:7" s="53" customFormat="1" ht="15" customHeight="1" x14ac:dyDescent="0.25">
      <c r="A108" s="39"/>
      <c r="B108" s="39"/>
      <c r="C108" s="39"/>
      <c r="F108" s="44"/>
      <c r="G108" s="44"/>
    </row>
    <row r="109" spans="1:7" s="53" customFormat="1" ht="15" customHeight="1" x14ac:dyDescent="0.25">
      <c r="A109" s="39"/>
      <c r="B109" s="39"/>
      <c r="C109" s="39"/>
      <c r="F109" s="44"/>
      <c r="G109" s="44"/>
    </row>
    <row r="110" spans="1:7" s="53" customFormat="1" ht="15" customHeight="1" x14ac:dyDescent="0.25">
      <c r="A110" s="39"/>
      <c r="B110" s="39"/>
      <c r="C110" s="39"/>
      <c r="F110" s="44"/>
      <c r="G110" s="44"/>
    </row>
    <row r="111" spans="1:7" s="53" customFormat="1" ht="15" customHeight="1" x14ac:dyDescent="0.25">
      <c r="A111" s="39"/>
      <c r="B111" s="39"/>
      <c r="C111" s="39"/>
      <c r="F111" s="44"/>
      <c r="G111" s="44"/>
    </row>
    <row r="112" spans="1:7" s="53" customFormat="1" ht="15" customHeight="1" x14ac:dyDescent="0.25">
      <c r="A112" s="39"/>
      <c r="B112" s="39"/>
      <c r="C112" s="39"/>
      <c r="F112" s="44"/>
      <c r="G112" s="44"/>
    </row>
    <row r="113" spans="1:7" s="53" customFormat="1" ht="15" customHeight="1" x14ac:dyDescent="0.25">
      <c r="A113" s="42"/>
      <c r="B113" s="39"/>
      <c r="C113" s="39"/>
      <c r="F113" s="44"/>
      <c r="G113" s="44"/>
    </row>
    <row r="114" spans="1:7" s="53" customFormat="1" ht="15" customHeight="1" x14ac:dyDescent="0.25">
      <c r="A114" s="39"/>
      <c r="B114" s="39"/>
      <c r="C114" s="39"/>
      <c r="F114" s="44"/>
      <c r="G114" s="44"/>
    </row>
    <row r="115" spans="1:7" s="53" customFormat="1" ht="15" customHeight="1" x14ac:dyDescent="0.25">
      <c r="A115" s="39"/>
      <c r="B115" s="39"/>
      <c r="C115" s="39"/>
      <c r="F115" s="44"/>
      <c r="G115" s="44"/>
    </row>
    <row r="116" spans="1:7" s="53" customFormat="1" ht="15" customHeight="1" x14ac:dyDescent="0.25">
      <c r="A116" s="39"/>
      <c r="B116" s="39"/>
      <c r="C116" s="39"/>
      <c r="F116" s="44"/>
      <c r="G116" s="44"/>
    </row>
    <row r="117" spans="1:7" s="53" customFormat="1" ht="15" customHeight="1" x14ac:dyDescent="0.25">
      <c r="A117" s="39"/>
      <c r="B117" s="39"/>
      <c r="C117" s="39"/>
      <c r="F117" s="44"/>
      <c r="G117" s="44"/>
    </row>
    <row r="118" spans="1:7" s="53" customFormat="1" ht="15" customHeight="1" x14ac:dyDescent="0.25">
      <c r="A118" s="39"/>
      <c r="B118" s="39"/>
      <c r="C118" s="39"/>
      <c r="F118" s="44"/>
      <c r="G118" s="44"/>
    </row>
    <row r="119" spans="1:7" s="53" customFormat="1" ht="15" customHeight="1" x14ac:dyDescent="0.25">
      <c r="A119" s="39"/>
      <c r="B119" s="39"/>
      <c r="C119" s="39"/>
      <c r="F119" s="44"/>
      <c r="G119" s="44"/>
    </row>
    <row r="120" spans="1:7" s="53" customFormat="1" ht="15" customHeight="1" x14ac:dyDescent="0.25">
      <c r="A120" s="39"/>
      <c r="B120" s="39"/>
      <c r="C120" s="39"/>
      <c r="F120" s="44"/>
      <c r="G120" s="44"/>
    </row>
    <row r="121" spans="1:7" s="53" customFormat="1" ht="15" customHeight="1" x14ac:dyDescent="0.25">
      <c r="A121" s="39"/>
      <c r="B121" s="39"/>
      <c r="C121" s="39"/>
      <c r="F121" s="44"/>
      <c r="G121" s="44"/>
    </row>
    <row r="122" spans="1:7" s="53" customFormat="1" ht="15" customHeight="1" x14ac:dyDescent="0.25">
      <c r="A122" s="42"/>
      <c r="B122" s="39"/>
      <c r="C122" s="39"/>
      <c r="F122" s="44"/>
      <c r="G122" s="44"/>
    </row>
    <row r="123" spans="1:7" s="53" customFormat="1" ht="15" customHeight="1" x14ac:dyDescent="0.25">
      <c r="A123" s="39"/>
      <c r="B123" s="43"/>
      <c r="C123" s="43"/>
      <c r="F123" s="44"/>
      <c r="G123" s="44"/>
    </row>
    <row r="124" spans="1:7" s="53" customFormat="1" ht="15" customHeight="1" x14ac:dyDescent="0.25">
      <c r="A124" s="42"/>
      <c r="B124" s="39"/>
      <c r="C124" s="39"/>
      <c r="F124" s="44"/>
      <c r="G124" s="44"/>
    </row>
    <row r="125" spans="1:7" s="53" customFormat="1" ht="15" customHeight="1" x14ac:dyDescent="0.25">
      <c r="A125" s="39"/>
      <c r="B125" s="39"/>
      <c r="C125" s="39"/>
      <c r="F125" s="44"/>
      <c r="G125" s="44"/>
    </row>
    <row r="126" spans="1:7" s="53" customFormat="1" ht="15" customHeight="1" x14ac:dyDescent="0.25">
      <c r="A126" s="39"/>
      <c r="B126" s="39"/>
      <c r="C126" s="39"/>
      <c r="F126" s="44"/>
      <c r="G126" s="44"/>
    </row>
    <row r="127" spans="1:7" s="53" customFormat="1" ht="15" customHeight="1" x14ac:dyDescent="0.25">
      <c r="A127" s="39"/>
      <c r="B127" s="39"/>
      <c r="C127" s="39"/>
      <c r="F127" s="44"/>
      <c r="G127" s="44"/>
    </row>
    <row r="128" spans="1:7" s="53" customFormat="1" ht="15" customHeight="1" x14ac:dyDescent="0.25">
      <c r="A128" s="39"/>
      <c r="B128" s="39"/>
      <c r="C128" s="39"/>
      <c r="F128" s="44"/>
      <c r="G128" s="44"/>
    </row>
    <row r="129" spans="1:7" s="53" customFormat="1" ht="15" customHeight="1" x14ac:dyDescent="0.25">
      <c r="A129" s="39"/>
      <c r="B129" s="39"/>
      <c r="C129" s="39"/>
      <c r="F129" s="44"/>
      <c r="G129" s="44"/>
    </row>
    <row r="130" spans="1:7" s="53" customFormat="1" ht="15" customHeight="1" x14ac:dyDescent="0.25">
      <c r="A130" s="39"/>
      <c r="B130" s="39"/>
      <c r="C130" s="39"/>
      <c r="F130" s="44"/>
      <c r="G130" s="44"/>
    </row>
    <row r="131" spans="1:7" s="53" customFormat="1" ht="15" customHeight="1" x14ac:dyDescent="0.25">
      <c r="A131" s="39"/>
      <c r="B131" s="39"/>
      <c r="C131" s="39"/>
      <c r="F131" s="44"/>
      <c r="G131" s="44"/>
    </row>
    <row r="132" spans="1:7" s="53" customFormat="1" ht="15" customHeight="1" x14ac:dyDescent="0.25">
      <c r="A132" s="39"/>
      <c r="B132" s="39"/>
      <c r="C132" s="39"/>
      <c r="F132" s="44"/>
      <c r="G132" s="44"/>
    </row>
    <row r="133" spans="1:7" s="53" customFormat="1" ht="15" customHeight="1" x14ac:dyDescent="0.25">
      <c r="A133" s="39"/>
      <c r="B133" s="39"/>
      <c r="C133" s="39"/>
      <c r="F133" s="44"/>
      <c r="G133" s="44"/>
    </row>
    <row r="134" spans="1:7" s="53" customFormat="1" ht="15" customHeight="1" x14ac:dyDescent="0.25">
      <c r="A134" s="39"/>
      <c r="B134" s="39"/>
      <c r="C134" s="39"/>
      <c r="F134" s="44"/>
      <c r="G134" s="44"/>
    </row>
    <row r="135" spans="1:7" s="53" customFormat="1" ht="15" customHeight="1" x14ac:dyDescent="0.25">
      <c r="A135" s="39"/>
      <c r="B135" s="39"/>
      <c r="C135" s="39"/>
      <c r="F135" s="44"/>
      <c r="G135" s="44"/>
    </row>
    <row r="136" spans="1:7" s="53" customFormat="1" ht="15" customHeight="1" x14ac:dyDescent="0.25">
      <c r="A136" s="39"/>
      <c r="B136" s="39"/>
      <c r="C136" s="39"/>
      <c r="F136" s="44"/>
      <c r="G136" s="44"/>
    </row>
    <row r="137" spans="1:7" s="53" customFormat="1" ht="15" customHeight="1" x14ac:dyDescent="0.25">
      <c r="A137" s="39"/>
      <c r="B137" s="39"/>
      <c r="C137" s="39"/>
      <c r="F137" s="44"/>
      <c r="G137" s="44"/>
    </row>
    <row r="138" spans="1:7" s="53" customFormat="1" ht="15" customHeight="1" x14ac:dyDescent="0.25">
      <c r="A138" s="39"/>
      <c r="B138" s="39"/>
      <c r="C138" s="39"/>
      <c r="F138" s="44"/>
      <c r="G138" s="44"/>
    </row>
    <row r="139" spans="1:7" s="53" customFormat="1" ht="15" customHeight="1" x14ac:dyDescent="0.25">
      <c r="A139" s="39"/>
      <c r="B139" s="39"/>
      <c r="C139" s="39"/>
      <c r="F139" s="44"/>
      <c r="G139" s="44"/>
    </row>
    <row r="140" spans="1:7" s="53" customFormat="1" ht="15" customHeight="1" x14ac:dyDescent="0.25">
      <c r="A140" s="39"/>
      <c r="B140" s="39"/>
      <c r="C140" s="39"/>
      <c r="F140" s="44"/>
      <c r="G140" s="44"/>
    </row>
    <row r="141" spans="1:7" s="53" customFormat="1" ht="15" customHeight="1" x14ac:dyDescent="0.25">
      <c r="A141" s="42"/>
      <c r="B141" s="39"/>
      <c r="C141" s="39"/>
      <c r="F141" s="44"/>
      <c r="G141" s="44"/>
    </row>
    <row r="142" spans="1:7" s="53" customFormat="1" ht="15" customHeight="1" x14ac:dyDescent="0.25">
      <c r="A142" s="39"/>
      <c r="B142" s="39"/>
      <c r="C142" s="39"/>
      <c r="F142" s="44"/>
      <c r="G142" s="44"/>
    </row>
    <row r="143" spans="1:7" s="53" customFormat="1" ht="15" customHeight="1" x14ac:dyDescent="0.25">
      <c r="A143" s="39"/>
      <c r="B143" s="39"/>
      <c r="C143" s="39"/>
      <c r="F143" s="44"/>
      <c r="G143" s="44"/>
    </row>
    <row r="144" spans="1:7" s="53" customFormat="1" ht="15" customHeight="1" x14ac:dyDescent="0.25">
      <c r="A144" s="39"/>
      <c r="B144" s="39"/>
      <c r="C144" s="39"/>
      <c r="F144" s="44"/>
      <c r="G144" s="44"/>
    </row>
    <row r="145" spans="1:7" s="53" customFormat="1" ht="15" customHeight="1" x14ac:dyDescent="0.25">
      <c r="A145" s="39"/>
      <c r="B145" s="39"/>
      <c r="C145" s="39"/>
      <c r="F145" s="44"/>
      <c r="G145" s="44"/>
    </row>
    <row r="146" spans="1:7" s="53" customFormat="1" ht="15" customHeight="1" x14ac:dyDescent="0.25">
      <c r="A146" s="39"/>
      <c r="B146" s="39"/>
      <c r="C146" s="39"/>
      <c r="F146" s="44"/>
      <c r="G146" s="44"/>
    </row>
    <row r="147" spans="1:7" s="53" customFormat="1" ht="15" customHeight="1" x14ac:dyDescent="0.25">
      <c r="A147" s="39"/>
      <c r="B147" s="39"/>
      <c r="C147" s="39"/>
      <c r="F147" s="44"/>
      <c r="G147" s="44"/>
    </row>
    <row r="148" spans="1:7" s="53" customFormat="1" ht="15" customHeight="1" x14ac:dyDescent="0.25">
      <c r="A148" s="39"/>
      <c r="B148" s="39"/>
      <c r="C148" s="39"/>
      <c r="F148" s="44"/>
      <c r="G148" s="44"/>
    </row>
    <row r="149" spans="1:7" s="53" customFormat="1" ht="15" customHeight="1" x14ac:dyDescent="0.25">
      <c r="A149" s="39"/>
      <c r="B149" s="39"/>
      <c r="C149" s="39"/>
      <c r="F149" s="44"/>
      <c r="G149" s="44"/>
    </row>
    <row r="150" spans="1:7" s="53" customFormat="1" ht="15" customHeight="1" x14ac:dyDescent="0.25">
      <c r="A150" s="39"/>
      <c r="B150" s="39"/>
      <c r="C150" s="39"/>
      <c r="F150" s="44"/>
      <c r="G150" s="44"/>
    </row>
    <row r="151" spans="1:7" s="53" customFormat="1" ht="15" customHeight="1" x14ac:dyDescent="0.25">
      <c r="A151" s="39"/>
      <c r="B151" s="39"/>
      <c r="C151" s="39"/>
      <c r="F151" s="44"/>
      <c r="G151" s="44"/>
    </row>
    <row r="152" spans="1:7" s="53" customFormat="1" ht="15" customHeight="1" x14ac:dyDescent="0.25">
      <c r="A152" s="39"/>
      <c r="B152" s="39"/>
      <c r="C152" s="39"/>
      <c r="F152" s="44"/>
      <c r="G152" s="44"/>
    </row>
    <row r="153" spans="1:7" s="53" customFormat="1" ht="15" customHeight="1" x14ac:dyDescent="0.25">
      <c r="A153" s="39"/>
      <c r="B153" s="39"/>
      <c r="C153" s="39"/>
      <c r="F153" s="44"/>
      <c r="G153" s="44"/>
    </row>
    <row r="154" spans="1:7" s="53" customFormat="1" ht="15" customHeight="1" x14ac:dyDescent="0.25">
      <c r="A154" s="39"/>
      <c r="B154" s="39"/>
      <c r="C154" s="39"/>
      <c r="F154" s="44"/>
      <c r="G154" s="44"/>
    </row>
    <row r="155" spans="1:7" s="53" customFormat="1" ht="15" customHeight="1" x14ac:dyDescent="0.25">
      <c r="A155" s="39"/>
      <c r="B155" s="39"/>
      <c r="C155" s="39"/>
      <c r="F155" s="44"/>
      <c r="G155" s="44"/>
    </row>
    <row r="156" spans="1:7" s="53" customFormat="1" ht="15" customHeight="1" x14ac:dyDescent="0.25">
      <c r="A156" s="39"/>
      <c r="B156" s="39"/>
      <c r="C156" s="39"/>
      <c r="F156" s="44"/>
      <c r="G156" s="44"/>
    </row>
    <row r="157" spans="1:7" s="53" customFormat="1" ht="15" customHeight="1" x14ac:dyDescent="0.25">
      <c r="A157" s="39"/>
      <c r="B157" s="39"/>
      <c r="C157" s="39"/>
      <c r="F157" s="44"/>
      <c r="G157" s="44"/>
    </row>
    <row r="158" spans="1:7" s="53" customFormat="1" ht="15" customHeight="1" x14ac:dyDescent="0.25">
      <c r="A158" s="39"/>
      <c r="B158" s="39"/>
      <c r="C158" s="39"/>
      <c r="F158" s="44"/>
      <c r="G158" s="44"/>
    </row>
  </sheetData>
  <mergeCells count="30">
    <mergeCell ref="A1:C1"/>
    <mergeCell ref="A2:C2"/>
    <mergeCell ref="A4:B4"/>
    <mergeCell ref="A3:E3"/>
    <mergeCell ref="A21:B21"/>
    <mergeCell ref="A5:C5"/>
    <mergeCell ref="A6:B6"/>
    <mergeCell ref="G7:G13"/>
    <mergeCell ref="A9:B9"/>
    <mergeCell ref="A10:B10"/>
    <mergeCell ref="A11:B11"/>
    <mergeCell ref="A12:B12"/>
    <mergeCell ref="A13:B13"/>
    <mergeCell ref="A14:B14"/>
    <mergeCell ref="A15:B15"/>
    <mergeCell ref="A16:B16"/>
    <mergeCell ref="A18:B18"/>
    <mergeCell ref="A19:B20"/>
    <mergeCell ref="G28:G32"/>
    <mergeCell ref="A29:B29"/>
    <mergeCell ref="A30:B30"/>
    <mergeCell ref="A31:B31"/>
    <mergeCell ref="A32:B32"/>
    <mergeCell ref="A33:B33"/>
    <mergeCell ref="A34:B34"/>
    <mergeCell ref="A35:B35"/>
    <mergeCell ref="A36:B36"/>
    <mergeCell ref="A26:B26"/>
    <mergeCell ref="A27:B27"/>
    <mergeCell ref="A28:B28"/>
  </mergeCells>
  <pageMargins left="0.31496062992125984" right="0.11811023622047245" top="0.78740157480314965" bottom="0.78740157480314965" header="0.31496062992125984" footer="0.31496062992125984"/>
  <pageSetup paperSize="9" scale="95" orientation="portrait" verticalDpi="4" r:id="rId1"/>
  <rowBreaks count="2" manualBreakCount="2">
    <brk id="59" max="16383" man="1"/>
    <brk id="117" max="1638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R160"/>
  <sheetViews>
    <sheetView showGridLines="0" zoomScale="80" zoomScaleNormal="80" workbookViewId="0">
      <selection activeCell="M37" sqref="M37"/>
    </sheetView>
  </sheetViews>
  <sheetFormatPr defaultColWidth="9.140625" defaultRowHeight="15" customHeight="1" x14ac:dyDescent="0.25"/>
  <cols>
    <col min="1" max="1" width="50.7109375" style="44" customWidth="1"/>
    <col min="2" max="2" width="10.7109375" style="44" customWidth="1"/>
    <col min="3" max="3" width="16.7109375" style="44" customWidth="1"/>
    <col min="4" max="4" width="20.140625" style="44" customWidth="1"/>
    <col min="5" max="5" width="21.7109375" style="44" customWidth="1"/>
    <col min="6" max="8" width="16.7109375" style="44" customWidth="1"/>
    <col min="9" max="12" width="16.7109375" style="53" customWidth="1"/>
    <col min="13" max="13" width="10.5703125" style="53" bestFit="1" customWidth="1"/>
    <col min="14" max="14" width="9.140625" style="44"/>
    <col min="15" max="15" width="255.7109375" style="44" customWidth="1"/>
    <col min="16" max="16384" width="9.140625" style="44"/>
  </cols>
  <sheetData>
    <row r="1" spans="1:16" ht="15" customHeight="1" x14ac:dyDescent="0.25">
      <c r="A1" s="608"/>
      <c r="B1" s="608"/>
      <c r="C1" s="608"/>
      <c r="D1" s="608"/>
      <c r="E1" s="608"/>
      <c r="F1" s="608"/>
      <c r="G1" s="608"/>
      <c r="H1" s="608"/>
      <c r="I1" s="608"/>
      <c r="J1" s="609"/>
    </row>
    <row r="2" spans="1:16" ht="24.75" customHeight="1" x14ac:dyDescent="0.25">
      <c r="A2" s="565" t="s">
        <v>273</v>
      </c>
      <c r="B2" s="565"/>
      <c r="C2" s="565"/>
      <c r="D2" s="565"/>
      <c r="E2" s="565"/>
      <c r="F2" s="565"/>
      <c r="G2" s="565"/>
      <c r="H2" s="565"/>
      <c r="I2" s="565"/>
      <c r="J2" s="565"/>
      <c r="K2" s="44"/>
      <c r="L2" s="44"/>
      <c r="M2" s="44"/>
    </row>
    <row r="3" spans="1:16" ht="15" customHeight="1" x14ac:dyDescent="0.25">
      <c r="A3" s="568" t="s">
        <v>67</v>
      </c>
      <c r="B3" s="568"/>
      <c r="C3" s="568"/>
      <c r="D3" s="568"/>
      <c r="E3" s="568"/>
      <c r="F3" s="568"/>
      <c r="G3" s="568"/>
      <c r="H3" s="568"/>
      <c r="I3" s="568"/>
      <c r="J3" s="568"/>
      <c r="K3" s="568"/>
      <c r="L3" s="344"/>
      <c r="M3" s="44"/>
      <c r="O3" s="329" t="s">
        <v>298</v>
      </c>
    </row>
    <row r="4" spans="1:16" ht="15" customHeight="1" x14ac:dyDescent="0.25">
      <c r="A4" s="624" t="s">
        <v>230</v>
      </c>
      <c r="B4" s="624"/>
      <c r="C4" s="624"/>
      <c r="D4" s="624"/>
      <c r="E4" s="624"/>
      <c r="F4" s="624"/>
      <c r="G4" s="624"/>
      <c r="H4" s="624"/>
      <c r="I4" s="624"/>
      <c r="J4" s="624"/>
      <c r="K4" s="624"/>
      <c r="L4" s="345"/>
      <c r="M4" s="44"/>
      <c r="O4" s="324" t="s">
        <v>307</v>
      </c>
    </row>
    <row r="5" spans="1:16" ht="15" customHeight="1" x14ac:dyDescent="0.25">
      <c r="A5" s="270" t="s">
        <v>171</v>
      </c>
      <c r="B5" s="624" t="s">
        <v>174</v>
      </c>
      <c r="C5" s="624"/>
      <c r="D5" s="624"/>
      <c r="E5" s="624"/>
      <c r="F5" s="624"/>
      <c r="G5" s="624"/>
      <c r="H5" s="624"/>
      <c r="I5" s="624"/>
      <c r="J5" s="624"/>
      <c r="K5" s="624"/>
      <c r="L5" s="345"/>
      <c r="M5" s="44"/>
      <c r="O5" s="47" t="s">
        <v>308</v>
      </c>
    </row>
    <row r="6" spans="1:16" ht="15" customHeight="1" x14ac:dyDescent="0.25">
      <c r="A6" s="618" t="s">
        <v>267</v>
      </c>
      <c r="B6" s="618"/>
      <c r="C6" s="618"/>
      <c r="D6" s="618"/>
      <c r="E6" s="618"/>
      <c r="F6" s="618"/>
      <c r="G6" s="618"/>
      <c r="H6" s="618"/>
      <c r="I6" s="618"/>
      <c r="J6" s="618"/>
      <c r="K6" s="618"/>
      <c r="L6" s="346"/>
      <c r="M6" s="44"/>
      <c r="O6" s="588" t="s">
        <v>299</v>
      </c>
    </row>
    <row r="7" spans="1:16" ht="54.75" customHeight="1" x14ac:dyDescent="0.25">
      <c r="A7" s="568" t="s">
        <v>69</v>
      </c>
      <c r="B7" s="568"/>
      <c r="C7" s="123" t="s">
        <v>285</v>
      </c>
      <c r="D7" s="287" t="s">
        <v>286</v>
      </c>
      <c r="E7" s="123" t="s">
        <v>287</v>
      </c>
      <c r="F7" s="448" t="s">
        <v>290</v>
      </c>
      <c r="G7" s="439" t="s">
        <v>289</v>
      </c>
      <c r="H7" s="439" t="s">
        <v>292</v>
      </c>
      <c r="I7" s="123" t="s">
        <v>501</v>
      </c>
      <c r="J7" s="123" t="s">
        <v>502</v>
      </c>
      <c r="K7" s="123" t="s">
        <v>296</v>
      </c>
      <c r="L7" s="336"/>
      <c r="M7" s="44"/>
      <c r="O7" s="589"/>
    </row>
    <row r="8" spans="1:16" ht="15" customHeight="1" x14ac:dyDescent="0.25">
      <c r="A8" s="441" t="s">
        <v>60</v>
      </c>
      <c r="B8" s="113"/>
      <c r="C8" s="304">
        <v>1112</v>
      </c>
      <c r="D8" s="101">
        <f>ROUND((1112*1.0658),2)-0.01</f>
        <v>1185.1600000000001</v>
      </c>
      <c r="E8" s="101">
        <f>ROUND((1112*1.0658),2)-0.01</f>
        <v>1185.1600000000001</v>
      </c>
      <c r="F8" s="101">
        <f>ROUND((1112*1.0658),2)-0.01</f>
        <v>1185.1600000000001</v>
      </c>
      <c r="G8" s="101">
        <f>ROUND((1112*1.0658),2)-0.01</f>
        <v>1185.1600000000001</v>
      </c>
      <c r="H8" s="101">
        <f>ROUND((1185.16*1.031),2)+0.01</f>
        <v>1221.9100000000001</v>
      </c>
      <c r="I8" s="101">
        <f>ROUND((1185.16*1.031),2)+0.01</f>
        <v>1221.9100000000001</v>
      </c>
      <c r="J8" s="101">
        <f>SALARIOS!G12</f>
        <v>1267.1199999999999</v>
      </c>
      <c r="K8" s="101">
        <v>1267.1199999999999</v>
      </c>
      <c r="L8" s="350"/>
      <c r="M8" s="56"/>
      <c r="O8" s="589"/>
    </row>
    <row r="9" spans="1:16" ht="15" customHeight="1" x14ac:dyDescent="0.25">
      <c r="A9" s="568" t="s">
        <v>64</v>
      </c>
      <c r="B9" s="568"/>
      <c r="C9" s="100">
        <f t="shared" ref="C9:I9" si="0">SUM(C8:C8)</f>
        <v>1112</v>
      </c>
      <c r="D9" s="100">
        <f t="shared" si="0"/>
        <v>1185.1600000000001</v>
      </c>
      <c r="E9" s="100">
        <f t="shared" si="0"/>
        <v>1185.1600000000001</v>
      </c>
      <c r="F9" s="100">
        <f t="shared" si="0"/>
        <v>1185.1600000000001</v>
      </c>
      <c r="G9" s="100">
        <f t="shared" si="0"/>
        <v>1185.1600000000001</v>
      </c>
      <c r="H9" s="100">
        <f t="shared" si="0"/>
        <v>1221.9100000000001</v>
      </c>
      <c r="I9" s="100">
        <f t="shared" si="0"/>
        <v>1221.9100000000001</v>
      </c>
      <c r="J9" s="100">
        <f>SUM(J8:J8)</f>
        <v>1267.1199999999999</v>
      </c>
      <c r="K9" s="100">
        <f>SUM(K8:K8)</f>
        <v>1267.1199999999999</v>
      </c>
      <c r="L9" s="351"/>
      <c r="O9" s="590"/>
    </row>
    <row r="10" spans="1:16" ht="15" customHeight="1" x14ac:dyDescent="0.25">
      <c r="A10" s="568" t="s">
        <v>50</v>
      </c>
      <c r="B10" s="568"/>
      <c r="C10" s="111" t="s">
        <v>167</v>
      </c>
      <c r="D10" s="111" t="s">
        <v>167</v>
      </c>
      <c r="E10" s="111" t="s">
        <v>167</v>
      </c>
      <c r="F10" s="111" t="s">
        <v>167</v>
      </c>
      <c r="G10" s="111" t="s">
        <v>167</v>
      </c>
      <c r="H10" s="111" t="s">
        <v>167</v>
      </c>
      <c r="I10" s="111" t="s">
        <v>167</v>
      </c>
      <c r="J10" s="111" t="s">
        <v>167</v>
      </c>
      <c r="K10" s="111" t="s">
        <v>167</v>
      </c>
      <c r="L10" s="352"/>
      <c r="O10" s="588" t="s">
        <v>300</v>
      </c>
    </row>
    <row r="11" spans="1:16" ht="15" customHeight="1" x14ac:dyDescent="0.25">
      <c r="A11" s="569" t="s">
        <v>9</v>
      </c>
      <c r="B11" s="569"/>
      <c r="C11" s="304">
        <f>ROUND((22*8-C8*6%),2)</f>
        <v>109.28</v>
      </c>
      <c r="D11" s="101">
        <f>ROUND((22*8-D9*6%),2)</f>
        <v>104.89</v>
      </c>
      <c r="E11" s="101">
        <f>ROUND((22*10-E9*6%),2)</f>
        <v>148.88999999999999</v>
      </c>
      <c r="F11" s="101">
        <f t="shared" ref="F11:K11" si="1">ROUND((22*10-F8*6%),2)</f>
        <v>148.88999999999999</v>
      </c>
      <c r="G11" s="101">
        <f t="shared" si="1"/>
        <v>148.88999999999999</v>
      </c>
      <c r="H11" s="101">
        <f t="shared" si="1"/>
        <v>146.69</v>
      </c>
      <c r="I11" s="101">
        <f t="shared" si="1"/>
        <v>146.69</v>
      </c>
      <c r="J11" s="101">
        <f t="shared" si="1"/>
        <v>143.97</v>
      </c>
      <c r="K11" s="101">
        <f t="shared" si="1"/>
        <v>143.97</v>
      </c>
      <c r="L11" s="350"/>
      <c r="O11" s="589"/>
    </row>
    <row r="12" spans="1:16" ht="15" customHeight="1" x14ac:dyDescent="0.25">
      <c r="A12" s="569" t="s">
        <v>195</v>
      </c>
      <c r="B12" s="569"/>
      <c r="C12" s="454">
        <f>ROUND((22*27.5),2)</f>
        <v>605</v>
      </c>
      <c r="D12" s="116">
        <f>ROUND((22*29.5),2)</f>
        <v>649</v>
      </c>
      <c r="E12" s="116">
        <f>ROUND((22*29.5),2)</f>
        <v>649</v>
      </c>
      <c r="F12" s="116">
        <f>ROUND((22*29.5),2)</f>
        <v>649</v>
      </c>
      <c r="G12" s="116">
        <f>ROUND((22*29.5),2)</f>
        <v>649</v>
      </c>
      <c r="H12" s="116">
        <f>ROUND((22*31.5)-15%*693,2)</f>
        <v>589.04999999999995</v>
      </c>
      <c r="I12" s="116">
        <f>ROUND((22*31.5)-15%*693,2)</f>
        <v>589.04999999999995</v>
      </c>
      <c r="J12" s="116">
        <v>617.1</v>
      </c>
      <c r="K12" s="116">
        <f>'Anexo Transporte e Alimentacao'!E13</f>
        <v>719.4</v>
      </c>
      <c r="L12" s="353"/>
      <c r="M12" s="265"/>
      <c r="N12" s="40"/>
      <c r="O12" s="589"/>
      <c r="P12" s="266"/>
    </row>
    <row r="13" spans="1:16" ht="15" customHeight="1" x14ac:dyDescent="0.25">
      <c r="A13" s="587" t="s">
        <v>94</v>
      </c>
      <c r="B13" s="587"/>
      <c r="C13" s="454">
        <v>2.5</v>
      </c>
      <c r="D13" s="116">
        <v>10</v>
      </c>
      <c r="E13" s="116">
        <v>10</v>
      </c>
      <c r="F13" s="116">
        <v>10</v>
      </c>
      <c r="G13" s="116">
        <v>10</v>
      </c>
      <c r="H13" s="116">
        <v>10</v>
      </c>
      <c r="I13" s="116">
        <v>10</v>
      </c>
      <c r="J13" s="116">
        <v>0</v>
      </c>
      <c r="K13" s="116">
        <v>0</v>
      </c>
      <c r="L13" s="353"/>
      <c r="O13" s="590"/>
    </row>
    <row r="14" spans="1:16" ht="15" customHeight="1" x14ac:dyDescent="0.25">
      <c r="A14" s="587" t="s">
        <v>95</v>
      </c>
      <c r="B14" s="587"/>
      <c r="C14" s="454">
        <v>5</v>
      </c>
      <c r="D14" s="116">
        <v>5</v>
      </c>
      <c r="E14" s="116">
        <v>5</v>
      </c>
      <c r="F14" s="116">
        <v>5</v>
      </c>
      <c r="G14" s="116">
        <v>5</v>
      </c>
      <c r="H14" s="116">
        <v>9.9</v>
      </c>
      <c r="I14" s="116">
        <v>9.9</v>
      </c>
      <c r="J14" s="116">
        <v>9.9</v>
      </c>
      <c r="K14" s="116">
        <v>9.9</v>
      </c>
      <c r="L14" s="353"/>
      <c r="O14" s="330"/>
    </row>
    <row r="15" spans="1:16" ht="15" customHeight="1" x14ac:dyDescent="0.25">
      <c r="A15" s="568" t="s">
        <v>63</v>
      </c>
      <c r="B15" s="568"/>
      <c r="C15" s="100">
        <f t="shared" ref="C15:I15" si="2">ROUND(SUM(C11:C14),2)</f>
        <v>721.78</v>
      </c>
      <c r="D15" s="100">
        <f t="shared" si="2"/>
        <v>768.89</v>
      </c>
      <c r="E15" s="100">
        <f t="shared" si="2"/>
        <v>812.89</v>
      </c>
      <c r="F15" s="100">
        <f t="shared" si="2"/>
        <v>812.89</v>
      </c>
      <c r="G15" s="100">
        <f t="shared" si="2"/>
        <v>812.89</v>
      </c>
      <c r="H15" s="100">
        <f t="shared" si="2"/>
        <v>755.64</v>
      </c>
      <c r="I15" s="100">
        <f t="shared" si="2"/>
        <v>755.64</v>
      </c>
      <c r="J15" s="100">
        <f>ROUND(SUM(J11:J14),2)</f>
        <v>770.97</v>
      </c>
      <c r="K15" s="100">
        <f>ROUND(SUM(K11:K14),2)</f>
        <v>873.27</v>
      </c>
      <c r="L15" s="351"/>
    </row>
    <row r="16" spans="1:16" ht="15" customHeight="1" x14ac:dyDescent="0.25">
      <c r="A16" s="576" t="s">
        <v>51</v>
      </c>
      <c r="B16" s="576"/>
      <c r="C16" s="111" t="s">
        <v>167</v>
      </c>
      <c r="D16" s="111" t="s">
        <v>167</v>
      </c>
      <c r="E16" s="111" t="s">
        <v>167</v>
      </c>
      <c r="F16" s="111" t="s">
        <v>167</v>
      </c>
      <c r="G16" s="111" t="s">
        <v>167</v>
      </c>
      <c r="H16" s="111" t="s">
        <v>167</v>
      </c>
      <c r="I16" s="111" t="s">
        <v>167</v>
      </c>
      <c r="J16" s="111" t="s">
        <v>167</v>
      </c>
      <c r="K16" s="111" t="s">
        <v>167</v>
      </c>
      <c r="L16" s="352"/>
      <c r="O16" s="633" t="s">
        <v>301</v>
      </c>
    </row>
    <row r="17" spans="1:15" ht="15" customHeight="1" x14ac:dyDescent="0.25">
      <c r="A17" s="583" t="s">
        <v>0</v>
      </c>
      <c r="B17" s="584"/>
      <c r="C17" s="301">
        <f t="shared" ref="C17:H17" si="3">(68+30+40+120+24+77.2)/12</f>
        <v>29.933333333333334</v>
      </c>
      <c r="D17" s="301">
        <f t="shared" si="3"/>
        <v>29.933333333333334</v>
      </c>
      <c r="E17" s="301">
        <f t="shared" si="3"/>
        <v>29.933333333333334</v>
      </c>
      <c r="F17" s="301">
        <f t="shared" si="3"/>
        <v>29.933333333333334</v>
      </c>
      <c r="G17" s="301">
        <f t="shared" si="3"/>
        <v>29.933333333333334</v>
      </c>
      <c r="H17" s="301">
        <f t="shared" si="3"/>
        <v>29.933333333333334</v>
      </c>
      <c r="I17" s="101">
        <f>((74.48+32.86+43.82+131.44+26.32+84.56)/12)</f>
        <v>32.79</v>
      </c>
      <c r="J17" s="101">
        <f>((74.48+32.86+43.82+131.44+26.32+84.56)/12)</f>
        <v>32.79</v>
      </c>
      <c r="K17" s="101">
        <f>J17</f>
        <v>32.79</v>
      </c>
      <c r="L17" s="337"/>
      <c r="M17" s="86"/>
      <c r="O17" s="634"/>
    </row>
    <row r="18" spans="1:15" ht="15" customHeight="1" x14ac:dyDescent="0.25">
      <c r="A18" s="568" t="s">
        <v>54</v>
      </c>
      <c r="B18" s="568"/>
      <c r="C18" s="100">
        <f t="shared" ref="C18:I18" si="4">SUM(C17)</f>
        <v>29.933333333333334</v>
      </c>
      <c r="D18" s="100">
        <f t="shared" si="4"/>
        <v>29.933333333333334</v>
      </c>
      <c r="E18" s="100">
        <f t="shared" si="4"/>
        <v>29.933333333333334</v>
      </c>
      <c r="F18" s="100">
        <f t="shared" si="4"/>
        <v>29.933333333333334</v>
      </c>
      <c r="G18" s="100">
        <f t="shared" si="4"/>
        <v>29.933333333333334</v>
      </c>
      <c r="H18" s="100">
        <f t="shared" si="4"/>
        <v>29.933333333333334</v>
      </c>
      <c r="I18" s="100">
        <f t="shared" si="4"/>
        <v>32.79</v>
      </c>
      <c r="J18" s="100">
        <f>SUM(J17)</f>
        <v>32.79</v>
      </c>
      <c r="K18" s="100">
        <f>SUM(K17)</f>
        <v>32.79</v>
      </c>
      <c r="L18" s="351"/>
      <c r="O18" s="634"/>
    </row>
    <row r="19" spans="1:15" ht="15" customHeight="1" x14ac:dyDescent="0.25">
      <c r="A19" s="591" t="s">
        <v>52</v>
      </c>
      <c r="B19" s="592"/>
      <c r="C19" s="111" t="s">
        <v>229</v>
      </c>
      <c r="D19" s="111" t="s">
        <v>229</v>
      </c>
      <c r="E19" s="111" t="s">
        <v>229</v>
      </c>
      <c r="F19" s="111" t="s">
        <v>229</v>
      </c>
      <c r="G19" s="111" t="s">
        <v>229</v>
      </c>
      <c r="H19" s="111" t="s">
        <v>229</v>
      </c>
      <c r="I19" s="111" t="s">
        <v>229</v>
      </c>
      <c r="J19" s="111" t="s">
        <v>229</v>
      </c>
      <c r="K19" s="111" t="s">
        <v>229</v>
      </c>
      <c r="L19" s="339"/>
      <c r="M19" s="44"/>
      <c r="O19" s="635"/>
    </row>
    <row r="20" spans="1:15" ht="15" customHeight="1" x14ac:dyDescent="0.25">
      <c r="A20" s="593"/>
      <c r="B20" s="594"/>
      <c r="C20" s="118">
        <v>0.71779999999999999</v>
      </c>
      <c r="D20" s="118">
        <v>0.71779999999999999</v>
      </c>
      <c r="E20" s="118">
        <v>0.71779999999999999</v>
      </c>
      <c r="F20" s="118">
        <v>0.71779999999999999</v>
      </c>
      <c r="G20" s="118">
        <v>0.71779999999999999</v>
      </c>
      <c r="H20" s="118">
        <v>0.7218</v>
      </c>
      <c r="I20" s="118">
        <v>0.7218</v>
      </c>
      <c r="J20" s="118">
        <v>0.72260000000000002</v>
      </c>
      <c r="K20" s="118">
        <v>0.72260000000000002</v>
      </c>
      <c r="L20" s="340"/>
      <c r="M20" s="44"/>
      <c r="O20" s="47" t="s">
        <v>306</v>
      </c>
    </row>
    <row r="21" spans="1:15" ht="15" customHeight="1" x14ac:dyDescent="0.25">
      <c r="A21" s="595" t="s">
        <v>55</v>
      </c>
      <c r="B21" s="596"/>
      <c r="C21" s="100">
        <f>ROUND((C9*C20),2)+0.04</f>
        <v>798.23</v>
      </c>
      <c r="D21" s="100">
        <f>ROUND((D9*D20),2)+0.08</f>
        <v>850.79000000000008</v>
      </c>
      <c r="E21" s="100">
        <f>ROUND((E9*E20),2)+0.08</f>
        <v>850.79000000000008</v>
      </c>
      <c r="F21" s="100">
        <f>ROUND((F9*F20),2)+0.08</f>
        <v>850.79000000000008</v>
      </c>
      <c r="G21" s="100">
        <f>ROUND((G9*G20),2)+0.08</f>
        <v>850.79000000000008</v>
      </c>
      <c r="H21" s="100">
        <f>ROUND((H9*H20),2)+0.08</f>
        <v>882.05000000000007</v>
      </c>
      <c r="I21" s="100">
        <f>ROUND((I9*I20),2)</f>
        <v>881.97</v>
      </c>
      <c r="J21" s="100">
        <f>ROUND((J9*J20),2)</f>
        <v>915.62</v>
      </c>
      <c r="K21" s="100">
        <f>ROUND((K9*K20),2)</f>
        <v>915.62</v>
      </c>
      <c r="L21" s="338"/>
      <c r="M21" s="45"/>
      <c r="N21" s="131"/>
      <c r="O21" s="333"/>
    </row>
    <row r="22" spans="1:15" ht="15" customHeight="1" x14ac:dyDescent="0.25">
      <c r="A22" s="439" t="s">
        <v>58</v>
      </c>
      <c r="B22" s="439" t="s">
        <v>1</v>
      </c>
      <c r="C22" s="111" t="s">
        <v>167</v>
      </c>
      <c r="D22" s="111" t="s">
        <v>167</v>
      </c>
      <c r="E22" s="111" t="s">
        <v>167</v>
      </c>
      <c r="F22" s="111" t="s">
        <v>167</v>
      </c>
      <c r="G22" s="111" t="s">
        <v>167</v>
      </c>
      <c r="H22" s="111" t="s">
        <v>167</v>
      </c>
      <c r="I22" s="111" t="s">
        <v>167</v>
      </c>
      <c r="J22" s="111" t="s">
        <v>167</v>
      </c>
      <c r="K22" s="111" t="s">
        <v>167</v>
      </c>
      <c r="L22" s="352"/>
      <c r="O22" s="39"/>
    </row>
    <row r="23" spans="1:15" ht="15" customHeight="1" x14ac:dyDescent="0.25">
      <c r="A23" s="114" t="s">
        <v>2</v>
      </c>
      <c r="B23" s="115">
        <v>1.2699999999999999E-2</v>
      </c>
      <c r="C23" s="304">
        <f>ROUND((C9+C15+C18+C21)*B23,2)</f>
        <v>33.81</v>
      </c>
      <c r="D23" s="304">
        <f>ROUND((D9+D15+D18+D21)*B23,2)</f>
        <v>36</v>
      </c>
      <c r="E23" s="304">
        <f>ROUND((E9+E15+E18+E21)*B23,2)</f>
        <v>36.56</v>
      </c>
      <c r="F23" s="304">
        <f>ROUND((F9+F15+F18+F21)*B23,2)</f>
        <v>36.56</v>
      </c>
      <c r="G23" s="304">
        <f>ROUND((G9+G15+G18+G21)*B23,2)</f>
        <v>36.56</v>
      </c>
      <c r="H23" s="304">
        <f>ROUND((H9+H15+H18+H21)*B23,2)</f>
        <v>36.700000000000003</v>
      </c>
      <c r="I23" s="304">
        <f>ROUND((I9+I15+I18+I21)*B23,2)</f>
        <v>36.729999999999997</v>
      </c>
      <c r="J23" s="101">
        <f>ROUND((J9+J15+J18+J21)*B23,2)</f>
        <v>37.93</v>
      </c>
      <c r="K23" s="101">
        <f>ROUND((K9+K15+K18+K21)*B23,2)</f>
        <v>39.229999999999997</v>
      </c>
      <c r="L23" s="350"/>
      <c r="O23" s="636" t="s">
        <v>304</v>
      </c>
    </row>
    <row r="24" spans="1:15" ht="15" customHeight="1" x14ac:dyDescent="0.25">
      <c r="A24" s="114" t="s">
        <v>3</v>
      </c>
      <c r="B24" s="115">
        <v>0.14249999999999999</v>
      </c>
      <c r="C24" s="304">
        <f t="shared" ref="C24:K24" si="5">ROUND((C9+C15+C18+C21+C23+C25)*14.25/85.75,2)</f>
        <v>452.46</v>
      </c>
      <c r="D24" s="304">
        <f t="shared" si="5"/>
        <v>481.84</v>
      </c>
      <c r="E24" s="304">
        <f t="shared" si="5"/>
        <v>489.32</v>
      </c>
      <c r="F24" s="304">
        <f t="shared" si="5"/>
        <v>489.32</v>
      </c>
      <c r="G24" s="304">
        <f t="shared" si="5"/>
        <v>489.32</v>
      </c>
      <c r="H24" s="304">
        <f t="shared" si="5"/>
        <v>491.15</v>
      </c>
      <c r="I24" s="304">
        <f t="shared" si="5"/>
        <v>491.62</v>
      </c>
      <c r="J24" s="101">
        <f t="shared" si="5"/>
        <v>507.63</v>
      </c>
      <c r="K24" s="101">
        <f t="shared" si="5"/>
        <v>525.02</v>
      </c>
      <c r="L24" s="337"/>
      <c r="O24" s="636"/>
    </row>
    <row r="25" spans="1:15" ht="15" customHeight="1" x14ac:dyDescent="0.25">
      <c r="A25" s="114" t="s">
        <v>4</v>
      </c>
      <c r="B25" s="115">
        <v>0.01</v>
      </c>
      <c r="C25" s="304">
        <f>ROUND((C9+C15+C18+C21+C23)*B25,2)</f>
        <v>26.96</v>
      </c>
      <c r="D25" s="304">
        <f>ROUND((D9+D15+D18+D21+D23)*B25,2)</f>
        <v>28.71</v>
      </c>
      <c r="E25" s="304">
        <f>ROUND((E9+E15+E18+E21+E23)*B25,2)</f>
        <v>29.15</v>
      </c>
      <c r="F25" s="304">
        <f>ROUND((F9+F15+F18+F21+F23)*B25,2)</f>
        <v>29.15</v>
      </c>
      <c r="G25" s="304">
        <f>ROUND((G9+G15+G18+G21+G23)*B25,2)</f>
        <v>29.15</v>
      </c>
      <c r="H25" s="304">
        <f>ROUND((H9+H15+H18+H21+H23)*B25,2)</f>
        <v>29.26</v>
      </c>
      <c r="I25" s="304">
        <f>ROUND((I9+I15+I18+I21+I23)*B25,2)</f>
        <v>29.29</v>
      </c>
      <c r="J25" s="101">
        <f>ROUND((J9+J15+J18+J21+J23)*B25,2)</f>
        <v>30.24</v>
      </c>
      <c r="K25" s="101">
        <f>ROUND((K9+K15+K18+K21+K23)*B25,2)</f>
        <v>31.28</v>
      </c>
      <c r="L25" s="350"/>
      <c r="O25" s="47" t="s">
        <v>302</v>
      </c>
    </row>
    <row r="26" spans="1:15" ht="15" customHeight="1" x14ac:dyDescent="0.25">
      <c r="A26" s="568" t="s">
        <v>56</v>
      </c>
      <c r="B26" s="568"/>
      <c r="C26" s="100">
        <f t="shared" ref="C26:I26" si="6">ROUND(SUM(C23:C25),2)</f>
        <v>513.23</v>
      </c>
      <c r="D26" s="100">
        <f t="shared" si="6"/>
        <v>546.54999999999995</v>
      </c>
      <c r="E26" s="100">
        <f t="shared" si="6"/>
        <v>555.03</v>
      </c>
      <c r="F26" s="100">
        <f t="shared" si="6"/>
        <v>555.03</v>
      </c>
      <c r="G26" s="100">
        <f t="shared" si="6"/>
        <v>555.03</v>
      </c>
      <c r="H26" s="100">
        <f t="shared" si="6"/>
        <v>557.11</v>
      </c>
      <c r="I26" s="100">
        <f t="shared" si="6"/>
        <v>557.64</v>
      </c>
      <c r="J26" s="100">
        <f>ROUND(SUM(J23:J25),2)</f>
        <v>575.79999999999995</v>
      </c>
      <c r="K26" s="100">
        <f>ROUND(SUM(K23:K25),2)</f>
        <v>595.53</v>
      </c>
      <c r="L26" s="351"/>
      <c r="O26"/>
    </row>
    <row r="27" spans="1:15" ht="46.5" customHeight="1" x14ac:dyDescent="0.25">
      <c r="A27" s="595" t="s">
        <v>59</v>
      </c>
      <c r="B27" s="596"/>
      <c r="C27" s="123" t="s">
        <v>293</v>
      </c>
      <c r="D27" s="123" t="s">
        <v>293</v>
      </c>
      <c r="E27" s="123" t="s">
        <v>293</v>
      </c>
      <c r="F27" s="123" t="s">
        <v>293</v>
      </c>
      <c r="G27" s="123" t="s">
        <v>293</v>
      </c>
      <c r="H27" s="123" t="s">
        <v>293</v>
      </c>
      <c r="I27" s="123" t="s">
        <v>501</v>
      </c>
      <c r="J27" s="123" t="s">
        <v>502</v>
      </c>
      <c r="K27" s="123" t="s">
        <v>296</v>
      </c>
      <c r="L27" s="336"/>
      <c r="M27" s="44"/>
    </row>
    <row r="28" spans="1:15" ht="15" customHeight="1" x14ac:dyDescent="0.25">
      <c r="A28" s="587" t="s">
        <v>57</v>
      </c>
      <c r="B28" s="569"/>
      <c r="C28" s="119">
        <f t="shared" ref="C28:I28" si="7">C9</f>
        <v>1112</v>
      </c>
      <c r="D28" s="119">
        <f t="shared" si="7"/>
        <v>1185.1600000000001</v>
      </c>
      <c r="E28" s="119">
        <f t="shared" si="7"/>
        <v>1185.1600000000001</v>
      </c>
      <c r="F28" s="119">
        <f t="shared" si="7"/>
        <v>1185.1600000000001</v>
      </c>
      <c r="G28" s="119">
        <f t="shared" si="7"/>
        <v>1185.1600000000001</v>
      </c>
      <c r="H28" s="119">
        <f t="shared" si="7"/>
        <v>1221.9100000000001</v>
      </c>
      <c r="I28" s="119">
        <f t="shared" si="7"/>
        <v>1221.9100000000001</v>
      </c>
      <c r="J28" s="119">
        <f>J9</f>
        <v>1267.1199999999999</v>
      </c>
      <c r="K28" s="119">
        <f>K9</f>
        <v>1267.1199999999999</v>
      </c>
      <c r="L28" s="99"/>
      <c r="O28" s="633" t="s">
        <v>303</v>
      </c>
    </row>
    <row r="29" spans="1:15" ht="15" customHeight="1" x14ac:dyDescent="0.25">
      <c r="A29" s="569" t="s">
        <v>50</v>
      </c>
      <c r="B29" s="569"/>
      <c r="C29" s="119">
        <f t="shared" ref="C29:I29" si="8">C15</f>
        <v>721.78</v>
      </c>
      <c r="D29" s="119">
        <f t="shared" si="8"/>
        <v>768.89</v>
      </c>
      <c r="E29" s="119">
        <f t="shared" si="8"/>
        <v>812.89</v>
      </c>
      <c r="F29" s="119">
        <f t="shared" si="8"/>
        <v>812.89</v>
      </c>
      <c r="G29" s="119">
        <f t="shared" si="8"/>
        <v>812.89</v>
      </c>
      <c r="H29" s="119">
        <f t="shared" si="8"/>
        <v>755.64</v>
      </c>
      <c r="I29" s="119">
        <f t="shared" si="8"/>
        <v>755.64</v>
      </c>
      <c r="J29" s="119">
        <f>J15</f>
        <v>770.97</v>
      </c>
      <c r="K29" s="119">
        <f>K15</f>
        <v>873.27</v>
      </c>
      <c r="L29" s="99"/>
      <c r="O29" s="634"/>
    </row>
    <row r="30" spans="1:15" ht="15" customHeight="1" x14ac:dyDescent="0.25">
      <c r="A30" s="569" t="s">
        <v>51</v>
      </c>
      <c r="B30" s="569"/>
      <c r="C30" s="119">
        <f t="shared" ref="C30:I30" si="9">C18</f>
        <v>29.933333333333334</v>
      </c>
      <c r="D30" s="119">
        <f t="shared" si="9"/>
        <v>29.933333333333334</v>
      </c>
      <c r="E30" s="119">
        <f t="shared" si="9"/>
        <v>29.933333333333334</v>
      </c>
      <c r="F30" s="119">
        <f t="shared" si="9"/>
        <v>29.933333333333334</v>
      </c>
      <c r="G30" s="119">
        <f t="shared" si="9"/>
        <v>29.933333333333334</v>
      </c>
      <c r="H30" s="119">
        <f t="shared" si="9"/>
        <v>29.933333333333334</v>
      </c>
      <c r="I30" s="119">
        <f t="shared" si="9"/>
        <v>32.79</v>
      </c>
      <c r="J30" s="119">
        <f>J18</f>
        <v>32.79</v>
      </c>
      <c r="K30" s="119">
        <f>K18</f>
        <v>32.79</v>
      </c>
      <c r="L30" s="99"/>
      <c r="O30" s="634"/>
    </row>
    <row r="31" spans="1:15" ht="15" customHeight="1" x14ac:dyDescent="0.25">
      <c r="A31" s="569" t="s">
        <v>52</v>
      </c>
      <c r="B31" s="569"/>
      <c r="C31" s="119">
        <f t="shared" ref="C31:I31" si="10">C21</f>
        <v>798.23</v>
      </c>
      <c r="D31" s="119">
        <f t="shared" si="10"/>
        <v>850.79000000000008</v>
      </c>
      <c r="E31" s="119">
        <f t="shared" si="10"/>
        <v>850.79000000000008</v>
      </c>
      <c r="F31" s="119">
        <f t="shared" si="10"/>
        <v>850.79000000000008</v>
      </c>
      <c r="G31" s="119">
        <f t="shared" si="10"/>
        <v>850.79000000000008</v>
      </c>
      <c r="H31" s="119">
        <f t="shared" si="10"/>
        <v>882.05000000000007</v>
      </c>
      <c r="I31" s="119">
        <f t="shared" si="10"/>
        <v>881.97</v>
      </c>
      <c r="J31" s="119">
        <f>J21</f>
        <v>915.62</v>
      </c>
      <c r="K31" s="119">
        <f>K21</f>
        <v>915.62</v>
      </c>
      <c r="L31" s="99"/>
      <c r="O31" s="635"/>
    </row>
    <row r="32" spans="1:15" ht="15" customHeight="1" x14ac:dyDescent="0.25">
      <c r="A32" s="586" t="s">
        <v>74</v>
      </c>
      <c r="B32" s="586"/>
      <c r="C32" s="104">
        <f t="shared" ref="C32:I32" si="11">ROUND(SUM(C28:C31),2)</f>
        <v>2661.94</v>
      </c>
      <c r="D32" s="104">
        <f t="shared" si="11"/>
        <v>2834.77</v>
      </c>
      <c r="E32" s="104">
        <f t="shared" si="11"/>
        <v>2878.77</v>
      </c>
      <c r="F32" s="104">
        <f t="shared" si="11"/>
        <v>2878.77</v>
      </c>
      <c r="G32" s="104">
        <f t="shared" si="11"/>
        <v>2878.77</v>
      </c>
      <c r="H32" s="104">
        <f t="shared" si="11"/>
        <v>2889.53</v>
      </c>
      <c r="I32" s="104">
        <f t="shared" si="11"/>
        <v>2892.31</v>
      </c>
      <c r="J32" s="104">
        <f>ROUND(SUM(J28:J31),2)</f>
        <v>2986.5</v>
      </c>
      <c r="K32" s="104">
        <f>ROUND(SUM(K28:K31),2)</f>
        <v>3088.8</v>
      </c>
      <c r="L32" s="354"/>
      <c r="O32" s="47" t="s">
        <v>305</v>
      </c>
    </row>
    <row r="33" spans="1:18" ht="15" customHeight="1" x14ac:dyDescent="0.25">
      <c r="A33" s="569" t="s">
        <v>58</v>
      </c>
      <c r="B33" s="569"/>
      <c r="C33" s="119">
        <f t="shared" ref="C33:I33" si="12">C26</f>
        <v>513.23</v>
      </c>
      <c r="D33" s="119">
        <f t="shared" si="12"/>
        <v>546.54999999999995</v>
      </c>
      <c r="E33" s="119">
        <f t="shared" si="12"/>
        <v>555.03</v>
      </c>
      <c r="F33" s="119">
        <f t="shared" si="12"/>
        <v>555.03</v>
      </c>
      <c r="G33" s="119">
        <f t="shared" si="12"/>
        <v>555.03</v>
      </c>
      <c r="H33" s="119">
        <f t="shared" si="12"/>
        <v>557.11</v>
      </c>
      <c r="I33" s="119">
        <f t="shared" si="12"/>
        <v>557.64</v>
      </c>
      <c r="J33" s="119">
        <f>J26</f>
        <v>575.79999999999995</v>
      </c>
      <c r="K33" s="119">
        <f>K26</f>
        <v>595.53</v>
      </c>
      <c r="L33" s="99"/>
      <c r="O33" s="323" t="s">
        <v>309</v>
      </c>
    </row>
    <row r="34" spans="1:18" ht="15" customHeight="1" x14ac:dyDescent="0.25">
      <c r="A34" s="637" t="s">
        <v>161</v>
      </c>
      <c r="B34" s="637"/>
      <c r="C34" s="104">
        <f t="shared" ref="C34:I34" si="13">ROUND(SUM(C32:C33),2)</f>
        <v>3175.17</v>
      </c>
      <c r="D34" s="104">
        <f t="shared" si="13"/>
        <v>3381.32</v>
      </c>
      <c r="E34" s="104">
        <f t="shared" si="13"/>
        <v>3433.8</v>
      </c>
      <c r="F34" s="104">
        <f t="shared" si="13"/>
        <v>3433.8</v>
      </c>
      <c r="G34" s="104">
        <f t="shared" si="13"/>
        <v>3433.8</v>
      </c>
      <c r="H34" s="104">
        <f t="shared" si="13"/>
        <v>3446.64</v>
      </c>
      <c r="I34" s="104">
        <f t="shared" si="13"/>
        <v>3449.95</v>
      </c>
      <c r="J34" s="104">
        <f>ROUND(SUM(J32:J33),2)</f>
        <v>3562.3</v>
      </c>
      <c r="K34" s="104">
        <f>ROUND(SUM(K32:K33),2)</f>
        <v>3684.33</v>
      </c>
      <c r="L34" s="341"/>
      <c r="O34" s="47" t="s">
        <v>310</v>
      </c>
      <c r="P34" s="106"/>
      <c r="Q34" s="107"/>
      <c r="R34" s="108"/>
    </row>
    <row r="35" spans="1:18" ht="15" customHeight="1" x14ac:dyDescent="0.25">
      <c r="A35" s="582" t="s">
        <v>48</v>
      </c>
      <c r="B35" s="582"/>
      <c r="C35" s="120">
        <v>2</v>
      </c>
      <c r="D35" s="120">
        <v>2</v>
      </c>
      <c r="E35" s="120">
        <v>2</v>
      </c>
      <c r="F35" s="120">
        <v>2</v>
      </c>
      <c r="G35" s="120">
        <v>2</v>
      </c>
      <c r="H35" s="120">
        <v>2</v>
      </c>
      <c r="I35" s="120">
        <v>2</v>
      </c>
      <c r="J35" s="120">
        <v>2</v>
      </c>
      <c r="K35" s="120">
        <v>0</v>
      </c>
      <c r="L35" s="342"/>
      <c r="O35" s="47" t="s">
        <v>311</v>
      </c>
    </row>
    <row r="36" spans="1:18" ht="15" customHeight="1" x14ac:dyDescent="0.25">
      <c r="A36" s="585" t="s">
        <v>170</v>
      </c>
      <c r="B36" s="585"/>
      <c r="C36" s="104">
        <f t="shared" ref="C36:I36" si="14">ROUND((C34*C35),2)</f>
        <v>6350.34</v>
      </c>
      <c r="D36" s="104">
        <f t="shared" si="14"/>
        <v>6762.64</v>
      </c>
      <c r="E36" s="104">
        <f t="shared" si="14"/>
        <v>6867.6</v>
      </c>
      <c r="F36" s="104">
        <f t="shared" si="14"/>
        <v>6867.6</v>
      </c>
      <c r="G36" s="104">
        <f t="shared" si="14"/>
        <v>6867.6</v>
      </c>
      <c r="H36" s="104">
        <f t="shared" si="14"/>
        <v>6893.28</v>
      </c>
      <c r="I36" s="104">
        <f t="shared" si="14"/>
        <v>6899.9</v>
      </c>
      <c r="J36" s="104">
        <f>ROUND((J34*J35),2)</f>
        <v>7124.6</v>
      </c>
      <c r="K36" s="104">
        <f>ROUND((K34*K35),2)</f>
        <v>0</v>
      </c>
      <c r="L36" s="343"/>
    </row>
    <row r="38" spans="1:18" ht="15" customHeight="1" x14ac:dyDescent="0.25">
      <c r="A38" s="39"/>
      <c r="B38" s="39"/>
      <c r="C38" s="39"/>
      <c r="D38" s="39"/>
      <c r="E38" s="39"/>
      <c r="F38" s="39"/>
      <c r="G38" s="39"/>
      <c r="H38" s="39"/>
      <c r="I38" s="58"/>
      <c r="O38" s="633" t="s">
        <v>312</v>
      </c>
    </row>
    <row r="39" spans="1:18" ht="15" customHeight="1" x14ac:dyDescent="0.25">
      <c r="A39" s="39"/>
      <c r="B39" s="39"/>
      <c r="C39" s="39"/>
      <c r="D39" s="39"/>
      <c r="E39" s="39"/>
      <c r="F39" s="39"/>
      <c r="G39" s="39"/>
      <c r="H39" s="39"/>
      <c r="I39" s="58"/>
      <c r="O39" s="634"/>
    </row>
    <row r="40" spans="1:18" ht="15" customHeight="1" x14ac:dyDescent="0.25">
      <c r="A40" s="42"/>
      <c r="B40" s="39"/>
      <c r="C40" s="39"/>
      <c r="D40" s="39"/>
      <c r="E40" s="39"/>
      <c r="F40" s="39"/>
      <c r="G40" s="39"/>
      <c r="H40" s="39"/>
      <c r="I40" s="58"/>
      <c r="O40" s="634"/>
    </row>
    <row r="41" spans="1:18" ht="15" customHeight="1" x14ac:dyDescent="0.25">
      <c r="A41" s="39"/>
      <c r="B41" s="43"/>
      <c r="C41" s="43"/>
      <c r="D41" s="43"/>
      <c r="E41" s="43"/>
      <c r="F41" s="43"/>
      <c r="G41" s="43"/>
      <c r="H41" s="43"/>
      <c r="I41" s="545"/>
      <c r="O41" s="47" t="s">
        <v>313</v>
      </c>
    </row>
    <row r="42" spans="1:18" ht="15" customHeight="1" x14ac:dyDescent="0.25">
      <c r="A42" s="42"/>
      <c r="B42" s="39"/>
      <c r="C42" s="39"/>
      <c r="D42" s="39"/>
      <c r="E42" s="39"/>
      <c r="F42" s="39"/>
      <c r="G42" s="39"/>
      <c r="H42" s="39"/>
      <c r="I42" s="58"/>
      <c r="J42" s="61"/>
      <c r="O42" s="588" t="s">
        <v>314</v>
      </c>
    </row>
    <row r="43" spans="1:18" ht="15" customHeight="1" x14ac:dyDescent="0.25">
      <c r="A43" s="39"/>
      <c r="B43" s="39"/>
      <c r="C43" s="39"/>
      <c r="D43" s="39"/>
      <c r="E43" s="39"/>
      <c r="F43" s="39"/>
      <c r="G43" s="39"/>
      <c r="H43" s="39"/>
      <c r="I43" s="58"/>
      <c r="O43" s="589"/>
    </row>
    <row r="44" spans="1:18" ht="15" customHeight="1" x14ac:dyDescent="0.25">
      <c r="A44" s="39"/>
      <c r="B44" s="39"/>
      <c r="C44" s="39"/>
      <c r="D44" s="39"/>
      <c r="E44" s="39"/>
      <c r="F44" s="39"/>
      <c r="G44" s="39"/>
      <c r="H44" s="39"/>
      <c r="I44" s="58"/>
      <c r="O44" s="589"/>
    </row>
    <row r="45" spans="1:18" ht="15" customHeight="1" x14ac:dyDescent="0.25">
      <c r="A45" s="39"/>
      <c r="B45" s="39"/>
      <c r="C45" s="39"/>
      <c r="D45" s="39"/>
      <c r="E45" s="39"/>
      <c r="F45" s="39"/>
      <c r="G45" s="39"/>
      <c r="H45" s="39"/>
      <c r="I45" s="58"/>
      <c r="O45" s="589"/>
    </row>
    <row r="46" spans="1:18" ht="15" customHeight="1" x14ac:dyDescent="0.25">
      <c r="A46" s="39"/>
      <c r="B46" s="39"/>
      <c r="C46" s="39"/>
      <c r="D46" s="39"/>
      <c r="E46" s="39"/>
      <c r="F46" s="39"/>
      <c r="G46" s="39"/>
      <c r="H46" s="39"/>
      <c r="I46" s="58"/>
      <c r="O46" s="589"/>
    </row>
    <row r="47" spans="1:18" ht="15" customHeight="1" x14ac:dyDescent="0.25">
      <c r="A47" s="39"/>
      <c r="B47" s="39"/>
      <c r="C47" s="39"/>
      <c r="D47" s="39"/>
      <c r="E47" s="39"/>
      <c r="F47" s="39"/>
      <c r="G47" s="39"/>
      <c r="H47" s="39"/>
      <c r="I47" s="58"/>
      <c r="O47" s="590"/>
    </row>
    <row r="48" spans="1:18" ht="15" customHeight="1" x14ac:dyDescent="0.25">
      <c r="A48" s="39"/>
      <c r="B48" s="39"/>
      <c r="C48" s="39"/>
      <c r="D48" s="39"/>
      <c r="E48" s="39"/>
      <c r="F48" s="39"/>
      <c r="G48" s="39"/>
      <c r="H48" s="39"/>
      <c r="I48" s="58"/>
      <c r="O48" s="588" t="s">
        <v>315</v>
      </c>
    </row>
    <row r="49" spans="1:15" ht="15" customHeight="1" x14ac:dyDescent="0.25">
      <c r="A49" s="39"/>
      <c r="B49" s="39"/>
      <c r="C49" s="39"/>
      <c r="D49" s="39"/>
      <c r="E49" s="39"/>
      <c r="F49" s="39"/>
      <c r="G49" s="39"/>
      <c r="H49" s="39"/>
      <c r="I49" s="58"/>
      <c r="O49" s="589"/>
    </row>
    <row r="50" spans="1:15" ht="15" customHeight="1" x14ac:dyDescent="0.25">
      <c r="A50" s="39"/>
      <c r="B50" s="39"/>
      <c r="C50" s="39"/>
      <c r="D50" s="39"/>
      <c r="E50" s="39"/>
      <c r="F50" s="39"/>
      <c r="G50" s="39"/>
      <c r="H50" s="39"/>
      <c r="I50" s="58"/>
      <c r="O50" s="589"/>
    </row>
    <row r="51" spans="1:15" ht="15" customHeight="1" x14ac:dyDescent="0.25">
      <c r="A51" s="39"/>
      <c r="B51" s="39"/>
      <c r="C51" s="39"/>
      <c r="D51" s="39"/>
      <c r="E51" s="39"/>
      <c r="F51" s="39"/>
      <c r="G51" s="39"/>
      <c r="H51" s="39"/>
      <c r="I51" s="58"/>
      <c r="O51" s="589"/>
    </row>
    <row r="52" spans="1:15" ht="15" customHeight="1" x14ac:dyDescent="0.25">
      <c r="A52" s="39"/>
      <c r="B52" s="39"/>
      <c r="C52" s="39"/>
      <c r="D52" s="39"/>
      <c r="E52" s="39"/>
      <c r="F52" s="39"/>
      <c r="G52" s="39"/>
      <c r="H52" s="39"/>
      <c r="I52" s="58"/>
      <c r="O52" s="590"/>
    </row>
    <row r="53" spans="1:15" ht="15" customHeight="1" x14ac:dyDescent="0.25">
      <c r="A53" s="39"/>
      <c r="B53" s="39"/>
      <c r="C53" s="39"/>
      <c r="D53" s="39"/>
      <c r="E53" s="39"/>
      <c r="F53" s="39"/>
      <c r="G53" s="39"/>
      <c r="H53" s="39"/>
      <c r="I53" s="58"/>
      <c r="O53" s="322" t="s">
        <v>316</v>
      </c>
    </row>
    <row r="54" spans="1:15" ht="15" customHeight="1" x14ac:dyDescent="0.25">
      <c r="A54" s="39"/>
      <c r="B54" s="39"/>
      <c r="C54" s="39"/>
      <c r="D54" s="39"/>
      <c r="E54" s="39"/>
      <c r="F54" s="39"/>
      <c r="G54" s="39"/>
      <c r="H54" s="39"/>
      <c r="I54" s="58"/>
      <c r="O54" s="330"/>
    </row>
    <row r="55" spans="1:15" ht="15" customHeight="1" x14ac:dyDescent="0.25">
      <c r="A55" s="39"/>
      <c r="B55" s="39"/>
      <c r="C55" s="39"/>
      <c r="D55" s="39"/>
      <c r="E55" s="39"/>
      <c r="F55" s="39"/>
      <c r="G55" s="39"/>
      <c r="H55" s="39"/>
      <c r="I55" s="58"/>
      <c r="O55" s="330"/>
    </row>
    <row r="56" spans="1:15" ht="15" customHeight="1" x14ac:dyDescent="0.25">
      <c r="A56" s="39"/>
      <c r="B56" s="39"/>
      <c r="C56" s="39"/>
      <c r="D56" s="39"/>
      <c r="E56" s="39"/>
      <c r="F56" s="39"/>
      <c r="G56" s="39"/>
      <c r="H56" s="39"/>
      <c r="I56" s="58"/>
    </row>
    <row r="57" spans="1:15" ht="15" customHeight="1" x14ac:dyDescent="0.25">
      <c r="A57" s="39"/>
      <c r="B57" s="39"/>
      <c r="C57" s="39"/>
      <c r="D57" s="39"/>
      <c r="E57" s="39"/>
      <c r="F57" s="39"/>
      <c r="G57" s="39"/>
      <c r="H57" s="39"/>
      <c r="I57" s="58"/>
      <c r="O57" s="633" t="s">
        <v>317</v>
      </c>
    </row>
    <row r="58" spans="1:15" ht="15" customHeight="1" x14ac:dyDescent="0.25">
      <c r="A58" s="39"/>
      <c r="B58" s="39"/>
      <c r="C58" s="39"/>
      <c r="D58" s="39"/>
      <c r="E58" s="39"/>
      <c r="F58" s="39"/>
      <c r="G58" s="39"/>
      <c r="H58" s="39"/>
      <c r="I58" s="58"/>
      <c r="O58" s="634"/>
    </row>
    <row r="59" spans="1:15" ht="15" customHeight="1" x14ac:dyDescent="0.25">
      <c r="A59" s="42"/>
      <c r="B59" s="39"/>
      <c r="C59" s="39"/>
      <c r="D59" s="39"/>
      <c r="E59" s="39"/>
      <c r="F59" s="39"/>
      <c r="G59" s="39"/>
      <c r="H59" s="39"/>
      <c r="I59" s="58"/>
      <c r="O59" s="634"/>
    </row>
    <row r="60" spans="1:15" ht="15" customHeight="1" x14ac:dyDescent="0.25">
      <c r="A60" s="39"/>
      <c r="B60" s="39"/>
      <c r="C60" s="39"/>
      <c r="D60" s="39"/>
      <c r="E60" s="39"/>
      <c r="F60" s="39"/>
      <c r="G60" s="39"/>
      <c r="H60" s="39"/>
      <c r="I60" s="58"/>
      <c r="O60" s="47" t="s">
        <v>318</v>
      </c>
    </row>
    <row r="61" spans="1:15" ht="15" customHeight="1" x14ac:dyDescent="0.25">
      <c r="A61" s="39"/>
      <c r="B61" s="39"/>
      <c r="C61" s="39"/>
      <c r="D61" s="39"/>
      <c r="E61" s="39"/>
      <c r="F61" s="39"/>
      <c r="G61" s="39"/>
      <c r="H61" s="39"/>
      <c r="I61" s="58"/>
      <c r="O61" s="47" t="s">
        <v>319</v>
      </c>
    </row>
    <row r="62" spans="1:15" ht="15" customHeight="1" x14ac:dyDescent="0.25">
      <c r="A62" s="39"/>
      <c r="B62" s="39"/>
      <c r="C62" s="39"/>
      <c r="D62" s="39"/>
      <c r="E62" s="39"/>
      <c r="F62" s="39"/>
      <c r="G62" s="39"/>
      <c r="H62" s="39"/>
      <c r="I62" s="58"/>
      <c r="O62" s="323" t="s">
        <v>320</v>
      </c>
    </row>
    <row r="63" spans="1:15" ht="15" customHeight="1" x14ac:dyDescent="0.25">
      <c r="A63" s="39"/>
      <c r="B63" s="39"/>
      <c r="C63" s="39"/>
      <c r="D63" s="39"/>
      <c r="E63" s="39"/>
      <c r="F63" s="39"/>
      <c r="G63" s="39"/>
      <c r="H63" s="39"/>
      <c r="I63" s="58"/>
      <c r="O63" s="323" t="s">
        <v>321</v>
      </c>
    </row>
    <row r="64" spans="1:15" ht="15" customHeight="1" x14ac:dyDescent="0.25">
      <c r="A64" s="39"/>
      <c r="B64" s="39"/>
      <c r="C64" s="39"/>
      <c r="D64" s="39"/>
      <c r="E64" s="39"/>
      <c r="F64" s="39"/>
      <c r="G64" s="39"/>
      <c r="H64" s="39"/>
      <c r="I64" s="58"/>
      <c r="O64" s="323" t="s">
        <v>322</v>
      </c>
    </row>
    <row r="65" spans="1:9" ht="15" customHeight="1" x14ac:dyDescent="0.25">
      <c r="A65" s="39"/>
      <c r="B65" s="39"/>
      <c r="C65" s="39"/>
      <c r="D65" s="39"/>
      <c r="E65" s="39"/>
      <c r="F65" s="39"/>
      <c r="G65" s="39"/>
      <c r="H65" s="39"/>
      <c r="I65" s="58"/>
    </row>
    <row r="66" spans="1:9" ht="15" customHeight="1" x14ac:dyDescent="0.25">
      <c r="A66" s="39"/>
      <c r="B66" s="39"/>
      <c r="C66" s="39"/>
      <c r="D66" s="39"/>
      <c r="E66" s="39"/>
      <c r="F66" s="39"/>
      <c r="G66" s="39"/>
      <c r="H66" s="39"/>
      <c r="I66" s="58"/>
    </row>
    <row r="67" spans="1:9" ht="15" customHeight="1" x14ac:dyDescent="0.25">
      <c r="A67" s="39"/>
      <c r="B67" s="39"/>
      <c r="C67" s="39"/>
      <c r="D67" s="39"/>
      <c r="E67" s="39"/>
      <c r="F67" s="39"/>
      <c r="G67" s="39"/>
      <c r="H67" s="39"/>
      <c r="I67" s="58"/>
    </row>
    <row r="68" spans="1:9" ht="15" customHeight="1" x14ac:dyDescent="0.25">
      <c r="A68" s="42"/>
      <c r="B68" s="39"/>
      <c r="C68" s="39"/>
      <c r="D68" s="39"/>
      <c r="E68" s="39"/>
      <c r="F68" s="39"/>
      <c r="G68" s="39"/>
      <c r="H68" s="39"/>
      <c r="I68" s="58"/>
    </row>
    <row r="69" spans="1:9" ht="15" customHeight="1" x14ac:dyDescent="0.25">
      <c r="A69" s="39"/>
      <c r="B69" s="43"/>
      <c r="C69" s="43"/>
      <c r="D69" s="43"/>
      <c r="E69" s="43"/>
      <c r="F69" s="43"/>
      <c r="G69" s="43"/>
      <c r="H69" s="43"/>
      <c r="I69" s="545"/>
    </row>
    <row r="70" spans="1:9" ht="15" customHeight="1" x14ac:dyDescent="0.25">
      <c r="A70" s="42"/>
      <c r="B70" s="39"/>
      <c r="C70" s="39"/>
      <c r="D70" s="39"/>
      <c r="E70" s="39"/>
      <c r="F70" s="39"/>
      <c r="G70" s="39"/>
      <c r="H70" s="39"/>
      <c r="I70" s="58"/>
    </row>
    <row r="71" spans="1:9" ht="15" customHeight="1" x14ac:dyDescent="0.25">
      <c r="A71" s="39"/>
      <c r="B71" s="39"/>
      <c r="C71" s="39"/>
      <c r="D71" s="39"/>
      <c r="E71" s="39"/>
      <c r="F71" s="39"/>
      <c r="G71" s="39"/>
      <c r="H71" s="39"/>
      <c r="I71" s="58"/>
    </row>
    <row r="72" spans="1:9" ht="15" customHeight="1" x14ac:dyDescent="0.25">
      <c r="A72" s="39"/>
      <c r="B72" s="39"/>
      <c r="C72" s="39"/>
      <c r="D72" s="39"/>
      <c r="E72" s="39"/>
      <c r="F72" s="39"/>
      <c r="G72" s="39"/>
      <c r="H72" s="39"/>
      <c r="I72" s="58"/>
    </row>
    <row r="73" spans="1:9" ht="15" customHeight="1" x14ac:dyDescent="0.25">
      <c r="A73" s="39"/>
      <c r="B73" s="39"/>
      <c r="C73" s="39"/>
      <c r="D73" s="39"/>
      <c r="E73" s="39"/>
      <c r="F73" s="39"/>
      <c r="G73" s="39"/>
      <c r="H73" s="39"/>
      <c r="I73" s="58"/>
    </row>
    <row r="74" spans="1:9" ht="15" customHeight="1" x14ac:dyDescent="0.25">
      <c r="A74" s="39"/>
      <c r="B74" s="39"/>
      <c r="C74" s="39"/>
      <c r="D74" s="39"/>
      <c r="E74" s="39"/>
      <c r="F74" s="39"/>
      <c r="G74" s="39"/>
      <c r="H74" s="39"/>
      <c r="I74" s="58"/>
    </row>
    <row r="75" spans="1:9" ht="15" customHeight="1" x14ac:dyDescent="0.25">
      <c r="A75" s="39"/>
      <c r="B75" s="39"/>
      <c r="C75" s="39"/>
      <c r="D75" s="39"/>
      <c r="E75" s="39"/>
      <c r="F75" s="39"/>
      <c r="G75" s="39"/>
      <c r="H75" s="39"/>
      <c r="I75" s="58"/>
    </row>
    <row r="76" spans="1:9" ht="15" customHeight="1" x14ac:dyDescent="0.25">
      <c r="A76" s="39"/>
      <c r="B76" s="39"/>
      <c r="C76" s="39"/>
      <c r="D76" s="39"/>
      <c r="E76" s="39"/>
      <c r="F76" s="39"/>
      <c r="G76" s="39"/>
      <c r="H76" s="39"/>
      <c r="I76" s="58"/>
    </row>
    <row r="77" spans="1:9" ht="15" customHeight="1" x14ac:dyDescent="0.25">
      <c r="A77" s="39"/>
      <c r="B77" s="39"/>
      <c r="C77" s="39"/>
      <c r="D77" s="39"/>
      <c r="E77" s="39"/>
      <c r="F77" s="39"/>
      <c r="G77" s="39"/>
      <c r="H77" s="39"/>
      <c r="I77" s="58"/>
    </row>
    <row r="78" spans="1:9" ht="15" customHeight="1" x14ac:dyDescent="0.25">
      <c r="A78" s="39"/>
      <c r="B78" s="39"/>
      <c r="C78" s="39"/>
      <c r="D78" s="39"/>
      <c r="E78" s="39"/>
      <c r="F78" s="39"/>
      <c r="G78" s="39"/>
      <c r="H78" s="39"/>
      <c r="I78" s="58"/>
    </row>
    <row r="79" spans="1:9" ht="15" customHeight="1" x14ac:dyDescent="0.25">
      <c r="A79" s="39"/>
      <c r="B79" s="39"/>
      <c r="C79" s="39"/>
      <c r="D79" s="39"/>
      <c r="E79" s="39"/>
      <c r="F79" s="39"/>
      <c r="G79" s="39"/>
      <c r="H79" s="39"/>
      <c r="I79" s="58"/>
    </row>
    <row r="80" spans="1:9" ht="15" customHeight="1" x14ac:dyDescent="0.25">
      <c r="A80" s="39"/>
      <c r="B80" s="39"/>
      <c r="C80" s="39"/>
      <c r="D80" s="39"/>
      <c r="E80" s="39"/>
      <c r="F80" s="39"/>
      <c r="G80" s="39"/>
      <c r="H80" s="39"/>
      <c r="I80" s="58"/>
    </row>
    <row r="81" spans="1:9" ht="15" customHeight="1" x14ac:dyDescent="0.25">
      <c r="A81" s="39"/>
      <c r="B81" s="39"/>
      <c r="C81" s="39"/>
      <c r="D81" s="39"/>
      <c r="E81" s="39"/>
      <c r="F81" s="39"/>
      <c r="G81" s="39"/>
      <c r="H81" s="39"/>
      <c r="I81" s="58"/>
    </row>
    <row r="82" spans="1:9" ht="15" customHeight="1" x14ac:dyDescent="0.25">
      <c r="A82" s="39"/>
      <c r="B82" s="39"/>
      <c r="C82" s="39"/>
      <c r="D82" s="39"/>
      <c r="E82" s="39"/>
      <c r="F82" s="39"/>
      <c r="G82" s="39"/>
      <c r="H82" s="39"/>
      <c r="I82" s="58"/>
    </row>
    <row r="83" spans="1:9" ht="15" customHeight="1" x14ac:dyDescent="0.25">
      <c r="A83" s="39"/>
      <c r="B83" s="39"/>
      <c r="C83" s="39"/>
      <c r="D83" s="39"/>
      <c r="E83" s="39"/>
      <c r="F83" s="39"/>
      <c r="G83" s="39"/>
      <c r="H83" s="39"/>
      <c r="I83" s="58"/>
    </row>
    <row r="84" spans="1:9" ht="15" customHeight="1" x14ac:dyDescent="0.25">
      <c r="A84" s="39"/>
      <c r="B84" s="39"/>
      <c r="C84" s="39"/>
      <c r="D84" s="39"/>
      <c r="E84" s="39"/>
      <c r="F84" s="39"/>
      <c r="G84" s="39"/>
      <c r="H84" s="39"/>
      <c r="I84" s="58"/>
    </row>
    <row r="85" spans="1:9" ht="15" customHeight="1" x14ac:dyDescent="0.25">
      <c r="A85" s="39"/>
      <c r="B85" s="39"/>
      <c r="C85" s="39"/>
      <c r="D85" s="39"/>
      <c r="E85" s="39"/>
      <c r="F85" s="39"/>
      <c r="G85" s="39"/>
      <c r="H85" s="39"/>
      <c r="I85" s="58"/>
    </row>
    <row r="86" spans="1:9" ht="15" customHeight="1" x14ac:dyDescent="0.25">
      <c r="A86" s="39"/>
      <c r="B86" s="39"/>
      <c r="C86" s="39"/>
      <c r="D86" s="39"/>
      <c r="E86" s="39"/>
      <c r="F86" s="39"/>
      <c r="G86" s="39"/>
      <c r="H86" s="39"/>
      <c r="I86" s="58"/>
    </row>
    <row r="87" spans="1:9" ht="15" customHeight="1" x14ac:dyDescent="0.25">
      <c r="A87" s="42"/>
      <c r="B87" s="39"/>
      <c r="C87" s="39"/>
      <c r="D87" s="39"/>
      <c r="E87" s="39"/>
      <c r="F87" s="39"/>
      <c r="G87" s="39"/>
      <c r="H87" s="39"/>
      <c r="I87" s="58"/>
    </row>
    <row r="88" spans="1:9" ht="15" customHeight="1" x14ac:dyDescent="0.25">
      <c r="A88" s="39"/>
      <c r="B88" s="39"/>
      <c r="C88" s="39"/>
      <c r="D88" s="39"/>
      <c r="E88" s="39"/>
      <c r="F88" s="39"/>
      <c r="G88" s="39"/>
      <c r="H88" s="39"/>
      <c r="I88" s="58"/>
    </row>
    <row r="89" spans="1:9" ht="15" customHeight="1" x14ac:dyDescent="0.25">
      <c r="A89" s="39"/>
      <c r="B89" s="39"/>
      <c r="C89" s="39"/>
      <c r="D89" s="39"/>
      <c r="E89" s="39"/>
      <c r="F89" s="39"/>
      <c r="G89" s="39"/>
      <c r="H89" s="39"/>
      <c r="I89" s="58"/>
    </row>
    <row r="90" spans="1:9" ht="15" customHeight="1" x14ac:dyDescent="0.25">
      <c r="A90" s="39"/>
      <c r="B90" s="39"/>
      <c r="C90" s="39"/>
      <c r="D90" s="39"/>
      <c r="E90" s="39"/>
      <c r="F90" s="39"/>
      <c r="G90" s="39"/>
      <c r="H90" s="39"/>
      <c r="I90" s="58"/>
    </row>
    <row r="91" spans="1:9" ht="15" customHeight="1" x14ac:dyDescent="0.25">
      <c r="A91" s="39"/>
      <c r="B91" s="39"/>
      <c r="C91" s="39"/>
      <c r="D91" s="39"/>
      <c r="E91" s="39"/>
      <c r="F91" s="39"/>
      <c r="G91" s="39"/>
      <c r="H91" s="39"/>
      <c r="I91" s="58"/>
    </row>
    <row r="92" spans="1:9" ht="15" customHeight="1" x14ac:dyDescent="0.25">
      <c r="A92" s="39"/>
      <c r="B92" s="39"/>
      <c r="C92" s="39"/>
      <c r="D92" s="39"/>
      <c r="E92" s="39"/>
      <c r="F92" s="39"/>
      <c r="G92" s="39"/>
      <c r="H92" s="39"/>
      <c r="I92" s="58"/>
    </row>
    <row r="93" spans="1:9" ht="15" customHeight="1" x14ac:dyDescent="0.25">
      <c r="A93" s="39"/>
      <c r="B93" s="39"/>
      <c r="C93" s="39"/>
      <c r="D93" s="39"/>
      <c r="E93" s="39"/>
      <c r="F93" s="39"/>
      <c r="G93" s="39"/>
      <c r="H93" s="39"/>
      <c r="I93" s="58"/>
    </row>
    <row r="94" spans="1:9" ht="15" customHeight="1" x14ac:dyDescent="0.25">
      <c r="A94" s="39"/>
      <c r="B94" s="39"/>
      <c r="C94" s="39"/>
      <c r="D94" s="39"/>
      <c r="E94" s="39"/>
      <c r="F94" s="39"/>
      <c r="G94" s="39"/>
      <c r="H94" s="39"/>
      <c r="I94" s="58"/>
    </row>
    <row r="95" spans="1:9" ht="15" customHeight="1" x14ac:dyDescent="0.25">
      <c r="A95" s="39"/>
      <c r="B95" s="39"/>
      <c r="C95" s="39"/>
      <c r="D95" s="39"/>
      <c r="E95" s="39"/>
      <c r="F95" s="39"/>
      <c r="G95" s="39"/>
      <c r="H95" s="39"/>
      <c r="I95" s="58"/>
    </row>
    <row r="96" spans="1:9" ht="15" customHeight="1" x14ac:dyDescent="0.25">
      <c r="A96" s="42"/>
      <c r="B96" s="39"/>
      <c r="C96" s="39"/>
      <c r="D96" s="39"/>
      <c r="E96" s="39"/>
      <c r="F96" s="39"/>
      <c r="G96" s="39"/>
      <c r="H96" s="39"/>
      <c r="I96" s="58"/>
    </row>
    <row r="97" spans="1:9" ht="15" customHeight="1" x14ac:dyDescent="0.25">
      <c r="A97" s="39"/>
      <c r="B97" s="43"/>
      <c r="C97" s="43"/>
      <c r="D97" s="43"/>
      <c r="E97" s="43"/>
      <c r="F97" s="43"/>
      <c r="G97" s="43"/>
      <c r="H97" s="43"/>
      <c r="I97" s="545"/>
    </row>
    <row r="98" spans="1:9" ht="15" customHeight="1" x14ac:dyDescent="0.25">
      <c r="A98" s="42"/>
      <c r="B98" s="39"/>
      <c r="C98" s="39"/>
      <c r="D98" s="39"/>
      <c r="E98" s="39"/>
      <c r="F98" s="39"/>
      <c r="G98" s="39"/>
      <c r="H98" s="39"/>
      <c r="I98" s="58"/>
    </row>
    <row r="99" spans="1:9" ht="15" customHeight="1" x14ac:dyDescent="0.25">
      <c r="A99" s="39"/>
      <c r="B99" s="39"/>
      <c r="C99" s="39"/>
      <c r="D99" s="39"/>
      <c r="E99" s="39"/>
      <c r="F99" s="39"/>
      <c r="G99" s="39"/>
      <c r="H99" s="39"/>
      <c r="I99" s="58"/>
    </row>
    <row r="100" spans="1:9" ht="15" customHeight="1" x14ac:dyDescent="0.25">
      <c r="A100" s="39"/>
      <c r="B100" s="39"/>
      <c r="C100" s="39"/>
      <c r="D100" s="39"/>
      <c r="E100" s="39"/>
      <c r="F100" s="39"/>
      <c r="G100" s="39"/>
      <c r="H100" s="39"/>
      <c r="I100" s="58"/>
    </row>
    <row r="101" spans="1:9" ht="15" customHeight="1" x14ac:dyDescent="0.25">
      <c r="A101" s="39"/>
      <c r="B101" s="39"/>
      <c r="C101" s="39"/>
      <c r="D101" s="39"/>
      <c r="E101" s="39"/>
      <c r="F101" s="39"/>
      <c r="G101" s="39"/>
      <c r="H101" s="39"/>
      <c r="I101" s="58"/>
    </row>
    <row r="102" spans="1:9" ht="15" customHeight="1" x14ac:dyDescent="0.25">
      <c r="A102" s="39"/>
      <c r="B102" s="39"/>
      <c r="C102" s="39"/>
      <c r="D102" s="39"/>
      <c r="E102" s="39"/>
      <c r="F102" s="39"/>
      <c r="G102" s="39"/>
      <c r="H102" s="39"/>
      <c r="I102" s="58"/>
    </row>
    <row r="103" spans="1:9" ht="15" customHeight="1" x14ac:dyDescent="0.25">
      <c r="A103" s="39"/>
      <c r="B103" s="39"/>
      <c r="C103" s="39"/>
      <c r="D103" s="39"/>
      <c r="E103" s="39"/>
      <c r="F103" s="39"/>
      <c r="G103" s="39"/>
      <c r="H103" s="39"/>
      <c r="I103" s="58"/>
    </row>
    <row r="104" spans="1:9" ht="15" customHeight="1" x14ac:dyDescent="0.25">
      <c r="A104" s="39"/>
      <c r="B104" s="39"/>
      <c r="C104" s="39"/>
      <c r="D104" s="39"/>
      <c r="E104" s="39"/>
      <c r="F104" s="39"/>
      <c r="G104" s="39"/>
      <c r="H104" s="39"/>
      <c r="I104" s="58"/>
    </row>
    <row r="105" spans="1:9" ht="15" customHeight="1" x14ac:dyDescent="0.25">
      <c r="A105" s="39"/>
      <c r="B105" s="39"/>
      <c r="C105" s="39"/>
      <c r="D105" s="39"/>
      <c r="E105" s="39"/>
      <c r="F105" s="39"/>
      <c r="G105" s="39"/>
      <c r="H105" s="39"/>
      <c r="I105" s="58"/>
    </row>
    <row r="106" spans="1:9" ht="15" customHeight="1" x14ac:dyDescent="0.25">
      <c r="A106" s="39"/>
      <c r="B106" s="39"/>
      <c r="C106" s="39"/>
      <c r="D106" s="39"/>
      <c r="E106" s="39"/>
      <c r="F106" s="39"/>
      <c r="G106" s="39"/>
      <c r="H106" s="39"/>
      <c r="I106" s="58"/>
    </row>
    <row r="107" spans="1:9" ht="15" customHeight="1" x14ac:dyDescent="0.25">
      <c r="A107" s="39"/>
      <c r="B107" s="39"/>
      <c r="C107" s="39"/>
      <c r="D107" s="39"/>
      <c r="E107" s="39"/>
      <c r="F107" s="39"/>
      <c r="G107" s="39"/>
      <c r="H107" s="39"/>
      <c r="I107" s="58"/>
    </row>
    <row r="108" spans="1:9" ht="15" customHeight="1" x14ac:dyDescent="0.25">
      <c r="A108" s="39"/>
      <c r="B108" s="39"/>
      <c r="C108" s="39"/>
      <c r="D108" s="39"/>
      <c r="E108" s="39"/>
      <c r="F108" s="39"/>
      <c r="G108" s="39"/>
      <c r="H108" s="39"/>
      <c r="I108" s="58"/>
    </row>
    <row r="109" spans="1:9" ht="15" customHeight="1" x14ac:dyDescent="0.25">
      <c r="A109" s="39"/>
      <c r="B109" s="39"/>
      <c r="C109" s="39"/>
      <c r="D109" s="39"/>
      <c r="E109" s="39"/>
      <c r="F109" s="39"/>
      <c r="G109" s="39"/>
      <c r="H109" s="39"/>
      <c r="I109" s="58"/>
    </row>
    <row r="110" spans="1:9" ht="15" customHeight="1" x14ac:dyDescent="0.25">
      <c r="A110" s="39"/>
      <c r="B110" s="39"/>
      <c r="C110" s="39"/>
      <c r="D110" s="39"/>
      <c r="E110" s="39"/>
      <c r="F110" s="39"/>
      <c r="G110" s="39"/>
      <c r="H110" s="39"/>
      <c r="I110" s="58"/>
    </row>
    <row r="111" spans="1:9" ht="15" customHeight="1" x14ac:dyDescent="0.25">
      <c r="A111" s="39"/>
      <c r="B111" s="39"/>
      <c r="C111" s="39"/>
      <c r="D111" s="39"/>
      <c r="E111" s="39"/>
      <c r="F111" s="39"/>
      <c r="G111" s="39"/>
      <c r="H111" s="39"/>
      <c r="I111" s="58"/>
    </row>
    <row r="112" spans="1:9" ht="15" customHeight="1" x14ac:dyDescent="0.25">
      <c r="A112" s="39"/>
      <c r="B112" s="39"/>
      <c r="C112" s="39"/>
      <c r="D112" s="39"/>
      <c r="E112" s="39"/>
      <c r="F112" s="39"/>
      <c r="G112" s="39"/>
      <c r="H112" s="39"/>
      <c r="I112" s="58"/>
    </row>
    <row r="113" spans="1:9" ht="15" customHeight="1" x14ac:dyDescent="0.25">
      <c r="A113" s="39"/>
      <c r="B113" s="39"/>
      <c r="C113" s="39"/>
      <c r="D113" s="39"/>
      <c r="E113" s="39"/>
      <c r="F113" s="39"/>
      <c r="G113" s="39"/>
      <c r="H113" s="39"/>
      <c r="I113" s="58"/>
    </row>
    <row r="114" spans="1:9" ht="15" customHeight="1" x14ac:dyDescent="0.25">
      <c r="A114" s="39"/>
      <c r="B114" s="39"/>
      <c r="C114" s="39"/>
      <c r="D114" s="39"/>
      <c r="E114" s="39"/>
      <c r="F114" s="39"/>
      <c r="G114" s="39"/>
      <c r="H114" s="39"/>
      <c r="I114" s="58"/>
    </row>
    <row r="115" spans="1:9" ht="15" customHeight="1" x14ac:dyDescent="0.25">
      <c r="A115" s="42"/>
      <c r="B115" s="39"/>
      <c r="C115" s="39"/>
      <c r="D115" s="39"/>
      <c r="E115" s="39"/>
      <c r="F115" s="39"/>
      <c r="G115" s="39"/>
      <c r="H115" s="39"/>
      <c r="I115" s="58"/>
    </row>
    <row r="116" spans="1:9" ht="15" customHeight="1" x14ac:dyDescent="0.25">
      <c r="A116" s="39"/>
      <c r="B116" s="39"/>
      <c r="C116" s="39"/>
      <c r="D116" s="39"/>
      <c r="E116" s="39"/>
      <c r="F116" s="39"/>
      <c r="G116" s="39"/>
      <c r="H116" s="39"/>
      <c r="I116" s="58"/>
    </row>
    <row r="117" spans="1:9" ht="15" customHeight="1" x14ac:dyDescent="0.25">
      <c r="A117" s="39"/>
      <c r="B117" s="39"/>
      <c r="C117" s="39"/>
      <c r="D117" s="39"/>
      <c r="E117" s="39"/>
      <c r="F117" s="39"/>
      <c r="G117" s="39"/>
      <c r="H117" s="39"/>
      <c r="I117" s="58"/>
    </row>
    <row r="118" spans="1:9" ht="15" customHeight="1" x14ac:dyDescent="0.25">
      <c r="A118" s="39"/>
      <c r="B118" s="39"/>
      <c r="C118" s="39"/>
      <c r="D118" s="39"/>
      <c r="E118" s="39"/>
      <c r="F118" s="39"/>
      <c r="G118" s="39"/>
      <c r="H118" s="39"/>
      <c r="I118" s="58"/>
    </row>
    <row r="119" spans="1:9" ht="15" customHeight="1" x14ac:dyDescent="0.25">
      <c r="A119" s="39"/>
      <c r="B119" s="39"/>
      <c r="C119" s="39"/>
      <c r="D119" s="39"/>
      <c r="E119" s="39"/>
      <c r="F119" s="39"/>
      <c r="G119" s="39"/>
      <c r="H119" s="39"/>
      <c r="I119" s="58"/>
    </row>
    <row r="120" spans="1:9" ht="15" customHeight="1" x14ac:dyDescent="0.25">
      <c r="A120" s="39"/>
      <c r="B120" s="39"/>
      <c r="C120" s="39"/>
      <c r="D120" s="39"/>
      <c r="E120" s="39"/>
      <c r="F120" s="39"/>
      <c r="G120" s="39"/>
      <c r="H120" s="39"/>
      <c r="I120" s="58"/>
    </row>
    <row r="121" spans="1:9" ht="15" customHeight="1" x14ac:dyDescent="0.25">
      <c r="A121" s="39"/>
      <c r="B121" s="39"/>
      <c r="C121" s="39"/>
      <c r="D121" s="39"/>
      <c r="E121" s="39"/>
      <c r="F121" s="39"/>
      <c r="G121" s="39"/>
      <c r="H121" s="39"/>
      <c r="I121" s="58"/>
    </row>
    <row r="122" spans="1:9" ht="15" customHeight="1" x14ac:dyDescent="0.25">
      <c r="A122" s="39"/>
      <c r="B122" s="39"/>
      <c r="C122" s="39"/>
      <c r="D122" s="39"/>
      <c r="E122" s="39"/>
      <c r="F122" s="39"/>
      <c r="G122" s="39"/>
      <c r="H122" s="39"/>
      <c r="I122" s="58"/>
    </row>
    <row r="123" spans="1:9" ht="15" customHeight="1" x14ac:dyDescent="0.25">
      <c r="A123" s="39"/>
      <c r="B123" s="39"/>
      <c r="C123" s="39"/>
      <c r="D123" s="39"/>
      <c r="E123" s="39"/>
      <c r="F123" s="39"/>
      <c r="G123" s="39"/>
      <c r="H123" s="39"/>
      <c r="I123" s="58"/>
    </row>
    <row r="124" spans="1:9" ht="15" customHeight="1" x14ac:dyDescent="0.25">
      <c r="A124" s="42"/>
      <c r="B124" s="39"/>
      <c r="C124" s="39"/>
      <c r="D124" s="39"/>
      <c r="E124" s="39"/>
      <c r="F124" s="39"/>
      <c r="G124" s="39"/>
      <c r="H124" s="39"/>
      <c r="I124" s="58"/>
    </row>
    <row r="125" spans="1:9" ht="15" customHeight="1" x14ac:dyDescent="0.25">
      <c r="A125" s="39"/>
      <c r="B125" s="43"/>
      <c r="C125" s="43"/>
      <c r="D125" s="43"/>
      <c r="E125" s="43"/>
      <c r="F125" s="43"/>
      <c r="G125" s="43"/>
      <c r="H125" s="43"/>
      <c r="I125" s="545"/>
    </row>
    <row r="126" spans="1:9" ht="15" customHeight="1" x14ac:dyDescent="0.25">
      <c r="A126" s="42"/>
      <c r="B126" s="39"/>
      <c r="C126" s="39"/>
      <c r="D126" s="39"/>
      <c r="E126" s="39"/>
      <c r="F126" s="39"/>
      <c r="G126" s="39"/>
      <c r="H126" s="39"/>
      <c r="I126" s="58"/>
    </row>
    <row r="127" spans="1:9" ht="15" customHeight="1" x14ac:dyDescent="0.25">
      <c r="A127" s="39"/>
      <c r="B127" s="39"/>
      <c r="C127" s="39"/>
      <c r="D127" s="39"/>
      <c r="E127" s="39"/>
      <c r="F127" s="39"/>
      <c r="G127" s="39"/>
      <c r="H127" s="39"/>
      <c r="I127" s="58"/>
    </row>
    <row r="128" spans="1:9" ht="15" customHeight="1" x14ac:dyDescent="0.25">
      <c r="A128" s="39"/>
      <c r="B128" s="39"/>
      <c r="C128" s="39"/>
      <c r="D128" s="39"/>
      <c r="E128" s="39"/>
      <c r="F128" s="39"/>
      <c r="G128" s="39"/>
      <c r="H128" s="39"/>
      <c r="I128" s="58"/>
    </row>
    <row r="129" spans="1:9" ht="15" customHeight="1" x14ac:dyDescent="0.25">
      <c r="A129" s="39"/>
      <c r="B129" s="39"/>
      <c r="C129" s="39"/>
      <c r="D129" s="39"/>
      <c r="E129" s="39"/>
      <c r="F129" s="39"/>
      <c r="G129" s="39"/>
      <c r="H129" s="39"/>
      <c r="I129" s="58"/>
    </row>
    <row r="130" spans="1:9" ht="15" customHeight="1" x14ac:dyDescent="0.25">
      <c r="A130" s="39"/>
      <c r="B130" s="39"/>
      <c r="C130" s="39"/>
      <c r="D130" s="39"/>
      <c r="E130" s="39"/>
      <c r="F130" s="39"/>
      <c r="G130" s="39"/>
      <c r="H130" s="39"/>
      <c r="I130" s="58"/>
    </row>
    <row r="131" spans="1:9" ht="15" customHeight="1" x14ac:dyDescent="0.25">
      <c r="A131" s="39"/>
      <c r="B131" s="39"/>
      <c r="C131" s="39"/>
      <c r="D131" s="39"/>
      <c r="E131" s="39"/>
      <c r="F131" s="39"/>
      <c r="G131" s="39"/>
      <c r="H131" s="39"/>
      <c r="I131" s="58"/>
    </row>
    <row r="132" spans="1:9" ht="15" customHeight="1" x14ac:dyDescent="0.25">
      <c r="A132" s="39"/>
      <c r="B132" s="39"/>
      <c r="C132" s="39"/>
      <c r="D132" s="39"/>
      <c r="E132" s="39"/>
      <c r="F132" s="39"/>
      <c r="G132" s="39"/>
      <c r="H132" s="39"/>
      <c r="I132" s="58"/>
    </row>
    <row r="133" spans="1:9" ht="15" customHeight="1" x14ac:dyDescent="0.25">
      <c r="A133" s="39"/>
      <c r="B133" s="39"/>
      <c r="C133" s="39"/>
      <c r="D133" s="39"/>
      <c r="E133" s="39"/>
      <c r="F133" s="39"/>
      <c r="G133" s="39"/>
      <c r="H133" s="39"/>
      <c r="I133" s="58"/>
    </row>
    <row r="134" spans="1:9" ht="15" customHeight="1" x14ac:dyDescent="0.25">
      <c r="A134" s="39"/>
      <c r="B134" s="39"/>
      <c r="C134" s="39"/>
      <c r="D134" s="39"/>
      <c r="E134" s="39"/>
      <c r="F134" s="39"/>
      <c r="G134" s="39"/>
      <c r="H134" s="39"/>
      <c r="I134" s="58"/>
    </row>
    <row r="135" spans="1:9" ht="15" customHeight="1" x14ac:dyDescent="0.25">
      <c r="A135" s="39"/>
      <c r="B135" s="39"/>
      <c r="C135" s="39"/>
      <c r="D135" s="39"/>
      <c r="E135" s="39"/>
      <c r="F135" s="39"/>
      <c r="G135" s="39"/>
      <c r="H135" s="39"/>
      <c r="I135" s="58"/>
    </row>
    <row r="136" spans="1:9" ht="15" customHeight="1" x14ac:dyDescent="0.25">
      <c r="A136" s="39"/>
      <c r="B136" s="39"/>
      <c r="C136" s="39"/>
      <c r="D136" s="39"/>
      <c r="E136" s="39"/>
      <c r="F136" s="39"/>
      <c r="G136" s="39"/>
      <c r="H136" s="39"/>
      <c r="I136" s="58"/>
    </row>
    <row r="137" spans="1:9" ht="15" customHeight="1" x14ac:dyDescent="0.25">
      <c r="A137" s="39"/>
      <c r="B137" s="39"/>
      <c r="C137" s="39"/>
      <c r="D137" s="39"/>
      <c r="E137" s="39"/>
      <c r="F137" s="39"/>
      <c r="G137" s="39"/>
      <c r="H137" s="39"/>
      <c r="I137" s="58"/>
    </row>
    <row r="138" spans="1:9" ht="15" customHeight="1" x14ac:dyDescent="0.25">
      <c r="A138" s="39"/>
      <c r="B138" s="39"/>
      <c r="C138" s="39"/>
      <c r="D138" s="39"/>
      <c r="E138" s="39"/>
      <c r="F138" s="39"/>
      <c r="G138" s="39"/>
      <c r="H138" s="39"/>
      <c r="I138" s="58"/>
    </row>
    <row r="139" spans="1:9" ht="15" customHeight="1" x14ac:dyDescent="0.25">
      <c r="A139" s="39"/>
      <c r="B139" s="39"/>
      <c r="C139" s="39"/>
      <c r="D139" s="39"/>
      <c r="E139" s="39"/>
      <c r="F139" s="39"/>
      <c r="G139" s="39"/>
      <c r="H139" s="39"/>
      <c r="I139" s="58"/>
    </row>
    <row r="140" spans="1:9" ht="15" customHeight="1" x14ac:dyDescent="0.25">
      <c r="A140" s="39"/>
      <c r="B140" s="39"/>
      <c r="C140" s="39"/>
      <c r="D140" s="39"/>
      <c r="E140" s="39"/>
      <c r="F140" s="39"/>
      <c r="G140" s="39"/>
      <c r="H140" s="39"/>
      <c r="I140" s="58"/>
    </row>
    <row r="141" spans="1:9" ht="15" customHeight="1" x14ac:dyDescent="0.25">
      <c r="A141" s="39"/>
      <c r="B141" s="39"/>
      <c r="C141" s="39"/>
      <c r="D141" s="39"/>
      <c r="E141" s="39"/>
      <c r="F141" s="39"/>
      <c r="G141" s="39"/>
      <c r="H141" s="39"/>
      <c r="I141" s="58"/>
    </row>
    <row r="142" spans="1:9" ht="15" customHeight="1" x14ac:dyDescent="0.25">
      <c r="A142" s="39"/>
      <c r="B142" s="39"/>
      <c r="C142" s="39"/>
      <c r="D142" s="39"/>
      <c r="E142" s="39"/>
      <c r="F142" s="39"/>
      <c r="G142" s="39"/>
      <c r="H142" s="39"/>
      <c r="I142" s="58"/>
    </row>
    <row r="143" spans="1:9" ht="15" customHeight="1" x14ac:dyDescent="0.25">
      <c r="A143" s="42"/>
      <c r="B143" s="39"/>
      <c r="C143" s="39"/>
      <c r="D143" s="39"/>
      <c r="E143" s="39"/>
      <c r="F143" s="39"/>
      <c r="G143" s="39"/>
      <c r="H143" s="39"/>
      <c r="I143" s="58"/>
    </row>
    <row r="144" spans="1:9" ht="15" customHeight="1" x14ac:dyDescent="0.25">
      <c r="A144" s="39"/>
      <c r="B144" s="39"/>
      <c r="C144" s="39"/>
      <c r="D144" s="39"/>
      <c r="E144" s="39"/>
      <c r="F144" s="39"/>
      <c r="G144" s="39"/>
      <c r="H144" s="39"/>
      <c r="I144" s="58"/>
    </row>
    <row r="145" spans="1:9" ht="15" customHeight="1" x14ac:dyDescent="0.25">
      <c r="A145" s="39"/>
      <c r="B145" s="39"/>
      <c r="C145" s="39"/>
      <c r="D145" s="39"/>
      <c r="E145" s="39"/>
      <c r="F145" s="39"/>
      <c r="G145" s="39"/>
      <c r="H145" s="39"/>
      <c r="I145" s="58"/>
    </row>
    <row r="146" spans="1:9" ht="15" customHeight="1" x14ac:dyDescent="0.25">
      <c r="A146" s="39"/>
      <c r="B146" s="39"/>
      <c r="C146" s="39"/>
      <c r="D146" s="39"/>
      <c r="E146" s="39"/>
      <c r="F146" s="39"/>
      <c r="G146" s="39"/>
      <c r="H146" s="39"/>
      <c r="I146" s="58"/>
    </row>
    <row r="147" spans="1:9" ht="15" customHeight="1" x14ac:dyDescent="0.25">
      <c r="A147" s="39"/>
      <c r="B147" s="39"/>
      <c r="C147" s="39"/>
      <c r="D147" s="39"/>
      <c r="E147" s="39"/>
      <c r="F147" s="39"/>
      <c r="G147" s="39"/>
      <c r="H147" s="39"/>
      <c r="I147" s="58"/>
    </row>
    <row r="148" spans="1:9" ht="15" customHeight="1" x14ac:dyDescent="0.25">
      <c r="A148" s="39"/>
      <c r="B148" s="39"/>
      <c r="C148" s="39"/>
      <c r="D148" s="39"/>
      <c r="E148" s="39"/>
      <c r="F148" s="39"/>
      <c r="G148" s="39"/>
      <c r="H148" s="39"/>
      <c r="I148" s="58"/>
    </row>
    <row r="149" spans="1:9" ht="15" customHeight="1" x14ac:dyDescent="0.25">
      <c r="A149" s="39"/>
      <c r="B149" s="39"/>
      <c r="C149" s="39"/>
      <c r="D149" s="39"/>
      <c r="E149" s="39"/>
      <c r="F149" s="39"/>
      <c r="G149" s="39"/>
      <c r="H149" s="39"/>
      <c r="I149" s="58"/>
    </row>
    <row r="150" spans="1:9" ht="15" customHeight="1" x14ac:dyDescent="0.25">
      <c r="A150" s="39"/>
      <c r="B150" s="39"/>
      <c r="C150" s="39"/>
      <c r="D150" s="39"/>
      <c r="E150" s="39"/>
      <c r="F150" s="39"/>
      <c r="G150" s="39"/>
      <c r="H150" s="39"/>
      <c r="I150" s="58"/>
    </row>
    <row r="151" spans="1:9" ht="15" customHeight="1" x14ac:dyDescent="0.25">
      <c r="A151" s="39"/>
      <c r="B151" s="39"/>
      <c r="C151" s="39"/>
      <c r="D151" s="39"/>
      <c r="E151" s="39"/>
      <c r="F151" s="39"/>
      <c r="G151" s="39"/>
      <c r="H151" s="39"/>
      <c r="I151" s="58"/>
    </row>
    <row r="152" spans="1:9" ht="15" customHeight="1" x14ac:dyDescent="0.25">
      <c r="A152" s="39"/>
      <c r="B152" s="39"/>
      <c r="C152" s="39"/>
      <c r="D152" s="39"/>
      <c r="E152" s="39"/>
      <c r="F152" s="39"/>
      <c r="G152" s="39"/>
      <c r="H152" s="39"/>
      <c r="I152" s="58"/>
    </row>
    <row r="153" spans="1:9" ht="15" customHeight="1" x14ac:dyDescent="0.25">
      <c r="A153" s="39"/>
      <c r="B153" s="39"/>
      <c r="C153" s="39"/>
      <c r="D153" s="39"/>
      <c r="E153" s="39"/>
      <c r="F153" s="39"/>
      <c r="G153" s="39"/>
      <c r="H153" s="39"/>
      <c r="I153" s="58"/>
    </row>
    <row r="154" spans="1:9" ht="15" customHeight="1" x14ac:dyDescent="0.25">
      <c r="A154" s="39"/>
      <c r="B154" s="39"/>
      <c r="C154" s="39"/>
      <c r="D154" s="39"/>
      <c r="E154" s="39"/>
      <c r="F154" s="39"/>
      <c r="G154" s="39"/>
      <c r="H154" s="39"/>
      <c r="I154" s="58"/>
    </row>
    <row r="155" spans="1:9" ht="15" customHeight="1" x14ac:dyDescent="0.25">
      <c r="A155" s="39"/>
      <c r="B155" s="39"/>
      <c r="C155" s="39"/>
      <c r="D155" s="39"/>
      <c r="E155" s="39"/>
      <c r="F155" s="39"/>
      <c r="G155" s="39"/>
      <c r="H155" s="39"/>
      <c r="I155" s="58"/>
    </row>
    <row r="156" spans="1:9" ht="15" customHeight="1" x14ac:dyDescent="0.25">
      <c r="A156" s="39"/>
      <c r="B156" s="39"/>
      <c r="C156" s="39"/>
      <c r="D156" s="39"/>
      <c r="E156" s="39"/>
      <c r="F156" s="39"/>
      <c r="G156" s="39"/>
      <c r="H156" s="39"/>
      <c r="I156" s="58"/>
    </row>
    <row r="157" spans="1:9" ht="15" customHeight="1" x14ac:dyDescent="0.25">
      <c r="A157" s="39"/>
      <c r="B157" s="39"/>
      <c r="C157" s="39"/>
      <c r="D157" s="39"/>
      <c r="E157" s="39"/>
      <c r="F157" s="39"/>
      <c r="G157" s="39"/>
      <c r="H157" s="39"/>
      <c r="I157" s="58"/>
    </row>
    <row r="158" spans="1:9" ht="15" customHeight="1" x14ac:dyDescent="0.25">
      <c r="A158" s="39"/>
      <c r="B158" s="39"/>
      <c r="C158" s="39"/>
      <c r="D158" s="39"/>
      <c r="E158" s="39"/>
      <c r="F158" s="39"/>
      <c r="G158" s="39"/>
      <c r="H158" s="39"/>
      <c r="I158" s="58"/>
    </row>
    <row r="159" spans="1:9" ht="15" customHeight="1" x14ac:dyDescent="0.25">
      <c r="A159" s="39"/>
      <c r="B159" s="39"/>
      <c r="C159" s="39"/>
      <c r="D159" s="39"/>
      <c r="E159" s="39"/>
      <c r="F159" s="39"/>
      <c r="G159" s="39"/>
      <c r="H159" s="39"/>
      <c r="I159" s="58"/>
    </row>
    <row r="160" spans="1:9" ht="15" customHeight="1" x14ac:dyDescent="0.25">
      <c r="A160" s="39"/>
      <c r="B160" s="39"/>
      <c r="C160" s="39"/>
      <c r="D160" s="39"/>
      <c r="E160" s="39"/>
      <c r="F160" s="39"/>
      <c r="G160" s="39"/>
      <c r="H160" s="39"/>
      <c r="I160" s="58"/>
    </row>
  </sheetData>
  <mergeCells count="39">
    <mergeCell ref="A28:B28"/>
    <mergeCell ref="A3:K3"/>
    <mergeCell ref="A4:K4"/>
    <mergeCell ref="A27:B27"/>
    <mergeCell ref="A26:B26"/>
    <mergeCell ref="A7:B7"/>
    <mergeCell ref="A10:B10"/>
    <mergeCell ref="A16:B16"/>
    <mergeCell ref="A11:B11"/>
    <mergeCell ref="A9:B9"/>
    <mergeCell ref="A21:B21"/>
    <mergeCell ref="A12:B12"/>
    <mergeCell ref="A13:B13"/>
    <mergeCell ref="A18:B18"/>
    <mergeCell ref="A1:J1"/>
    <mergeCell ref="A14:B14"/>
    <mergeCell ref="A19:B20"/>
    <mergeCell ref="A15:B15"/>
    <mergeCell ref="A17:B17"/>
    <mergeCell ref="A2:J2"/>
    <mergeCell ref="B5:K5"/>
    <mergeCell ref="A6:K6"/>
    <mergeCell ref="A29:B29"/>
    <mergeCell ref="O38:O40"/>
    <mergeCell ref="O42:O47"/>
    <mergeCell ref="O48:O52"/>
    <mergeCell ref="O57:O59"/>
    <mergeCell ref="A35:B35"/>
    <mergeCell ref="A36:B36"/>
    <mergeCell ref="A34:B34"/>
    <mergeCell ref="A30:B30"/>
    <mergeCell ref="A31:B31"/>
    <mergeCell ref="A32:B32"/>
    <mergeCell ref="A33:B33"/>
    <mergeCell ref="O6:O9"/>
    <mergeCell ref="O10:O13"/>
    <mergeCell ref="O16:O19"/>
    <mergeCell ref="O23:O24"/>
    <mergeCell ref="O28:O31"/>
  </mergeCells>
  <pageMargins left="0.31496062992125984" right="0.11811023622047245" top="0.78740157480314965" bottom="0.78740157480314965" header="0.31496062992125984" footer="0.31496062992125984"/>
  <pageSetup paperSize="9" scale="95" orientation="portrait" verticalDpi="4" r:id="rId1"/>
  <rowBreaks count="2" manualBreakCount="2">
    <brk id="61" max="16383" man="1"/>
    <brk id="119" max="16383"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Q175"/>
  <sheetViews>
    <sheetView showGridLines="0" topLeftCell="B6" zoomScale="90" zoomScaleNormal="90" workbookViewId="0">
      <selection activeCell="K6" sqref="K1:K1048576"/>
    </sheetView>
  </sheetViews>
  <sheetFormatPr defaultColWidth="9.140625" defaultRowHeight="15" customHeight="1" x14ac:dyDescent="0.25"/>
  <cols>
    <col min="1" max="1" width="50.7109375" style="44" customWidth="1"/>
    <col min="2" max="2" width="10.7109375" style="44" customWidth="1"/>
    <col min="3" max="3" width="18.85546875" style="44" customWidth="1"/>
    <col min="4" max="4" width="17" style="44" customWidth="1"/>
    <col min="5" max="5" width="17.140625" style="44" customWidth="1"/>
    <col min="6" max="6" width="17.7109375" style="44" customWidth="1"/>
    <col min="7" max="7" width="19.7109375" style="44" customWidth="1"/>
    <col min="8" max="8" width="19.7109375" style="53" customWidth="1"/>
    <col min="9" max="9" width="18.7109375" style="44" customWidth="1"/>
    <col min="10" max="10" width="18.7109375" style="56" customWidth="1"/>
    <col min="11" max="11" width="22" style="53" customWidth="1"/>
    <col min="12" max="14" width="22" style="361" customWidth="1"/>
    <col min="15" max="15" width="9.140625" style="44"/>
    <col min="16" max="16" width="9.28515625" style="44" bestFit="1" customWidth="1"/>
    <col min="17" max="17" width="255.7109375" style="44" customWidth="1"/>
    <col min="18" max="16384" width="9.140625" style="44"/>
  </cols>
  <sheetData>
    <row r="1" spans="1:17" ht="15" customHeight="1" x14ac:dyDescent="0.25">
      <c r="A1" s="608"/>
      <c r="B1" s="608"/>
      <c r="C1" s="608"/>
      <c r="D1" s="608"/>
      <c r="E1" s="608"/>
      <c r="F1" s="608"/>
      <c r="G1" s="608"/>
      <c r="H1" s="608"/>
      <c r="I1" s="608"/>
      <c r="J1" s="609"/>
    </row>
    <row r="2" spans="1:17" ht="23.25" customHeight="1" x14ac:dyDescent="0.25">
      <c r="A2" s="565" t="s">
        <v>459</v>
      </c>
      <c r="B2" s="565"/>
      <c r="C2" s="565"/>
      <c r="D2" s="565"/>
      <c r="E2" s="565"/>
      <c r="F2" s="565"/>
      <c r="G2" s="565"/>
      <c r="H2" s="565"/>
      <c r="I2" s="565"/>
      <c r="J2" s="565"/>
    </row>
    <row r="3" spans="1:17" ht="15" customHeight="1" x14ac:dyDescent="0.25">
      <c r="A3" s="576" t="s">
        <v>175</v>
      </c>
      <c r="B3" s="576"/>
      <c r="C3" s="576"/>
      <c r="D3" s="576"/>
      <c r="E3" s="576"/>
      <c r="F3" s="576"/>
      <c r="G3" s="576"/>
      <c r="H3" s="576"/>
      <c r="I3" s="576"/>
      <c r="J3" s="640"/>
      <c r="Q3" s="329" t="s">
        <v>298</v>
      </c>
    </row>
    <row r="4" spans="1:17" ht="15" customHeight="1" x14ac:dyDescent="0.25">
      <c r="A4" s="579" t="s">
        <v>458</v>
      </c>
      <c r="B4" s="580"/>
      <c r="C4" s="580"/>
      <c r="D4" s="580"/>
      <c r="E4" s="580"/>
      <c r="F4" s="580"/>
      <c r="G4" s="580"/>
      <c r="H4" s="580"/>
      <c r="I4" s="580"/>
      <c r="J4" s="581"/>
      <c r="Q4" s="324" t="s">
        <v>307</v>
      </c>
    </row>
    <row r="5" spans="1:17" ht="15" customHeight="1" x14ac:dyDescent="0.25">
      <c r="A5" s="126" t="s">
        <v>171</v>
      </c>
      <c r="B5" s="578" t="s">
        <v>172</v>
      </c>
      <c r="C5" s="578"/>
      <c r="D5" s="578"/>
      <c r="E5" s="578"/>
      <c r="F5" s="578"/>
      <c r="G5" s="578"/>
      <c r="H5" s="578"/>
      <c r="I5" s="578"/>
      <c r="J5" s="578"/>
      <c r="Q5" s="47" t="s">
        <v>308</v>
      </c>
    </row>
    <row r="6" spans="1:17" s="39" customFormat="1" ht="15" customHeight="1" x14ac:dyDescent="0.25">
      <c r="A6" s="618" t="s">
        <v>260</v>
      </c>
      <c r="B6" s="618"/>
      <c r="C6" s="618"/>
      <c r="D6" s="618"/>
      <c r="E6" s="618"/>
      <c r="F6" s="618"/>
      <c r="G6" s="618"/>
      <c r="H6" s="618"/>
      <c r="I6" s="618"/>
      <c r="J6" s="618"/>
      <c r="K6" s="58"/>
      <c r="L6" s="58"/>
      <c r="M6" s="58"/>
      <c r="N6" s="58"/>
      <c r="Q6" s="588" t="s">
        <v>299</v>
      </c>
    </row>
    <row r="7" spans="1:17" ht="55.5" customHeight="1" x14ac:dyDescent="0.25">
      <c r="A7" s="568" t="s">
        <v>69</v>
      </c>
      <c r="B7" s="568"/>
      <c r="C7" s="372" t="s">
        <v>285</v>
      </c>
      <c r="D7" s="448" t="s">
        <v>294</v>
      </c>
      <c r="E7" s="448" t="s">
        <v>295</v>
      </c>
      <c r="F7" s="448" t="s">
        <v>290</v>
      </c>
      <c r="G7" s="439" t="s">
        <v>289</v>
      </c>
      <c r="H7" s="541" t="s">
        <v>292</v>
      </c>
      <c r="I7" s="123" t="s">
        <v>238</v>
      </c>
      <c r="J7" s="123" t="s">
        <v>237</v>
      </c>
      <c r="K7" s="123" t="s">
        <v>503</v>
      </c>
      <c r="L7" s="123" t="s">
        <v>404</v>
      </c>
      <c r="M7" s="123" t="s">
        <v>400</v>
      </c>
      <c r="N7" s="123" t="s">
        <v>406</v>
      </c>
      <c r="Q7" s="589"/>
    </row>
    <row r="8" spans="1:17" ht="15" customHeight="1" x14ac:dyDescent="0.25">
      <c r="A8" s="458" t="s">
        <v>60</v>
      </c>
      <c r="B8" s="113"/>
      <c r="C8" s="301">
        <v>1247.51</v>
      </c>
      <c r="D8" s="101">
        <f>ROUND((1247.51*1.0657),2)</f>
        <v>1329.47</v>
      </c>
      <c r="E8" s="101">
        <f>ROUND((1247.51*1.0657),2)</f>
        <v>1329.47</v>
      </c>
      <c r="F8" s="101">
        <f>ROUND((1247.51*1.0657),2)</f>
        <v>1329.47</v>
      </c>
      <c r="G8" s="101">
        <f>ROUND((1247.51*1.0657),2)</f>
        <v>1329.47</v>
      </c>
      <c r="H8" s="317">
        <v>1370.68</v>
      </c>
      <c r="I8" s="317">
        <v>1370.68</v>
      </c>
      <c r="J8" s="101">
        <f>SALARIOS!E6</f>
        <v>1421.4</v>
      </c>
      <c r="K8" s="101">
        <f>ROUND(1421.4*1.032,2)+0.01</f>
        <v>1466.89</v>
      </c>
      <c r="L8" s="101">
        <f>ROUND(1421.4*1.032,2)+0.01</f>
        <v>1466.89</v>
      </c>
      <c r="M8" s="101">
        <f>ROUND(L8*1.041,2)</f>
        <v>1527.03</v>
      </c>
      <c r="N8" s="101">
        <f>ROUND(L8*1.041,2)</f>
        <v>1527.03</v>
      </c>
      <c r="Q8" s="589"/>
    </row>
    <row r="9" spans="1:17" ht="15" customHeight="1" x14ac:dyDescent="0.25">
      <c r="A9" s="458" t="s">
        <v>157</v>
      </c>
      <c r="B9" s="113"/>
      <c r="C9" s="301">
        <f>C8*30%</f>
        <v>374.25299999999999</v>
      </c>
      <c r="D9" s="101">
        <f>ROUND((D8*30%),2)</f>
        <v>398.84</v>
      </c>
      <c r="E9" s="101">
        <f>ROUND((E8*30%),2)</f>
        <v>398.84</v>
      </c>
      <c r="F9" s="101">
        <f>ROUND((F8*30%),2)</f>
        <v>398.84</v>
      </c>
      <c r="G9" s="101">
        <f>ROUND((G8*30%),2)</f>
        <v>398.84</v>
      </c>
      <c r="H9" s="317">
        <v>411.2</v>
      </c>
      <c r="I9" s="317">
        <v>411.2</v>
      </c>
      <c r="J9" s="101">
        <f>ROUND((J8*30%),2)</f>
        <v>426.42</v>
      </c>
      <c r="K9" s="101">
        <f>ROUND((K8*30%),2)</f>
        <v>440.07</v>
      </c>
      <c r="L9" s="101">
        <f>ROUND((L8*30%),2)</f>
        <v>440.07</v>
      </c>
      <c r="M9" s="101">
        <f>ROUND((M8*30%),2)</f>
        <v>458.11</v>
      </c>
      <c r="N9" s="101">
        <f>ROUND((N8*30%),2)</f>
        <v>458.11</v>
      </c>
      <c r="Q9" s="590"/>
    </row>
    <row r="10" spans="1:17" ht="15" customHeight="1" x14ac:dyDescent="0.25">
      <c r="A10" s="585" t="s">
        <v>75</v>
      </c>
      <c r="B10" s="585"/>
      <c r="C10" s="457">
        <f t="shared" ref="C10:I10" si="0">SUM(C8:C9)</f>
        <v>1621.7629999999999</v>
      </c>
      <c r="D10" s="457">
        <f t="shared" si="0"/>
        <v>1728.31</v>
      </c>
      <c r="E10" s="457">
        <f t="shared" si="0"/>
        <v>1728.31</v>
      </c>
      <c r="F10" s="457">
        <f t="shared" si="0"/>
        <v>1728.31</v>
      </c>
      <c r="G10" s="457">
        <f t="shared" si="0"/>
        <v>1728.31</v>
      </c>
      <c r="H10" s="457">
        <f t="shared" si="0"/>
        <v>1781.88</v>
      </c>
      <c r="I10" s="457">
        <f t="shared" si="0"/>
        <v>1781.88</v>
      </c>
      <c r="J10" s="100">
        <f>ROUND(SUM(J8:J9),2)</f>
        <v>1847.82</v>
      </c>
      <c r="K10" s="100">
        <f>ROUND(SUM(K8:K9),2)</f>
        <v>1906.96</v>
      </c>
      <c r="L10" s="100">
        <f>ROUND(SUM(L8:L9),2)</f>
        <v>1906.96</v>
      </c>
      <c r="M10" s="100">
        <f>ROUND(SUM(M8:M9),2)</f>
        <v>1985.14</v>
      </c>
      <c r="N10" s="100">
        <f>ROUND(SUM(N8:N9),2)</f>
        <v>1985.14</v>
      </c>
      <c r="Q10" s="588" t="s">
        <v>300</v>
      </c>
    </row>
    <row r="11" spans="1:17" ht="15" customHeight="1" x14ac:dyDescent="0.25">
      <c r="A11" s="595" t="s">
        <v>50</v>
      </c>
      <c r="B11" s="596"/>
      <c r="C11" s="188" t="s">
        <v>158</v>
      </c>
      <c r="D11" s="188" t="s">
        <v>158</v>
      </c>
      <c r="E11" s="188" t="s">
        <v>158</v>
      </c>
      <c r="F11" s="188" t="s">
        <v>158</v>
      </c>
      <c r="G11" s="188" t="s">
        <v>158</v>
      </c>
      <c r="H11" s="188" t="s">
        <v>158</v>
      </c>
      <c r="I11" s="188" t="s">
        <v>158</v>
      </c>
      <c r="J11" s="111" t="s">
        <v>158</v>
      </c>
      <c r="K11" s="111" t="s">
        <v>158</v>
      </c>
      <c r="L11" s="111" t="s">
        <v>158</v>
      </c>
      <c r="M11" s="111" t="s">
        <v>158</v>
      </c>
      <c r="N11" s="111" t="s">
        <v>158</v>
      </c>
      <c r="Q11" s="589"/>
    </row>
    <row r="12" spans="1:17" ht="15" customHeight="1" x14ac:dyDescent="0.25">
      <c r="A12" s="569" t="s">
        <v>9</v>
      </c>
      <c r="B12" s="569"/>
      <c r="C12" s="302">
        <f>ROUND(8*22-(C8*6%),2)</f>
        <v>101.15</v>
      </c>
      <c r="D12" s="101">
        <f>ROUND(8*22-(D8*6%),2)</f>
        <v>96.23</v>
      </c>
      <c r="E12" s="101">
        <f>ROUND(10*22-(E8*6%),2)</f>
        <v>140.22999999999999</v>
      </c>
      <c r="F12" s="101">
        <f>ROUND(10*22-(F8*6%),2)</f>
        <v>140.22999999999999</v>
      </c>
      <c r="G12" s="101">
        <f>ROUND(10*22-(G8*6%),2)</f>
        <v>140.22999999999999</v>
      </c>
      <c r="H12" s="297">
        <v>137.76</v>
      </c>
      <c r="I12" s="297">
        <v>137.76</v>
      </c>
      <c r="J12" s="101">
        <f>ROUND(10*22-(J8*6%),2)</f>
        <v>134.72</v>
      </c>
      <c r="K12" s="101">
        <f>ROUND(11*22-(K8*6%),2)</f>
        <v>153.99</v>
      </c>
      <c r="L12" s="101">
        <f>ROUND(11*22-(L8*6%),2)</f>
        <v>153.99</v>
      </c>
      <c r="M12" s="101">
        <f>ROUND(11*22-(M8*6%),2)</f>
        <v>150.38</v>
      </c>
      <c r="N12" s="101">
        <f>ROUND(11*22-(N8*6%),2)</f>
        <v>150.38</v>
      </c>
      <c r="O12" s="45"/>
      <c r="Q12" s="589"/>
    </row>
    <row r="13" spans="1:17" ht="15" customHeight="1" x14ac:dyDescent="0.25">
      <c r="A13" s="569" t="s">
        <v>70</v>
      </c>
      <c r="B13" s="569"/>
      <c r="C13" s="454">
        <f>ROUND((22*27.5),2)</f>
        <v>605</v>
      </c>
      <c r="D13" s="116">
        <f>ROUND((22*29.5),2)</f>
        <v>649</v>
      </c>
      <c r="E13" s="116">
        <f>ROUND((22*29.5),2)</f>
        <v>649</v>
      </c>
      <c r="F13" s="116">
        <f>ROUND((22*29.5),2)</f>
        <v>649</v>
      </c>
      <c r="G13" s="116">
        <f>ROUND((22*29.5),2)</f>
        <v>649</v>
      </c>
      <c r="H13" s="297">
        <v>693</v>
      </c>
      <c r="I13" s="297">
        <v>693</v>
      </c>
      <c r="J13" s="116">
        <f>ROUND(22*32.7,2)</f>
        <v>719.4</v>
      </c>
      <c r="K13" s="116">
        <f>ROUND(22*33.62,2)</f>
        <v>739.64</v>
      </c>
      <c r="L13" s="116">
        <f>ROUND(22*33.62,2)</f>
        <v>739.64</v>
      </c>
      <c r="M13" s="116">
        <f>ROUND(22*35,2)</f>
        <v>770</v>
      </c>
      <c r="N13" s="116">
        <f>ROUND(22*35,2)</f>
        <v>770</v>
      </c>
      <c r="Q13" s="590"/>
    </row>
    <row r="14" spans="1:17" ht="15" customHeight="1" x14ac:dyDescent="0.25">
      <c r="A14" s="587" t="s">
        <v>94</v>
      </c>
      <c r="B14" s="587"/>
      <c r="C14" s="454">
        <v>2.5</v>
      </c>
      <c r="D14" s="116">
        <v>1.5</v>
      </c>
      <c r="E14" s="116">
        <v>1.5</v>
      </c>
      <c r="F14" s="116">
        <v>1.5</v>
      </c>
      <c r="G14" s="116">
        <v>1.5</v>
      </c>
      <c r="H14" s="459">
        <v>1.5</v>
      </c>
      <c r="I14" s="459">
        <v>1.5</v>
      </c>
      <c r="J14" s="116">
        <v>0</v>
      </c>
      <c r="K14" s="116">
        <v>0</v>
      </c>
      <c r="L14" s="116">
        <v>0</v>
      </c>
      <c r="M14" s="116">
        <v>0</v>
      </c>
      <c r="N14" s="116">
        <v>0</v>
      </c>
      <c r="Q14" s="330"/>
    </row>
    <row r="15" spans="1:17" ht="15" customHeight="1" x14ac:dyDescent="0.25">
      <c r="A15" s="587" t="s">
        <v>95</v>
      </c>
      <c r="B15" s="587"/>
      <c r="C15" s="454">
        <v>5</v>
      </c>
      <c r="D15" s="116">
        <v>5</v>
      </c>
      <c r="E15" s="116">
        <v>5</v>
      </c>
      <c r="F15" s="116">
        <v>5</v>
      </c>
      <c r="G15" s="116">
        <v>5</v>
      </c>
      <c r="H15" s="459">
        <v>9.9</v>
      </c>
      <c r="I15" s="459">
        <v>9.9</v>
      </c>
      <c r="J15" s="116">
        <v>10.3</v>
      </c>
      <c r="K15" s="116">
        <v>10.63</v>
      </c>
      <c r="L15" s="116">
        <v>10.63</v>
      </c>
      <c r="M15" s="116">
        <v>10.63</v>
      </c>
      <c r="N15" s="116">
        <v>10.63</v>
      </c>
    </row>
    <row r="16" spans="1:17" ht="15" customHeight="1" x14ac:dyDescent="0.25">
      <c r="A16" s="638" t="s">
        <v>24</v>
      </c>
      <c r="B16" s="639"/>
      <c r="C16" s="457">
        <f t="shared" ref="C16:I16" si="1">SUM(C12:C15)</f>
        <v>713.65</v>
      </c>
      <c r="D16" s="457">
        <f t="shared" si="1"/>
        <v>751.73</v>
      </c>
      <c r="E16" s="457">
        <f t="shared" si="1"/>
        <v>795.73</v>
      </c>
      <c r="F16" s="457">
        <f t="shared" si="1"/>
        <v>795.73</v>
      </c>
      <c r="G16" s="457">
        <f t="shared" si="1"/>
        <v>795.73</v>
      </c>
      <c r="H16" s="457">
        <f t="shared" si="1"/>
        <v>842.16</v>
      </c>
      <c r="I16" s="457">
        <f t="shared" si="1"/>
        <v>842.16</v>
      </c>
      <c r="J16" s="100">
        <f>ROUND(SUM(J12:J15),2)</f>
        <v>864.42</v>
      </c>
      <c r="K16" s="100">
        <f>ROUND(SUM(K12:K15),2)</f>
        <v>904.26</v>
      </c>
      <c r="L16" s="100">
        <f>ROUND(SUM(L12:L15),2)</f>
        <v>904.26</v>
      </c>
      <c r="M16" s="100">
        <f>ROUND(SUM(M12:M15),2)</f>
        <v>931.01</v>
      </c>
      <c r="N16" s="100">
        <f>ROUND(SUM(N12:N15),2)</f>
        <v>931.01</v>
      </c>
      <c r="Q16" s="633" t="s">
        <v>301</v>
      </c>
    </row>
    <row r="17" spans="1:17" ht="15" customHeight="1" x14ac:dyDescent="0.25">
      <c r="A17" s="595" t="s">
        <v>51</v>
      </c>
      <c r="B17" s="596"/>
      <c r="C17" s="188" t="s">
        <v>158</v>
      </c>
      <c r="D17" s="188" t="s">
        <v>158</v>
      </c>
      <c r="E17" s="188" t="s">
        <v>158</v>
      </c>
      <c r="F17" s="188" t="s">
        <v>158</v>
      </c>
      <c r="G17" s="188" t="s">
        <v>158</v>
      </c>
      <c r="H17" s="188" t="s">
        <v>158</v>
      </c>
      <c r="I17" s="188" t="s">
        <v>158</v>
      </c>
      <c r="J17" s="111" t="s">
        <v>158</v>
      </c>
      <c r="K17" s="111" t="s">
        <v>158</v>
      </c>
      <c r="L17" s="111" t="s">
        <v>158</v>
      </c>
      <c r="M17" s="111" t="s">
        <v>158</v>
      </c>
      <c r="N17" s="111" t="s">
        <v>158</v>
      </c>
      <c r="Q17" s="634"/>
    </row>
    <row r="18" spans="1:17" ht="15" customHeight="1" x14ac:dyDescent="0.25">
      <c r="A18" s="583" t="s">
        <v>0</v>
      </c>
      <c r="B18" s="584"/>
      <c r="C18" s="304">
        <v>16.829999999999998</v>
      </c>
      <c r="D18" s="101">
        <v>16.829999999999998</v>
      </c>
      <c r="E18" s="101">
        <v>16.829999999999998</v>
      </c>
      <c r="F18" s="101">
        <v>16.829999999999998</v>
      </c>
      <c r="G18" s="101">
        <v>16.829999999999998</v>
      </c>
      <c r="H18" s="101">
        <v>16.829999999999998</v>
      </c>
      <c r="I18" s="101">
        <v>18.440000000000001</v>
      </c>
      <c r="J18" s="101">
        <v>18.440000000000001</v>
      </c>
      <c r="K18" s="101">
        <f>J18</f>
        <v>18.440000000000001</v>
      </c>
      <c r="L18" s="101">
        <v>21.21</v>
      </c>
      <c r="M18" s="101">
        <f>L18</f>
        <v>21.21</v>
      </c>
      <c r="N18" s="101">
        <f>M18</f>
        <v>21.21</v>
      </c>
      <c r="Q18" s="634"/>
    </row>
    <row r="19" spans="1:17" ht="15" customHeight="1" x14ac:dyDescent="0.25">
      <c r="A19" s="583" t="s">
        <v>76</v>
      </c>
      <c r="B19" s="584"/>
      <c r="C19" s="304">
        <f t="shared" ref="C19:H19" si="2">10.56+38.48</f>
        <v>49.04</v>
      </c>
      <c r="D19" s="101">
        <f t="shared" si="2"/>
        <v>49.04</v>
      </c>
      <c r="E19" s="101">
        <f t="shared" si="2"/>
        <v>49.04</v>
      </c>
      <c r="F19" s="101">
        <f t="shared" si="2"/>
        <v>49.04</v>
      </c>
      <c r="G19" s="101">
        <f t="shared" si="2"/>
        <v>49.04</v>
      </c>
      <c r="H19" s="101">
        <f t="shared" si="2"/>
        <v>49.04</v>
      </c>
      <c r="I19" s="460">
        <v>49.04</v>
      </c>
      <c r="J19" s="101">
        <f>(10.56+38.48)</f>
        <v>49.04</v>
      </c>
      <c r="K19" s="101">
        <f>(10.56+38.48)</f>
        <v>49.04</v>
      </c>
      <c r="L19" s="101">
        <f t="shared" ref="L19:M19" si="3">(10.56+38.48)</f>
        <v>49.04</v>
      </c>
      <c r="M19" s="101">
        <f t="shared" si="3"/>
        <v>49.04</v>
      </c>
      <c r="N19" s="101">
        <f>M19</f>
        <v>49.04</v>
      </c>
      <c r="P19" s="54"/>
      <c r="Q19" s="635"/>
    </row>
    <row r="20" spans="1:17" ht="15" customHeight="1" x14ac:dyDescent="0.25">
      <c r="A20" s="585" t="s">
        <v>24</v>
      </c>
      <c r="B20" s="585"/>
      <c r="C20" s="457">
        <f>SUM(C18:C19)</f>
        <v>65.87</v>
      </c>
      <c r="D20" s="457">
        <f>SUM(D18:D19)-0.01</f>
        <v>65.86</v>
      </c>
      <c r="E20" s="100">
        <f>ROUND(SUM(E18:E19),2)-0.01</f>
        <v>65.86</v>
      </c>
      <c r="F20" s="457">
        <f>SUM(F18:F19)-0.01</f>
        <v>65.86</v>
      </c>
      <c r="G20" s="457">
        <f>SUM(G18:G19)</f>
        <v>65.87</v>
      </c>
      <c r="H20" s="457">
        <v>65.86</v>
      </c>
      <c r="I20" s="457">
        <f>SUM(I18:I19)</f>
        <v>67.48</v>
      </c>
      <c r="J20" s="100">
        <f>ROUND(SUM(J18:J19),2)</f>
        <v>67.48</v>
      </c>
      <c r="K20" s="100">
        <f>ROUND(SUM(K18:K19),2)</f>
        <v>67.48</v>
      </c>
      <c r="L20" s="100">
        <f>ROUND(SUM(L18:L19),2)</f>
        <v>70.25</v>
      </c>
      <c r="M20" s="100">
        <f>ROUND(SUM(M18:M19),2)</f>
        <v>70.25</v>
      </c>
      <c r="N20" s="100">
        <f>ROUND(SUM(N18:N19),2)</f>
        <v>70.25</v>
      </c>
      <c r="Q20" s="47" t="s">
        <v>306</v>
      </c>
    </row>
    <row r="21" spans="1:17" ht="15" customHeight="1" x14ac:dyDescent="0.25">
      <c r="A21" s="591" t="s">
        <v>52</v>
      </c>
      <c r="B21" s="592"/>
      <c r="C21" s="188" t="s">
        <v>229</v>
      </c>
      <c r="D21" s="188" t="s">
        <v>229</v>
      </c>
      <c r="E21" s="188" t="s">
        <v>229</v>
      </c>
      <c r="F21" s="188" t="s">
        <v>229</v>
      </c>
      <c r="G21" s="188" t="s">
        <v>229</v>
      </c>
      <c r="H21" s="188" t="s">
        <v>229</v>
      </c>
      <c r="I21" s="188" t="s">
        <v>229</v>
      </c>
      <c r="J21" s="111" t="s">
        <v>229</v>
      </c>
      <c r="K21" s="111" t="s">
        <v>229</v>
      </c>
      <c r="L21" s="111" t="s">
        <v>229</v>
      </c>
      <c r="M21" s="111" t="s">
        <v>229</v>
      </c>
      <c r="N21" s="111" t="s">
        <v>229</v>
      </c>
      <c r="Q21" s="333"/>
    </row>
    <row r="22" spans="1:17" ht="15" customHeight="1" x14ac:dyDescent="0.25">
      <c r="A22" s="593"/>
      <c r="B22" s="594"/>
      <c r="C22" s="118">
        <v>0.71779999999999999</v>
      </c>
      <c r="D22" s="118">
        <v>0.71779999999999999</v>
      </c>
      <c r="E22" s="118">
        <v>0.71779999999999999</v>
      </c>
      <c r="F22" s="118">
        <v>0.71779999999999999</v>
      </c>
      <c r="G22" s="118">
        <v>0.71779999999999999</v>
      </c>
      <c r="H22" s="118">
        <v>0.7218</v>
      </c>
      <c r="I22" s="189">
        <v>0.7218</v>
      </c>
      <c r="J22" s="118">
        <v>0.72260000000000002</v>
      </c>
      <c r="K22" s="118">
        <v>0.71330000000000005</v>
      </c>
      <c r="L22" s="118">
        <v>0.71330000000000005</v>
      </c>
      <c r="M22" s="118">
        <v>0.71530000000000005</v>
      </c>
      <c r="N22" s="118">
        <v>0.71530000000000005</v>
      </c>
      <c r="Q22" s="39"/>
    </row>
    <row r="23" spans="1:17" ht="15" customHeight="1" x14ac:dyDescent="0.25">
      <c r="A23" s="595" t="s">
        <v>55</v>
      </c>
      <c r="B23" s="596"/>
      <c r="C23" s="312">
        <f t="shared" ref="C23:N23" si="4">ROUND((C10*C22),2)</f>
        <v>1164.0999999999999</v>
      </c>
      <c r="D23" s="312">
        <f t="shared" si="4"/>
        <v>1240.58</v>
      </c>
      <c r="E23" s="312">
        <f t="shared" si="4"/>
        <v>1240.58</v>
      </c>
      <c r="F23" s="312">
        <f t="shared" si="4"/>
        <v>1240.58</v>
      </c>
      <c r="G23" s="312">
        <f t="shared" si="4"/>
        <v>1240.58</v>
      </c>
      <c r="H23" s="312">
        <f t="shared" si="4"/>
        <v>1286.1600000000001</v>
      </c>
      <c r="I23" s="111">
        <f t="shared" si="4"/>
        <v>1286.1600000000001</v>
      </c>
      <c r="J23" s="100">
        <f t="shared" si="4"/>
        <v>1335.23</v>
      </c>
      <c r="K23" s="100">
        <f t="shared" si="4"/>
        <v>1360.23</v>
      </c>
      <c r="L23" s="100">
        <f t="shared" si="4"/>
        <v>1360.23</v>
      </c>
      <c r="M23" s="100">
        <f t="shared" si="4"/>
        <v>1419.97</v>
      </c>
      <c r="N23" s="100">
        <f t="shared" si="4"/>
        <v>1419.97</v>
      </c>
      <c r="O23" s="131"/>
      <c r="P23" s="41"/>
      <c r="Q23" s="636" t="s">
        <v>304</v>
      </c>
    </row>
    <row r="24" spans="1:17" ht="15" customHeight="1" x14ac:dyDescent="0.25">
      <c r="A24" s="439" t="s">
        <v>58</v>
      </c>
      <c r="B24" s="439" t="s">
        <v>1</v>
      </c>
      <c r="C24" s="111" t="s">
        <v>158</v>
      </c>
      <c r="D24" s="111" t="s">
        <v>158</v>
      </c>
      <c r="E24" s="111" t="s">
        <v>158</v>
      </c>
      <c r="F24" s="111" t="s">
        <v>158</v>
      </c>
      <c r="G24" s="111" t="s">
        <v>158</v>
      </c>
      <c r="H24" s="111" t="s">
        <v>158</v>
      </c>
      <c r="I24" s="111" t="s">
        <v>158</v>
      </c>
      <c r="J24" s="111" t="s">
        <v>158</v>
      </c>
      <c r="K24" s="111" t="s">
        <v>158</v>
      </c>
      <c r="L24" s="111" t="s">
        <v>158</v>
      </c>
      <c r="M24" s="111" t="s">
        <v>158</v>
      </c>
      <c r="N24" s="111" t="s">
        <v>158</v>
      </c>
      <c r="O24" s="54"/>
      <c r="Q24" s="636"/>
    </row>
    <row r="25" spans="1:17" ht="15" customHeight="1" x14ac:dyDescent="0.25">
      <c r="A25" s="114" t="s">
        <v>2</v>
      </c>
      <c r="B25" s="115">
        <v>1.2699999999999999E-2</v>
      </c>
      <c r="C25" s="304">
        <f>ROUND((C10+C16+C20+C23)*B25,2)</f>
        <v>45.28</v>
      </c>
      <c r="D25" s="304">
        <f>ROUND((D10+D16+D20+D23)*B25,2)</f>
        <v>48.09</v>
      </c>
      <c r="E25" s="101">
        <f>ROUND((E10+E16+E20+E23)*B25,2)</f>
        <v>48.65</v>
      </c>
      <c r="F25" s="101">
        <f>ROUND((F10+F16+F20+F23)*B25,2)</f>
        <v>48.65</v>
      </c>
      <c r="G25" s="101">
        <f>ROUND((G10+G16+G20+G23)*B25,2)</f>
        <v>48.65</v>
      </c>
      <c r="H25" s="101">
        <f>ROUND((H10+H16+H20+H23)*B25,2)</f>
        <v>50.5</v>
      </c>
      <c r="I25" s="119">
        <f>ROUND((I10+I16+I20+I23)*B25,2)</f>
        <v>50.52</v>
      </c>
      <c r="J25" s="101">
        <f>ROUND((J10+J16+J20+J23)*B25,2)</f>
        <v>52.26</v>
      </c>
      <c r="K25" s="101">
        <f>ROUND((K10+K16+K20+K23)*B25,2)</f>
        <v>53.83</v>
      </c>
      <c r="L25" s="101">
        <f>ROUND((L10+L16+L20+L23)*B25,2)</f>
        <v>53.87</v>
      </c>
      <c r="M25" s="101">
        <f>ROUND((M10+M16+M20+M23)*B25,2)</f>
        <v>55.96</v>
      </c>
      <c r="N25" s="101">
        <f>ROUND((N10+N16+N20+N23)*B25,2)</f>
        <v>55.96</v>
      </c>
      <c r="Q25" s="47" t="s">
        <v>302</v>
      </c>
    </row>
    <row r="26" spans="1:17" ht="15" customHeight="1" x14ac:dyDescent="0.25">
      <c r="A26" s="114" t="s">
        <v>3</v>
      </c>
      <c r="B26" s="115">
        <v>0.14249999999999999</v>
      </c>
      <c r="C26" s="304">
        <f t="shared" ref="C26:N26" si="5">ROUND((C10+C16+C20+C23+C25+C27)*14.25/85.75,2)</f>
        <v>606.02</v>
      </c>
      <c r="D26" s="304">
        <f t="shared" si="5"/>
        <v>643.6</v>
      </c>
      <c r="E26" s="101">
        <f t="shared" si="5"/>
        <v>651.08000000000004</v>
      </c>
      <c r="F26" s="101">
        <f t="shared" si="5"/>
        <v>651.08000000000004</v>
      </c>
      <c r="G26" s="101">
        <f t="shared" si="5"/>
        <v>651.08000000000004</v>
      </c>
      <c r="H26" s="101">
        <f t="shared" si="5"/>
        <v>675.83</v>
      </c>
      <c r="I26" s="119">
        <f t="shared" si="5"/>
        <v>676.1</v>
      </c>
      <c r="J26" s="101">
        <f t="shared" si="5"/>
        <v>699.43</v>
      </c>
      <c r="K26" s="101">
        <f t="shared" si="5"/>
        <v>720.51</v>
      </c>
      <c r="L26" s="101">
        <f t="shared" si="5"/>
        <v>720.98</v>
      </c>
      <c r="M26" s="101">
        <f t="shared" si="5"/>
        <v>748.97</v>
      </c>
      <c r="N26" s="101">
        <f t="shared" si="5"/>
        <v>748.97</v>
      </c>
      <c r="Q26" s="47"/>
    </row>
    <row r="27" spans="1:17" ht="15" customHeight="1" x14ac:dyDescent="0.25">
      <c r="A27" s="114" t="s">
        <v>4</v>
      </c>
      <c r="B27" s="115">
        <v>0.01</v>
      </c>
      <c r="C27" s="304">
        <f>ROUND((C10+C16+C20+C23+C25)*B27,2)</f>
        <v>36.11</v>
      </c>
      <c r="D27" s="304">
        <f>ROUND((D10+D16+D20+D23+D25)*B27,2)</f>
        <v>38.35</v>
      </c>
      <c r="E27" s="101">
        <f>ROUND((E10+E16+E20+E23+E25)*B27,2)</f>
        <v>38.79</v>
      </c>
      <c r="F27" s="101">
        <f>ROUND((F10+F16+F20+F23+F25)*B27,2)</f>
        <v>38.79</v>
      </c>
      <c r="G27" s="101">
        <f>ROUND((G10+G16+G20+G23+G25)*B27,2)</f>
        <v>38.79</v>
      </c>
      <c r="H27" s="101">
        <f>ROUND((H10+H16+H20+H23+H25)*B27,2)</f>
        <v>40.270000000000003</v>
      </c>
      <c r="I27" s="119">
        <f>ROUND((I10+I16+I20+I23+I25)*B27,2)</f>
        <v>40.28</v>
      </c>
      <c r="J27" s="101">
        <f>ROUND((J10+J16+J20+J23+J25)*B27,2)</f>
        <v>41.67</v>
      </c>
      <c r="K27" s="101">
        <f>ROUND((K10+K16+K20+K23+K25)*B27,2)</f>
        <v>42.93</v>
      </c>
      <c r="L27" s="101">
        <f>ROUND((L10+L16+L20+L23+L25)*B27,2)</f>
        <v>42.96</v>
      </c>
      <c r="M27" s="101">
        <f>ROUND((M10+M16+M20+M23+M25)*B27,2)</f>
        <v>44.62</v>
      </c>
      <c r="N27" s="101">
        <f>ROUND((N10+N16+N20+N23+N25)*B27,2)</f>
        <v>44.62</v>
      </c>
      <c r="Q27"/>
    </row>
    <row r="28" spans="1:17" ht="15" customHeight="1" x14ac:dyDescent="0.25">
      <c r="A28" s="585" t="s">
        <v>24</v>
      </c>
      <c r="B28" s="585"/>
      <c r="C28" s="457">
        <f t="shared" ref="C28:I28" si="6">SUM(C25:C27)</f>
        <v>687.41</v>
      </c>
      <c r="D28" s="457">
        <f t="shared" si="6"/>
        <v>730.04000000000008</v>
      </c>
      <c r="E28" s="457">
        <f t="shared" si="6"/>
        <v>738.52</v>
      </c>
      <c r="F28" s="457">
        <f t="shared" si="6"/>
        <v>738.52</v>
      </c>
      <c r="G28" s="457">
        <f t="shared" si="6"/>
        <v>738.52</v>
      </c>
      <c r="H28" s="457">
        <f t="shared" si="6"/>
        <v>766.6</v>
      </c>
      <c r="I28" s="457">
        <f t="shared" si="6"/>
        <v>766.9</v>
      </c>
      <c r="J28" s="104">
        <f>ROUND(SUM(J25:J27),2)</f>
        <v>793.36</v>
      </c>
      <c r="K28" s="104">
        <f>ROUND(SUM(K25:K27),2)</f>
        <v>817.27</v>
      </c>
      <c r="L28" s="104">
        <f>ROUND(SUM(L25:L27),2)</f>
        <v>817.81</v>
      </c>
      <c r="M28" s="104">
        <f>ROUND(SUM(M25:M27),2)</f>
        <v>849.55</v>
      </c>
      <c r="N28" s="104">
        <f>ROUND(SUM(N25:N27),2)</f>
        <v>849.55</v>
      </c>
    </row>
    <row r="29" spans="1:17" ht="51.75" customHeight="1" x14ac:dyDescent="0.25">
      <c r="A29" s="595" t="s">
        <v>59</v>
      </c>
      <c r="B29" s="596"/>
      <c r="C29" s="372" t="s">
        <v>285</v>
      </c>
      <c r="D29" s="448" t="s">
        <v>294</v>
      </c>
      <c r="E29" s="448" t="s">
        <v>295</v>
      </c>
      <c r="F29" s="448" t="s">
        <v>290</v>
      </c>
      <c r="G29" s="439" t="s">
        <v>289</v>
      </c>
      <c r="H29" s="541" t="s">
        <v>292</v>
      </c>
      <c r="I29" s="123" t="s">
        <v>238</v>
      </c>
      <c r="J29" s="123" t="s">
        <v>237</v>
      </c>
      <c r="K29" s="123" t="s">
        <v>503</v>
      </c>
      <c r="L29" s="123" t="s">
        <v>404</v>
      </c>
      <c r="M29" s="123" t="s">
        <v>400</v>
      </c>
      <c r="N29" s="123" t="s">
        <v>406</v>
      </c>
      <c r="Q29" s="633" t="s">
        <v>303</v>
      </c>
    </row>
    <row r="30" spans="1:17" ht="15" customHeight="1" x14ac:dyDescent="0.25">
      <c r="A30" s="569" t="s">
        <v>69</v>
      </c>
      <c r="B30" s="569"/>
      <c r="C30" s="297">
        <f t="shared" ref="C30:N30" si="7">C10</f>
        <v>1621.7629999999999</v>
      </c>
      <c r="D30" s="297">
        <f t="shared" si="7"/>
        <v>1728.31</v>
      </c>
      <c r="E30" s="297">
        <f t="shared" si="7"/>
        <v>1728.31</v>
      </c>
      <c r="F30" s="297">
        <f t="shared" si="7"/>
        <v>1728.31</v>
      </c>
      <c r="G30" s="297">
        <f t="shared" si="7"/>
        <v>1728.31</v>
      </c>
      <c r="H30" s="297">
        <f t="shared" si="7"/>
        <v>1781.88</v>
      </c>
      <c r="I30" s="297">
        <f t="shared" si="7"/>
        <v>1781.88</v>
      </c>
      <c r="J30" s="119">
        <f t="shared" si="7"/>
        <v>1847.82</v>
      </c>
      <c r="K30" s="119">
        <f t="shared" si="7"/>
        <v>1906.96</v>
      </c>
      <c r="L30" s="119">
        <f t="shared" si="7"/>
        <v>1906.96</v>
      </c>
      <c r="M30" s="119">
        <f t="shared" si="7"/>
        <v>1985.14</v>
      </c>
      <c r="N30" s="119">
        <f t="shared" si="7"/>
        <v>1985.14</v>
      </c>
      <c r="Q30" s="634"/>
    </row>
    <row r="31" spans="1:17" ht="15" customHeight="1" x14ac:dyDescent="0.25">
      <c r="A31" s="569" t="s">
        <v>50</v>
      </c>
      <c r="B31" s="569"/>
      <c r="C31" s="297">
        <f t="shared" ref="C31:N31" si="8">C16</f>
        <v>713.65</v>
      </c>
      <c r="D31" s="297">
        <f t="shared" si="8"/>
        <v>751.73</v>
      </c>
      <c r="E31" s="297">
        <f t="shared" si="8"/>
        <v>795.73</v>
      </c>
      <c r="F31" s="297">
        <f t="shared" si="8"/>
        <v>795.73</v>
      </c>
      <c r="G31" s="297">
        <f t="shared" si="8"/>
        <v>795.73</v>
      </c>
      <c r="H31" s="297">
        <f t="shared" si="8"/>
        <v>842.16</v>
      </c>
      <c r="I31" s="297">
        <f t="shared" si="8"/>
        <v>842.16</v>
      </c>
      <c r="J31" s="119">
        <f t="shared" si="8"/>
        <v>864.42</v>
      </c>
      <c r="K31" s="119">
        <f t="shared" si="8"/>
        <v>904.26</v>
      </c>
      <c r="L31" s="119">
        <f t="shared" si="8"/>
        <v>904.26</v>
      </c>
      <c r="M31" s="119">
        <f t="shared" si="8"/>
        <v>931.01</v>
      </c>
      <c r="N31" s="119">
        <f t="shared" si="8"/>
        <v>931.01</v>
      </c>
      <c r="Q31" s="634"/>
    </row>
    <row r="32" spans="1:17" ht="15" customHeight="1" x14ac:dyDescent="0.25">
      <c r="A32" s="569" t="s">
        <v>51</v>
      </c>
      <c r="B32" s="569"/>
      <c r="C32" s="297">
        <f t="shared" ref="C32:N32" si="9">C20</f>
        <v>65.87</v>
      </c>
      <c r="D32" s="297">
        <f t="shared" si="9"/>
        <v>65.86</v>
      </c>
      <c r="E32" s="297">
        <f t="shared" si="9"/>
        <v>65.86</v>
      </c>
      <c r="F32" s="297">
        <f t="shared" si="9"/>
        <v>65.86</v>
      </c>
      <c r="G32" s="297">
        <f t="shared" si="9"/>
        <v>65.87</v>
      </c>
      <c r="H32" s="297">
        <f t="shared" si="9"/>
        <v>65.86</v>
      </c>
      <c r="I32" s="297">
        <f t="shared" si="9"/>
        <v>67.48</v>
      </c>
      <c r="J32" s="119">
        <f t="shared" si="9"/>
        <v>67.48</v>
      </c>
      <c r="K32" s="119">
        <f t="shared" si="9"/>
        <v>67.48</v>
      </c>
      <c r="L32" s="119">
        <f t="shared" si="9"/>
        <v>70.25</v>
      </c>
      <c r="M32" s="119">
        <f t="shared" si="9"/>
        <v>70.25</v>
      </c>
      <c r="N32" s="119">
        <f t="shared" si="9"/>
        <v>70.25</v>
      </c>
      <c r="Q32" s="635"/>
    </row>
    <row r="33" spans="1:17" ht="15" customHeight="1" x14ac:dyDescent="0.25">
      <c r="A33" s="569" t="s">
        <v>52</v>
      </c>
      <c r="B33" s="569"/>
      <c r="C33" s="297">
        <f t="shared" ref="C33:N33" si="10">C23</f>
        <v>1164.0999999999999</v>
      </c>
      <c r="D33" s="297">
        <f t="shared" si="10"/>
        <v>1240.58</v>
      </c>
      <c r="E33" s="297">
        <f t="shared" si="10"/>
        <v>1240.58</v>
      </c>
      <c r="F33" s="297">
        <f t="shared" si="10"/>
        <v>1240.58</v>
      </c>
      <c r="G33" s="297">
        <f t="shared" si="10"/>
        <v>1240.58</v>
      </c>
      <c r="H33" s="297">
        <f t="shared" si="10"/>
        <v>1286.1600000000001</v>
      </c>
      <c r="I33" s="297">
        <f t="shared" si="10"/>
        <v>1286.1600000000001</v>
      </c>
      <c r="J33" s="119">
        <f t="shared" si="10"/>
        <v>1335.23</v>
      </c>
      <c r="K33" s="119">
        <f t="shared" si="10"/>
        <v>1360.23</v>
      </c>
      <c r="L33" s="119">
        <f t="shared" si="10"/>
        <v>1360.23</v>
      </c>
      <c r="M33" s="119">
        <f t="shared" si="10"/>
        <v>1419.97</v>
      </c>
      <c r="N33" s="119">
        <f t="shared" si="10"/>
        <v>1419.97</v>
      </c>
      <c r="Q33" s="47" t="s">
        <v>305</v>
      </c>
    </row>
    <row r="34" spans="1:17" ht="15" customHeight="1" x14ac:dyDescent="0.25">
      <c r="A34" s="585" t="s">
        <v>77</v>
      </c>
      <c r="B34" s="585"/>
      <c r="C34" s="457">
        <f t="shared" ref="C34:N34" si="11">ROUND(SUM(C30:C33),2)</f>
        <v>3565.38</v>
      </c>
      <c r="D34" s="457">
        <f t="shared" si="11"/>
        <v>3786.48</v>
      </c>
      <c r="E34" s="457">
        <f t="shared" si="11"/>
        <v>3830.48</v>
      </c>
      <c r="F34" s="457">
        <f t="shared" si="11"/>
        <v>3830.48</v>
      </c>
      <c r="G34" s="457">
        <f t="shared" si="11"/>
        <v>3830.49</v>
      </c>
      <c r="H34" s="457">
        <f t="shared" si="11"/>
        <v>3976.06</v>
      </c>
      <c r="I34" s="457">
        <f t="shared" si="11"/>
        <v>3977.68</v>
      </c>
      <c r="J34" s="104">
        <f t="shared" si="11"/>
        <v>4114.95</v>
      </c>
      <c r="K34" s="104">
        <f t="shared" si="11"/>
        <v>4238.93</v>
      </c>
      <c r="L34" s="104">
        <f t="shared" si="11"/>
        <v>4241.7</v>
      </c>
      <c r="M34" s="104">
        <f t="shared" si="11"/>
        <v>4406.37</v>
      </c>
      <c r="N34" s="104">
        <f t="shared" si="11"/>
        <v>4406.37</v>
      </c>
      <c r="Q34" s="323" t="s">
        <v>309</v>
      </c>
    </row>
    <row r="35" spans="1:17" ht="15" customHeight="1" x14ac:dyDescent="0.25">
      <c r="A35" s="569" t="s">
        <v>58</v>
      </c>
      <c r="B35" s="569"/>
      <c r="C35" s="297">
        <f t="shared" ref="C35:N35" si="12">C28</f>
        <v>687.41</v>
      </c>
      <c r="D35" s="297">
        <f t="shared" si="12"/>
        <v>730.04000000000008</v>
      </c>
      <c r="E35" s="297">
        <f t="shared" si="12"/>
        <v>738.52</v>
      </c>
      <c r="F35" s="297">
        <f t="shared" si="12"/>
        <v>738.52</v>
      </c>
      <c r="G35" s="297">
        <f t="shared" si="12"/>
        <v>738.52</v>
      </c>
      <c r="H35" s="297">
        <f t="shared" si="12"/>
        <v>766.6</v>
      </c>
      <c r="I35" s="297">
        <f t="shared" si="12"/>
        <v>766.9</v>
      </c>
      <c r="J35" s="119">
        <f t="shared" si="12"/>
        <v>793.36</v>
      </c>
      <c r="K35" s="119">
        <f t="shared" si="12"/>
        <v>817.27</v>
      </c>
      <c r="L35" s="119">
        <f t="shared" si="12"/>
        <v>817.81</v>
      </c>
      <c r="M35" s="119">
        <f t="shared" si="12"/>
        <v>849.55</v>
      </c>
      <c r="N35" s="119">
        <f t="shared" si="12"/>
        <v>849.55</v>
      </c>
      <c r="Q35" s="47" t="s">
        <v>310</v>
      </c>
    </row>
    <row r="36" spans="1:17" ht="15" customHeight="1" x14ac:dyDescent="0.25">
      <c r="A36" s="585" t="s">
        <v>162</v>
      </c>
      <c r="B36" s="585"/>
      <c r="C36" s="457">
        <f t="shared" ref="C36:N36" si="13">ROUND((C34+C35),2)</f>
        <v>4252.79</v>
      </c>
      <c r="D36" s="457">
        <f t="shared" si="13"/>
        <v>4516.5200000000004</v>
      </c>
      <c r="E36" s="457">
        <f t="shared" si="13"/>
        <v>4569</v>
      </c>
      <c r="F36" s="457">
        <f t="shared" si="13"/>
        <v>4569</v>
      </c>
      <c r="G36" s="457">
        <f t="shared" si="13"/>
        <v>4569.01</v>
      </c>
      <c r="H36" s="457">
        <f t="shared" si="13"/>
        <v>4742.66</v>
      </c>
      <c r="I36" s="457">
        <f t="shared" si="13"/>
        <v>4744.58</v>
      </c>
      <c r="J36" s="104">
        <f t="shared" si="13"/>
        <v>4908.3100000000004</v>
      </c>
      <c r="K36" s="104">
        <f t="shared" si="13"/>
        <v>5056.2</v>
      </c>
      <c r="L36" s="104">
        <f t="shared" si="13"/>
        <v>5059.51</v>
      </c>
      <c r="M36" s="104">
        <f t="shared" si="13"/>
        <v>5255.92</v>
      </c>
      <c r="N36" s="104">
        <f t="shared" si="13"/>
        <v>5255.92</v>
      </c>
      <c r="Q36" s="47" t="s">
        <v>311</v>
      </c>
    </row>
    <row r="37" spans="1:17" ht="15" customHeight="1" x14ac:dyDescent="0.25">
      <c r="A37" s="582" t="s">
        <v>48</v>
      </c>
      <c r="B37" s="582"/>
      <c r="C37" s="440">
        <v>2</v>
      </c>
      <c r="D37" s="440">
        <v>2</v>
      </c>
      <c r="E37" s="440">
        <v>2</v>
      </c>
      <c r="F37" s="440">
        <v>2</v>
      </c>
      <c r="G37" s="440">
        <v>2</v>
      </c>
      <c r="H37" s="542">
        <v>2</v>
      </c>
      <c r="I37" s="440">
        <v>2</v>
      </c>
      <c r="J37" s="120">
        <v>2</v>
      </c>
      <c r="K37" s="120">
        <v>0</v>
      </c>
      <c r="L37" s="120">
        <v>0</v>
      </c>
      <c r="M37" s="120">
        <v>0</v>
      </c>
      <c r="N37" s="120">
        <v>2</v>
      </c>
    </row>
    <row r="38" spans="1:17" ht="15" customHeight="1" x14ac:dyDescent="0.25">
      <c r="A38" s="585" t="s">
        <v>163</v>
      </c>
      <c r="B38" s="585"/>
      <c r="C38" s="457">
        <f t="shared" ref="C38:N38" si="14">ROUND((C36*C37),2)</f>
        <v>8505.58</v>
      </c>
      <c r="D38" s="457">
        <f t="shared" si="14"/>
        <v>9033.0400000000009</v>
      </c>
      <c r="E38" s="457">
        <f t="shared" si="14"/>
        <v>9138</v>
      </c>
      <c r="F38" s="457">
        <f t="shared" si="14"/>
        <v>9138</v>
      </c>
      <c r="G38" s="457">
        <f t="shared" si="14"/>
        <v>9138.02</v>
      </c>
      <c r="H38" s="457">
        <f t="shared" si="14"/>
        <v>9485.32</v>
      </c>
      <c r="I38" s="457">
        <f t="shared" si="14"/>
        <v>9489.16</v>
      </c>
      <c r="J38" s="104">
        <f t="shared" si="14"/>
        <v>9816.6200000000008</v>
      </c>
      <c r="K38" s="104">
        <f t="shared" si="14"/>
        <v>0</v>
      </c>
      <c r="L38" s="104">
        <f t="shared" si="14"/>
        <v>0</v>
      </c>
      <c r="M38" s="104">
        <f t="shared" si="14"/>
        <v>0</v>
      </c>
      <c r="N38" s="104">
        <f t="shared" si="14"/>
        <v>10511.84</v>
      </c>
    </row>
    <row r="39" spans="1:17" ht="15" customHeight="1" x14ac:dyDescent="0.25">
      <c r="A39" s="39"/>
      <c r="B39" s="39"/>
      <c r="C39" s="39"/>
      <c r="D39" s="39"/>
      <c r="E39" s="39"/>
      <c r="F39" s="39"/>
      <c r="G39" s="39"/>
      <c r="H39" s="58"/>
      <c r="I39" s="99"/>
      <c r="Q39" s="633" t="s">
        <v>312</v>
      </c>
    </row>
    <row r="40" spans="1:17" ht="15" customHeight="1" x14ac:dyDescent="0.25">
      <c r="A40" s="39"/>
      <c r="B40" s="39"/>
      <c r="C40" s="39"/>
      <c r="D40" s="39"/>
      <c r="E40" s="39"/>
      <c r="F40" s="39"/>
      <c r="G40" s="39"/>
      <c r="H40" s="58"/>
      <c r="I40" s="99"/>
      <c r="Q40" s="634"/>
    </row>
    <row r="41" spans="1:17" ht="15" customHeight="1" x14ac:dyDescent="0.25">
      <c r="A41" s="39"/>
      <c r="B41" s="39"/>
      <c r="C41" s="39"/>
      <c r="D41" s="39"/>
      <c r="E41" s="39"/>
      <c r="F41" s="39"/>
      <c r="G41" s="39"/>
      <c r="H41" s="58"/>
      <c r="I41" s="99"/>
      <c r="Q41" s="634"/>
    </row>
    <row r="42" spans="1:17" ht="15" customHeight="1" x14ac:dyDescent="0.25">
      <c r="A42" s="39"/>
      <c r="B42" s="39"/>
      <c r="C42" s="39"/>
      <c r="D42" s="39"/>
      <c r="E42" s="39"/>
      <c r="F42" s="39"/>
      <c r="G42" s="39"/>
      <c r="H42" s="58"/>
      <c r="I42" s="99"/>
      <c r="Q42" s="47" t="s">
        <v>313</v>
      </c>
    </row>
    <row r="43" spans="1:17" ht="15" customHeight="1" x14ac:dyDescent="0.25">
      <c r="A43" s="39"/>
      <c r="B43" s="39"/>
      <c r="C43" s="39"/>
      <c r="D43" s="39"/>
      <c r="E43" s="39"/>
      <c r="F43" s="39"/>
      <c r="G43" s="39"/>
      <c r="H43" s="58"/>
      <c r="I43" s="99"/>
      <c r="Q43" s="588" t="s">
        <v>314</v>
      </c>
    </row>
    <row r="44" spans="1:17" ht="15" customHeight="1" x14ac:dyDescent="0.25">
      <c r="A44" s="39"/>
      <c r="B44" s="39"/>
      <c r="C44" s="39"/>
      <c r="D44" s="39"/>
      <c r="E44" s="39"/>
      <c r="F44" s="39"/>
      <c r="G44" s="39"/>
      <c r="H44" s="58"/>
      <c r="I44" s="99"/>
      <c r="Q44" s="589"/>
    </row>
    <row r="45" spans="1:17" ht="15" customHeight="1" x14ac:dyDescent="0.25">
      <c r="A45" s="39"/>
      <c r="B45" s="39"/>
      <c r="C45" s="39"/>
      <c r="D45" s="39"/>
      <c r="E45" s="39"/>
      <c r="F45" s="39"/>
      <c r="G45" s="39"/>
      <c r="H45" s="58"/>
      <c r="I45" s="99"/>
      <c r="Q45" s="589"/>
    </row>
    <row r="46" spans="1:17" ht="15" customHeight="1" x14ac:dyDescent="0.25">
      <c r="A46" s="42"/>
      <c r="B46" s="39"/>
      <c r="C46" s="39"/>
      <c r="D46" s="39"/>
      <c r="E46" s="39"/>
      <c r="F46" s="39"/>
      <c r="G46" s="39"/>
      <c r="H46" s="58"/>
      <c r="I46" s="99"/>
      <c r="Q46" s="589"/>
    </row>
    <row r="47" spans="1:17" ht="15" customHeight="1" x14ac:dyDescent="0.25">
      <c r="A47" s="39"/>
      <c r="B47" s="39"/>
      <c r="C47" s="39"/>
      <c r="D47" s="39"/>
      <c r="E47" s="39"/>
      <c r="F47" s="39"/>
      <c r="G47" s="39"/>
      <c r="H47" s="58"/>
      <c r="I47" s="99"/>
      <c r="Q47" s="589"/>
    </row>
    <row r="48" spans="1:17" ht="15" customHeight="1" x14ac:dyDescent="0.25">
      <c r="A48" s="39"/>
      <c r="B48" s="39"/>
      <c r="C48" s="39"/>
      <c r="D48" s="39"/>
      <c r="E48" s="39"/>
      <c r="F48" s="39"/>
      <c r="G48" s="39"/>
      <c r="H48" s="58"/>
      <c r="I48" s="99"/>
      <c r="Q48" s="590"/>
    </row>
    <row r="49" spans="1:17" ht="15" customHeight="1" x14ac:dyDescent="0.25">
      <c r="A49" s="39"/>
      <c r="B49" s="39"/>
      <c r="C49" s="39"/>
      <c r="D49" s="39"/>
      <c r="E49" s="39"/>
      <c r="F49" s="39"/>
      <c r="G49" s="39"/>
      <c r="H49" s="58"/>
      <c r="I49" s="99"/>
      <c r="Q49" s="588" t="s">
        <v>315</v>
      </c>
    </row>
    <row r="50" spans="1:17" ht="15" customHeight="1" x14ac:dyDescent="0.25">
      <c r="A50" s="39"/>
      <c r="B50" s="39"/>
      <c r="C50" s="39"/>
      <c r="D50" s="39"/>
      <c r="E50" s="39"/>
      <c r="F50" s="39"/>
      <c r="G50" s="39"/>
      <c r="H50" s="58"/>
      <c r="I50" s="99"/>
      <c r="Q50" s="589"/>
    </row>
    <row r="51" spans="1:17" ht="15" customHeight="1" x14ac:dyDescent="0.25">
      <c r="A51" s="39"/>
      <c r="B51" s="39"/>
      <c r="C51" s="39"/>
      <c r="D51" s="39"/>
      <c r="E51" s="39"/>
      <c r="F51" s="39"/>
      <c r="G51" s="39"/>
      <c r="H51" s="58"/>
      <c r="I51" s="99"/>
      <c r="Q51" s="589"/>
    </row>
    <row r="52" spans="1:17" ht="15" customHeight="1" x14ac:dyDescent="0.25">
      <c r="I52" s="41"/>
      <c r="Q52" s="589"/>
    </row>
    <row r="53" spans="1:17" ht="15" customHeight="1" x14ac:dyDescent="0.25">
      <c r="A53" s="39"/>
      <c r="B53" s="39"/>
      <c r="C53" s="39"/>
      <c r="D53" s="39"/>
      <c r="E53" s="39"/>
      <c r="F53" s="39"/>
      <c r="G53" s="39"/>
      <c r="H53" s="58"/>
      <c r="I53" s="99"/>
      <c r="Q53" s="590"/>
    </row>
    <row r="54" spans="1:17" ht="15" customHeight="1" x14ac:dyDescent="0.25">
      <c r="A54" s="39"/>
      <c r="B54" s="39"/>
      <c r="C54" s="39"/>
      <c r="D54" s="39"/>
      <c r="E54" s="39"/>
      <c r="F54" s="39"/>
      <c r="G54" s="39"/>
      <c r="H54" s="58"/>
      <c r="I54" s="99"/>
      <c r="Q54" s="322" t="s">
        <v>316</v>
      </c>
    </row>
    <row r="55" spans="1:17" ht="15" customHeight="1" x14ac:dyDescent="0.25">
      <c r="A55" s="42"/>
      <c r="B55" s="39"/>
      <c r="C55" s="39"/>
      <c r="D55" s="39"/>
      <c r="E55" s="39"/>
      <c r="F55" s="39"/>
      <c r="G55" s="39"/>
      <c r="H55" s="58"/>
      <c r="I55" s="99"/>
      <c r="Q55" s="330"/>
    </row>
    <row r="56" spans="1:17" ht="15" customHeight="1" x14ac:dyDescent="0.25">
      <c r="A56" s="39"/>
      <c r="B56" s="43"/>
      <c r="C56" s="43"/>
      <c r="D56" s="43"/>
      <c r="E56" s="43"/>
      <c r="F56" s="43"/>
      <c r="G56" s="43"/>
      <c r="H56" s="545"/>
      <c r="I56" s="99"/>
      <c r="Q56" s="330"/>
    </row>
    <row r="57" spans="1:17" ht="15" customHeight="1" x14ac:dyDescent="0.25">
      <c r="A57" s="42"/>
      <c r="B57" s="39"/>
      <c r="C57" s="39"/>
      <c r="D57" s="39"/>
      <c r="E57" s="39"/>
      <c r="F57" s="39"/>
      <c r="G57" s="39"/>
      <c r="H57" s="58"/>
      <c r="I57" s="99"/>
      <c r="J57" s="60"/>
    </row>
    <row r="58" spans="1:17" ht="15" customHeight="1" x14ac:dyDescent="0.25">
      <c r="A58" s="39"/>
      <c r="B58" s="39"/>
      <c r="C58" s="39"/>
      <c r="D58" s="39"/>
      <c r="E58" s="39"/>
      <c r="F58" s="39"/>
      <c r="G58" s="39"/>
      <c r="H58" s="58"/>
      <c r="I58" s="99"/>
      <c r="Q58" s="633" t="s">
        <v>317</v>
      </c>
    </row>
    <row r="59" spans="1:17" ht="15" customHeight="1" x14ac:dyDescent="0.25">
      <c r="A59" s="39"/>
      <c r="B59" s="39"/>
      <c r="C59" s="39"/>
      <c r="D59" s="39"/>
      <c r="E59" s="39"/>
      <c r="F59" s="39"/>
      <c r="G59" s="39"/>
      <c r="H59" s="58"/>
      <c r="I59" s="99"/>
      <c r="Q59" s="634"/>
    </row>
    <row r="60" spans="1:17" ht="15" customHeight="1" x14ac:dyDescent="0.25">
      <c r="A60" s="39"/>
      <c r="B60" s="39"/>
      <c r="C60" s="39"/>
      <c r="D60" s="39"/>
      <c r="E60" s="39"/>
      <c r="F60" s="39"/>
      <c r="G60" s="39"/>
      <c r="H60" s="58"/>
      <c r="I60" s="99"/>
      <c r="Q60" s="634"/>
    </row>
    <row r="61" spans="1:17" ht="15" customHeight="1" x14ac:dyDescent="0.25">
      <c r="A61" s="39"/>
      <c r="B61" s="39"/>
      <c r="C61" s="39"/>
      <c r="D61" s="39"/>
      <c r="E61" s="39"/>
      <c r="F61" s="39"/>
      <c r="G61" s="39"/>
      <c r="H61" s="58"/>
      <c r="I61" s="99"/>
      <c r="Q61" s="47" t="s">
        <v>318</v>
      </c>
    </row>
    <row r="62" spans="1:17" ht="15" customHeight="1" x14ac:dyDescent="0.25">
      <c r="A62" s="39"/>
      <c r="B62" s="39"/>
      <c r="C62" s="39"/>
      <c r="D62" s="39"/>
      <c r="E62" s="39"/>
      <c r="F62" s="39"/>
      <c r="G62" s="39"/>
      <c r="H62" s="58"/>
      <c r="I62" s="99"/>
      <c r="Q62" s="47" t="s">
        <v>319</v>
      </c>
    </row>
    <row r="63" spans="1:17" ht="15" customHeight="1" x14ac:dyDescent="0.25">
      <c r="A63" s="39"/>
      <c r="B63" s="39"/>
      <c r="C63" s="39"/>
      <c r="D63" s="39"/>
      <c r="E63" s="39"/>
      <c r="F63" s="39"/>
      <c r="G63" s="39"/>
      <c r="H63" s="58"/>
      <c r="I63" s="99"/>
      <c r="Q63" s="323" t="s">
        <v>320</v>
      </c>
    </row>
    <row r="64" spans="1:17" ht="15" customHeight="1" x14ac:dyDescent="0.25">
      <c r="A64" s="39"/>
      <c r="B64" s="39"/>
      <c r="C64" s="39"/>
      <c r="D64" s="39"/>
      <c r="E64" s="39"/>
      <c r="F64" s="39"/>
      <c r="G64" s="39"/>
      <c r="H64" s="58"/>
      <c r="I64" s="99"/>
      <c r="Q64" s="323" t="s">
        <v>321</v>
      </c>
    </row>
    <row r="65" spans="1:17" ht="15" customHeight="1" x14ac:dyDescent="0.25">
      <c r="A65" s="39"/>
      <c r="B65" s="39"/>
      <c r="C65" s="39"/>
      <c r="D65" s="39"/>
      <c r="E65" s="39"/>
      <c r="F65" s="39"/>
      <c r="G65" s="39"/>
      <c r="H65" s="58"/>
      <c r="I65" s="99"/>
      <c r="Q65" s="323" t="s">
        <v>322</v>
      </c>
    </row>
    <row r="66" spans="1:17" ht="15" customHeight="1" x14ac:dyDescent="0.25">
      <c r="A66" s="39"/>
      <c r="B66" s="39"/>
      <c r="C66" s="39"/>
      <c r="D66" s="39"/>
      <c r="E66" s="39"/>
      <c r="F66" s="39"/>
      <c r="G66" s="39"/>
      <c r="H66" s="58"/>
      <c r="I66" s="99"/>
    </row>
    <row r="67" spans="1:17" ht="15" customHeight="1" x14ac:dyDescent="0.25">
      <c r="A67" s="39"/>
      <c r="B67" s="39"/>
      <c r="C67" s="39"/>
      <c r="D67" s="39"/>
      <c r="E67" s="39"/>
      <c r="F67" s="39"/>
      <c r="G67" s="39"/>
      <c r="H67" s="58"/>
      <c r="I67" s="99"/>
    </row>
    <row r="68" spans="1:17" ht="15" customHeight="1" x14ac:dyDescent="0.25">
      <c r="A68" s="39"/>
      <c r="B68" s="39"/>
      <c r="C68" s="39"/>
      <c r="D68" s="39"/>
      <c r="E68" s="39"/>
      <c r="F68" s="39"/>
      <c r="G68" s="39"/>
      <c r="H68" s="58"/>
      <c r="I68" s="99"/>
    </row>
    <row r="69" spans="1:17" ht="15" customHeight="1" x14ac:dyDescent="0.25">
      <c r="A69" s="39"/>
      <c r="B69" s="39"/>
      <c r="C69" s="39"/>
      <c r="D69" s="39"/>
      <c r="E69" s="39"/>
      <c r="F69" s="39"/>
      <c r="G69" s="39"/>
      <c r="H69" s="58"/>
      <c r="I69" s="99"/>
    </row>
    <row r="70" spans="1:17" ht="15" customHeight="1" x14ac:dyDescent="0.25">
      <c r="A70" s="39"/>
      <c r="B70" s="39"/>
      <c r="C70" s="39"/>
      <c r="D70" s="39"/>
      <c r="E70" s="39"/>
      <c r="F70" s="39"/>
      <c r="G70" s="39"/>
      <c r="H70" s="58"/>
      <c r="I70" s="99"/>
    </row>
    <row r="71" spans="1:17" ht="15" customHeight="1" x14ac:dyDescent="0.25">
      <c r="A71" s="39"/>
      <c r="B71" s="39"/>
      <c r="C71" s="39"/>
      <c r="D71" s="39"/>
      <c r="E71" s="39"/>
      <c r="F71" s="39"/>
      <c r="G71" s="39"/>
      <c r="H71" s="58"/>
      <c r="I71" s="99"/>
    </row>
    <row r="72" spans="1:17" ht="15" customHeight="1" x14ac:dyDescent="0.25">
      <c r="A72" s="39"/>
      <c r="B72" s="39"/>
      <c r="C72" s="39"/>
      <c r="D72" s="39"/>
      <c r="E72" s="39"/>
      <c r="F72" s="39"/>
      <c r="G72" s="39"/>
      <c r="H72" s="58"/>
      <c r="I72" s="99"/>
    </row>
    <row r="73" spans="1:17" ht="15" customHeight="1" x14ac:dyDescent="0.25">
      <c r="A73" s="39"/>
      <c r="B73" s="39"/>
      <c r="C73" s="39"/>
      <c r="D73" s="39"/>
      <c r="E73" s="39"/>
      <c r="F73" s="39"/>
      <c r="G73" s="39"/>
      <c r="H73" s="58"/>
      <c r="I73" s="99"/>
    </row>
    <row r="74" spans="1:17" ht="15" customHeight="1" x14ac:dyDescent="0.25">
      <c r="A74" s="42"/>
      <c r="B74" s="39"/>
      <c r="C74" s="39"/>
      <c r="D74" s="39"/>
      <c r="E74" s="39"/>
      <c r="F74" s="39"/>
      <c r="G74" s="39"/>
      <c r="H74" s="58"/>
      <c r="I74" s="99"/>
    </row>
    <row r="75" spans="1:17" ht="15" customHeight="1" x14ac:dyDescent="0.25">
      <c r="A75" s="39"/>
      <c r="B75" s="39"/>
      <c r="C75" s="39"/>
      <c r="D75" s="39"/>
      <c r="E75" s="39"/>
      <c r="F75" s="39"/>
      <c r="G75" s="39"/>
      <c r="H75" s="58"/>
      <c r="I75" s="99"/>
    </row>
    <row r="76" spans="1:17" ht="15" customHeight="1" x14ac:dyDescent="0.25">
      <c r="A76" s="39"/>
      <c r="B76" s="39"/>
      <c r="C76" s="39"/>
      <c r="D76" s="39"/>
      <c r="E76" s="39"/>
      <c r="F76" s="39"/>
      <c r="G76" s="39"/>
      <c r="H76" s="58"/>
      <c r="I76" s="99"/>
    </row>
    <row r="77" spans="1:17" ht="15" customHeight="1" x14ac:dyDescent="0.25">
      <c r="A77" s="39"/>
      <c r="B77" s="39"/>
      <c r="C77" s="39"/>
      <c r="D77" s="39"/>
      <c r="E77" s="39"/>
      <c r="F77" s="39"/>
      <c r="G77" s="39"/>
      <c r="H77" s="58"/>
      <c r="I77" s="99"/>
    </row>
    <row r="78" spans="1:17" ht="15" customHeight="1" x14ac:dyDescent="0.25">
      <c r="A78" s="39"/>
      <c r="B78" s="39"/>
      <c r="C78" s="39"/>
      <c r="D78" s="39"/>
      <c r="E78" s="39"/>
      <c r="F78" s="39"/>
      <c r="G78" s="39"/>
      <c r="H78" s="58"/>
      <c r="I78" s="99"/>
    </row>
    <row r="79" spans="1:17" ht="15" customHeight="1" x14ac:dyDescent="0.25">
      <c r="A79" s="39"/>
      <c r="B79" s="39"/>
      <c r="C79" s="39"/>
      <c r="D79" s="39"/>
      <c r="E79" s="39"/>
      <c r="F79" s="39"/>
      <c r="G79" s="39"/>
      <c r="H79" s="58"/>
      <c r="I79" s="99"/>
    </row>
    <row r="80" spans="1:17" ht="15" customHeight="1" x14ac:dyDescent="0.25">
      <c r="A80" s="39"/>
      <c r="B80" s="39"/>
      <c r="C80" s="39"/>
      <c r="D80" s="39"/>
      <c r="E80" s="39"/>
      <c r="F80" s="39"/>
      <c r="G80" s="39"/>
      <c r="H80" s="58"/>
      <c r="I80" s="99"/>
    </row>
    <row r="81" spans="1:9" ht="15" customHeight="1" x14ac:dyDescent="0.25">
      <c r="A81" s="39"/>
      <c r="B81" s="39"/>
      <c r="C81" s="39"/>
      <c r="D81" s="39"/>
      <c r="E81" s="39"/>
      <c r="F81" s="39"/>
      <c r="G81" s="39"/>
      <c r="H81" s="58"/>
      <c r="I81" s="99"/>
    </row>
    <row r="82" spans="1:9" ht="15" customHeight="1" x14ac:dyDescent="0.25">
      <c r="A82" s="39"/>
      <c r="B82" s="39"/>
      <c r="C82" s="39"/>
      <c r="D82" s="39"/>
      <c r="E82" s="39"/>
      <c r="F82" s="39"/>
      <c r="G82" s="39"/>
      <c r="H82" s="58"/>
      <c r="I82" s="99"/>
    </row>
    <row r="83" spans="1:9" ht="15" customHeight="1" x14ac:dyDescent="0.25">
      <c r="A83" s="42"/>
      <c r="B83" s="39"/>
      <c r="C83" s="39"/>
      <c r="D83" s="39"/>
      <c r="E83" s="39"/>
      <c r="F83" s="39"/>
      <c r="G83" s="39"/>
      <c r="H83" s="58"/>
      <c r="I83" s="99"/>
    </row>
    <row r="84" spans="1:9" ht="15" customHeight="1" x14ac:dyDescent="0.25">
      <c r="A84" s="39"/>
      <c r="B84" s="43"/>
      <c r="C84" s="43"/>
      <c r="D84" s="43"/>
      <c r="E84" s="43"/>
      <c r="F84" s="43"/>
      <c r="G84" s="43"/>
      <c r="H84" s="545"/>
      <c r="I84" s="99"/>
    </row>
    <row r="85" spans="1:9" ht="15" customHeight="1" x14ac:dyDescent="0.25">
      <c r="A85" s="42"/>
      <c r="B85" s="39"/>
      <c r="C85" s="39"/>
      <c r="D85" s="39"/>
      <c r="E85" s="39"/>
      <c r="F85" s="39"/>
      <c r="G85" s="39"/>
      <c r="H85" s="58"/>
      <c r="I85" s="99"/>
    </row>
    <row r="86" spans="1:9" ht="15" customHeight="1" x14ac:dyDescent="0.25">
      <c r="A86" s="39"/>
      <c r="B86" s="39"/>
      <c r="C86" s="39"/>
      <c r="D86" s="39"/>
      <c r="E86" s="39"/>
      <c r="F86" s="39"/>
      <c r="G86" s="39"/>
      <c r="H86" s="58"/>
      <c r="I86" s="99"/>
    </row>
    <row r="87" spans="1:9" ht="15" customHeight="1" x14ac:dyDescent="0.25">
      <c r="A87" s="39"/>
      <c r="B87" s="39"/>
      <c r="C87" s="39"/>
      <c r="D87" s="39"/>
      <c r="E87" s="39"/>
      <c r="F87" s="39"/>
      <c r="G87" s="39"/>
      <c r="H87" s="58"/>
      <c r="I87" s="99"/>
    </row>
    <row r="88" spans="1:9" ht="15" customHeight="1" x14ac:dyDescent="0.25">
      <c r="A88" s="39"/>
      <c r="B88" s="39"/>
      <c r="C88" s="39"/>
      <c r="D88" s="39"/>
      <c r="E88" s="39"/>
      <c r="F88" s="39"/>
      <c r="G88" s="39"/>
      <c r="H88" s="58"/>
      <c r="I88" s="99"/>
    </row>
    <row r="89" spans="1:9" ht="15" customHeight="1" x14ac:dyDescent="0.25">
      <c r="A89" s="39"/>
      <c r="B89" s="39"/>
      <c r="C89" s="39"/>
      <c r="D89" s="39"/>
      <c r="E89" s="39"/>
      <c r="F89" s="39"/>
      <c r="G89" s="39"/>
      <c r="H89" s="58"/>
      <c r="I89" s="99"/>
    </row>
    <row r="90" spans="1:9" ht="15" customHeight="1" x14ac:dyDescent="0.25">
      <c r="A90" s="39"/>
      <c r="B90" s="39"/>
      <c r="C90" s="39"/>
      <c r="D90" s="39"/>
      <c r="E90" s="39"/>
      <c r="F90" s="39"/>
      <c r="G90" s="39"/>
      <c r="H90" s="58"/>
      <c r="I90" s="99"/>
    </row>
    <row r="91" spans="1:9" ht="15" customHeight="1" x14ac:dyDescent="0.25">
      <c r="A91" s="39"/>
      <c r="B91" s="39"/>
      <c r="C91" s="39"/>
      <c r="D91" s="39"/>
      <c r="E91" s="39"/>
      <c r="F91" s="39"/>
      <c r="G91" s="39"/>
      <c r="H91" s="58"/>
      <c r="I91" s="99"/>
    </row>
    <row r="92" spans="1:9" ht="15" customHeight="1" x14ac:dyDescent="0.25">
      <c r="A92" s="39"/>
      <c r="B92" s="39"/>
      <c r="C92" s="39"/>
      <c r="D92" s="39"/>
      <c r="E92" s="39"/>
      <c r="F92" s="39"/>
      <c r="G92" s="39"/>
      <c r="H92" s="58"/>
      <c r="I92" s="99"/>
    </row>
    <row r="93" spans="1:9" ht="15" customHeight="1" x14ac:dyDescent="0.25">
      <c r="A93" s="39"/>
      <c r="B93" s="39"/>
      <c r="C93" s="39"/>
      <c r="D93" s="39"/>
      <c r="E93" s="39"/>
      <c r="F93" s="39"/>
      <c r="G93" s="39"/>
      <c r="H93" s="58"/>
      <c r="I93" s="99"/>
    </row>
    <row r="94" spans="1:9" ht="15" customHeight="1" x14ac:dyDescent="0.25">
      <c r="A94" s="39"/>
      <c r="B94" s="39"/>
      <c r="C94" s="39"/>
      <c r="D94" s="39"/>
      <c r="E94" s="39"/>
      <c r="F94" s="39"/>
      <c r="G94" s="39"/>
      <c r="H94" s="58"/>
      <c r="I94" s="99"/>
    </row>
    <row r="95" spans="1:9" ht="15" customHeight="1" x14ac:dyDescent="0.25">
      <c r="A95" s="39"/>
      <c r="B95" s="39"/>
      <c r="C95" s="39"/>
      <c r="D95" s="39"/>
      <c r="E95" s="39"/>
      <c r="F95" s="39"/>
      <c r="G95" s="39"/>
      <c r="H95" s="58"/>
      <c r="I95" s="99"/>
    </row>
    <row r="96" spans="1:9" ht="15" customHeight="1" x14ac:dyDescent="0.25">
      <c r="A96" s="39"/>
      <c r="B96" s="39"/>
      <c r="C96" s="39"/>
      <c r="D96" s="39"/>
      <c r="E96" s="39"/>
      <c r="F96" s="39"/>
      <c r="G96" s="39"/>
      <c r="H96" s="58"/>
      <c r="I96" s="99"/>
    </row>
    <row r="97" spans="1:9" ht="15" customHeight="1" x14ac:dyDescent="0.25">
      <c r="A97" s="39"/>
      <c r="B97" s="39"/>
      <c r="C97" s="39"/>
      <c r="D97" s="39"/>
      <c r="E97" s="39"/>
      <c r="F97" s="39"/>
      <c r="G97" s="39"/>
      <c r="H97" s="58"/>
      <c r="I97" s="99"/>
    </row>
    <row r="98" spans="1:9" ht="15" customHeight="1" x14ac:dyDescent="0.25">
      <c r="A98" s="39"/>
      <c r="B98" s="39"/>
      <c r="C98" s="39"/>
      <c r="D98" s="39"/>
      <c r="E98" s="39"/>
      <c r="F98" s="39"/>
      <c r="G98" s="39"/>
      <c r="H98" s="58"/>
      <c r="I98" s="99"/>
    </row>
    <row r="99" spans="1:9" ht="15" customHeight="1" x14ac:dyDescent="0.25">
      <c r="A99" s="39"/>
      <c r="B99" s="39"/>
      <c r="C99" s="39"/>
      <c r="D99" s="39"/>
      <c r="E99" s="39"/>
      <c r="F99" s="39"/>
      <c r="G99" s="39"/>
      <c r="H99" s="58"/>
      <c r="I99" s="99"/>
    </row>
    <row r="100" spans="1:9" ht="15" customHeight="1" x14ac:dyDescent="0.25">
      <c r="A100" s="39"/>
      <c r="B100" s="39"/>
      <c r="C100" s="39"/>
      <c r="D100" s="39"/>
      <c r="E100" s="39"/>
      <c r="F100" s="39"/>
      <c r="G100" s="39"/>
      <c r="H100" s="58"/>
      <c r="I100" s="99"/>
    </row>
    <row r="101" spans="1:9" ht="15" customHeight="1" x14ac:dyDescent="0.25">
      <c r="A101" s="39"/>
      <c r="B101" s="39"/>
      <c r="C101" s="39"/>
      <c r="D101" s="39"/>
      <c r="E101" s="39"/>
      <c r="F101" s="39"/>
      <c r="G101" s="39"/>
      <c r="H101" s="58"/>
      <c r="I101" s="99"/>
    </row>
    <row r="102" spans="1:9" ht="15" customHeight="1" x14ac:dyDescent="0.25">
      <c r="A102" s="42"/>
      <c r="B102" s="39"/>
      <c r="C102" s="39"/>
      <c r="D102" s="39"/>
      <c r="E102" s="39"/>
      <c r="F102" s="39"/>
      <c r="G102" s="39"/>
      <c r="H102" s="58"/>
      <c r="I102" s="99"/>
    </row>
    <row r="103" spans="1:9" ht="15" customHeight="1" x14ac:dyDescent="0.25">
      <c r="A103" s="39"/>
      <c r="B103" s="39"/>
      <c r="C103" s="39"/>
      <c r="D103" s="39"/>
      <c r="E103" s="39"/>
      <c r="F103" s="39"/>
      <c r="G103" s="39"/>
      <c r="H103" s="58"/>
      <c r="I103" s="99"/>
    </row>
    <row r="104" spans="1:9" ht="15" customHeight="1" x14ac:dyDescent="0.25">
      <c r="A104" s="39"/>
      <c r="B104" s="39"/>
      <c r="C104" s="39"/>
      <c r="D104" s="39"/>
      <c r="E104" s="39"/>
      <c r="F104" s="39"/>
      <c r="G104" s="39"/>
      <c r="H104" s="58"/>
      <c r="I104" s="99"/>
    </row>
    <row r="105" spans="1:9" ht="15" customHeight="1" x14ac:dyDescent="0.25">
      <c r="A105" s="39"/>
      <c r="B105" s="39"/>
      <c r="C105" s="39"/>
      <c r="D105" s="39"/>
      <c r="E105" s="39"/>
      <c r="F105" s="39"/>
      <c r="G105" s="39"/>
      <c r="H105" s="58"/>
      <c r="I105" s="99"/>
    </row>
    <row r="106" spans="1:9" ht="15" customHeight="1" x14ac:dyDescent="0.25">
      <c r="A106" s="39"/>
      <c r="B106" s="39"/>
      <c r="C106" s="39"/>
      <c r="D106" s="39"/>
      <c r="E106" s="39"/>
      <c r="F106" s="39"/>
      <c r="G106" s="39"/>
      <c r="H106" s="58"/>
      <c r="I106" s="99"/>
    </row>
    <row r="107" spans="1:9" ht="15" customHeight="1" x14ac:dyDescent="0.25">
      <c r="A107" s="39"/>
      <c r="B107" s="39"/>
      <c r="C107" s="39"/>
      <c r="D107" s="39"/>
      <c r="E107" s="39"/>
      <c r="F107" s="39"/>
      <c r="G107" s="39"/>
      <c r="H107" s="58"/>
      <c r="I107" s="99"/>
    </row>
    <row r="108" spans="1:9" ht="15" customHeight="1" x14ac:dyDescent="0.25">
      <c r="A108" s="39"/>
      <c r="B108" s="39"/>
      <c r="C108" s="39"/>
      <c r="D108" s="39"/>
      <c r="E108" s="39"/>
      <c r="F108" s="39"/>
      <c r="G108" s="39"/>
      <c r="H108" s="58"/>
      <c r="I108" s="99"/>
    </row>
    <row r="109" spans="1:9" ht="15" customHeight="1" x14ac:dyDescent="0.25">
      <c r="A109" s="39"/>
      <c r="B109" s="39"/>
      <c r="C109" s="39"/>
      <c r="D109" s="39"/>
      <c r="E109" s="39"/>
      <c r="F109" s="39"/>
      <c r="G109" s="39"/>
      <c r="H109" s="58"/>
      <c r="I109" s="99"/>
    </row>
    <row r="110" spans="1:9" ht="15" customHeight="1" x14ac:dyDescent="0.25">
      <c r="A110" s="39"/>
      <c r="B110" s="39"/>
      <c r="C110" s="39"/>
      <c r="D110" s="39"/>
      <c r="E110" s="39"/>
      <c r="F110" s="39"/>
      <c r="G110" s="39"/>
      <c r="H110" s="58"/>
      <c r="I110" s="99"/>
    </row>
    <row r="111" spans="1:9" ht="15" customHeight="1" x14ac:dyDescent="0.25">
      <c r="A111" s="42"/>
      <c r="B111" s="39"/>
      <c r="C111" s="39"/>
      <c r="D111" s="39"/>
      <c r="E111" s="39"/>
      <c r="F111" s="39"/>
      <c r="G111" s="39"/>
      <c r="H111" s="58"/>
      <c r="I111" s="99"/>
    </row>
    <row r="112" spans="1:9" ht="15" customHeight="1" x14ac:dyDescent="0.25">
      <c r="A112" s="39"/>
      <c r="B112" s="43"/>
      <c r="C112" s="43"/>
      <c r="D112" s="43"/>
      <c r="E112" s="43"/>
      <c r="F112" s="43"/>
      <c r="G112" s="43"/>
      <c r="H112" s="545"/>
      <c r="I112" s="99"/>
    </row>
    <row r="113" spans="1:9" ht="15" customHeight="1" x14ac:dyDescent="0.25">
      <c r="A113" s="42"/>
      <c r="B113" s="39"/>
      <c r="C113" s="39"/>
      <c r="D113" s="39"/>
      <c r="E113" s="39"/>
      <c r="F113" s="39"/>
      <c r="G113" s="39"/>
      <c r="H113" s="58"/>
      <c r="I113" s="99"/>
    </row>
    <row r="114" spans="1:9" ht="15" customHeight="1" x14ac:dyDescent="0.25">
      <c r="A114" s="39"/>
      <c r="B114" s="39"/>
      <c r="C114" s="39"/>
      <c r="D114" s="39"/>
      <c r="E114" s="39"/>
      <c r="F114" s="39"/>
      <c r="G114" s="39"/>
      <c r="H114" s="58"/>
      <c r="I114" s="99"/>
    </row>
    <row r="115" spans="1:9" ht="15" customHeight="1" x14ac:dyDescent="0.25">
      <c r="A115" s="39"/>
      <c r="B115" s="39"/>
      <c r="C115" s="39"/>
      <c r="D115" s="39"/>
      <c r="E115" s="39"/>
      <c r="F115" s="39"/>
      <c r="G115" s="39"/>
      <c r="H115" s="58"/>
      <c r="I115" s="99"/>
    </row>
    <row r="116" spans="1:9" ht="15" customHeight="1" x14ac:dyDescent="0.25">
      <c r="A116" s="39"/>
      <c r="B116" s="39"/>
      <c r="C116" s="39"/>
      <c r="D116" s="39"/>
      <c r="E116" s="39"/>
      <c r="F116" s="39"/>
      <c r="G116" s="39"/>
      <c r="H116" s="58"/>
      <c r="I116" s="99"/>
    </row>
    <row r="117" spans="1:9" ht="15" customHeight="1" x14ac:dyDescent="0.25">
      <c r="A117" s="39"/>
      <c r="B117" s="39"/>
      <c r="C117" s="39"/>
      <c r="D117" s="39"/>
      <c r="E117" s="39"/>
      <c r="F117" s="39"/>
      <c r="G117" s="39"/>
      <c r="H117" s="58"/>
      <c r="I117" s="99"/>
    </row>
    <row r="118" spans="1:9" ht="15" customHeight="1" x14ac:dyDescent="0.25">
      <c r="A118" s="39"/>
      <c r="B118" s="39"/>
      <c r="C118" s="39"/>
      <c r="D118" s="39"/>
      <c r="E118" s="39"/>
      <c r="F118" s="39"/>
      <c r="G118" s="39"/>
      <c r="H118" s="58"/>
      <c r="I118" s="99"/>
    </row>
    <row r="119" spans="1:9" ht="15" customHeight="1" x14ac:dyDescent="0.25">
      <c r="A119" s="39"/>
      <c r="B119" s="39"/>
      <c r="C119" s="39"/>
      <c r="D119" s="39"/>
      <c r="E119" s="39"/>
      <c r="F119" s="39"/>
      <c r="G119" s="39"/>
      <c r="H119" s="58"/>
      <c r="I119" s="99"/>
    </row>
    <row r="120" spans="1:9" ht="15" customHeight="1" x14ac:dyDescent="0.25">
      <c r="A120" s="39"/>
      <c r="B120" s="39"/>
      <c r="C120" s="39"/>
      <c r="D120" s="39"/>
      <c r="E120" s="39"/>
      <c r="F120" s="39"/>
      <c r="G120" s="39"/>
      <c r="H120" s="58"/>
      <c r="I120" s="99"/>
    </row>
    <row r="121" spans="1:9" ht="15" customHeight="1" x14ac:dyDescent="0.25">
      <c r="A121" s="39"/>
      <c r="B121" s="39"/>
      <c r="C121" s="39"/>
      <c r="D121" s="39"/>
      <c r="E121" s="39"/>
      <c r="F121" s="39"/>
      <c r="G121" s="39"/>
      <c r="H121" s="58"/>
      <c r="I121" s="99"/>
    </row>
    <row r="122" spans="1:9" ht="15" customHeight="1" x14ac:dyDescent="0.25">
      <c r="A122" s="39"/>
      <c r="B122" s="39"/>
      <c r="C122" s="39"/>
      <c r="D122" s="39"/>
      <c r="E122" s="39"/>
      <c r="F122" s="39"/>
      <c r="G122" s="39"/>
      <c r="H122" s="58"/>
      <c r="I122" s="99"/>
    </row>
    <row r="123" spans="1:9" ht="15" customHeight="1" x14ac:dyDescent="0.25">
      <c r="A123" s="39"/>
      <c r="B123" s="39"/>
      <c r="C123" s="39"/>
      <c r="D123" s="39"/>
      <c r="E123" s="39"/>
      <c r="F123" s="39"/>
      <c r="G123" s="39"/>
      <c r="H123" s="58"/>
      <c r="I123" s="99"/>
    </row>
    <row r="124" spans="1:9" ht="15" customHeight="1" x14ac:dyDescent="0.25">
      <c r="A124" s="39"/>
      <c r="B124" s="39"/>
      <c r="C124" s="39"/>
      <c r="D124" s="39"/>
      <c r="E124" s="39"/>
      <c r="F124" s="39"/>
      <c r="G124" s="39"/>
      <c r="H124" s="58"/>
      <c r="I124" s="99"/>
    </row>
    <row r="125" spans="1:9" ht="15" customHeight="1" x14ac:dyDescent="0.25">
      <c r="A125" s="39"/>
      <c r="B125" s="39"/>
      <c r="C125" s="39"/>
      <c r="D125" s="39"/>
      <c r="E125" s="39"/>
      <c r="F125" s="39"/>
      <c r="G125" s="39"/>
      <c r="H125" s="58"/>
      <c r="I125" s="99"/>
    </row>
    <row r="126" spans="1:9" ht="15" customHeight="1" x14ac:dyDescent="0.25">
      <c r="A126" s="39"/>
      <c r="B126" s="39"/>
      <c r="C126" s="39"/>
      <c r="D126" s="39"/>
      <c r="E126" s="39"/>
      <c r="F126" s="39"/>
      <c r="G126" s="39"/>
      <c r="H126" s="58"/>
      <c r="I126" s="99"/>
    </row>
    <row r="127" spans="1:9" ht="15" customHeight="1" x14ac:dyDescent="0.25">
      <c r="A127" s="39"/>
      <c r="B127" s="39"/>
      <c r="C127" s="39"/>
      <c r="D127" s="39"/>
      <c r="E127" s="39"/>
      <c r="F127" s="39"/>
      <c r="G127" s="39"/>
      <c r="H127" s="58"/>
      <c r="I127" s="99"/>
    </row>
    <row r="128" spans="1:9" ht="15" customHeight="1" x14ac:dyDescent="0.25">
      <c r="A128" s="39"/>
      <c r="B128" s="39"/>
      <c r="C128" s="39"/>
      <c r="D128" s="39"/>
      <c r="E128" s="39"/>
      <c r="F128" s="39"/>
      <c r="G128" s="39"/>
      <c r="H128" s="58"/>
      <c r="I128" s="99"/>
    </row>
    <row r="129" spans="1:9" ht="15" customHeight="1" x14ac:dyDescent="0.25">
      <c r="A129" s="39"/>
      <c r="B129" s="39"/>
      <c r="C129" s="39"/>
      <c r="D129" s="39"/>
      <c r="E129" s="39"/>
      <c r="F129" s="39"/>
      <c r="G129" s="39"/>
      <c r="H129" s="58"/>
      <c r="I129" s="99"/>
    </row>
    <row r="130" spans="1:9" ht="15" customHeight="1" x14ac:dyDescent="0.25">
      <c r="A130" s="42"/>
      <c r="B130" s="39"/>
      <c r="C130" s="39"/>
      <c r="D130" s="39"/>
      <c r="E130" s="39"/>
      <c r="F130" s="39"/>
      <c r="G130" s="39"/>
      <c r="H130" s="58"/>
      <c r="I130" s="99"/>
    </row>
    <row r="131" spans="1:9" ht="15" customHeight="1" x14ac:dyDescent="0.25">
      <c r="A131" s="39"/>
      <c r="B131" s="39"/>
      <c r="C131" s="39"/>
      <c r="D131" s="39"/>
      <c r="E131" s="39"/>
      <c r="F131" s="39"/>
      <c r="G131" s="39"/>
      <c r="H131" s="58"/>
      <c r="I131" s="99"/>
    </row>
    <row r="132" spans="1:9" ht="15" customHeight="1" x14ac:dyDescent="0.25">
      <c r="A132" s="39"/>
      <c r="B132" s="39"/>
      <c r="C132" s="39"/>
      <c r="D132" s="39"/>
      <c r="E132" s="39"/>
      <c r="F132" s="39"/>
      <c r="G132" s="39"/>
      <c r="H132" s="58"/>
      <c r="I132" s="99"/>
    </row>
    <row r="133" spans="1:9" ht="15" customHeight="1" x14ac:dyDescent="0.25">
      <c r="A133" s="39"/>
      <c r="B133" s="39"/>
      <c r="C133" s="39"/>
      <c r="D133" s="39"/>
      <c r="E133" s="39"/>
      <c r="F133" s="39"/>
      <c r="G133" s="39"/>
      <c r="H133" s="58"/>
      <c r="I133" s="99"/>
    </row>
    <row r="134" spans="1:9" ht="15" customHeight="1" x14ac:dyDescent="0.25">
      <c r="A134" s="39"/>
      <c r="B134" s="39"/>
      <c r="C134" s="39"/>
      <c r="D134" s="39"/>
      <c r="E134" s="39"/>
      <c r="F134" s="39"/>
      <c r="G134" s="39"/>
      <c r="H134" s="58"/>
      <c r="I134" s="99"/>
    </row>
    <row r="135" spans="1:9" ht="15" customHeight="1" x14ac:dyDescent="0.25">
      <c r="A135" s="39"/>
      <c r="B135" s="39"/>
      <c r="C135" s="39"/>
      <c r="D135" s="39"/>
      <c r="E135" s="39"/>
      <c r="F135" s="39"/>
      <c r="G135" s="39"/>
      <c r="H135" s="58"/>
      <c r="I135" s="99"/>
    </row>
    <row r="136" spans="1:9" ht="15" customHeight="1" x14ac:dyDescent="0.25">
      <c r="A136" s="39"/>
      <c r="B136" s="39"/>
      <c r="C136" s="39"/>
      <c r="D136" s="39"/>
      <c r="E136" s="39"/>
      <c r="F136" s="39"/>
      <c r="G136" s="39"/>
      <c r="H136" s="58"/>
      <c r="I136" s="99"/>
    </row>
    <row r="137" spans="1:9" ht="15" customHeight="1" x14ac:dyDescent="0.25">
      <c r="A137" s="39"/>
      <c r="B137" s="39"/>
      <c r="C137" s="39"/>
      <c r="D137" s="39"/>
      <c r="E137" s="39"/>
      <c r="F137" s="39"/>
      <c r="G137" s="39"/>
      <c r="H137" s="58"/>
      <c r="I137" s="99"/>
    </row>
    <row r="138" spans="1:9" ht="15" customHeight="1" x14ac:dyDescent="0.25">
      <c r="A138" s="39"/>
      <c r="B138" s="39"/>
      <c r="C138" s="39"/>
      <c r="D138" s="39"/>
      <c r="E138" s="39"/>
      <c r="F138" s="39"/>
      <c r="G138" s="39"/>
      <c r="H138" s="58"/>
      <c r="I138" s="99"/>
    </row>
    <row r="139" spans="1:9" ht="15" customHeight="1" x14ac:dyDescent="0.25">
      <c r="A139" s="42"/>
      <c r="B139" s="39"/>
      <c r="C139" s="39"/>
      <c r="D139" s="39"/>
      <c r="E139" s="39"/>
      <c r="F139" s="39"/>
      <c r="G139" s="39"/>
      <c r="H139" s="58"/>
      <c r="I139" s="99"/>
    </row>
    <row r="140" spans="1:9" ht="15" customHeight="1" x14ac:dyDescent="0.25">
      <c r="A140" s="39"/>
      <c r="B140" s="43"/>
      <c r="C140" s="43"/>
      <c r="D140" s="43"/>
      <c r="E140" s="43"/>
      <c r="F140" s="43"/>
      <c r="G140" s="43"/>
      <c r="H140" s="545"/>
      <c r="I140" s="99"/>
    </row>
    <row r="141" spans="1:9" ht="15" customHeight="1" x14ac:dyDescent="0.25">
      <c r="A141" s="42"/>
      <c r="B141" s="39"/>
      <c r="C141" s="39"/>
      <c r="D141" s="39"/>
      <c r="E141" s="39"/>
      <c r="F141" s="39"/>
      <c r="G141" s="39"/>
      <c r="H141" s="58"/>
      <c r="I141" s="99"/>
    </row>
    <row r="142" spans="1:9" ht="15" customHeight="1" x14ac:dyDescent="0.25">
      <c r="A142" s="39"/>
      <c r="B142" s="39"/>
      <c r="C142" s="39"/>
      <c r="D142" s="39"/>
      <c r="E142" s="39"/>
      <c r="F142" s="39"/>
      <c r="G142" s="39"/>
      <c r="H142" s="58"/>
      <c r="I142" s="99"/>
    </row>
    <row r="143" spans="1:9" ht="15" customHeight="1" x14ac:dyDescent="0.25">
      <c r="A143" s="39"/>
      <c r="B143" s="39"/>
      <c r="C143" s="39"/>
      <c r="D143" s="39"/>
      <c r="E143" s="39"/>
      <c r="F143" s="39"/>
      <c r="G143" s="39"/>
      <c r="H143" s="58"/>
      <c r="I143" s="99"/>
    </row>
    <row r="144" spans="1:9" ht="15" customHeight="1" x14ac:dyDescent="0.25">
      <c r="A144" s="39"/>
      <c r="B144" s="39"/>
      <c r="C144" s="39"/>
      <c r="D144" s="39"/>
      <c r="E144" s="39"/>
      <c r="F144" s="39"/>
      <c r="G144" s="39"/>
      <c r="H144" s="58"/>
      <c r="I144" s="99"/>
    </row>
    <row r="145" spans="1:9" ht="15" customHeight="1" x14ac:dyDescent="0.25">
      <c r="A145" s="39"/>
      <c r="B145" s="39"/>
      <c r="C145" s="39"/>
      <c r="D145" s="39"/>
      <c r="E145" s="39"/>
      <c r="F145" s="39"/>
      <c r="G145" s="39"/>
      <c r="H145" s="58"/>
      <c r="I145" s="99"/>
    </row>
    <row r="146" spans="1:9" ht="15" customHeight="1" x14ac:dyDescent="0.25">
      <c r="A146" s="39"/>
      <c r="B146" s="39"/>
      <c r="C146" s="39"/>
      <c r="D146" s="39"/>
      <c r="E146" s="39"/>
      <c r="F146" s="39"/>
      <c r="G146" s="39"/>
      <c r="H146" s="58"/>
      <c r="I146" s="99"/>
    </row>
    <row r="147" spans="1:9" ht="15" customHeight="1" x14ac:dyDescent="0.25">
      <c r="A147" s="39"/>
      <c r="B147" s="39"/>
      <c r="C147" s="39"/>
      <c r="D147" s="39"/>
      <c r="E147" s="39"/>
      <c r="F147" s="39"/>
      <c r="G147" s="39"/>
      <c r="H147" s="58"/>
      <c r="I147" s="99"/>
    </row>
    <row r="148" spans="1:9" ht="15" customHeight="1" x14ac:dyDescent="0.25">
      <c r="A148" s="39"/>
      <c r="B148" s="39"/>
      <c r="C148" s="39"/>
      <c r="D148" s="39"/>
      <c r="E148" s="39"/>
      <c r="F148" s="39"/>
      <c r="G148" s="39"/>
      <c r="H148" s="58"/>
      <c r="I148" s="99"/>
    </row>
    <row r="149" spans="1:9" ht="15" customHeight="1" x14ac:dyDescent="0.25">
      <c r="A149" s="39"/>
      <c r="B149" s="39"/>
      <c r="C149" s="39"/>
      <c r="D149" s="39"/>
      <c r="E149" s="39"/>
      <c r="F149" s="39"/>
      <c r="G149" s="39"/>
      <c r="H149" s="58"/>
      <c r="I149" s="99"/>
    </row>
    <row r="150" spans="1:9" ht="15" customHeight="1" x14ac:dyDescent="0.25">
      <c r="A150" s="39"/>
      <c r="B150" s="39"/>
      <c r="C150" s="39"/>
      <c r="D150" s="39"/>
      <c r="E150" s="39"/>
      <c r="F150" s="39"/>
      <c r="G150" s="39"/>
      <c r="H150" s="58"/>
      <c r="I150" s="99"/>
    </row>
    <row r="151" spans="1:9" ht="15" customHeight="1" x14ac:dyDescent="0.25">
      <c r="A151" s="39"/>
      <c r="B151" s="39"/>
      <c r="C151" s="39"/>
      <c r="D151" s="39"/>
      <c r="E151" s="39"/>
      <c r="F151" s="39"/>
      <c r="G151" s="39"/>
      <c r="H151" s="58"/>
      <c r="I151" s="99"/>
    </row>
    <row r="152" spans="1:9" ht="15" customHeight="1" x14ac:dyDescent="0.25">
      <c r="A152" s="39"/>
      <c r="B152" s="39"/>
      <c r="C152" s="39"/>
      <c r="D152" s="39"/>
      <c r="E152" s="39"/>
      <c r="F152" s="39"/>
      <c r="G152" s="39"/>
      <c r="H152" s="58"/>
      <c r="I152" s="99"/>
    </row>
    <row r="153" spans="1:9" ht="15" customHeight="1" x14ac:dyDescent="0.25">
      <c r="A153" s="39"/>
      <c r="B153" s="39"/>
      <c r="C153" s="39"/>
      <c r="D153" s="39"/>
      <c r="E153" s="39"/>
      <c r="F153" s="39"/>
      <c r="G153" s="39"/>
      <c r="H153" s="58"/>
      <c r="I153" s="99"/>
    </row>
    <row r="154" spans="1:9" ht="15" customHeight="1" x14ac:dyDescent="0.25">
      <c r="A154" s="39"/>
      <c r="B154" s="39"/>
      <c r="C154" s="39"/>
      <c r="D154" s="39"/>
      <c r="E154" s="39"/>
      <c r="F154" s="39"/>
      <c r="G154" s="39"/>
      <c r="H154" s="58"/>
      <c r="I154" s="99"/>
    </row>
    <row r="155" spans="1:9" ht="15" customHeight="1" x14ac:dyDescent="0.25">
      <c r="A155" s="39"/>
      <c r="B155" s="39"/>
      <c r="C155" s="39"/>
      <c r="D155" s="39"/>
      <c r="E155" s="39"/>
      <c r="F155" s="39"/>
      <c r="G155" s="39"/>
      <c r="H155" s="58"/>
      <c r="I155" s="99"/>
    </row>
    <row r="156" spans="1:9" ht="15" customHeight="1" x14ac:dyDescent="0.25">
      <c r="A156" s="39"/>
      <c r="B156" s="39"/>
      <c r="C156" s="39"/>
      <c r="D156" s="39"/>
      <c r="E156" s="39"/>
      <c r="F156" s="39"/>
      <c r="G156" s="39"/>
      <c r="H156" s="58"/>
      <c r="I156" s="99"/>
    </row>
    <row r="157" spans="1:9" ht="15" customHeight="1" x14ac:dyDescent="0.25">
      <c r="A157" s="39"/>
      <c r="B157" s="39"/>
      <c r="C157" s="39"/>
      <c r="D157" s="39"/>
      <c r="E157" s="39"/>
      <c r="F157" s="39"/>
      <c r="G157" s="39"/>
      <c r="H157" s="58"/>
      <c r="I157" s="99"/>
    </row>
    <row r="158" spans="1:9" ht="15" customHeight="1" x14ac:dyDescent="0.25">
      <c r="A158" s="42"/>
      <c r="B158" s="39"/>
      <c r="C158" s="39"/>
      <c r="D158" s="39"/>
      <c r="E158" s="39"/>
      <c r="F158" s="39"/>
      <c r="G158" s="39"/>
      <c r="H158" s="58"/>
      <c r="I158" s="99"/>
    </row>
    <row r="159" spans="1:9" ht="15" customHeight="1" x14ac:dyDescent="0.25">
      <c r="A159" s="39"/>
      <c r="B159" s="39"/>
      <c r="C159" s="39"/>
      <c r="D159" s="39"/>
      <c r="E159" s="39"/>
      <c r="F159" s="39"/>
      <c r="G159" s="39"/>
      <c r="H159" s="58"/>
      <c r="I159" s="99"/>
    </row>
    <row r="160" spans="1:9" ht="15" customHeight="1" x14ac:dyDescent="0.25">
      <c r="A160" s="39"/>
      <c r="B160" s="39"/>
      <c r="C160" s="39"/>
      <c r="D160" s="39"/>
      <c r="E160" s="39"/>
      <c r="F160" s="39"/>
      <c r="G160" s="39"/>
      <c r="H160" s="58"/>
      <c r="I160" s="99"/>
    </row>
    <row r="161" spans="1:9" ht="15" customHeight="1" x14ac:dyDescent="0.25">
      <c r="A161" s="39"/>
      <c r="B161" s="39"/>
      <c r="C161" s="39"/>
      <c r="D161" s="39"/>
      <c r="E161" s="39"/>
      <c r="F161" s="39"/>
      <c r="G161" s="39"/>
      <c r="H161" s="58"/>
      <c r="I161" s="99"/>
    </row>
    <row r="162" spans="1:9" ht="15" customHeight="1" x14ac:dyDescent="0.25">
      <c r="A162" s="39"/>
      <c r="B162" s="39"/>
      <c r="C162" s="39"/>
      <c r="D162" s="39"/>
      <c r="E162" s="39"/>
      <c r="F162" s="39"/>
      <c r="G162" s="39"/>
      <c r="H162" s="58"/>
      <c r="I162" s="99"/>
    </row>
    <row r="163" spans="1:9" ht="15" customHeight="1" x14ac:dyDescent="0.25">
      <c r="A163" s="39"/>
      <c r="B163" s="39"/>
      <c r="C163" s="39"/>
      <c r="D163" s="39"/>
      <c r="E163" s="39"/>
      <c r="F163" s="39"/>
      <c r="G163" s="39"/>
      <c r="H163" s="58"/>
      <c r="I163" s="99"/>
    </row>
    <row r="164" spans="1:9" ht="15" customHeight="1" x14ac:dyDescent="0.25">
      <c r="A164" s="39"/>
      <c r="B164" s="39"/>
      <c r="C164" s="39"/>
      <c r="D164" s="39"/>
      <c r="E164" s="39"/>
      <c r="F164" s="39"/>
      <c r="G164" s="39"/>
      <c r="H164" s="58"/>
      <c r="I164" s="99"/>
    </row>
    <row r="165" spans="1:9" ht="15" customHeight="1" x14ac:dyDescent="0.25">
      <c r="A165" s="39"/>
      <c r="B165" s="39"/>
      <c r="C165" s="39"/>
      <c r="D165" s="39"/>
      <c r="E165" s="39"/>
      <c r="F165" s="39"/>
      <c r="G165" s="39"/>
      <c r="H165" s="58"/>
      <c r="I165" s="99"/>
    </row>
    <row r="166" spans="1:9" ht="15" customHeight="1" x14ac:dyDescent="0.25">
      <c r="A166" s="39"/>
      <c r="B166" s="39"/>
      <c r="C166" s="39"/>
      <c r="D166" s="39"/>
      <c r="E166" s="39"/>
      <c r="F166" s="39"/>
      <c r="G166" s="39"/>
      <c r="H166" s="58"/>
      <c r="I166" s="99"/>
    </row>
    <row r="167" spans="1:9" ht="15" customHeight="1" x14ac:dyDescent="0.25">
      <c r="A167" s="39"/>
      <c r="B167" s="39"/>
      <c r="C167" s="39"/>
      <c r="D167" s="39"/>
      <c r="E167" s="39"/>
      <c r="F167" s="39"/>
      <c r="G167" s="39"/>
      <c r="H167" s="58"/>
      <c r="I167" s="99"/>
    </row>
    <row r="168" spans="1:9" ht="15" customHeight="1" x14ac:dyDescent="0.25">
      <c r="A168" s="39"/>
      <c r="B168" s="39"/>
      <c r="C168" s="39"/>
      <c r="D168" s="39"/>
      <c r="E168" s="39"/>
      <c r="F168" s="39"/>
      <c r="G168" s="39"/>
      <c r="H168" s="58"/>
      <c r="I168" s="99"/>
    </row>
    <row r="169" spans="1:9" ht="15" customHeight="1" x14ac:dyDescent="0.25">
      <c r="A169" s="39"/>
      <c r="B169" s="39"/>
      <c r="C169" s="39"/>
      <c r="D169" s="39"/>
      <c r="E169" s="39"/>
      <c r="F169" s="39"/>
      <c r="G169" s="39"/>
      <c r="H169" s="58"/>
      <c r="I169" s="99"/>
    </row>
    <row r="170" spans="1:9" ht="15" customHeight="1" x14ac:dyDescent="0.25">
      <c r="A170" s="39"/>
      <c r="B170" s="39"/>
      <c r="C170" s="39"/>
      <c r="D170" s="39"/>
      <c r="E170" s="39"/>
      <c r="F170" s="39"/>
      <c r="G170" s="39"/>
      <c r="H170" s="58"/>
      <c r="I170" s="99"/>
    </row>
    <row r="171" spans="1:9" ht="15" customHeight="1" x14ac:dyDescent="0.25">
      <c r="A171" s="39"/>
      <c r="B171" s="39"/>
      <c r="C171" s="39"/>
      <c r="D171" s="39"/>
      <c r="E171" s="39"/>
      <c r="F171" s="39"/>
      <c r="G171" s="39"/>
      <c r="H171" s="58"/>
      <c r="I171" s="99"/>
    </row>
    <row r="172" spans="1:9" ht="15" customHeight="1" x14ac:dyDescent="0.25">
      <c r="A172" s="39"/>
      <c r="B172" s="39"/>
      <c r="C172" s="39"/>
      <c r="D172" s="39"/>
      <c r="E172" s="39"/>
      <c r="F172" s="39"/>
      <c r="G172" s="39"/>
      <c r="H172" s="58"/>
      <c r="I172" s="99"/>
    </row>
    <row r="173" spans="1:9" ht="15" customHeight="1" x14ac:dyDescent="0.25">
      <c r="A173" s="39"/>
      <c r="B173" s="39"/>
      <c r="C173" s="39"/>
      <c r="D173" s="39"/>
      <c r="E173" s="39"/>
      <c r="F173" s="39"/>
      <c r="G173" s="39"/>
      <c r="H173" s="58"/>
      <c r="I173" s="99"/>
    </row>
    <row r="174" spans="1:9" ht="15" customHeight="1" x14ac:dyDescent="0.25">
      <c r="A174" s="39"/>
      <c r="B174" s="39"/>
      <c r="C174" s="39"/>
      <c r="D174" s="39"/>
      <c r="E174" s="39"/>
      <c r="F174" s="39"/>
      <c r="G174" s="39"/>
      <c r="H174" s="58"/>
      <c r="I174" s="99"/>
    </row>
    <row r="175" spans="1:9" ht="15" customHeight="1" x14ac:dyDescent="0.25">
      <c r="A175" s="39"/>
      <c r="B175" s="39"/>
      <c r="C175" s="39"/>
      <c r="D175" s="39"/>
      <c r="E175" s="39"/>
      <c r="F175" s="39"/>
      <c r="G175" s="39"/>
      <c r="H175" s="58"/>
      <c r="I175" s="99"/>
    </row>
  </sheetData>
  <mergeCells count="40">
    <mergeCell ref="A1:J1"/>
    <mergeCell ref="A12:B12"/>
    <mergeCell ref="A7:B7"/>
    <mergeCell ref="A10:B10"/>
    <mergeCell ref="A11:B11"/>
    <mergeCell ref="A4:J4"/>
    <mergeCell ref="B5:J5"/>
    <mergeCell ref="A3:J3"/>
    <mergeCell ref="A2:J2"/>
    <mergeCell ref="A6:J6"/>
    <mergeCell ref="A31:B31"/>
    <mergeCell ref="A13:B13"/>
    <mergeCell ref="A14:B14"/>
    <mergeCell ref="A15:B15"/>
    <mergeCell ref="A16:B16"/>
    <mergeCell ref="A17:B17"/>
    <mergeCell ref="A18:B18"/>
    <mergeCell ref="A19:B19"/>
    <mergeCell ref="A20:B20"/>
    <mergeCell ref="A28:B28"/>
    <mergeCell ref="A30:B30"/>
    <mergeCell ref="A21:B22"/>
    <mergeCell ref="A23:B23"/>
    <mergeCell ref="A29:B29"/>
    <mergeCell ref="A37:B37"/>
    <mergeCell ref="A38:B38"/>
    <mergeCell ref="A32:B32"/>
    <mergeCell ref="A33:B33"/>
    <mergeCell ref="A34:B34"/>
    <mergeCell ref="A35:B35"/>
    <mergeCell ref="A36:B36"/>
    <mergeCell ref="Q39:Q41"/>
    <mergeCell ref="Q43:Q48"/>
    <mergeCell ref="Q49:Q53"/>
    <mergeCell ref="Q58:Q60"/>
    <mergeCell ref="Q6:Q9"/>
    <mergeCell ref="Q10:Q13"/>
    <mergeCell ref="Q16:Q19"/>
    <mergeCell ref="Q23:Q24"/>
    <mergeCell ref="Q29:Q32"/>
  </mergeCells>
  <pageMargins left="0.31496062992125984" right="0.11811023622047245" top="0.78740157480314965" bottom="0.78740157480314965" header="0.31496062992125984" footer="0.31496062992125984"/>
  <pageSetup paperSize="9" scale="95" orientation="portrait" verticalDpi="4" r:id="rId1"/>
  <rowBreaks count="3" manualBreakCount="3">
    <brk id="53" max="16383" man="1"/>
    <brk id="79" max="16383" man="1"/>
    <brk id="137"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222"/>
  <sheetViews>
    <sheetView showGridLines="0" topLeftCell="A133" zoomScale="120" zoomScaleNormal="120" workbookViewId="0">
      <selection activeCell="G226" sqref="G226"/>
    </sheetView>
  </sheetViews>
  <sheetFormatPr defaultColWidth="9.140625" defaultRowHeight="12.75" x14ac:dyDescent="0.25"/>
  <cols>
    <col min="1" max="1" width="26.85546875" style="85" customWidth="1"/>
    <col min="2" max="2" width="14.140625" style="250" bestFit="1" customWidth="1"/>
    <col min="3" max="3" width="12.28515625" style="85" customWidth="1"/>
    <col min="4" max="4" width="11.85546875" style="85" customWidth="1"/>
    <col min="5" max="5" width="12.140625" style="196" customWidth="1"/>
    <col min="6" max="6" width="14" style="85" customWidth="1"/>
    <col min="7" max="7" width="14.28515625" style="195" customWidth="1"/>
    <col min="8" max="8" width="12" style="129" customWidth="1"/>
    <col min="9" max="9" width="9.140625" style="85"/>
    <col min="10" max="10" width="13.85546875" style="85" customWidth="1"/>
    <col min="11" max="11" width="12.7109375" style="85" customWidth="1"/>
    <col min="12" max="12" width="9.140625" style="85"/>
    <col min="13" max="13" width="11.42578125" style="85" customWidth="1"/>
    <col min="14" max="16384" width="9.140625" style="85"/>
  </cols>
  <sheetData>
    <row r="1" spans="1:10" x14ac:dyDescent="0.25">
      <c r="A1" s="516"/>
      <c r="B1" s="517"/>
      <c r="C1" s="516"/>
      <c r="D1" s="516"/>
      <c r="E1" s="518"/>
      <c r="F1" s="516"/>
      <c r="G1" s="519"/>
      <c r="H1" s="520"/>
    </row>
    <row r="2" spans="1:10" ht="14.25" customHeight="1" x14ac:dyDescent="0.25">
      <c r="A2" s="651" t="s">
        <v>272</v>
      </c>
      <c r="B2" s="651"/>
      <c r="C2" s="651"/>
      <c r="D2" s="651"/>
      <c r="E2" s="651"/>
      <c r="F2" s="651"/>
      <c r="G2" s="651"/>
      <c r="H2" s="520"/>
    </row>
    <row r="3" spans="1:10" ht="14.25" customHeight="1" x14ac:dyDescent="0.25">
      <c r="A3" s="521"/>
      <c r="B3" s="521"/>
      <c r="C3" s="521"/>
      <c r="D3" s="521"/>
      <c r="E3" s="521"/>
      <c r="F3" s="521"/>
      <c r="G3" s="521"/>
      <c r="H3" s="520"/>
    </row>
    <row r="4" spans="1:10" ht="19.899999999999999" customHeight="1" x14ac:dyDescent="0.25">
      <c r="A4" s="642" t="s">
        <v>220</v>
      </c>
      <c r="B4" s="642"/>
      <c r="C4" s="642"/>
      <c r="D4" s="642"/>
      <c r="E4" s="642"/>
      <c r="F4" s="642"/>
      <c r="G4" s="642"/>
      <c r="H4" s="520"/>
    </row>
    <row r="5" spans="1:10" s="147" customFormat="1" ht="21" customHeight="1" x14ac:dyDescent="0.25">
      <c r="A5" s="641" t="s">
        <v>393</v>
      </c>
      <c r="B5" s="641"/>
      <c r="C5" s="641"/>
      <c r="D5" s="641"/>
      <c r="E5" s="641"/>
      <c r="F5" s="641"/>
      <c r="G5" s="641"/>
      <c r="H5" s="522"/>
    </row>
    <row r="6" spans="1:10" s="127" customFormat="1" ht="40.5" customHeight="1" x14ac:dyDescent="0.25">
      <c r="A6" s="510" t="s">
        <v>30</v>
      </c>
      <c r="B6" s="393" t="s">
        <v>231</v>
      </c>
      <c r="C6" s="394" t="s">
        <v>261</v>
      </c>
      <c r="D6" s="394" t="s">
        <v>262</v>
      </c>
      <c r="E6" s="395" t="s">
        <v>178</v>
      </c>
      <c r="F6" s="393" t="s">
        <v>48</v>
      </c>
      <c r="G6" s="395" t="s">
        <v>179</v>
      </c>
      <c r="H6" s="523"/>
      <c r="I6" s="128"/>
    </row>
    <row r="7" spans="1:10" ht="18" customHeight="1" x14ac:dyDescent="0.25">
      <c r="A7" s="390" t="s">
        <v>73</v>
      </c>
      <c r="B7" s="197">
        <v>33</v>
      </c>
      <c r="C7" s="391">
        <v>0.3</v>
      </c>
      <c r="D7" s="392">
        <v>22</v>
      </c>
      <c r="E7" s="197">
        <f>ROUND(((B7-C7)*D7),2)</f>
        <v>719.4</v>
      </c>
      <c r="F7" s="363">
        <v>2</v>
      </c>
      <c r="G7" s="197">
        <f>ROUND((E7*F7),2)</f>
        <v>1438.8</v>
      </c>
      <c r="H7" s="520"/>
      <c r="I7" s="129"/>
    </row>
    <row r="8" spans="1:10" ht="18" customHeight="1" x14ac:dyDescent="0.25">
      <c r="A8" s="390" t="s">
        <v>81</v>
      </c>
      <c r="B8" s="197">
        <v>33</v>
      </c>
      <c r="C8" s="391">
        <v>0.3</v>
      </c>
      <c r="D8" s="392">
        <v>22</v>
      </c>
      <c r="E8" s="197">
        <f t="shared" ref="E8:E13" si="0">ROUND(((B8-C8)*D8),2)</f>
        <v>719.4</v>
      </c>
      <c r="F8" s="363">
        <v>29</v>
      </c>
      <c r="G8" s="197">
        <f t="shared" ref="G8:G13" si="1">ROUND((E8*F8),2)</f>
        <v>20862.599999999999</v>
      </c>
      <c r="H8" s="520"/>
      <c r="I8" s="129"/>
    </row>
    <row r="9" spans="1:10" ht="18" customHeight="1" x14ac:dyDescent="0.25">
      <c r="A9" s="390" t="s">
        <v>85</v>
      </c>
      <c r="B9" s="197">
        <v>33</v>
      </c>
      <c r="C9" s="391">
        <v>0.3</v>
      </c>
      <c r="D9" s="392">
        <v>22</v>
      </c>
      <c r="E9" s="197">
        <f t="shared" si="0"/>
        <v>719.4</v>
      </c>
      <c r="F9" s="363">
        <v>1</v>
      </c>
      <c r="G9" s="197">
        <f t="shared" si="1"/>
        <v>719.4</v>
      </c>
      <c r="H9" s="520"/>
      <c r="I9" s="129"/>
    </row>
    <row r="10" spans="1:10" ht="18" customHeight="1" x14ac:dyDescent="0.25">
      <c r="A10" s="390" t="s">
        <v>86</v>
      </c>
      <c r="B10" s="197">
        <v>33</v>
      </c>
      <c r="C10" s="391">
        <v>0.3</v>
      </c>
      <c r="D10" s="392">
        <v>22</v>
      </c>
      <c r="E10" s="197">
        <f t="shared" si="0"/>
        <v>719.4</v>
      </c>
      <c r="F10" s="363">
        <v>1</v>
      </c>
      <c r="G10" s="197">
        <f t="shared" si="1"/>
        <v>719.4</v>
      </c>
      <c r="H10" s="520"/>
      <c r="I10" s="129"/>
    </row>
    <row r="11" spans="1:10" ht="18" customHeight="1" x14ac:dyDescent="0.25">
      <c r="A11" s="390" t="s">
        <v>33</v>
      </c>
      <c r="B11" s="197">
        <v>33</v>
      </c>
      <c r="C11" s="391">
        <v>0.3</v>
      </c>
      <c r="D11" s="392">
        <v>22</v>
      </c>
      <c r="E11" s="197">
        <f t="shared" si="0"/>
        <v>719.4</v>
      </c>
      <c r="F11" s="363">
        <v>3</v>
      </c>
      <c r="G11" s="197">
        <f t="shared" si="1"/>
        <v>2158.1999999999998</v>
      </c>
      <c r="H11" s="520"/>
      <c r="I11" s="129"/>
    </row>
    <row r="12" spans="1:10" ht="18" customHeight="1" x14ac:dyDescent="0.25">
      <c r="A12" s="390" t="s">
        <v>34</v>
      </c>
      <c r="B12" s="197">
        <v>33</v>
      </c>
      <c r="C12" s="391">
        <v>0.3</v>
      </c>
      <c r="D12" s="392">
        <v>22</v>
      </c>
      <c r="E12" s="197">
        <f t="shared" si="0"/>
        <v>719.4</v>
      </c>
      <c r="F12" s="130">
        <v>3</v>
      </c>
      <c r="G12" s="197">
        <f t="shared" si="1"/>
        <v>2158.1999999999998</v>
      </c>
      <c r="H12" s="520"/>
      <c r="I12" s="129"/>
    </row>
    <row r="13" spans="1:10" ht="18" customHeight="1" x14ac:dyDescent="0.25">
      <c r="A13" s="390" t="s">
        <v>35</v>
      </c>
      <c r="B13" s="197">
        <v>33</v>
      </c>
      <c r="C13" s="391">
        <v>0.3</v>
      </c>
      <c r="D13" s="392">
        <v>22</v>
      </c>
      <c r="E13" s="197">
        <f t="shared" si="0"/>
        <v>719.4</v>
      </c>
      <c r="F13" s="363">
        <v>16</v>
      </c>
      <c r="G13" s="197">
        <f t="shared" si="1"/>
        <v>11510.4</v>
      </c>
      <c r="H13" s="520"/>
      <c r="I13" s="129"/>
    </row>
    <row r="14" spans="1:10" s="147" customFormat="1" ht="15" x14ac:dyDescent="0.25">
      <c r="A14" s="524"/>
      <c r="B14" s="524"/>
      <c r="C14" s="525"/>
      <c r="D14" s="524"/>
      <c r="E14" s="526"/>
      <c r="F14" s="524"/>
      <c r="G14" s="527"/>
      <c r="H14" s="522"/>
      <c r="J14" s="249"/>
    </row>
    <row r="15" spans="1:10" ht="19.899999999999999" customHeight="1" x14ac:dyDescent="0.25">
      <c r="A15" s="642" t="s">
        <v>221</v>
      </c>
      <c r="B15" s="642"/>
      <c r="C15" s="642"/>
      <c r="D15" s="642"/>
      <c r="E15" s="642"/>
      <c r="F15" s="642"/>
      <c r="G15" s="519"/>
      <c r="H15" s="520"/>
    </row>
    <row r="16" spans="1:10" ht="21" customHeight="1" x14ac:dyDescent="0.25">
      <c r="A16" s="641" t="s">
        <v>180</v>
      </c>
      <c r="B16" s="641"/>
      <c r="C16" s="641"/>
      <c r="D16" s="641"/>
      <c r="E16" s="641"/>
      <c r="F16" s="641"/>
      <c r="G16" s="519"/>
      <c r="H16" s="520"/>
    </row>
    <row r="17" spans="1:9" s="127" customFormat="1" ht="40.5" customHeight="1" x14ac:dyDescent="0.25">
      <c r="A17" s="510" t="s">
        <v>30</v>
      </c>
      <c r="B17" s="393" t="s">
        <v>181</v>
      </c>
      <c r="C17" s="393" t="s">
        <v>182</v>
      </c>
      <c r="D17" s="510" t="s">
        <v>271</v>
      </c>
      <c r="E17" s="395" t="s">
        <v>183</v>
      </c>
      <c r="F17" s="510" t="s">
        <v>232</v>
      </c>
      <c r="G17" s="528"/>
      <c r="H17" s="523"/>
      <c r="I17" s="128"/>
    </row>
    <row r="18" spans="1:9" ht="18" customHeight="1" x14ac:dyDescent="0.25">
      <c r="A18" s="390" t="s">
        <v>73</v>
      </c>
      <c r="B18" s="197">
        <f>[1]encarregado!C8</f>
        <v>3061.96</v>
      </c>
      <c r="C18" s="197">
        <f ca="1">ROUND((A4:G33+A386F27*D18),2)</f>
        <v>0</v>
      </c>
      <c r="D18" s="392">
        <v>22</v>
      </c>
      <c r="E18" s="197">
        <f>ROUND((B18*6%),2)</f>
        <v>183.72</v>
      </c>
      <c r="F18" s="391">
        <f ca="1">C18-E18</f>
        <v>36.28</v>
      </c>
      <c r="G18" s="518"/>
      <c r="H18" s="520"/>
      <c r="I18" s="129"/>
    </row>
    <row r="19" spans="1:9" ht="18" customHeight="1" x14ac:dyDescent="0.25">
      <c r="A19" s="390" t="s">
        <v>81</v>
      </c>
      <c r="B19" s="197">
        <f>[1]servente!C8</f>
        <v>1198.8699999999999</v>
      </c>
      <c r="C19" s="197">
        <f t="shared" ref="C19:C24" si="2">ROUND((F28*D19),2)</f>
        <v>220</v>
      </c>
      <c r="D19" s="392">
        <v>22</v>
      </c>
      <c r="E19" s="197">
        <f t="shared" ref="E19:E24" si="3">ROUND((B19*6%),2)</f>
        <v>71.930000000000007</v>
      </c>
      <c r="F19" s="391">
        <f t="shared" ref="F19:F24" si="4">C19-E19</f>
        <v>148.07</v>
      </c>
      <c r="G19" s="518"/>
      <c r="H19" s="520"/>
      <c r="I19" s="129"/>
    </row>
    <row r="20" spans="1:9" ht="18" customHeight="1" x14ac:dyDescent="0.25">
      <c r="A20" s="390" t="s">
        <v>85</v>
      </c>
      <c r="B20" s="197">
        <f>[1]mensageiro!C8</f>
        <v>1198.8699999999999</v>
      </c>
      <c r="C20" s="197">
        <f t="shared" si="2"/>
        <v>220</v>
      </c>
      <c r="D20" s="392">
        <v>22</v>
      </c>
      <c r="E20" s="197">
        <f t="shared" si="3"/>
        <v>71.930000000000007</v>
      </c>
      <c r="F20" s="391">
        <f t="shared" si="4"/>
        <v>148.07</v>
      </c>
      <c r="G20" s="518"/>
      <c r="H20" s="520"/>
      <c r="I20" s="129"/>
    </row>
    <row r="21" spans="1:9" ht="18" customHeight="1" x14ac:dyDescent="0.25">
      <c r="A21" s="390" t="s">
        <v>86</v>
      </c>
      <c r="B21" s="197">
        <f>'[1]op.maq.reprografica'!C8</f>
        <v>1198.8699999999999</v>
      </c>
      <c r="C21" s="197">
        <f t="shared" si="2"/>
        <v>220</v>
      </c>
      <c r="D21" s="392">
        <v>22</v>
      </c>
      <c r="E21" s="197">
        <f t="shared" si="3"/>
        <v>71.930000000000007</v>
      </c>
      <c r="F21" s="391">
        <f>C21-E21</f>
        <v>148.07</v>
      </c>
      <c r="G21" s="518"/>
      <c r="H21" s="520"/>
      <c r="I21" s="129"/>
    </row>
    <row r="22" spans="1:9" ht="18" customHeight="1" x14ac:dyDescent="0.25">
      <c r="A22" s="390" t="s">
        <v>33</v>
      </c>
      <c r="B22" s="197">
        <f>[1]garcom!C8</f>
        <v>1770</v>
      </c>
      <c r="C22" s="197">
        <f t="shared" si="2"/>
        <v>220</v>
      </c>
      <c r="D22" s="392">
        <v>22</v>
      </c>
      <c r="E22" s="197">
        <f t="shared" si="3"/>
        <v>106.2</v>
      </c>
      <c r="F22" s="391">
        <f t="shared" si="4"/>
        <v>113.8</v>
      </c>
      <c r="G22" s="518"/>
      <c r="H22" s="520"/>
      <c r="I22" s="129"/>
    </row>
    <row r="23" spans="1:9" ht="18" customHeight="1" x14ac:dyDescent="0.25">
      <c r="A23" s="390" t="s">
        <v>34</v>
      </c>
      <c r="B23" s="197">
        <f>[1]copeira!C8</f>
        <v>1198.8699999999999</v>
      </c>
      <c r="C23" s="197">
        <f t="shared" si="2"/>
        <v>220</v>
      </c>
      <c r="D23" s="392">
        <v>22</v>
      </c>
      <c r="E23" s="197">
        <f t="shared" si="3"/>
        <v>71.930000000000007</v>
      </c>
      <c r="F23" s="391">
        <f t="shared" si="4"/>
        <v>148.07</v>
      </c>
      <c r="G23" s="518"/>
      <c r="H23" s="520"/>
      <c r="I23" s="129"/>
    </row>
    <row r="24" spans="1:9" ht="18" customHeight="1" x14ac:dyDescent="0.25">
      <c r="A24" s="390" t="s">
        <v>35</v>
      </c>
      <c r="B24" s="197">
        <f>[1]recepcionista!C8</f>
        <v>1770</v>
      </c>
      <c r="C24" s="197">
        <f t="shared" si="2"/>
        <v>220</v>
      </c>
      <c r="D24" s="392">
        <v>22</v>
      </c>
      <c r="E24" s="197">
        <f t="shared" si="3"/>
        <v>106.2</v>
      </c>
      <c r="F24" s="391">
        <f t="shared" si="4"/>
        <v>113.8</v>
      </c>
      <c r="G24" s="518"/>
      <c r="H24" s="520"/>
      <c r="I24" s="129"/>
    </row>
    <row r="25" spans="1:9" ht="21" customHeight="1" x14ac:dyDescent="0.25">
      <c r="A25" s="641" t="s">
        <v>184</v>
      </c>
      <c r="B25" s="641"/>
      <c r="C25" s="641"/>
      <c r="D25" s="641"/>
      <c r="E25" s="641"/>
      <c r="F25" s="641"/>
      <c r="G25" s="519"/>
      <c r="H25" s="520"/>
    </row>
    <row r="26" spans="1:9" s="127" customFormat="1" ht="50.45" customHeight="1" x14ac:dyDescent="0.25">
      <c r="A26" s="510" t="s">
        <v>30</v>
      </c>
      <c r="B26" s="393" t="s">
        <v>248</v>
      </c>
      <c r="C26" s="393" t="s">
        <v>247</v>
      </c>
      <c r="D26" s="393" t="s">
        <v>249</v>
      </c>
      <c r="E26" s="395" t="s">
        <v>185</v>
      </c>
      <c r="F26" s="510" t="s">
        <v>186</v>
      </c>
      <c r="G26" s="529"/>
      <c r="H26" s="523"/>
    </row>
    <row r="27" spans="1:9" ht="15" customHeight="1" x14ac:dyDescent="0.25">
      <c r="A27" s="390" t="s">
        <v>73</v>
      </c>
      <c r="B27" s="197">
        <v>5</v>
      </c>
      <c r="C27" s="197">
        <v>0</v>
      </c>
      <c r="D27" s="197">
        <v>0</v>
      </c>
      <c r="E27" s="391">
        <v>5</v>
      </c>
      <c r="F27" s="530">
        <f>B27+C27+D27+E27</f>
        <v>10</v>
      </c>
      <c r="G27" s="519"/>
      <c r="H27" s="520"/>
    </row>
    <row r="28" spans="1:9" ht="15" customHeight="1" x14ac:dyDescent="0.25">
      <c r="A28" s="390" t="s">
        <v>81</v>
      </c>
      <c r="B28" s="197">
        <v>5</v>
      </c>
      <c r="C28" s="197">
        <v>0</v>
      </c>
      <c r="D28" s="197">
        <v>0</v>
      </c>
      <c r="E28" s="391">
        <v>5</v>
      </c>
      <c r="F28" s="530">
        <f t="shared" ref="F28:F33" si="5">B28+C28+D28+E28</f>
        <v>10</v>
      </c>
      <c r="G28" s="519"/>
      <c r="H28" s="520"/>
    </row>
    <row r="29" spans="1:9" ht="15" customHeight="1" x14ac:dyDescent="0.25">
      <c r="A29" s="390" t="s">
        <v>85</v>
      </c>
      <c r="B29" s="197">
        <v>5</v>
      </c>
      <c r="C29" s="197">
        <v>0</v>
      </c>
      <c r="D29" s="197">
        <v>0</v>
      </c>
      <c r="E29" s="391">
        <v>5</v>
      </c>
      <c r="F29" s="530">
        <f t="shared" si="5"/>
        <v>10</v>
      </c>
      <c r="G29" s="519"/>
      <c r="H29" s="520"/>
    </row>
    <row r="30" spans="1:9" ht="15" customHeight="1" x14ac:dyDescent="0.25">
      <c r="A30" s="390" t="s">
        <v>86</v>
      </c>
      <c r="B30" s="197">
        <v>5</v>
      </c>
      <c r="C30" s="197">
        <v>0</v>
      </c>
      <c r="D30" s="197">
        <v>0</v>
      </c>
      <c r="E30" s="391">
        <v>5</v>
      </c>
      <c r="F30" s="530">
        <f t="shared" si="5"/>
        <v>10</v>
      </c>
      <c r="G30" s="519"/>
      <c r="H30" s="520"/>
    </row>
    <row r="31" spans="1:9" ht="15" customHeight="1" x14ac:dyDescent="0.25">
      <c r="A31" s="390" t="s">
        <v>33</v>
      </c>
      <c r="B31" s="197">
        <v>5</v>
      </c>
      <c r="C31" s="197">
        <v>0</v>
      </c>
      <c r="D31" s="197">
        <v>0</v>
      </c>
      <c r="E31" s="391">
        <v>5</v>
      </c>
      <c r="F31" s="530">
        <f t="shared" si="5"/>
        <v>10</v>
      </c>
      <c r="G31" s="519"/>
      <c r="H31" s="520"/>
    </row>
    <row r="32" spans="1:9" ht="15" customHeight="1" x14ac:dyDescent="0.25">
      <c r="A32" s="390" t="s">
        <v>34</v>
      </c>
      <c r="B32" s="197">
        <v>5</v>
      </c>
      <c r="C32" s="197">
        <v>0</v>
      </c>
      <c r="D32" s="197">
        <v>0</v>
      </c>
      <c r="E32" s="391">
        <v>5</v>
      </c>
      <c r="F32" s="530">
        <f t="shared" si="5"/>
        <v>10</v>
      </c>
      <c r="G32" s="519"/>
      <c r="H32" s="520"/>
    </row>
    <row r="33" spans="1:8" ht="15" customHeight="1" x14ac:dyDescent="0.25">
      <c r="A33" s="390" t="s">
        <v>35</v>
      </c>
      <c r="B33" s="197">
        <v>5</v>
      </c>
      <c r="C33" s="197">
        <v>0</v>
      </c>
      <c r="D33" s="197">
        <v>0</v>
      </c>
      <c r="E33" s="391">
        <v>5</v>
      </c>
      <c r="F33" s="530">
        <f t="shared" si="5"/>
        <v>10</v>
      </c>
      <c r="G33" s="519"/>
      <c r="H33" s="520"/>
    </row>
    <row r="34" spans="1:8" x14ac:dyDescent="0.25">
      <c r="A34" s="516"/>
      <c r="B34" s="517"/>
      <c r="C34" s="516"/>
      <c r="D34" s="516"/>
      <c r="E34" s="518"/>
      <c r="F34" s="516"/>
      <c r="G34" s="519"/>
      <c r="H34" s="520"/>
    </row>
    <row r="35" spans="1:8" x14ac:dyDescent="0.25">
      <c r="A35" s="652"/>
      <c r="B35" s="652"/>
      <c r="C35" s="652"/>
      <c r="D35" s="652"/>
      <c r="E35" s="652"/>
      <c r="F35" s="652"/>
      <c r="G35" s="519"/>
      <c r="H35" s="520"/>
    </row>
    <row r="36" spans="1:8" x14ac:dyDescent="0.25">
      <c r="A36" s="652"/>
      <c r="B36" s="652"/>
      <c r="C36" s="652"/>
      <c r="D36" s="652"/>
      <c r="E36" s="652"/>
      <c r="F36" s="652"/>
      <c r="G36" s="519"/>
      <c r="H36" s="520"/>
    </row>
    <row r="37" spans="1:8" ht="15.75" x14ac:dyDescent="0.25">
      <c r="A37" s="642" t="s">
        <v>358</v>
      </c>
      <c r="B37" s="642"/>
      <c r="C37" s="642"/>
      <c r="D37" s="642"/>
      <c r="E37" s="642"/>
      <c r="F37" s="642"/>
      <c r="G37" s="642"/>
      <c r="H37" s="520"/>
    </row>
    <row r="38" spans="1:8" x14ac:dyDescent="0.25">
      <c r="A38" s="641" t="s">
        <v>393</v>
      </c>
      <c r="B38" s="641"/>
      <c r="C38" s="641"/>
      <c r="D38" s="641"/>
      <c r="E38" s="641"/>
      <c r="F38" s="641"/>
      <c r="G38" s="641"/>
      <c r="H38" s="520"/>
    </row>
    <row r="39" spans="1:8" ht="36" x14ac:dyDescent="0.25">
      <c r="A39" s="510" t="s">
        <v>30</v>
      </c>
      <c r="B39" s="393" t="s">
        <v>231</v>
      </c>
      <c r="C39" s="394" t="s">
        <v>261</v>
      </c>
      <c r="D39" s="394" t="s">
        <v>262</v>
      </c>
      <c r="E39" s="395" t="s">
        <v>178</v>
      </c>
      <c r="F39" s="393" t="s">
        <v>48</v>
      </c>
      <c r="G39" s="395" t="s">
        <v>179</v>
      </c>
      <c r="H39" s="520"/>
    </row>
    <row r="40" spans="1:8" x14ac:dyDescent="0.25">
      <c r="A40" s="390" t="s">
        <v>73</v>
      </c>
      <c r="B40" s="197">
        <v>33</v>
      </c>
      <c r="C40" s="391">
        <v>0.3</v>
      </c>
      <c r="D40" s="392">
        <v>22</v>
      </c>
      <c r="E40" s="197">
        <f>ROUND(((B40-C40)*D40),2)</f>
        <v>719.4</v>
      </c>
      <c r="F40" s="363">
        <v>2</v>
      </c>
      <c r="G40" s="197">
        <f>ROUND((E40*F40),2)</f>
        <v>1438.8</v>
      </c>
      <c r="H40" s="520"/>
    </row>
    <row r="41" spans="1:8" x14ac:dyDescent="0.25">
      <c r="A41" s="390" t="s">
        <v>81</v>
      </c>
      <c r="B41" s="197">
        <v>33</v>
      </c>
      <c r="C41" s="391">
        <v>0.3</v>
      </c>
      <c r="D41" s="392">
        <v>22</v>
      </c>
      <c r="E41" s="197">
        <f t="shared" ref="E41:E46" si="6">ROUND(((B41-C41)*D41),2)</f>
        <v>719.4</v>
      </c>
      <c r="F41" s="363">
        <v>29</v>
      </c>
      <c r="G41" s="197">
        <f t="shared" ref="G41:G46" si="7">ROUND((E41*F41),2)</f>
        <v>20862.599999999999</v>
      </c>
      <c r="H41" s="520"/>
    </row>
    <row r="42" spans="1:8" x14ac:dyDescent="0.25">
      <c r="A42" s="390" t="s">
        <v>85</v>
      </c>
      <c r="B42" s="197">
        <v>33</v>
      </c>
      <c r="C42" s="391">
        <v>0.3</v>
      </c>
      <c r="D42" s="392">
        <v>22</v>
      </c>
      <c r="E42" s="197">
        <f t="shared" si="6"/>
        <v>719.4</v>
      </c>
      <c r="F42" s="363">
        <v>1</v>
      </c>
      <c r="G42" s="197">
        <f t="shared" si="7"/>
        <v>719.4</v>
      </c>
      <c r="H42" s="520"/>
    </row>
    <row r="43" spans="1:8" ht="25.5" x14ac:dyDescent="0.25">
      <c r="A43" s="390" t="s">
        <v>86</v>
      </c>
      <c r="B43" s="197">
        <v>33</v>
      </c>
      <c r="C43" s="391">
        <v>0.3</v>
      </c>
      <c r="D43" s="392">
        <v>22</v>
      </c>
      <c r="E43" s="197">
        <f t="shared" si="6"/>
        <v>719.4</v>
      </c>
      <c r="F43" s="363">
        <v>1</v>
      </c>
      <c r="G43" s="197">
        <f t="shared" si="7"/>
        <v>719.4</v>
      </c>
      <c r="H43" s="520"/>
    </row>
    <row r="44" spans="1:8" x14ac:dyDescent="0.25">
      <c r="A44" s="390" t="s">
        <v>33</v>
      </c>
      <c r="B44" s="197">
        <v>33</v>
      </c>
      <c r="C44" s="391">
        <v>0.3</v>
      </c>
      <c r="D44" s="392">
        <v>22</v>
      </c>
      <c r="E44" s="197">
        <f t="shared" si="6"/>
        <v>719.4</v>
      </c>
      <c r="F44" s="363">
        <v>3</v>
      </c>
      <c r="G44" s="197">
        <f t="shared" si="7"/>
        <v>2158.1999999999998</v>
      </c>
      <c r="H44" s="520"/>
    </row>
    <row r="45" spans="1:8" x14ac:dyDescent="0.25">
      <c r="A45" s="390" t="s">
        <v>34</v>
      </c>
      <c r="B45" s="197">
        <v>33</v>
      </c>
      <c r="C45" s="391">
        <v>0.3</v>
      </c>
      <c r="D45" s="392">
        <v>22</v>
      </c>
      <c r="E45" s="197">
        <f t="shared" si="6"/>
        <v>719.4</v>
      </c>
      <c r="F45" s="130">
        <v>3</v>
      </c>
      <c r="G45" s="197">
        <f t="shared" si="7"/>
        <v>2158.1999999999998</v>
      </c>
      <c r="H45" s="520"/>
    </row>
    <row r="46" spans="1:8" x14ac:dyDescent="0.25">
      <c r="A46" s="390" t="s">
        <v>35</v>
      </c>
      <c r="B46" s="197">
        <v>33</v>
      </c>
      <c r="C46" s="391">
        <v>0.3</v>
      </c>
      <c r="D46" s="392">
        <v>22</v>
      </c>
      <c r="E46" s="197">
        <f t="shared" si="6"/>
        <v>719.4</v>
      </c>
      <c r="F46" s="363">
        <v>16</v>
      </c>
      <c r="G46" s="197">
        <f t="shared" si="7"/>
        <v>11510.4</v>
      </c>
      <c r="H46" s="520"/>
    </row>
    <row r="47" spans="1:8" x14ac:dyDescent="0.25">
      <c r="A47" s="531"/>
      <c r="B47" s="532"/>
      <c r="C47" s="533"/>
      <c r="D47" s="534"/>
      <c r="E47" s="532"/>
      <c r="F47" s="374"/>
      <c r="G47" s="532"/>
      <c r="H47" s="520"/>
    </row>
    <row r="48" spans="1:8" ht="25.5" customHeight="1" x14ac:dyDescent="0.25">
      <c r="A48" s="516"/>
      <c r="B48" s="516"/>
      <c r="C48" s="516"/>
      <c r="D48" s="516"/>
      <c r="E48" s="516"/>
      <c r="F48" s="516"/>
      <c r="G48" s="516"/>
      <c r="H48" s="520"/>
    </row>
    <row r="49" spans="1:8" x14ac:dyDescent="0.25">
      <c r="A49" s="649" t="s">
        <v>372</v>
      </c>
      <c r="B49" s="649"/>
      <c r="C49" s="649"/>
      <c r="D49" s="649"/>
      <c r="E49" s="649"/>
      <c r="F49" s="649"/>
      <c r="G49" s="649"/>
      <c r="H49" s="520"/>
    </row>
    <row r="50" spans="1:8" x14ac:dyDescent="0.25">
      <c r="A50" s="516"/>
      <c r="B50" s="517"/>
      <c r="C50" s="516"/>
      <c r="D50" s="516"/>
      <c r="E50" s="518"/>
      <c r="F50" s="516"/>
      <c r="G50" s="519"/>
      <c r="H50" s="520"/>
    </row>
    <row r="51" spans="1:8" ht="15.75" customHeight="1" x14ac:dyDescent="0.25">
      <c r="A51" s="643" t="s">
        <v>355</v>
      </c>
      <c r="B51" s="644"/>
      <c r="C51" s="644"/>
      <c r="D51" s="644"/>
      <c r="E51" s="644"/>
      <c r="F51" s="644"/>
      <c r="G51" s="645"/>
      <c r="H51" s="520"/>
    </row>
    <row r="52" spans="1:8" x14ac:dyDescent="0.25">
      <c r="A52" s="646" t="s">
        <v>393</v>
      </c>
      <c r="B52" s="647"/>
      <c r="C52" s="647"/>
      <c r="D52" s="647"/>
      <c r="E52" s="647"/>
      <c r="F52" s="647"/>
      <c r="G52" s="648"/>
      <c r="H52" s="520"/>
    </row>
    <row r="53" spans="1:8" ht="36" x14ac:dyDescent="0.25">
      <c r="A53" s="510" t="s">
        <v>30</v>
      </c>
      <c r="B53" s="393" t="s">
        <v>231</v>
      </c>
      <c r="C53" s="394" t="s">
        <v>261</v>
      </c>
      <c r="D53" s="394" t="s">
        <v>262</v>
      </c>
      <c r="E53" s="395" t="s">
        <v>178</v>
      </c>
      <c r="F53" s="393" t="s">
        <v>48</v>
      </c>
      <c r="G53" s="395" t="s">
        <v>179</v>
      </c>
      <c r="H53" s="520"/>
    </row>
    <row r="54" spans="1:8" x14ac:dyDescent="0.25">
      <c r="A54" s="390" t="s">
        <v>73</v>
      </c>
      <c r="B54" s="197">
        <v>33.619999999999997</v>
      </c>
      <c r="C54" s="391" t="s">
        <v>354</v>
      </c>
      <c r="D54" s="392">
        <v>22</v>
      </c>
      <c r="E54" s="197">
        <f>D54*B54</f>
        <v>739.64</v>
      </c>
      <c r="F54" s="363">
        <v>2</v>
      </c>
      <c r="G54" s="197">
        <f>ROUND((E54*F54),2)</f>
        <v>1479.28</v>
      </c>
      <c r="H54" s="520"/>
    </row>
    <row r="55" spans="1:8" x14ac:dyDescent="0.25">
      <c r="A55" s="390" t="s">
        <v>81</v>
      </c>
      <c r="B55" s="197">
        <v>33.619999999999997</v>
      </c>
      <c r="C55" s="391" t="s">
        <v>354</v>
      </c>
      <c r="D55" s="392">
        <v>22</v>
      </c>
      <c r="E55" s="197">
        <f t="shared" ref="E55:E60" si="8">D55*B55</f>
        <v>739.64</v>
      </c>
      <c r="F55" s="363">
        <v>29</v>
      </c>
      <c r="G55" s="197">
        <f t="shared" ref="G55:G60" si="9">ROUND((E55*F55),2)</f>
        <v>21449.56</v>
      </c>
      <c r="H55" s="520"/>
    </row>
    <row r="56" spans="1:8" x14ac:dyDescent="0.25">
      <c r="A56" s="390" t="s">
        <v>85</v>
      </c>
      <c r="B56" s="197">
        <v>33.619999999999997</v>
      </c>
      <c r="C56" s="391" t="s">
        <v>354</v>
      </c>
      <c r="D56" s="392">
        <v>22</v>
      </c>
      <c r="E56" s="197">
        <f t="shared" si="8"/>
        <v>739.64</v>
      </c>
      <c r="F56" s="363">
        <v>1</v>
      </c>
      <c r="G56" s="197">
        <f t="shared" si="9"/>
        <v>739.64</v>
      </c>
      <c r="H56" s="520"/>
    </row>
    <row r="57" spans="1:8" ht="25.5" x14ac:dyDescent="0.25">
      <c r="A57" s="390" t="s">
        <v>86</v>
      </c>
      <c r="B57" s="197">
        <v>33.619999999999997</v>
      </c>
      <c r="C57" s="391" t="s">
        <v>354</v>
      </c>
      <c r="D57" s="392">
        <v>22</v>
      </c>
      <c r="E57" s="197">
        <f t="shared" si="8"/>
        <v>739.64</v>
      </c>
      <c r="F57" s="363">
        <v>1</v>
      </c>
      <c r="G57" s="197">
        <f t="shared" si="9"/>
        <v>739.64</v>
      </c>
      <c r="H57" s="520"/>
    </row>
    <row r="58" spans="1:8" x14ac:dyDescent="0.25">
      <c r="A58" s="390" t="s">
        <v>33</v>
      </c>
      <c r="B58" s="197">
        <v>33.619999999999997</v>
      </c>
      <c r="C58" s="391" t="s">
        <v>354</v>
      </c>
      <c r="D58" s="392">
        <v>22</v>
      </c>
      <c r="E58" s="197">
        <f t="shared" si="8"/>
        <v>739.64</v>
      </c>
      <c r="F58" s="363">
        <v>3</v>
      </c>
      <c r="G58" s="197">
        <f t="shared" si="9"/>
        <v>2218.92</v>
      </c>
      <c r="H58" s="520"/>
    </row>
    <row r="59" spans="1:8" x14ac:dyDescent="0.25">
      <c r="A59" s="390" t="s">
        <v>34</v>
      </c>
      <c r="B59" s="197">
        <v>33.619999999999997</v>
      </c>
      <c r="C59" s="391" t="s">
        <v>354</v>
      </c>
      <c r="D59" s="392">
        <v>22</v>
      </c>
      <c r="E59" s="197">
        <f t="shared" si="8"/>
        <v>739.64</v>
      </c>
      <c r="F59" s="130">
        <v>3</v>
      </c>
      <c r="G59" s="197">
        <f t="shared" si="9"/>
        <v>2218.92</v>
      </c>
      <c r="H59" s="520"/>
    </row>
    <row r="60" spans="1:8" x14ac:dyDescent="0.25">
      <c r="A60" s="390" t="s">
        <v>35</v>
      </c>
      <c r="B60" s="197">
        <v>33.619999999999997</v>
      </c>
      <c r="C60" s="391" t="s">
        <v>354</v>
      </c>
      <c r="D60" s="392">
        <v>22</v>
      </c>
      <c r="E60" s="197">
        <f t="shared" si="8"/>
        <v>739.64</v>
      </c>
      <c r="F60" s="363">
        <v>16</v>
      </c>
      <c r="G60" s="197">
        <f t="shared" si="9"/>
        <v>11834.24</v>
      </c>
      <c r="H60" s="520"/>
    </row>
    <row r="61" spans="1:8" x14ac:dyDescent="0.25">
      <c r="A61" s="531"/>
      <c r="B61" s="532"/>
      <c r="C61" s="533"/>
      <c r="D61" s="534"/>
      <c r="E61" s="532"/>
      <c r="F61" s="374"/>
      <c r="G61" s="532"/>
      <c r="H61" s="520"/>
    </row>
    <row r="62" spans="1:8" ht="15.75" x14ac:dyDescent="0.25">
      <c r="A62" s="643" t="s">
        <v>367</v>
      </c>
      <c r="B62" s="644"/>
      <c r="C62" s="644"/>
      <c r="D62" s="644"/>
      <c r="E62" s="644"/>
      <c r="F62" s="644"/>
      <c r="G62" s="645"/>
      <c r="H62" s="520"/>
    </row>
    <row r="63" spans="1:8" x14ac:dyDescent="0.25">
      <c r="A63" s="646" t="s">
        <v>393</v>
      </c>
      <c r="B63" s="647"/>
      <c r="C63" s="647"/>
      <c r="D63" s="647"/>
      <c r="E63" s="647"/>
      <c r="F63" s="647"/>
      <c r="G63" s="648"/>
      <c r="H63" s="520"/>
    </row>
    <row r="64" spans="1:8" ht="36" x14ac:dyDescent="0.25">
      <c r="A64" s="510" t="s">
        <v>30</v>
      </c>
      <c r="B64" s="393" t="s">
        <v>231</v>
      </c>
      <c r="C64" s="394" t="s">
        <v>261</v>
      </c>
      <c r="D64" s="394" t="s">
        <v>262</v>
      </c>
      <c r="E64" s="395" t="s">
        <v>178</v>
      </c>
      <c r="F64" s="393" t="s">
        <v>48</v>
      </c>
      <c r="G64" s="395" t="s">
        <v>179</v>
      </c>
      <c r="H64" s="520"/>
    </row>
    <row r="65" spans="1:8" x14ac:dyDescent="0.25">
      <c r="A65" s="390" t="s">
        <v>73</v>
      </c>
      <c r="B65" s="197">
        <v>33.619999999999997</v>
      </c>
      <c r="C65" s="391" t="s">
        <v>354</v>
      </c>
      <c r="D65" s="392">
        <v>22</v>
      </c>
      <c r="E65" s="197">
        <f>D65*B65</f>
        <v>739.64</v>
      </c>
      <c r="F65" s="363">
        <v>2</v>
      </c>
      <c r="G65" s="197">
        <f>ROUND((E65*F65),2)</f>
        <v>1479.28</v>
      </c>
      <c r="H65" s="520"/>
    </row>
    <row r="66" spans="1:8" x14ac:dyDescent="0.25">
      <c r="A66" s="390" t="s">
        <v>81</v>
      </c>
      <c r="B66" s="197">
        <v>33.619999999999997</v>
      </c>
      <c r="C66" s="391" t="s">
        <v>354</v>
      </c>
      <c r="D66" s="392">
        <v>22</v>
      </c>
      <c r="E66" s="197">
        <f t="shared" ref="E66:E71" si="10">D66*B66</f>
        <v>739.64</v>
      </c>
      <c r="F66" s="363">
        <v>29</v>
      </c>
      <c r="G66" s="197">
        <f t="shared" ref="G66:G71" si="11">ROUND((E66*F66),2)</f>
        <v>21449.56</v>
      </c>
      <c r="H66" s="520"/>
    </row>
    <row r="67" spans="1:8" x14ac:dyDescent="0.25">
      <c r="A67" s="390" t="s">
        <v>85</v>
      </c>
      <c r="B67" s="197">
        <v>33.619999999999997</v>
      </c>
      <c r="C67" s="391" t="s">
        <v>354</v>
      </c>
      <c r="D67" s="392">
        <v>22</v>
      </c>
      <c r="E67" s="197">
        <f t="shared" si="10"/>
        <v>739.64</v>
      </c>
      <c r="F67" s="363">
        <v>1</v>
      </c>
      <c r="G67" s="197">
        <f t="shared" si="11"/>
        <v>739.64</v>
      </c>
      <c r="H67" s="520"/>
    </row>
    <row r="68" spans="1:8" ht="25.5" x14ac:dyDescent="0.25">
      <c r="A68" s="390" t="s">
        <v>86</v>
      </c>
      <c r="B68" s="197">
        <v>33.619999999999997</v>
      </c>
      <c r="C68" s="391" t="s">
        <v>354</v>
      </c>
      <c r="D68" s="392">
        <v>22</v>
      </c>
      <c r="E68" s="197">
        <f t="shared" si="10"/>
        <v>739.64</v>
      </c>
      <c r="F68" s="363">
        <v>1</v>
      </c>
      <c r="G68" s="197">
        <f t="shared" si="11"/>
        <v>739.64</v>
      </c>
      <c r="H68" s="520"/>
    </row>
    <row r="69" spans="1:8" x14ac:dyDescent="0.25">
      <c r="A69" s="390" t="s">
        <v>33</v>
      </c>
      <c r="B69" s="197">
        <v>33.619999999999997</v>
      </c>
      <c r="C69" s="391" t="s">
        <v>354</v>
      </c>
      <c r="D69" s="392">
        <v>22</v>
      </c>
      <c r="E69" s="197">
        <f t="shared" si="10"/>
        <v>739.64</v>
      </c>
      <c r="F69" s="363">
        <v>3</v>
      </c>
      <c r="G69" s="197">
        <f t="shared" si="11"/>
        <v>2218.92</v>
      </c>
      <c r="H69" s="520"/>
    </row>
    <row r="70" spans="1:8" x14ac:dyDescent="0.25">
      <c r="A70" s="390" t="s">
        <v>34</v>
      </c>
      <c r="B70" s="197">
        <v>33.619999999999997</v>
      </c>
      <c r="C70" s="391" t="s">
        <v>354</v>
      </c>
      <c r="D70" s="392">
        <v>22</v>
      </c>
      <c r="E70" s="197">
        <f t="shared" si="10"/>
        <v>739.64</v>
      </c>
      <c r="F70" s="130">
        <v>3</v>
      </c>
      <c r="G70" s="197">
        <f t="shared" si="11"/>
        <v>2218.92</v>
      </c>
      <c r="H70" s="520"/>
    </row>
    <row r="71" spans="1:8" x14ac:dyDescent="0.25">
      <c r="A71" s="390" t="s">
        <v>35</v>
      </c>
      <c r="B71" s="197">
        <v>33.619999999999997</v>
      </c>
      <c r="C71" s="391" t="s">
        <v>354</v>
      </c>
      <c r="D71" s="392">
        <v>22</v>
      </c>
      <c r="E71" s="197">
        <f t="shared" si="10"/>
        <v>739.64</v>
      </c>
      <c r="F71" s="363">
        <v>19</v>
      </c>
      <c r="G71" s="197">
        <f t="shared" si="11"/>
        <v>14053.16</v>
      </c>
      <c r="H71" s="520"/>
    </row>
    <row r="72" spans="1:8" x14ac:dyDescent="0.25">
      <c r="A72" s="531"/>
      <c r="B72" s="532"/>
      <c r="C72" s="533"/>
      <c r="D72" s="534"/>
      <c r="E72" s="532"/>
      <c r="F72" s="374"/>
      <c r="G72" s="532"/>
      <c r="H72" s="520"/>
    </row>
    <row r="73" spans="1:8" x14ac:dyDescent="0.25">
      <c r="A73" s="531"/>
      <c r="B73" s="532"/>
      <c r="C73" s="533"/>
      <c r="D73" s="534"/>
      <c r="E73" s="532"/>
      <c r="F73" s="374"/>
      <c r="G73" s="532"/>
      <c r="H73" s="520"/>
    </row>
    <row r="74" spans="1:8" x14ac:dyDescent="0.25">
      <c r="A74" s="531"/>
      <c r="B74" s="532"/>
      <c r="C74" s="533"/>
      <c r="D74" s="534"/>
      <c r="E74" s="532"/>
      <c r="F74" s="374"/>
      <c r="G74" s="532"/>
      <c r="H74" s="520"/>
    </row>
    <row r="75" spans="1:8" x14ac:dyDescent="0.25">
      <c r="A75" s="531"/>
      <c r="B75" s="532"/>
      <c r="C75" s="533"/>
      <c r="D75" s="534"/>
      <c r="E75" s="532"/>
      <c r="F75" s="374"/>
      <c r="G75" s="532"/>
      <c r="H75" s="520"/>
    </row>
    <row r="76" spans="1:8" ht="25.5" customHeight="1" x14ac:dyDescent="0.25">
      <c r="A76" s="650" t="s">
        <v>371</v>
      </c>
      <c r="B76" s="650"/>
      <c r="C76" s="650"/>
      <c r="D76" s="650"/>
      <c r="E76" s="650"/>
      <c r="F76" s="650"/>
      <c r="G76" s="650"/>
      <c r="H76" s="520"/>
    </row>
    <row r="77" spans="1:8" x14ac:dyDescent="0.25">
      <c r="A77" s="531"/>
      <c r="B77" s="532"/>
      <c r="C77" s="533"/>
      <c r="D77" s="534"/>
      <c r="E77" s="532"/>
      <c r="F77" s="374"/>
      <c r="G77" s="532"/>
      <c r="H77" s="520"/>
    </row>
    <row r="78" spans="1:8" ht="15.75" x14ac:dyDescent="0.25">
      <c r="A78" s="642" t="s">
        <v>356</v>
      </c>
      <c r="B78" s="642"/>
      <c r="C78" s="642"/>
      <c r="D78" s="642"/>
      <c r="E78" s="642"/>
      <c r="F78" s="642"/>
      <c r="G78" s="532"/>
      <c r="H78" s="520"/>
    </row>
    <row r="79" spans="1:8" x14ac:dyDescent="0.25">
      <c r="A79" s="641" t="s">
        <v>180</v>
      </c>
      <c r="B79" s="641"/>
      <c r="C79" s="641"/>
      <c r="D79" s="641"/>
      <c r="E79" s="641"/>
      <c r="F79" s="641"/>
      <c r="G79" s="532"/>
      <c r="H79" s="520"/>
    </row>
    <row r="80" spans="1:8" ht="24" x14ac:dyDescent="0.25">
      <c r="A80" s="510" t="s">
        <v>30</v>
      </c>
      <c r="B80" s="393" t="s">
        <v>181</v>
      </c>
      <c r="C80" s="393" t="s">
        <v>182</v>
      </c>
      <c r="D80" s="510" t="s">
        <v>271</v>
      </c>
      <c r="E80" s="395" t="s">
        <v>183</v>
      </c>
      <c r="F80" s="510" t="s">
        <v>232</v>
      </c>
      <c r="G80" s="532"/>
      <c r="H80" s="520"/>
    </row>
    <row r="81" spans="1:8" x14ac:dyDescent="0.25">
      <c r="A81" s="390" t="s">
        <v>73</v>
      </c>
      <c r="B81" s="197">
        <v>3159.95</v>
      </c>
      <c r="C81" s="197">
        <f t="shared" ref="C81:C87" si="12">ROUND((F90*D81),2)</f>
        <v>220</v>
      </c>
      <c r="D81" s="392">
        <v>22</v>
      </c>
      <c r="E81" s="197">
        <f>ROUND((B81*6%),2)</f>
        <v>189.6</v>
      </c>
      <c r="F81" s="391">
        <f t="shared" ref="F81:F87" si="13">C81-E81</f>
        <v>30.400000000000006</v>
      </c>
      <c r="G81" s="532"/>
      <c r="H81" s="520"/>
    </row>
    <row r="82" spans="1:8" x14ac:dyDescent="0.25">
      <c r="A82" s="390" t="s">
        <v>81</v>
      </c>
      <c r="B82" s="197">
        <v>1237.23</v>
      </c>
      <c r="C82" s="197">
        <f t="shared" si="12"/>
        <v>220</v>
      </c>
      <c r="D82" s="392">
        <v>22</v>
      </c>
      <c r="E82" s="197">
        <f t="shared" ref="E82:E87" si="14">ROUND((B82*6%),2)</f>
        <v>74.23</v>
      </c>
      <c r="F82" s="391">
        <f t="shared" si="13"/>
        <v>145.76999999999998</v>
      </c>
      <c r="G82" s="532"/>
      <c r="H82" s="520"/>
    </row>
    <row r="83" spans="1:8" x14ac:dyDescent="0.25">
      <c r="A83" s="390" t="s">
        <v>85</v>
      </c>
      <c r="B83" s="197">
        <v>1237.23</v>
      </c>
      <c r="C83" s="197">
        <f t="shared" si="12"/>
        <v>220</v>
      </c>
      <c r="D83" s="392">
        <v>22</v>
      </c>
      <c r="E83" s="197">
        <f t="shared" si="14"/>
        <v>74.23</v>
      </c>
      <c r="F83" s="391">
        <f t="shared" si="13"/>
        <v>145.76999999999998</v>
      </c>
      <c r="G83" s="532"/>
      <c r="H83" s="520"/>
    </row>
    <row r="84" spans="1:8" ht="25.5" x14ac:dyDescent="0.25">
      <c r="A84" s="390" t="s">
        <v>86</v>
      </c>
      <c r="B84" s="197">
        <v>1237.23</v>
      </c>
      <c r="C84" s="197">
        <f t="shared" si="12"/>
        <v>220</v>
      </c>
      <c r="D84" s="392">
        <v>22</v>
      </c>
      <c r="E84" s="197">
        <f t="shared" si="14"/>
        <v>74.23</v>
      </c>
      <c r="F84" s="391">
        <f t="shared" si="13"/>
        <v>145.76999999999998</v>
      </c>
      <c r="G84" s="532"/>
      <c r="H84" s="520"/>
    </row>
    <row r="85" spans="1:8" x14ac:dyDescent="0.25">
      <c r="A85" s="390" t="s">
        <v>33</v>
      </c>
      <c r="B85" s="197">
        <v>1826.64</v>
      </c>
      <c r="C85" s="197">
        <f t="shared" si="12"/>
        <v>220</v>
      </c>
      <c r="D85" s="392">
        <v>22</v>
      </c>
      <c r="E85" s="197">
        <f t="shared" si="14"/>
        <v>109.6</v>
      </c>
      <c r="F85" s="391">
        <f t="shared" si="13"/>
        <v>110.4</v>
      </c>
      <c r="G85" s="532"/>
      <c r="H85" s="520"/>
    </row>
    <row r="86" spans="1:8" x14ac:dyDescent="0.25">
      <c r="A86" s="390" t="s">
        <v>34</v>
      </c>
      <c r="B86" s="197">
        <v>1237.23</v>
      </c>
      <c r="C86" s="197">
        <f t="shared" si="12"/>
        <v>220</v>
      </c>
      <c r="D86" s="392">
        <v>22</v>
      </c>
      <c r="E86" s="197">
        <f t="shared" si="14"/>
        <v>74.23</v>
      </c>
      <c r="F86" s="391">
        <f t="shared" si="13"/>
        <v>145.76999999999998</v>
      </c>
      <c r="G86" s="532"/>
      <c r="H86" s="520"/>
    </row>
    <row r="87" spans="1:8" x14ac:dyDescent="0.25">
      <c r="A87" s="390" t="s">
        <v>35</v>
      </c>
      <c r="B87" s="197">
        <v>1826.64</v>
      </c>
      <c r="C87" s="197">
        <f t="shared" si="12"/>
        <v>220</v>
      </c>
      <c r="D87" s="392">
        <v>22</v>
      </c>
      <c r="E87" s="197">
        <f t="shared" si="14"/>
        <v>109.6</v>
      </c>
      <c r="F87" s="391">
        <f t="shared" si="13"/>
        <v>110.4</v>
      </c>
      <c r="G87" s="532"/>
      <c r="H87" s="520"/>
    </row>
    <row r="88" spans="1:8" x14ac:dyDescent="0.25">
      <c r="A88" s="641" t="s">
        <v>184</v>
      </c>
      <c r="B88" s="641"/>
      <c r="C88" s="641"/>
      <c r="D88" s="641"/>
      <c r="E88" s="641"/>
      <c r="F88" s="641"/>
      <c r="G88" s="532"/>
      <c r="H88" s="520"/>
    </row>
    <row r="89" spans="1:8" ht="36" x14ac:dyDescent="0.25">
      <c r="A89" s="510" t="s">
        <v>30</v>
      </c>
      <c r="B89" s="393" t="s">
        <v>248</v>
      </c>
      <c r="C89" s="393" t="s">
        <v>247</v>
      </c>
      <c r="D89" s="393" t="s">
        <v>249</v>
      </c>
      <c r="E89" s="395" t="s">
        <v>185</v>
      </c>
      <c r="F89" s="510" t="s">
        <v>186</v>
      </c>
      <c r="G89" s="532"/>
      <c r="H89" s="520"/>
    </row>
    <row r="90" spans="1:8" x14ac:dyDescent="0.25">
      <c r="A90" s="390" t="s">
        <v>73</v>
      </c>
      <c r="B90" s="197">
        <v>5</v>
      </c>
      <c r="C90" s="391" t="s">
        <v>354</v>
      </c>
      <c r="D90" s="391" t="s">
        <v>354</v>
      </c>
      <c r="E90" s="197">
        <v>5</v>
      </c>
      <c r="F90" s="530">
        <f>SUM(B90:E90)</f>
        <v>10</v>
      </c>
      <c r="G90" s="532"/>
      <c r="H90" s="520"/>
    </row>
    <row r="91" spans="1:8" x14ac:dyDescent="0.25">
      <c r="A91" s="390" t="s">
        <v>81</v>
      </c>
      <c r="B91" s="197">
        <v>5</v>
      </c>
      <c r="C91" s="391" t="s">
        <v>354</v>
      </c>
      <c r="D91" s="391" t="s">
        <v>354</v>
      </c>
      <c r="E91" s="197">
        <v>5</v>
      </c>
      <c r="F91" s="530">
        <f t="shared" ref="F91:F96" si="15">SUM(B91:E91)</f>
        <v>10</v>
      </c>
      <c r="G91" s="532"/>
      <c r="H91" s="520"/>
    </row>
    <row r="92" spans="1:8" x14ac:dyDescent="0.25">
      <c r="A92" s="390" t="s">
        <v>85</v>
      </c>
      <c r="B92" s="197">
        <v>5</v>
      </c>
      <c r="C92" s="391" t="s">
        <v>354</v>
      </c>
      <c r="D92" s="391" t="s">
        <v>354</v>
      </c>
      <c r="E92" s="197">
        <v>5</v>
      </c>
      <c r="F92" s="530">
        <f t="shared" si="15"/>
        <v>10</v>
      </c>
      <c r="G92" s="532"/>
      <c r="H92" s="520"/>
    </row>
    <row r="93" spans="1:8" ht="25.5" x14ac:dyDescent="0.25">
      <c r="A93" s="390" t="s">
        <v>86</v>
      </c>
      <c r="B93" s="197">
        <v>5</v>
      </c>
      <c r="C93" s="391" t="s">
        <v>354</v>
      </c>
      <c r="D93" s="391" t="s">
        <v>354</v>
      </c>
      <c r="E93" s="197">
        <v>5</v>
      </c>
      <c r="F93" s="530">
        <f t="shared" si="15"/>
        <v>10</v>
      </c>
      <c r="G93" s="532"/>
      <c r="H93" s="520"/>
    </row>
    <row r="94" spans="1:8" x14ac:dyDescent="0.25">
      <c r="A94" s="390" t="s">
        <v>33</v>
      </c>
      <c r="B94" s="197">
        <v>5</v>
      </c>
      <c r="C94" s="391" t="s">
        <v>354</v>
      </c>
      <c r="D94" s="391" t="s">
        <v>354</v>
      </c>
      <c r="E94" s="197">
        <v>5</v>
      </c>
      <c r="F94" s="530">
        <f t="shared" si="15"/>
        <v>10</v>
      </c>
      <c r="G94" s="532"/>
      <c r="H94" s="520"/>
    </row>
    <row r="95" spans="1:8" x14ac:dyDescent="0.25">
      <c r="A95" s="390" t="s">
        <v>34</v>
      </c>
      <c r="B95" s="197">
        <v>5</v>
      </c>
      <c r="C95" s="391" t="s">
        <v>354</v>
      </c>
      <c r="D95" s="391" t="s">
        <v>354</v>
      </c>
      <c r="E95" s="197">
        <v>5</v>
      </c>
      <c r="F95" s="530">
        <f t="shared" si="15"/>
        <v>10</v>
      </c>
      <c r="G95" s="532"/>
      <c r="H95" s="520"/>
    </row>
    <row r="96" spans="1:8" ht="15" x14ac:dyDescent="0.25">
      <c r="A96" s="390" t="s">
        <v>35</v>
      </c>
      <c r="B96" s="197">
        <v>5</v>
      </c>
      <c r="C96" s="391" t="s">
        <v>354</v>
      </c>
      <c r="D96" s="391" t="s">
        <v>354</v>
      </c>
      <c r="E96" s="197">
        <v>5</v>
      </c>
      <c r="F96" s="530">
        <f t="shared" si="15"/>
        <v>10</v>
      </c>
      <c r="G96" s="527"/>
      <c r="H96" s="520"/>
    </row>
    <row r="97" spans="1:11" s="360" customFormat="1" ht="15" x14ac:dyDescent="0.25">
      <c r="A97" s="531"/>
      <c r="B97" s="532"/>
      <c r="C97" s="533"/>
      <c r="D97" s="533"/>
      <c r="E97" s="532"/>
      <c r="F97" s="535"/>
      <c r="G97" s="536"/>
      <c r="H97" s="531"/>
    </row>
    <row r="98" spans="1:11" s="360" customFormat="1" ht="15" x14ac:dyDescent="0.25">
      <c r="A98" s="531"/>
      <c r="B98" s="532"/>
      <c r="C98" s="533"/>
      <c r="D98" s="533"/>
      <c r="E98" s="532"/>
      <c r="F98" s="535"/>
      <c r="G98" s="536"/>
      <c r="H98" s="531"/>
    </row>
    <row r="99" spans="1:11" ht="15.75" x14ac:dyDescent="0.25">
      <c r="A99" s="642" t="s">
        <v>357</v>
      </c>
      <c r="B99" s="642"/>
      <c r="C99" s="642"/>
      <c r="D99" s="642"/>
      <c r="E99" s="642"/>
      <c r="F99" s="642"/>
      <c r="G99" s="519"/>
      <c r="H99" s="520"/>
    </row>
    <row r="100" spans="1:11" x14ac:dyDescent="0.25">
      <c r="A100" s="641" t="s">
        <v>180</v>
      </c>
      <c r="B100" s="641"/>
      <c r="C100" s="641"/>
      <c r="D100" s="641"/>
      <c r="E100" s="641"/>
      <c r="F100" s="641"/>
      <c r="G100" s="519"/>
      <c r="H100" s="520"/>
    </row>
    <row r="101" spans="1:11" ht="24" x14ac:dyDescent="0.25">
      <c r="A101" s="510" t="s">
        <v>30</v>
      </c>
      <c r="B101" s="393" t="s">
        <v>181</v>
      </c>
      <c r="C101" s="393" t="s">
        <v>182</v>
      </c>
      <c r="D101" s="510" t="s">
        <v>271</v>
      </c>
      <c r="E101" s="395" t="s">
        <v>183</v>
      </c>
      <c r="F101" s="510" t="s">
        <v>232</v>
      </c>
      <c r="G101" s="528"/>
      <c r="H101" s="520"/>
    </row>
    <row r="102" spans="1:11" x14ac:dyDescent="0.25">
      <c r="A102" s="390" t="s">
        <v>73</v>
      </c>
      <c r="B102" s="197">
        <f>encarregado!L9</f>
        <v>3159.9500000000003</v>
      </c>
      <c r="C102" s="197">
        <f t="shared" ref="C102:C108" si="16">ROUND((F111*D102),2)</f>
        <v>242</v>
      </c>
      <c r="D102" s="392">
        <v>22</v>
      </c>
      <c r="E102" s="197">
        <f>ROUND((B102*6%),2)</f>
        <v>189.6</v>
      </c>
      <c r="F102" s="391">
        <f t="shared" ref="F102:F108" si="17">C102-E102</f>
        <v>52.400000000000006</v>
      </c>
      <c r="G102" s="518"/>
      <c r="H102" s="520"/>
    </row>
    <row r="103" spans="1:11" x14ac:dyDescent="0.25">
      <c r="A103" s="390" t="s">
        <v>81</v>
      </c>
      <c r="B103" s="197">
        <f>servente!L7</f>
        <v>1237.23</v>
      </c>
      <c r="C103" s="197">
        <f t="shared" si="16"/>
        <v>242</v>
      </c>
      <c r="D103" s="392">
        <v>22</v>
      </c>
      <c r="E103" s="197">
        <f t="shared" ref="E103:E108" si="18">ROUND((B103*6%),2)</f>
        <v>74.23</v>
      </c>
      <c r="F103" s="391">
        <f>C103-E103</f>
        <v>167.76999999999998</v>
      </c>
      <c r="G103" s="518"/>
      <c r="H103" s="520"/>
    </row>
    <row r="104" spans="1:11" x14ac:dyDescent="0.25">
      <c r="A104" s="390" t="s">
        <v>85</v>
      </c>
      <c r="B104" s="197">
        <f>mensageiro!L7</f>
        <v>1237.23</v>
      </c>
      <c r="C104" s="197">
        <f t="shared" si="16"/>
        <v>242</v>
      </c>
      <c r="D104" s="392">
        <v>22</v>
      </c>
      <c r="E104" s="197">
        <f t="shared" si="18"/>
        <v>74.23</v>
      </c>
      <c r="F104" s="391">
        <f t="shared" si="17"/>
        <v>167.76999999999998</v>
      </c>
      <c r="G104" s="518"/>
      <c r="H104" s="520"/>
    </row>
    <row r="105" spans="1:11" ht="25.5" x14ac:dyDescent="0.25">
      <c r="A105" s="390" t="s">
        <v>86</v>
      </c>
      <c r="B105" s="197">
        <f>'op.maq.reprografica'!L7</f>
        <v>1237.23</v>
      </c>
      <c r="C105" s="197">
        <f t="shared" si="16"/>
        <v>242</v>
      </c>
      <c r="D105" s="392">
        <v>22</v>
      </c>
      <c r="E105" s="197">
        <f t="shared" si="18"/>
        <v>74.23</v>
      </c>
      <c r="F105" s="391">
        <f t="shared" si="17"/>
        <v>167.76999999999998</v>
      </c>
      <c r="G105" s="518"/>
      <c r="H105" s="520"/>
      <c r="K105" s="85">
        <f>22*11</f>
        <v>242</v>
      </c>
    </row>
    <row r="106" spans="1:11" x14ac:dyDescent="0.25">
      <c r="A106" s="390" t="s">
        <v>33</v>
      </c>
      <c r="B106" s="197">
        <f>garcom!L6</f>
        <v>1826.64</v>
      </c>
      <c r="C106" s="197">
        <f t="shared" si="16"/>
        <v>242</v>
      </c>
      <c r="D106" s="392">
        <v>22</v>
      </c>
      <c r="E106" s="197">
        <f t="shared" si="18"/>
        <v>109.6</v>
      </c>
      <c r="F106" s="391">
        <f t="shared" si="17"/>
        <v>132.4</v>
      </c>
      <c r="G106" s="518"/>
      <c r="H106" s="520"/>
    </row>
    <row r="107" spans="1:11" x14ac:dyDescent="0.25">
      <c r="A107" s="390" t="s">
        <v>34</v>
      </c>
      <c r="B107" s="197">
        <f>copeira!M7</f>
        <v>1237.23</v>
      </c>
      <c r="C107" s="197">
        <f t="shared" si="16"/>
        <v>242</v>
      </c>
      <c r="D107" s="392">
        <v>22</v>
      </c>
      <c r="E107" s="197">
        <f t="shared" si="18"/>
        <v>74.23</v>
      </c>
      <c r="F107" s="391">
        <f t="shared" si="17"/>
        <v>167.76999999999998</v>
      </c>
      <c r="G107" s="518"/>
      <c r="H107" s="520"/>
    </row>
    <row r="108" spans="1:11" x14ac:dyDescent="0.25">
      <c r="A108" s="390" t="s">
        <v>35</v>
      </c>
      <c r="B108" s="197">
        <f>recepcionista!M7</f>
        <v>1826.64</v>
      </c>
      <c r="C108" s="197">
        <f t="shared" si="16"/>
        <v>242</v>
      </c>
      <c r="D108" s="392">
        <v>22</v>
      </c>
      <c r="E108" s="197">
        <f t="shared" si="18"/>
        <v>109.6</v>
      </c>
      <c r="F108" s="391">
        <f t="shared" si="17"/>
        <v>132.4</v>
      </c>
      <c r="G108" s="518"/>
      <c r="H108" s="520"/>
    </row>
    <row r="109" spans="1:11" x14ac:dyDescent="0.25">
      <c r="A109" s="641" t="s">
        <v>184</v>
      </c>
      <c r="B109" s="641"/>
      <c r="C109" s="641"/>
      <c r="D109" s="641"/>
      <c r="E109" s="641"/>
      <c r="F109" s="641"/>
      <c r="G109" s="519"/>
      <c r="H109" s="520"/>
    </row>
    <row r="110" spans="1:11" ht="36" x14ac:dyDescent="0.25">
      <c r="A110" s="510" t="s">
        <v>30</v>
      </c>
      <c r="B110" s="393" t="s">
        <v>248</v>
      </c>
      <c r="C110" s="393" t="s">
        <v>247</v>
      </c>
      <c r="D110" s="393" t="s">
        <v>249</v>
      </c>
      <c r="E110" s="395" t="s">
        <v>185</v>
      </c>
      <c r="F110" s="510" t="s">
        <v>186</v>
      </c>
      <c r="G110" s="529"/>
      <c r="H110" s="520"/>
    </row>
    <row r="111" spans="1:11" x14ac:dyDescent="0.25">
      <c r="A111" s="390" t="s">
        <v>73</v>
      </c>
      <c r="B111" s="197">
        <v>5.5</v>
      </c>
      <c r="C111" s="197">
        <v>0</v>
      </c>
      <c r="D111" s="197">
        <v>0</v>
      </c>
      <c r="E111" s="391">
        <v>5.5</v>
      </c>
      <c r="F111" s="530">
        <f t="shared" ref="F111:F117" si="19">B111+C111+D111+E111</f>
        <v>11</v>
      </c>
      <c r="G111" s="519"/>
      <c r="H111" s="520"/>
    </row>
    <row r="112" spans="1:11" x14ac:dyDescent="0.25">
      <c r="A112" s="390" t="s">
        <v>81</v>
      </c>
      <c r="B112" s="197">
        <v>5.5</v>
      </c>
      <c r="C112" s="197">
        <v>0</v>
      </c>
      <c r="D112" s="197">
        <v>0</v>
      </c>
      <c r="E112" s="391">
        <v>5.5</v>
      </c>
      <c r="F112" s="530">
        <f t="shared" si="19"/>
        <v>11</v>
      </c>
      <c r="G112" s="519"/>
      <c r="H112" s="520"/>
    </row>
    <row r="113" spans="1:8" x14ac:dyDescent="0.25">
      <c r="A113" s="390" t="s">
        <v>85</v>
      </c>
      <c r="B113" s="197">
        <v>5.5</v>
      </c>
      <c r="C113" s="197">
        <v>0</v>
      </c>
      <c r="D113" s="197">
        <v>0</v>
      </c>
      <c r="E113" s="391">
        <v>5.5</v>
      </c>
      <c r="F113" s="530">
        <f t="shared" si="19"/>
        <v>11</v>
      </c>
      <c r="G113" s="519"/>
      <c r="H113" s="520"/>
    </row>
    <row r="114" spans="1:8" ht="25.5" x14ac:dyDescent="0.25">
      <c r="A114" s="390" t="s">
        <v>86</v>
      </c>
      <c r="B114" s="197">
        <v>5.5</v>
      </c>
      <c r="C114" s="197">
        <v>0</v>
      </c>
      <c r="D114" s="197">
        <v>0</v>
      </c>
      <c r="E114" s="391">
        <v>5.5</v>
      </c>
      <c r="F114" s="530">
        <f t="shared" si="19"/>
        <v>11</v>
      </c>
      <c r="G114" s="519"/>
      <c r="H114" s="520"/>
    </row>
    <row r="115" spans="1:8" x14ac:dyDescent="0.25">
      <c r="A115" s="390" t="s">
        <v>33</v>
      </c>
      <c r="B115" s="197">
        <v>5.5</v>
      </c>
      <c r="C115" s="197">
        <v>0</v>
      </c>
      <c r="D115" s="197">
        <v>0</v>
      </c>
      <c r="E115" s="391">
        <v>5.5</v>
      </c>
      <c r="F115" s="530">
        <f t="shared" si="19"/>
        <v>11</v>
      </c>
      <c r="G115" s="519"/>
      <c r="H115" s="520"/>
    </row>
    <row r="116" spans="1:8" x14ac:dyDescent="0.25">
      <c r="A116" s="390" t="s">
        <v>34</v>
      </c>
      <c r="B116" s="197">
        <v>5.5</v>
      </c>
      <c r="C116" s="197">
        <v>0</v>
      </c>
      <c r="D116" s="197">
        <v>0</v>
      </c>
      <c r="E116" s="391">
        <v>5.5</v>
      </c>
      <c r="F116" s="530">
        <f t="shared" si="19"/>
        <v>11</v>
      </c>
      <c r="G116" s="519"/>
      <c r="H116" s="520"/>
    </row>
    <row r="117" spans="1:8" x14ac:dyDescent="0.25">
      <c r="A117" s="390" t="s">
        <v>35</v>
      </c>
      <c r="B117" s="197">
        <v>5.5</v>
      </c>
      <c r="C117" s="197">
        <v>0</v>
      </c>
      <c r="D117" s="197">
        <v>0</v>
      </c>
      <c r="E117" s="391">
        <v>5.5</v>
      </c>
      <c r="F117" s="530">
        <f t="shared" si="19"/>
        <v>11</v>
      </c>
      <c r="G117" s="519"/>
      <c r="H117" s="520"/>
    </row>
    <row r="118" spans="1:8" x14ac:dyDescent="0.25">
      <c r="A118" s="516"/>
      <c r="B118" s="517"/>
      <c r="C118" s="516"/>
      <c r="D118" s="516"/>
      <c r="E118" s="518"/>
      <c r="F118" s="516"/>
      <c r="G118" s="519"/>
      <c r="H118" s="520"/>
    </row>
    <row r="119" spans="1:8" x14ac:dyDescent="0.25">
      <c r="A119" s="516"/>
      <c r="B119" s="517"/>
      <c r="C119" s="516"/>
      <c r="D119" s="516"/>
      <c r="E119" s="518"/>
      <c r="F119" s="516"/>
      <c r="G119" s="519"/>
      <c r="H119" s="520"/>
    </row>
    <row r="120" spans="1:8" x14ac:dyDescent="0.25">
      <c r="A120" s="516"/>
      <c r="B120" s="517"/>
      <c r="C120" s="516"/>
      <c r="D120" s="516"/>
      <c r="E120" s="518"/>
      <c r="F120" s="516"/>
      <c r="G120" s="519"/>
      <c r="H120" s="520"/>
    </row>
    <row r="121" spans="1:8" x14ac:dyDescent="0.25">
      <c r="A121" s="649" t="s">
        <v>395</v>
      </c>
      <c r="B121" s="649"/>
      <c r="C121" s="649"/>
      <c r="D121" s="649"/>
      <c r="E121" s="649"/>
      <c r="F121" s="649"/>
      <c r="G121" s="649"/>
      <c r="H121" s="520"/>
    </row>
    <row r="122" spans="1:8" x14ac:dyDescent="0.25">
      <c r="A122" s="516"/>
      <c r="B122" s="517"/>
      <c r="C122" s="516"/>
      <c r="D122" s="516"/>
      <c r="E122" s="518"/>
      <c r="F122" s="516"/>
      <c r="G122" s="519"/>
      <c r="H122" s="520"/>
    </row>
    <row r="123" spans="1:8" x14ac:dyDescent="0.25">
      <c r="A123" s="516"/>
      <c r="B123" s="517"/>
      <c r="C123" s="516"/>
      <c r="D123" s="516"/>
      <c r="E123" s="518"/>
      <c r="F123" s="516"/>
      <c r="G123" s="519"/>
      <c r="H123" s="520"/>
    </row>
    <row r="124" spans="1:8" ht="15.75" x14ac:dyDescent="0.25">
      <c r="A124" s="643" t="s">
        <v>394</v>
      </c>
      <c r="B124" s="644"/>
      <c r="C124" s="644"/>
      <c r="D124" s="644"/>
      <c r="E124" s="644"/>
      <c r="F124" s="644"/>
      <c r="G124" s="645"/>
      <c r="H124" s="520"/>
    </row>
    <row r="125" spans="1:8" x14ac:dyDescent="0.25">
      <c r="A125" s="646" t="s">
        <v>393</v>
      </c>
      <c r="B125" s="647"/>
      <c r="C125" s="647"/>
      <c r="D125" s="647"/>
      <c r="E125" s="647"/>
      <c r="F125" s="647"/>
      <c r="G125" s="648"/>
      <c r="H125" s="520"/>
    </row>
    <row r="126" spans="1:8" ht="36" x14ac:dyDescent="0.25">
      <c r="A126" s="510" t="s">
        <v>30</v>
      </c>
      <c r="B126" s="393" t="s">
        <v>231</v>
      </c>
      <c r="C126" s="394" t="s">
        <v>261</v>
      </c>
      <c r="D126" s="394" t="s">
        <v>262</v>
      </c>
      <c r="E126" s="395" t="s">
        <v>178</v>
      </c>
      <c r="F126" s="393" t="s">
        <v>48</v>
      </c>
      <c r="G126" s="395" t="s">
        <v>179</v>
      </c>
      <c r="H126" s="520"/>
    </row>
    <row r="127" spans="1:8" x14ac:dyDescent="0.25">
      <c r="A127" s="390" t="s">
        <v>73</v>
      </c>
      <c r="B127" s="197">
        <v>33.619999999999997</v>
      </c>
      <c r="C127" s="391" t="s">
        <v>354</v>
      </c>
      <c r="D127" s="392">
        <v>22</v>
      </c>
      <c r="E127" s="197">
        <f t="shared" ref="E127:E133" si="20">D127*B127</f>
        <v>739.64</v>
      </c>
      <c r="F127" s="363">
        <v>2</v>
      </c>
      <c r="G127" s="197">
        <f t="shared" ref="G127:G133" si="21">ROUND((E127*F127),2)</f>
        <v>1479.28</v>
      </c>
      <c r="H127" s="520"/>
    </row>
    <row r="128" spans="1:8" x14ac:dyDescent="0.25">
      <c r="A128" s="390" t="s">
        <v>81</v>
      </c>
      <c r="B128" s="197">
        <v>33.619999999999997</v>
      </c>
      <c r="C128" s="391" t="s">
        <v>354</v>
      </c>
      <c r="D128" s="392">
        <v>22</v>
      </c>
      <c r="E128" s="197">
        <f t="shared" si="20"/>
        <v>739.64</v>
      </c>
      <c r="F128" s="363">
        <v>29</v>
      </c>
      <c r="G128" s="197">
        <f t="shared" si="21"/>
        <v>21449.56</v>
      </c>
      <c r="H128" s="520"/>
    </row>
    <row r="129" spans="1:8" x14ac:dyDescent="0.25">
      <c r="A129" s="390" t="s">
        <v>85</v>
      </c>
      <c r="B129" s="197">
        <v>33.619999999999997</v>
      </c>
      <c r="C129" s="391" t="s">
        <v>354</v>
      </c>
      <c r="D129" s="392">
        <v>22</v>
      </c>
      <c r="E129" s="197">
        <f t="shared" si="20"/>
        <v>739.64</v>
      </c>
      <c r="F129" s="363">
        <v>1</v>
      </c>
      <c r="G129" s="197">
        <f t="shared" si="21"/>
        <v>739.64</v>
      </c>
      <c r="H129" s="520"/>
    </row>
    <row r="130" spans="1:8" ht="25.5" x14ac:dyDescent="0.25">
      <c r="A130" s="390" t="s">
        <v>86</v>
      </c>
      <c r="B130" s="197">
        <v>33.619999999999997</v>
      </c>
      <c r="C130" s="391" t="s">
        <v>354</v>
      </c>
      <c r="D130" s="392">
        <v>22</v>
      </c>
      <c r="E130" s="197">
        <f t="shared" si="20"/>
        <v>739.64</v>
      </c>
      <c r="F130" s="363">
        <v>1</v>
      </c>
      <c r="G130" s="197">
        <f t="shared" si="21"/>
        <v>739.64</v>
      </c>
      <c r="H130" s="520"/>
    </row>
    <row r="131" spans="1:8" x14ac:dyDescent="0.25">
      <c r="A131" s="390" t="s">
        <v>33</v>
      </c>
      <c r="B131" s="197">
        <v>33.619999999999997</v>
      </c>
      <c r="C131" s="391" t="s">
        <v>354</v>
      </c>
      <c r="D131" s="392">
        <v>22</v>
      </c>
      <c r="E131" s="197">
        <f t="shared" si="20"/>
        <v>739.64</v>
      </c>
      <c r="F131" s="363">
        <v>3</v>
      </c>
      <c r="G131" s="197">
        <f t="shared" si="21"/>
        <v>2218.92</v>
      </c>
      <c r="H131" s="520"/>
    </row>
    <row r="132" spans="1:8" x14ac:dyDescent="0.25">
      <c r="A132" s="390" t="s">
        <v>34</v>
      </c>
      <c r="B132" s="197">
        <v>33.619999999999997</v>
      </c>
      <c r="C132" s="391" t="s">
        <v>354</v>
      </c>
      <c r="D132" s="392">
        <v>22</v>
      </c>
      <c r="E132" s="197">
        <f t="shared" si="20"/>
        <v>739.64</v>
      </c>
      <c r="F132" s="130">
        <v>3</v>
      </c>
      <c r="G132" s="197">
        <f t="shared" si="21"/>
        <v>2218.92</v>
      </c>
      <c r="H132" s="520"/>
    </row>
    <row r="133" spans="1:8" x14ac:dyDescent="0.25">
      <c r="A133" s="390" t="s">
        <v>35</v>
      </c>
      <c r="B133" s="197">
        <v>33.619999999999997</v>
      </c>
      <c r="C133" s="391" t="s">
        <v>354</v>
      </c>
      <c r="D133" s="392">
        <v>22</v>
      </c>
      <c r="E133" s="197">
        <f t="shared" si="20"/>
        <v>739.64</v>
      </c>
      <c r="F133" s="363">
        <v>19</v>
      </c>
      <c r="G133" s="197">
        <f t="shared" si="21"/>
        <v>14053.16</v>
      </c>
      <c r="H133" s="520"/>
    </row>
    <row r="134" spans="1:8" x14ac:dyDescent="0.25">
      <c r="A134" s="516"/>
      <c r="B134" s="517"/>
      <c r="C134" s="516"/>
      <c r="D134" s="516"/>
      <c r="E134" s="518"/>
      <c r="F134" s="516"/>
      <c r="G134" s="519"/>
      <c r="H134" s="520"/>
    </row>
    <row r="135" spans="1:8" x14ac:dyDescent="0.25">
      <c r="A135" s="649" t="s">
        <v>396</v>
      </c>
      <c r="B135" s="649"/>
      <c r="C135" s="649"/>
      <c r="D135" s="649"/>
      <c r="E135" s="649"/>
      <c r="F135" s="649"/>
      <c r="G135" s="649"/>
      <c r="H135" s="520"/>
    </row>
    <row r="136" spans="1:8" x14ac:dyDescent="0.25">
      <c r="A136" s="516"/>
      <c r="B136" s="517"/>
      <c r="C136" s="516"/>
      <c r="D136" s="516"/>
      <c r="E136" s="518"/>
      <c r="F136" s="516"/>
      <c r="G136" s="519"/>
      <c r="H136" s="520"/>
    </row>
    <row r="137" spans="1:8" ht="15.75" x14ac:dyDescent="0.25">
      <c r="A137" s="642" t="s">
        <v>392</v>
      </c>
      <c r="B137" s="642"/>
      <c r="C137" s="642"/>
      <c r="D137" s="642"/>
      <c r="E137" s="642"/>
      <c r="F137" s="642"/>
      <c r="G137" s="519"/>
      <c r="H137" s="520"/>
    </row>
    <row r="138" spans="1:8" x14ac:dyDescent="0.25">
      <c r="A138" s="641" t="s">
        <v>180</v>
      </c>
      <c r="B138" s="641"/>
      <c r="C138" s="641"/>
      <c r="D138" s="641"/>
      <c r="E138" s="641"/>
      <c r="F138" s="641"/>
      <c r="G138" s="519"/>
      <c r="H138" s="520"/>
    </row>
    <row r="139" spans="1:8" ht="24" x14ac:dyDescent="0.25">
      <c r="A139" s="510" t="s">
        <v>30</v>
      </c>
      <c r="B139" s="393" t="s">
        <v>181</v>
      </c>
      <c r="C139" s="393" t="s">
        <v>182</v>
      </c>
      <c r="D139" s="510" t="s">
        <v>271</v>
      </c>
      <c r="E139" s="395" t="s">
        <v>183</v>
      </c>
      <c r="F139" s="510" t="s">
        <v>232</v>
      </c>
      <c r="G139" s="519"/>
      <c r="H139" s="520"/>
    </row>
    <row r="140" spans="1:8" x14ac:dyDescent="0.25">
      <c r="A140" s="390" t="s">
        <v>73</v>
      </c>
      <c r="B140" s="197">
        <f>encarregado!L30</f>
        <v>3159.9500000000003</v>
      </c>
      <c r="C140" s="197">
        <f t="shared" ref="C140:C146" si="22">ROUND((F149*D140),2)</f>
        <v>242</v>
      </c>
      <c r="D140" s="392">
        <v>22</v>
      </c>
      <c r="E140" s="197">
        <f>ROUND((B140*6%),2)</f>
        <v>189.6</v>
      </c>
      <c r="F140" s="391">
        <f t="shared" ref="F140:F146" si="23">C140-E140</f>
        <v>52.400000000000006</v>
      </c>
      <c r="G140" s="519"/>
      <c r="H140" s="520"/>
    </row>
    <row r="141" spans="1:8" x14ac:dyDescent="0.25">
      <c r="A141" s="390" t="s">
        <v>81</v>
      </c>
      <c r="B141" s="197">
        <f>servente!L28</f>
        <v>1237.23</v>
      </c>
      <c r="C141" s="197">
        <f t="shared" si="22"/>
        <v>242</v>
      </c>
      <c r="D141" s="392">
        <v>22</v>
      </c>
      <c r="E141" s="197">
        <f>ROUND((B141*6%),2)</f>
        <v>74.23</v>
      </c>
      <c r="F141" s="391">
        <f>C141-E141</f>
        <v>167.76999999999998</v>
      </c>
      <c r="G141" s="519"/>
      <c r="H141" s="520"/>
    </row>
    <row r="142" spans="1:8" x14ac:dyDescent="0.25">
      <c r="A142" s="390" t="s">
        <v>85</v>
      </c>
      <c r="B142" s="197">
        <v>1237.23</v>
      </c>
      <c r="C142" s="197">
        <f t="shared" si="22"/>
        <v>242</v>
      </c>
      <c r="D142" s="392">
        <v>22</v>
      </c>
      <c r="E142" s="197">
        <f t="shared" ref="E142:E146" si="24">ROUND((B142*6%),2)</f>
        <v>74.23</v>
      </c>
      <c r="F142" s="391">
        <f>C142-E142</f>
        <v>167.76999999999998</v>
      </c>
      <c r="G142" s="519"/>
      <c r="H142" s="520"/>
    </row>
    <row r="143" spans="1:8" ht="25.5" x14ac:dyDescent="0.25">
      <c r="A143" s="390" t="s">
        <v>86</v>
      </c>
      <c r="B143" s="197">
        <v>1237.23</v>
      </c>
      <c r="C143" s="197">
        <f t="shared" si="22"/>
        <v>242</v>
      </c>
      <c r="D143" s="392">
        <v>22</v>
      </c>
      <c r="E143" s="197">
        <f t="shared" si="24"/>
        <v>74.23</v>
      </c>
      <c r="F143" s="391">
        <f t="shared" si="23"/>
        <v>167.76999999999998</v>
      </c>
      <c r="G143" s="519"/>
      <c r="H143" s="520"/>
    </row>
    <row r="144" spans="1:8" x14ac:dyDescent="0.25">
      <c r="A144" s="390" t="s">
        <v>33</v>
      </c>
      <c r="B144" s="197">
        <v>1826.64</v>
      </c>
      <c r="C144" s="197">
        <f t="shared" si="22"/>
        <v>242</v>
      </c>
      <c r="D144" s="392">
        <v>22</v>
      </c>
      <c r="E144" s="197">
        <f t="shared" si="24"/>
        <v>109.6</v>
      </c>
      <c r="F144" s="391">
        <f t="shared" si="23"/>
        <v>132.4</v>
      </c>
      <c r="G144" s="519"/>
      <c r="H144" s="520"/>
    </row>
    <row r="145" spans="1:8" x14ac:dyDescent="0.25">
      <c r="A145" s="390" t="s">
        <v>34</v>
      </c>
      <c r="B145" s="197">
        <v>1237.23</v>
      </c>
      <c r="C145" s="197">
        <f t="shared" si="22"/>
        <v>242</v>
      </c>
      <c r="D145" s="392">
        <v>22</v>
      </c>
      <c r="E145" s="197">
        <f t="shared" si="24"/>
        <v>74.23</v>
      </c>
      <c r="F145" s="391">
        <f t="shared" si="23"/>
        <v>167.76999999999998</v>
      </c>
      <c r="G145" s="519"/>
      <c r="H145" s="520"/>
    </row>
    <row r="146" spans="1:8" x14ac:dyDescent="0.25">
      <c r="A146" s="390" t="s">
        <v>35</v>
      </c>
      <c r="B146" s="197">
        <v>1826.64</v>
      </c>
      <c r="C146" s="197">
        <f t="shared" si="22"/>
        <v>242</v>
      </c>
      <c r="D146" s="392">
        <v>22</v>
      </c>
      <c r="E146" s="197">
        <f t="shared" si="24"/>
        <v>109.6</v>
      </c>
      <c r="F146" s="391">
        <f t="shared" si="23"/>
        <v>132.4</v>
      </c>
      <c r="G146" s="519"/>
      <c r="H146" s="520"/>
    </row>
    <row r="147" spans="1:8" x14ac:dyDescent="0.25">
      <c r="A147" s="641" t="s">
        <v>184</v>
      </c>
      <c r="B147" s="641"/>
      <c r="C147" s="641"/>
      <c r="D147" s="641"/>
      <c r="E147" s="641"/>
      <c r="F147" s="641"/>
      <c r="G147" s="519"/>
      <c r="H147" s="520"/>
    </row>
    <row r="148" spans="1:8" ht="36" x14ac:dyDescent="0.25">
      <c r="A148" s="510" t="s">
        <v>30</v>
      </c>
      <c r="B148" s="393" t="s">
        <v>248</v>
      </c>
      <c r="C148" s="393" t="s">
        <v>247</v>
      </c>
      <c r="D148" s="393" t="s">
        <v>249</v>
      </c>
      <c r="E148" s="395" t="s">
        <v>185</v>
      </c>
      <c r="F148" s="510" t="s">
        <v>186</v>
      </c>
      <c r="G148" s="519"/>
      <c r="H148" s="520"/>
    </row>
    <row r="149" spans="1:8" x14ac:dyDescent="0.25">
      <c r="A149" s="390" t="s">
        <v>73</v>
      </c>
      <c r="B149" s="197">
        <v>5.5</v>
      </c>
      <c r="C149" s="197">
        <v>0</v>
      </c>
      <c r="D149" s="197">
        <v>0</v>
      </c>
      <c r="E149" s="391">
        <v>5.5</v>
      </c>
      <c r="F149" s="530">
        <f t="shared" ref="F149:F155" si="25">B149+C149+D149+E149</f>
        <v>11</v>
      </c>
      <c r="G149" s="519"/>
      <c r="H149" s="520"/>
    </row>
    <row r="150" spans="1:8" ht="15" x14ac:dyDescent="0.25">
      <c r="A150" s="390" t="s">
        <v>81</v>
      </c>
      <c r="B150" s="197">
        <v>5.5</v>
      </c>
      <c r="C150" s="197">
        <v>0</v>
      </c>
      <c r="D150" s="197">
        <v>0</v>
      </c>
      <c r="E150" s="391">
        <v>5.5</v>
      </c>
      <c r="F150" s="530">
        <f t="shared" si="25"/>
        <v>11</v>
      </c>
      <c r="G150" s="527"/>
      <c r="H150" s="520"/>
    </row>
    <row r="151" spans="1:8" x14ac:dyDescent="0.25">
      <c r="A151" s="390" t="s">
        <v>85</v>
      </c>
      <c r="B151" s="197">
        <v>5.5</v>
      </c>
      <c r="C151" s="197">
        <v>0</v>
      </c>
      <c r="D151" s="197">
        <v>0</v>
      </c>
      <c r="E151" s="391">
        <v>5.5</v>
      </c>
      <c r="F151" s="530">
        <f t="shared" si="25"/>
        <v>11</v>
      </c>
      <c r="G151" s="519"/>
      <c r="H151" s="520"/>
    </row>
    <row r="152" spans="1:8" ht="25.5" x14ac:dyDescent="0.25">
      <c r="A152" s="390" t="s">
        <v>86</v>
      </c>
      <c r="B152" s="197">
        <v>5.5</v>
      </c>
      <c r="C152" s="197">
        <v>0</v>
      </c>
      <c r="D152" s="197">
        <v>0</v>
      </c>
      <c r="E152" s="391">
        <v>5.5</v>
      </c>
      <c r="F152" s="530">
        <f t="shared" si="25"/>
        <v>11</v>
      </c>
      <c r="G152" s="519"/>
      <c r="H152" s="520"/>
    </row>
    <row r="153" spans="1:8" x14ac:dyDescent="0.25">
      <c r="A153" s="390" t="s">
        <v>33</v>
      </c>
      <c r="B153" s="197">
        <v>5.5</v>
      </c>
      <c r="C153" s="197">
        <v>0</v>
      </c>
      <c r="D153" s="197">
        <v>0</v>
      </c>
      <c r="E153" s="391">
        <v>5.5</v>
      </c>
      <c r="F153" s="530">
        <f t="shared" si="25"/>
        <v>11</v>
      </c>
      <c r="G153" s="519"/>
      <c r="H153" s="520"/>
    </row>
    <row r="154" spans="1:8" x14ac:dyDescent="0.25">
      <c r="A154" s="390" t="s">
        <v>34</v>
      </c>
      <c r="B154" s="197">
        <v>5.5</v>
      </c>
      <c r="C154" s="197">
        <v>0</v>
      </c>
      <c r="D154" s="197">
        <v>0</v>
      </c>
      <c r="E154" s="391">
        <v>5.5</v>
      </c>
      <c r="F154" s="530">
        <f t="shared" si="25"/>
        <v>11</v>
      </c>
      <c r="G154" s="519"/>
      <c r="H154" s="520"/>
    </row>
    <row r="155" spans="1:8" x14ac:dyDescent="0.25">
      <c r="A155" s="390" t="s">
        <v>35</v>
      </c>
      <c r="B155" s="197">
        <v>5.5</v>
      </c>
      <c r="C155" s="197">
        <v>0</v>
      </c>
      <c r="D155" s="197">
        <v>0</v>
      </c>
      <c r="E155" s="391">
        <v>5.5</v>
      </c>
      <c r="F155" s="530">
        <f t="shared" si="25"/>
        <v>11</v>
      </c>
      <c r="G155" s="519"/>
      <c r="H155" s="520"/>
    </row>
    <row r="156" spans="1:8" x14ac:dyDescent="0.25">
      <c r="A156" s="516"/>
      <c r="B156" s="517"/>
      <c r="C156" s="516"/>
      <c r="D156" s="516"/>
      <c r="E156" s="518"/>
      <c r="F156" s="516"/>
      <c r="G156" s="519"/>
      <c r="H156" s="520"/>
    </row>
    <row r="157" spans="1:8" ht="26.1" customHeight="1" x14ac:dyDescent="0.25">
      <c r="A157" s="649" t="s">
        <v>407</v>
      </c>
      <c r="B157" s="649"/>
      <c r="C157" s="649"/>
      <c r="D157" s="649"/>
      <c r="E157" s="649"/>
      <c r="F157" s="649"/>
      <c r="G157" s="516"/>
      <c r="H157" s="520"/>
    </row>
    <row r="158" spans="1:8" ht="15.75" customHeight="1" x14ac:dyDescent="0.25">
      <c r="A158" s="643" t="s">
        <v>410</v>
      </c>
      <c r="B158" s="644"/>
      <c r="C158" s="644"/>
      <c r="D158" s="644"/>
      <c r="E158" s="644"/>
      <c r="F158" s="644"/>
      <c r="G158" s="645"/>
      <c r="H158" s="520"/>
    </row>
    <row r="159" spans="1:8" x14ac:dyDescent="0.25">
      <c r="A159" s="646" t="s">
        <v>393</v>
      </c>
      <c r="B159" s="647"/>
      <c r="C159" s="647"/>
      <c r="D159" s="647"/>
      <c r="E159" s="647"/>
      <c r="F159" s="647"/>
      <c r="G159" s="648"/>
      <c r="H159" s="520"/>
    </row>
    <row r="160" spans="1:8" ht="36" x14ac:dyDescent="0.25">
      <c r="A160" s="510" t="s">
        <v>30</v>
      </c>
      <c r="B160" s="393" t="s">
        <v>231</v>
      </c>
      <c r="C160" s="394" t="s">
        <v>261</v>
      </c>
      <c r="D160" s="394" t="s">
        <v>262</v>
      </c>
      <c r="E160" s="395" t="s">
        <v>178</v>
      </c>
      <c r="F160" s="393" t="s">
        <v>48</v>
      </c>
      <c r="G160" s="395" t="s">
        <v>179</v>
      </c>
      <c r="H160" s="520"/>
    </row>
    <row r="161" spans="1:8" x14ac:dyDescent="0.25">
      <c r="A161" s="390" t="s">
        <v>73</v>
      </c>
      <c r="B161" s="197">
        <v>35</v>
      </c>
      <c r="C161" s="391" t="s">
        <v>354</v>
      </c>
      <c r="D161" s="392">
        <v>22</v>
      </c>
      <c r="E161" s="197">
        <f t="shared" ref="E161:E167" si="26">D161*B161</f>
        <v>770</v>
      </c>
      <c r="F161" s="363">
        <v>2</v>
      </c>
      <c r="G161" s="197">
        <f t="shared" ref="G161:G167" si="27">ROUND((E161*F161),2)</f>
        <v>1540</v>
      </c>
      <c r="H161" s="520"/>
    </row>
    <row r="162" spans="1:8" x14ac:dyDescent="0.25">
      <c r="A162" s="390" t="s">
        <v>81</v>
      </c>
      <c r="B162" s="197">
        <v>35</v>
      </c>
      <c r="C162" s="391" t="s">
        <v>354</v>
      </c>
      <c r="D162" s="392">
        <v>22</v>
      </c>
      <c r="E162" s="197">
        <f t="shared" si="26"/>
        <v>770</v>
      </c>
      <c r="F162" s="363">
        <v>29</v>
      </c>
      <c r="G162" s="197">
        <f t="shared" si="27"/>
        <v>22330</v>
      </c>
      <c r="H162" s="520"/>
    </row>
    <row r="163" spans="1:8" x14ac:dyDescent="0.25">
      <c r="A163" s="390" t="s">
        <v>85</v>
      </c>
      <c r="B163" s="197">
        <v>35</v>
      </c>
      <c r="C163" s="391" t="s">
        <v>354</v>
      </c>
      <c r="D163" s="392">
        <v>22</v>
      </c>
      <c r="E163" s="197">
        <f t="shared" si="26"/>
        <v>770</v>
      </c>
      <c r="F163" s="363">
        <v>1</v>
      </c>
      <c r="G163" s="197">
        <f t="shared" si="27"/>
        <v>770</v>
      </c>
      <c r="H163" s="520"/>
    </row>
    <row r="164" spans="1:8" ht="25.5" x14ac:dyDescent="0.25">
      <c r="A164" s="390" t="s">
        <v>86</v>
      </c>
      <c r="B164" s="197">
        <v>35</v>
      </c>
      <c r="C164" s="391" t="s">
        <v>354</v>
      </c>
      <c r="D164" s="392">
        <v>22</v>
      </c>
      <c r="E164" s="197">
        <f t="shared" si="26"/>
        <v>770</v>
      </c>
      <c r="F164" s="363">
        <v>1</v>
      </c>
      <c r="G164" s="197">
        <f t="shared" si="27"/>
        <v>770</v>
      </c>
      <c r="H164" s="520"/>
    </row>
    <row r="165" spans="1:8" x14ac:dyDescent="0.25">
      <c r="A165" s="390" t="s">
        <v>33</v>
      </c>
      <c r="B165" s="197">
        <v>35</v>
      </c>
      <c r="C165" s="391" t="s">
        <v>354</v>
      </c>
      <c r="D165" s="392">
        <v>22</v>
      </c>
      <c r="E165" s="197">
        <f t="shared" si="26"/>
        <v>770</v>
      </c>
      <c r="F165" s="363">
        <v>3</v>
      </c>
      <c r="G165" s="197">
        <f t="shared" si="27"/>
        <v>2310</v>
      </c>
      <c r="H165" s="520"/>
    </row>
    <row r="166" spans="1:8" x14ac:dyDescent="0.25">
      <c r="A166" s="390" t="s">
        <v>34</v>
      </c>
      <c r="B166" s="197">
        <v>35</v>
      </c>
      <c r="C166" s="391" t="s">
        <v>354</v>
      </c>
      <c r="D166" s="392">
        <v>22</v>
      </c>
      <c r="E166" s="197">
        <f t="shared" si="26"/>
        <v>770</v>
      </c>
      <c r="F166" s="130">
        <v>3</v>
      </c>
      <c r="G166" s="197">
        <f t="shared" si="27"/>
        <v>2310</v>
      </c>
      <c r="H166" s="520"/>
    </row>
    <row r="167" spans="1:8" x14ac:dyDescent="0.25">
      <c r="A167" s="390" t="s">
        <v>35</v>
      </c>
      <c r="B167" s="197">
        <v>35</v>
      </c>
      <c r="C167" s="391" t="s">
        <v>354</v>
      </c>
      <c r="D167" s="392">
        <v>22</v>
      </c>
      <c r="E167" s="197">
        <f t="shared" si="26"/>
        <v>770</v>
      </c>
      <c r="F167" s="363">
        <v>19</v>
      </c>
      <c r="G167" s="197">
        <f t="shared" si="27"/>
        <v>14630</v>
      </c>
      <c r="H167" s="520"/>
    </row>
    <row r="168" spans="1:8" x14ac:dyDescent="0.25">
      <c r="A168" s="516"/>
      <c r="B168" s="517"/>
      <c r="C168" s="516"/>
      <c r="D168" s="516"/>
      <c r="E168" s="518"/>
      <c r="F168" s="516"/>
      <c r="G168" s="519"/>
      <c r="H168" s="520"/>
    </row>
    <row r="169" spans="1:8" ht="15.75" x14ac:dyDescent="0.25">
      <c r="A169" s="643" t="s">
        <v>409</v>
      </c>
      <c r="B169" s="644"/>
      <c r="C169" s="644"/>
      <c r="D169" s="644"/>
      <c r="E169" s="644"/>
      <c r="F169" s="644"/>
      <c r="G169" s="645"/>
      <c r="H169" s="520"/>
    </row>
    <row r="170" spans="1:8" x14ac:dyDescent="0.25">
      <c r="A170" s="646" t="s">
        <v>393</v>
      </c>
      <c r="B170" s="647"/>
      <c r="C170" s="647"/>
      <c r="D170" s="647"/>
      <c r="E170" s="647"/>
      <c r="F170" s="647"/>
      <c r="G170" s="648"/>
      <c r="H170" s="520"/>
    </row>
    <row r="171" spans="1:8" ht="36" x14ac:dyDescent="0.25">
      <c r="A171" s="510" t="s">
        <v>30</v>
      </c>
      <c r="B171" s="393" t="s">
        <v>231</v>
      </c>
      <c r="C171" s="394" t="s">
        <v>261</v>
      </c>
      <c r="D171" s="394" t="s">
        <v>262</v>
      </c>
      <c r="E171" s="395" t="s">
        <v>178</v>
      </c>
      <c r="F171" s="393" t="s">
        <v>48</v>
      </c>
      <c r="G171" s="395" t="s">
        <v>179</v>
      </c>
      <c r="H171" s="520"/>
    </row>
    <row r="172" spans="1:8" x14ac:dyDescent="0.25">
      <c r="A172" s="390" t="s">
        <v>73</v>
      </c>
      <c r="B172" s="197">
        <v>35</v>
      </c>
      <c r="C172" s="391" t="s">
        <v>354</v>
      </c>
      <c r="D172" s="392">
        <v>22</v>
      </c>
      <c r="E172" s="197">
        <f t="shared" ref="E172:E179" si="28">D172*B172</f>
        <v>770</v>
      </c>
      <c r="F172" s="363">
        <v>2</v>
      </c>
      <c r="G172" s="197">
        <f t="shared" ref="G172:G179" si="29">ROUND((E172*F172),2)</f>
        <v>1540</v>
      </c>
      <c r="H172" s="520"/>
    </row>
    <row r="173" spans="1:8" x14ac:dyDescent="0.25">
      <c r="A173" s="390" t="s">
        <v>81</v>
      </c>
      <c r="B173" s="197">
        <v>35</v>
      </c>
      <c r="C173" s="391" t="s">
        <v>354</v>
      </c>
      <c r="D173" s="392">
        <v>22</v>
      </c>
      <c r="E173" s="197">
        <f t="shared" si="28"/>
        <v>770</v>
      </c>
      <c r="F173" s="363">
        <v>27</v>
      </c>
      <c r="G173" s="197">
        <f t="shared" si="29"/>
        <v>20790</v>
      </c>
      <c r="H173" s="520"/>
    </row>
    <row r="174" spans="1:8" x14ac:dyDescent="0.25">
      <c r="A174" s="390" t="s">
        <v>85</v>
      </c>
      <c r="B174" s="197">
        <v>35</v>
      </c>
      <c r="C174" s="391" t="s">
        <v>354</v>
      </c>
      <c r="D174" s="392">
        <v>22</v>
      </c>
      <c r="E174" s="197">
        <f t="shared" si="28"/>
        <v>770</v>
      </c>
      <c r="F174" s="363">
        <v>1</v>
      </c>
      <c r="G174" s="197">
        <f t="shared" si="29"/>
        <v>770</v>
      </c>
      <c r="H174" s="520"/>
    </row>
    <row r="175" spans="1:8" ht="25.5" x14ac:dyDescent="0.25">
      <c r="A175" s="390" t="s">
        <v>86</v>
      </c>
      <c r="B175" s="197">
        <v>35</v>
      </c>
      <c r="C175" s="391" t="s">
        <v>354</v>
      </c>
      <c r="D175" s="392">
        <v>22</v>
      </c>
      <c r="E175" s="197">
        <f t="shared" si="28"/>
        <v>770</v>
      </c>
      <c r="F175" s="363">
        <v>1</v>
      </c>
      <c r="G175" s="197">
        <f t="shared" si="29"/>
        <v>770</v>
      </c>
      <c r="H175" s="520"/>
    </row>
    <row r="176" spans="1:8" x14ac:dyDescent="0.25">
      <c r="A176" s="390" t="s">
        <v>33</v>
      </c>
      <c r="B176" s="197">
        <v>35</v>
      </c>
      <c r="C176" s="391" t="s">
        <v>354</v>
      </c>
      <c r="D176" s="392">
        <v>22</v>
      </c>
      <c r="E176" s="197">
        <f t="shared" si="28"/>
        <v>770</v>
      </c>
      <c r="F176" s="363">
        <v>3</v>
      </c>
      <c r="G176" s="197">
        <f t="shared" si="29"/>
        <v>2310</v>
      </c>
      <c r="H176" s="520"/>
    </row>
    <row r="177" spans="1:8" x14ac:dyDescent="0.25">
      <c r="A177" s="390" t="s">
        <v>34</v>
      </c>
      <c r="B177" s="197">
        <v>35</v>
      </c>
      <c r="C177" s="391" t="s">
        <v>354</v>
      </c>
      <c r="D177" s="392">
        <v>22</v>
      </c>
      <c r="E177" s="197">
        <f t="shared" si="28"/>
        <v>770</v>
      </c>
      <c r="F177" s="130">
        <v>3</v>
      </c>
      <c r="G177" s="197">
        <f t="shared" si="29"/>
        <v>2310</v>
      </c>
      <c r="H177" s="520"/>
    </row>
    <row r="178" spans="1:8" x14ac:dyDescent="0.25">
      <c r="A178" s="390" t="s">
        <v>35</v>
      </c>
      <c r="B178" s="197">
        <v>35</v>
      </c>
      <c r="C178" s="391" t="s">
        <v>354</v>
      </c>
      <c r="D178" s="392">
        <v>22</v>
      </c>
      <c r="E178" s="197">
        <f t="shared" si="28"/>
        <v>770</v>
      </c>
      <c r="F178" s="363">
        <v>19</v>
      </c>
      <c r="G178" s="197">
        <f t="shared" si="29"/>
        <v>14630</v>
      </c>
      <c r="H178" s="520"/>
    </row>
    <row r="179" spans="1:8" x14ac:dyDescent="0.25">
      <c r="A179" s="390" t="s">
        <v>84</v>
      </c>
      <c r="B179" s="197">
        <v>35</v>
      </c>
      <c r="C179" s="391" t="s">
        <v>354</v>
      </c>
      <c r="D179" s="392">
        <v>22</v>
      </c>
      <c r="E179" s="197">
        <f t="shared" si="28"/>
        <v>770</v>
      </c>
      <c r="F179" s="363">
        <v>2</v>
      </c>
      <c r="G179" s="197">
        <f t="shared" si="29"/>
        <v>1540</v>
      </c>
      <c r="H179" s="520"/>
    </row>
    <row r="180" spans="1:8" x14ac:dyDescent="0.25">
      <c r="A180" s="516"/>
      <c r="B180" s="517"/>
      <c r="C180" s="516"/>
      <c r="D180" s="516"/>
      <c r="E180" s="518"/>
      <c r="F180" s="516"/>
      <c r="G180" s="519"/>
      <c r="H180" s="520"/>
    </row>
    <row r="181" spans="1:8" ht="38.25" customHeight="1" x14ac:dyDescent="0.25">
      <c r="A181" s="649" t="s">
        <v>411</v>
      </c>
      <c r="B181" s="649"/>
      <c r="C181" s="649"/>
      <c r="D181" s="649"/>
      <c r="E181" s="649"/>
      <c r="F181" s="649"/>
      <c r="G181" s="649"/>
      <c r="H181" s="520"/>
    </row>
    <row r="182" spans="1:8" ht="15.75" x14ac:dyDescent="0.25">
      <c r="A182" s="642" t="s">
        <v>408</v>
      </c>
      <c r="B182" s="642"/>
      <c r="C182" s="642"/>
      <c r="D182" s="642"/>
      <c r="E182" s="642"/>
      <c r="F182" s="642"/>
      <c r="G182" s="519"/>
      <c r="H182" s="520"/>
    </row>
    <row r="183" spans="1:8" x14ac:dyDescent="0.25">
      <c r="A183" s="641" t="s">
        <v>180</v>
      </c>
      <c r="B183" s="641"/>
      <c r="C183" s="641"/>
      <c r="D183" s="641"/>
      <c r="E183" s="641"/>
      <c r="F183" s="641"/>
      <c r="G183" s="519"/>
      <c r="H183" s="520"/>
    </row>
    <row r="184" spans="1:8" ht="24" x14ac:dyDescent="0.25">
      <c r="A184" s="510" t="s">
        <v>30</v>
      </c>
      <c r="B184" s="393" t="s">
        <v>181</v>
      </c>
      <c r="C184" s="393" t="s">
        <v>182</v>
      </c>
      <c r="D184" s="510" t="s">
        <v>271</v>
      </c>
      <c r="E184" s="395" t="s">
        <v>183</v>
      </c>
      <c r="F184" s="510" t="s">
        <v>232</v>
      </c>
      <c r="G184" s="519"/>
      <c r="H184" s="520"/>
    </row>
    <row r="185" spans="1:8" x14ac:dyDescent="0.25">
      <c r="A185" s="390" t="s">
        <v>73</v>
      </c>
      <c r="B185" s="197">
        <v>3289.5</v>
      </c>
      <c r="C185" s="197">
        <f t="shared" ref="C185:C191" si="30">ROUND((F194*D185),2)</f>
        <v>242</v>
      </c>
      <c r="D185" s="392">
        <v>22</v>
      </c>
      <c r="E185" s="197">
        <f>ROUND((B185*6%),2)</f>
        <v>197.37</v>
      </c>
      <c r="F185" s="391">
        <f t="shared" ref="F185" si="31">C185-E185</f>
        <v>44.629999999999995</v>
      </c>
      <c r="G185" s="519"/>
      <c r="H185" s="520"/>
    </row>
    <row r="186" spans="1:8" x14ac:dyDescent="0.25">
      <c r="A186" s="390" t="s">
        <v>81</v>
      </c>
      <c r="B186" s="197">
        <v>1287.96</v>
      </c>
      <c r="C186" s="197">
        <f t="shared" si="30"/>
        <v>242</v>
      </c>
      <c r="D186" s="392">
        <v>22</v>
      </c>
      <c r="E186" s="197">
        <f>ROUND((B186*6%),2)</f>
        <v>77.28</v>
      </c>
      <c r="F186" s="391">
        <f>C186-E186</f>
        <v>164.72</v>
      </c>
      <c r="G186" s="519"/>
      <c r="H186" s="520"/>
    </row>
    <row r="187" spans="1:8" x14ac:dyDescent="0.25">
      <c r="A187" s="390" t="s">
        <v>85</v>
      </c>
      <c r="B187" s="197">
        <v>1287.96</v>
      </c>
      <c r="C187" s="197">
        <f t="shared" si="30"/>
        <v>242</v>
      </c>
      <c r="D187" s="392">
        <v>22</v>
      </c>
      <c r="E187" s="197">
        <f t="shared" ref="E187:E191" si="32">ROUND((B187*6%),2)</f>
        <v>77.28</v>
      </c>
      <c r="F187" s="391">
        <f>C187-E187</f>
        <v>164.72</v>
      </c>
      <c r="G187" s="519"/>
      <c r="H187" s="520"/>
    </row>
    <row r="188" spans="1:8" ht="25.5" x14ac:dyDescent="0.25">
      <c r="A188" s="390" t="s">
        <v>86</v>
      </c>
      <c r="B188" s="197">
        <v>1287.96</v>
      </c>
      <c r="C188" s="197">
        <f t="shared" si="30"/>
        <v>242</v>
      </c>
      <c r="D188" s="392">
        <v>22</v>
      </c>
      <c r="E188" s="197">
        <f t="shared" si="32"/>
        <v>77.28</v>
      </c>
      <c r="F188" s="391">
        <f t="shared" ref="F188:F191" si="33">C188-E188</f>
        <v>164.72</v>
      </c>
      <c r="G188" s="519"/>
      <c r="H188" s="520"/>
    </row>
    <row r="189" spans="1:8" x14ac:dyDescent="0.25">
      <c r="A189" s="390" t="s">
        <v>33</v>
      </c>
      <c r="B189" s="197">
        <v>1901.53</v>
      </c>
      <c r="C189" s="197">
        <f t="shared" si="30"/>
        <v>242</v>
      </c>
      <c r="D189" s="392">
        <v>22</v>
      </c>
      <c r="E189" s="197">
        <f t="shared" si="32"/>
        <v>114.09</v>
      </c>
      <c r="F189" s="391">
        <f t="shared" si="33"/>
        <v>127.91</v>
      </c>
      <c r="G189" s="519"/>
      <c r="H189" s="520"/>
    </row>
    <row r="190" spans="1:8" x14ac:dyDescent="0.25">
      <c r="A190" s="390" t="s">
        <v>34</v>
      </c>
      <c r="B190" s="197">
        <v>1287.96</v>
      </c>
      <c r="C190" s="197">
        <f t="shared" si="30"/>
        <v>242</v>
      </c>
      <c r="D190" s="392">
        <v>22</v>
      </c>
      <c r="E190" s="197">
        <f t="shared" si="32"/>
        <v>77.28</v>
      </c>
      <c r="F190" s="391">
        <f t="shared" si="33"/>
        <v>164.72</v>
      </c>
      <c r="G190" s="519"/>
      <c r="H190" s="520"/>
    </row>
    <row r="191" spans="1:8" x14ac:dyDescent="0.25">
      <c r="A191" s="390" t="s">
        <v>35</v>
      </c>
      <c r="B191" s="197">
        <v>1901.53</v>
      </c>
      <c r="C191" s="197">
        <f t="shared" si="30"/>
        <v>242</v>
      </c>
      <c r="D191" s="392">
        <v>22</v>
      </c>
      <c r="E191" s="197">
        <f t="shared" si="32"/>
        <v>114.09</v>
      </c>
      <c r="F191" s="391">
        <f t="shared" si="33"/>
        <v>127.91</v>
      </c>
      <c r="G191" s="519"/>
      <c r="H191" s="520"/>
    </row>
    <row r="192" spans="1:8" x14ac:dyDescent="0.25">
      <c r="A192" s="641" t="s">
        <v>184</v>
      </c>
      <c r="B192" s="641"/>
      <c r="C192" s="641"/>
      <c r="D192" s="641"/>
      <c r="E192" s="641"/>
      <c r="F192" s="641"/>
      <c r="G192" s="519"/>
      <c r="H192" s="520"/>
    </row>
    <row r="193" spans="1:8" ht="36" x14ac:dyDescent="0.25">
      <c r="A193" s="510" t="s">
        <v>30</v>
      </c>
      <c r="B193" s="393" t="s">
        <v>248</v>
      </c>
      <c r="C193" s="393" t="s">
        <v>247</v>
      </c>
      <c r="D193" s="393" t="s">
        <v>249</v>
      </c>
      <c r="E193" s="395" t="s">
        <v>185</v>
      </c>
      <c r="F193" s="510" t="s">
        <v>186</v>
      </c>
      <c r="G193" s="519"/>
      <c r="H193" s="520"/>
    </row>
    <row r="194" spans="1:8" x14ac:dyDescent="0.25">
      <c r="A194" s="390" t="s">
        <v>73</v>
      </c>
      <c r="B194" s="197">
        <v>5.5</v>
      </c>
      <c r="C194" s="197">
        <v>0</v>
      </c>
      <c r="D194" s="197">
        <v>0</v>
      </c>
      <c r="E194" s="391">
        <v>5.5</v>
      </c>
      <c r="F194" s="530">
        <f t="shared" ref="F194:F200" si="34">B194+C194+D194+E194</f>
        <v>11</v>
      </c>
      <c r="G194" s="519"/>
      <c r="H194" s="520"/>
    </row>
    <row r="195" spans="1:8" x14ac:dyDescent="0.25">
      <c r="A195" s="390" t="s">
        <v>81</v>
      </c>
      <c r="B195" s="197">
        <v>5.5</v>
      </c>
      <c r="C195" s="197">
        <v>0</v>
      </c>
      <c r="D195" s="197">
        <v>0</v>
      </c>
      <c r="E195" s="391">
        <v>5.5</v>
      </c>
      <c r="F195" s="530">
        <f t="shared" si="34"/>
        <v>11</v>
      </c>
      <c r="G195" s="519"/>
      <c r="H195" s="520"/>
    </row>
    <row r="196" spans="1:8" x14ac:dyDescent="0.25">
      <c r="A196" s="390" t="s">
        <v>85</v>
      </c>
      <c r="B196" s="197">
        <v>5.5</v>
      </c>
      <c r="C196" s="197">
        <v>0</v>
      </c>
      <c r="D196" s="197">
        <v>0</v>
      </c>
      <c r="E196" s="391">
        <v>5.5</v>
      </c>
      <c r="F196" s="530">
        <f t="shared" si="34"/>
        <v>11</v>
      </c>
      <c r="G196" s="519"/>
      <c r="H196" s="520"/>
    </row>
    <row r="197" spans="1:8" ht="25.5" x14ac:dyDescent="0.25">
      <c r="A197" s="390" t="s">
        <v>86</v>
      </c>
      <c r="B197" s="197">
        <v>5.5</v>
      </c>
      <c r="C197" s="197">
        <v>0</v>
      </c>
      <c r="D197" s="197">
        <v>0</v>
      </c>
      <c r="E197" s="391">
        <v>5.5</v>
      </c>
      <c r="F197" s="530">
        <f t="shared" si="34"/>
        <v>11</v>
      </c>
      <c r="G197" s="519"/>
      <c r="H197" s="520"/>
    </row>
    <row r="198" spans="1:8" x14ac:dyDescent="0.25">
      <c r="A198" s="390" t="s">
        <v>33</v>
      </c>
      <c r="B198" s="197">
        <v>5.5</v>
      </c>
      <c r="C198" s="197">
        <v>0</v>
      </c>
      <c r="D198" s="197">
        <v>0</v>
      </c>
      <c r="E198" s="391">
        <v>5.5</v>
      </c>
      <c r="F198" s="530">
        <f t="shared" si="34"/>
        <v>11</v>
      </c>
      <c r="G198" s="519"/>
      <c r="H198" s="520"/>
    </row>
    <row r="199" spans="1:8" x14ac:dyDescent="0.25">
      <c r="A199" s="390" t="s">
        <v>34</v>
      </c>
      <c r="B199" s="197">
        <v>5.5</v>
      </c>
      <c r="C199" s="197">
        <v>0</v>
      </c>
      <c r="D199" s="197">
        <v>0</v>
      </c>
      <c r="E199" s="391">
        <v>5.5</v>
      </c>
      <c r="F199" s="530">
        <f t="shared" si="34"/>
        <v>11</v>
      </c>
      <c r="G199" s="519"/>
      <c r="H199" s="520"/>
    </row>
    <row r="200" spans="1:8" x14ac:dyDescent="0.25">
      <c r="A200" s="390" t="s">
        <v>35</v>
      </c>
      <c r="B200" s="197">
        <v>5.5</v>
      </c>
      <c r="C200" s="197">
        <v>0</v>
      </c>
      <c r="D200" s="197">
        <v>0</v>
      </c>
      <c r="E200" s="391">
        <v>5.5</v>
      </c>
      <c r="F200" s="530">
        <f t="shared" si="34"/>
        <v>11</v>
      </c>
      <c r="G200" s="519"/>
      <c r="H200" s="520"/>
    </row>
    <row r="201" spans="1:8" x14ac:dyDescent="0.25">
      <c r="A201" s="516"/>
      <c r="B201" s="517"/>
      <c r="C201" s="516"/>
      <c r="D201" s="516"/>
      <c r="E201" s="518"/>
      <c r="F201" s="516"/>
      <c r="G201" s="519"/>
      <c r="H201" s="520"/>
    </row>
    <row r="202" spans="1:8" ht="15.75" x14ac:dyDescent="0.25">
      <c r="A202" s="642" t="s">
        <v>412</v>
      </c>
      <c r="B202" s="642"/>
      <c r="C202" s="642"/>
      <c r="D202" s="642"/>
      <c r="E202" s="642"/>
      <c r="F202" s="642"/>
      <c r="G202" s="519"/>
      <c r="H202" s="520"/>
    </row>
    <row r="203" spans="1:8" x14ac:dyDescent="0.25">
      <c r="A203" s="641" t="s">
        <v>180</v>
      </c>
      <c r="B203" s="641"/>
      <c r="C203" s="641"/>
      <c r="D203" s="641"/>
      <c r="E203" s="641"/>
      <c r="F203" s="641"/>
      <c r="G203" s="519"/>
      <c r="H203" s="520"/>
    </row>
    <row r="204" spans="1:8" ht="24" x14ac:dyDescent="0.25">
      <c r="A204" s="510" t="s">
        <v>30</v>
      </c>
      <c r="B204" s="393" t="s">
        <v>181</v>
      </c>
      <c r="C204" s="393" t="s">
        <v>182</v>
      </c>
      <c r="D204" s="510" t="s">
        <v>271</v>
      </c>
      <c r="E204" s="395" t="s">
        <v>183</v>
      </c>
      <c r="F204" s="510" t="s">
        <v>232</v>
      </c>
      <c r="G204" s="519"/>
      <c r="H204" s="520"/>
    </row>
    <row r="205" spans="1:8" x14ac:dyDescent="0.25">
      <c r="A205" s="390" t="s">
        <v>73</v>
      </c>
      <c r="B205" s="197">
        <v>3289.5</v>
      </c>
      <c r="C205" s="197">
        <f t="shared" ref="C205:C212" si="35">ROUND((F215*D205),2)</f>
        <v>242</v>
      </c>
      <c r="D205" s="392">
        <v>22</v>
      </c>
      <c r="E205" s="197">
        <f>ROUND((B205*6%),2)</f>
        <v>197.37</v>
      </c>
      <c r="F205" s="391">
        <f t="shared" ref="F205" si="36">C205-E205</f>
        <v>44.629999999999995</v>
      </c>
      <c r="G205" s="519"/>
      <c r="H205" s="520"/>
    </row>
    <row r="206" spans="1:8" x14ac:dyDescent="0.25">
      <c r="A206" s="390" t="s">
        <v>81</v>
      </c>
      <c r="B206" s="197">
        <v>1287.96</v>
      </c>
      <c r="C206" s="197">
        <f t="shared" si="35"/>
        <v>242</v>
      </c>
      <c r="D206" s="392">
        <v>22</v>
      </c>
      <c r="E206" s="197">
        <f>ROUND((B206*6%),2)</f>
        <v>77.28</v>
      </c>
      <c r="F206" s="391">
        <f>C206-E206</f>
        <v>164.72</v>
      </c>
      <c r="G206" s="519"/>
      <c r="H206" s="520"/>
    </row>
    <row r="207" spans="1:8" x14ac:dyDescent="0.25">
      <c r="A207" s="390" t="s">
        <v>85</v>
      </c>
      <c r="B207" s="197">
        <v>1287.96</v>
      </c>
      <c r="C207" s="197">
        <f t="shared" si="35"/>
        <v>242</v>
      </c>
      <c r="D207" s="392">
        <v>22</v>
      </c>
      <c r="E207" s="197">
        <f t="shared" ref="E207:E212" si="37">ROUND((B207*6%),2)</f>
        <v>77.28</v>
      </c>
      <c r="F207" s="391">
        <f>C207-E207</f>
        <v>164.72</v>
      </c>
      <c r="G207" s="519"/>
      <c r="H207" s="520"/>
    </row>
    <row r="208" spans="1:8" ht="25.5" x14ac:dyDescent="0.25">
      <c r="A208" s="390" t="s">
        <v>86</v>
      </c>
      <c r="B208" s="197">
        <v>1287.96</v>
      </c>
      <c r="C208" s="197">
        <f t="shared" si="35"/>
        <v>242</v>
      </c>
      <c r="D208" s="392">
        <v>22</v>
      </c>
      <c r="E208" s="197">
        <f t="shared" si="37"/>
        <v>77.28</v>
      </c>
      <c r="F208" s="391">
        <f t="shared" ref="F208:F212" si="38">C208-E208</f>
        <v>164.72</v>
      </c>
      <c r="G208" s="519"/>
      <c r="H208" s="520"/>
    </row>
    <row r="209" spans="1:8" x14ac:dyDescent="0.25">
      <c r="A209" s="390" t="s">
        <v>33</v>
      </c>
      <c r="B209" s="197">
        <v>1901.53</v>
      </c>
      <c r="C209" s="197">
        <f t="shared" si="35"/>
        <v>242</v>
      </c>
      <c r="D209" s="392">
        <v>22</v>
      </c>
      <c r="E209" s="197">
        <f t="shared" si="37"/>
        <v>114.09</v>
      </c>
      <c r="F209" s="391">
        <f t="shared" si="38"/>
        <v>127.91</v>
      </c>
      <c r="G209" s="519"/>
      <c r="H209" s="520"/>
    </row>
    <row r="210" spans="1:8" x14ac:dyDescent="0.25">
      <c r="A210" s="390" t="s">
        <v>34</v>
      </c>
      <c r="B210" s="197">
        <v>1287.96</v>
      </c>
      <c r="C210" s="197">
        <f t="shared" si="35"/>
        <v>242</v>
      </c>
      <c r="D210" s="392">
        <v>22</v>
      </c>
      <c r="E210" s="197">
        <f t="shared" si="37"/>
        <v>77.28</v>
      </c>
      <c r="F210" s="391">
        <f t="shared" si="38"/>
        <v>164.72</v>
      </c>
      <c r="G210" s="519"/>
      <c r="H210" s="520"/>
    </row>
    <row r="211" spans="1:8" x14ac:dyDescent="0.25">
      <c r="A211" s="390" t="s">
        <v>35</v>
      </c>
      <c r="B211" s="197">
        <v>1901.53</v>
      </c>
      <c r="C211" s="197">
        <f t="shared" si="35"/>
        <v>242</v>
      </c>
      <c r="D211" s="392">
        <v>22</v>
      </c>
      <c r="E211" s="197">
        <f t="shared" si="37"/>
        <v>114.09</v>
      </c>
      <c r="F211" s="391">
        <f t="shared" si="38"/>
        <v>127.91</v>
      </c>
      <c r="G211" s="519"/>
      <c r="H211" s="520"/>
    </row>
    <row r="212" spans="1:8" x14ac:dyDescent="0.25">
      <c r="A212" s="390" t="s">
        <v>84</v>
      </c>
      <c r="B212" s="197">
        <v>1527.03</v>
      </c>
      <c r="C212" s="197">
        <f t="shared" si="35"/>
        <v>242</v>
      </c>
      <c r="D212" s="392">
        <v>22</v>
      </c>
      <c r="E212" s="197">
        <f t="shared" si="37"/>
        <v>91.62</v>
      </c>
      <c r="F212" s="391">
        <f t="shared" si="38"/>
        <v>150.38</v>
      </c>
      <c r="G212" s="519"/>
      <c r="H212" s="520"/>
    </row>
    <row r="213" spans="1:8" x14ac:dyDescent="0.25">
      <c r="A213" s="641" t="s">
        <v>184</v>
      </c>
      <c r="B213" s="641"/>
      <c r="C213" s="641"/>
      <c r="D213" s="641"/>
      <c r="E213" s="641"/>
      <c r="F213" s="641"/>
      <c r="G213" s="519"/>
      <c r="H213" s="520"/>
    </row>
    <row r="214" spans="1:8" ht="36" x14ac:dyDescent="0.25">
      <c r="A214" s="510" t="s">
        <v>30</v>
      </c>
      <c r="B214" s="393" t="s">
        <v>248</v>
      </c>
      <c r="C214" s="393" t="s">
        <v>247</v>
      </c>
      <c r="D214" s="393" t="s">
        <v>249</v>
      </c>
      <c r="E214" s="395" t="s">
        <v>185</v>
      </c>
      <c r="F214" s="510" t="s">
        <v>186</v>
      </c>
      <c r="G214" s="519"/>
      <c r="H214" s="520"/>
    </row>
    <row r="215" spans="1:8" x14ac:dyDescent="0.25">
      <c r="A215" s="390" t="s">
        <v>73</v>
      </c>
      <c r="B215" s="197">
        <v>5.5</v>
      </c>
      <c r="C215" s="197">
        <v>0</v>
      </c>
      <c r="D215" s="197">
        <v>0</v>
      </c>
      <c r="E215" s="391">
        <v>5.5</v>
      </c>
      <c r="F215" s="530">
        <f t="shared" ref="F215:F222" si="39">B215+C215+D215+E215</f>
        <v>11</v>
      </c>
      <c r="G215" s="519"/>
      <c r="H215" s="520"/>
    </row>
    <row r="216" spans="1:8" x14ac:dyDescent="0.25">
      <c r="A216" s="390" t="s">
        <v>81</v>
      </c>
      <c r="B216" s="197">
        <v>5.5</v>
      </c>
      <c r="C216" s="197">
        <v>0</v>
      </c>
      <c r="D216" s="197">
        <v>0</v>
      </c>
      <c r="E216" s="391">
        <v>5.5</v>
      </c>
      <c r="F216" s="530">
        <f t="shared" si="39"/>
        <v>11</v>
      </c>
      <c r="G216" s="519"/>
      <c r="H216" s="520"/>
    </row>
    <row r="217" spans="1:8" x14ac:dyDescent="0.25">
      <c r="A217" s="390" t="s">
        <v>85</v>
      </c>
      <c r="B217" s="197">
        <v>5.5</v>
      </c>
      <c r="C217" s="197">
        <v>0</v>
      </c>
      <c r="D217" s="197">
        <v>0</v>
      </c>
      <c r="E217" s="391">
        <v>5.5</v>
      </c>
      <c r="F217" s="530">
        <f t="shared" si="39"/>
        <v>11</v>
      </c>
      <c r="G217" s="519"/>
      <c r="H217" s="520"/>
    </row>
    <row r="218" spans="1:8" ht="25.5" x14ac:dyDescent="0.25">
      <c r="A218" s="390" t="s">
        <v>86</v>
      </c>
      <c r="B218" s="197">
        <v>5.5</v>
      </c>
      <c r="C218" s="197">
        <v>0</v>
      </c>
      <c r="D218" s="197">
        <v>0</v>
      </c>
      <c r="E218" s="391">
        <v>5.5</v>
      </c>
      <c r="F218" s="530">
        <f t="shared" si="39"/>
        <v>11</v>
      </c>
      <c r="G218" s="519"/>
      <c r="H218" s="520"/>
    </row>
    <row r="219" spans="1:8" x14ac:dyDescent="0.25">
      <c r="A219" s="390" t="s">
        <v>33</v>
      </c>
      <c r="B219" s="197">
        <v>5.5</v>
      </c>
      <c r="C219" s="197">
        <v>0</v>
      </c>
      <c r="D219" s="197">
        <v>0</v>
      </c>
      <c r="E219" s="391">
        <v>5.5</v>
      </c>
      <c r="F219" s="530">
        <f t="shared" si="39"/>
        <v>11</v>
      </c>
      <c r="G219" s="519"/>
      <c r="H219" s="520"/>
    </row>
    <row r="220" spans="1:8" x14ac:dyDescent="0.25">
      <c r="A220" s="390" t="s">
        <v>34</v>
      </c>
      <c r="B220" s="197">
        <v>5.5</v>
      </c>
      <c r="C220" s="197">
        <v>0</v>
      </c>
      <c r="D220" s="197">
        <v>0</v>
      </c>
      <c r="E220" s="391">
        <v>5.5</v>
      </c>
      <c r="F220" s="530">
        <f t="shared" si="39"/>
        <v>11</v>
      </c>
      <c r="G220" s="519"/>
      <c r="H220" s="520"/>
    </row>
    <row r="221" spans="1:8" x14ac:dyDescent="0.25">
      <c r="A221" s="390" t="s">
        <v>35</v>
      </c>
      <c r="B221" s="197">
        <v>5.5</v>
      </c>
      <c r="C221" s="197">
        <v>0</v>
      </c>
      <c r="D221" s="197">
        <v>0</v>
      </c>
      <c r="E221" s="391">
        <v>5.5</v>
      </c>
      <c r="F221" s="530">
        <f t="shared" si="39"/>
        <v>11</v>
      </c>
      <c r="G221" s="519"/>
      <c r="H221" s="520"/>
    </row>
    <row r="222" spans="1:8" x14ac:dyDescent="0.25">
      <c r="A222" s="390" t="s">
        <v>84</v>
      </c>
      <c r="B222" s="197">
        <v>5.5</v>
      </c>
      <c r="C222" s="197">
        <v>0</v>
      </c>
      <c r="D222" s="197">
        <v>0</v>
      </c>
      <c r="E222" s="391">
        <v>5.5</v>
      </c>
      <c r="F222" s="530">
        <f t="shared" si="39"/>
        <v>11</v>
      </c>
      <c r="G222" s="519"/>
      <c r="H222" s="520"/>
    </row>
  </sheetData>
  <mergeCells count="40">
    <mergeCell ref="A157:F157"/>
    <mergeCell ref="A88:F88"/>
    <mergeCell ref="A147:F147"/>
    <mergeCell ref="A125:G125"/>
    <mergeCell ref="A121:G121"/>
    <mergeCell ref="A135:G135"/>
    <mergeCell ref="A124:G124"/>
    <mergeCell ref="A138:F138"/>
    <mergeCell ref="A137:F137"/>
    <mergeCell ref="A2:G2"/>
    <mergeCell ref="A35:F36"/>
    <mergeCell ref="A4:G4"/>
    <mergeCell ref="A5:G5"/>
    <mergeCell ref="A15:F15"/>
    <mergeCell ref="A16:F16"/>
    <mergeCell ref="A25:F25"/>
    <mergeCell ref="A37:G37"/>
    <mergeCell ref="A38:G38"/>
    <mergeCell ref="A99:F99"/>
    <mergeCell ref="A100:F100"/>
    <mergeCell ref="A109:F109"/>
    <mergeCell ref="A49:G49"/>
    <mergeCell ref="A78:F78"/>
    <mergeCell ref="A79:F79"/>
    <mergeCell ref="A76:G76"/>
    <mergeCell ref="A62:G62"/>
    <mergeCell ref="A63:G63"/>
    <mergeCell ref="A51:G51"/>
    <mergeCell ref="A52:G52"/>
    <mergeCell ref="A158:G158"/>
    <mergeCell ref="A159:G159"/>
    <mergeCell ref="A169:G169"/>
    <mergeCell ref="A170:G170"/>
    <mergeCell ref="A181:G181"/>
    <mergeCell ref="A213:F213"/>
    <mergeCell ref="A182:F182"/>
    <mergeCell ref="A183:F183"/>
    <mergeCell ref="A192:F192"/>
    <mergeCell ref="A202:F202"/>
    <mergeCell ref="A203:F203"/>
  </mergeCells>
  <pageMargins left="0.51181102362204722" right="0.31496062992125984" top="0.78740157480314965" bottom="0.59055118110236227" header="0.31496062992125984" footer="0.31496062992125984"/>
  <pageSetup paperSize="9" scale="79" orientation="portrait" horizontalDpi="1200" verticalDpi="1200" r:id="rId1"/>
  <headerFooter>
    <oddHeader>&amp;L&amp;"Arial Narrow,Negrito"&amp;10PODER JUDICIÁRIO
CONSELHO DA JUSTIÇA FEDERAL</oddHead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43"/>
  <sheetViews>
    <sheetView showGridLines="0" topLeftCell="A19" zoomScaleNormal="100" zoomScaleSheetLayoutView="100" workbookViewId="0">
      <selection activeCell="F36" sqref="F36"/>
    </sheetView>
  </sheetViews>
  <sheetFormatPr defaultColWidth="9" defaultRowHeight="12.75" x14ac:dyDescent="0.25"/>
  <cols>
    <col min="1" max="1" width="15.28515625" style="88" customWidth="1"/>
    <col min="2" max="2" width="32.28515625" style="156" customWidth="1"/>
    <col min="3" max="3" width="11.42578125" style="110" customWidth="1"/>
    <col min="4" max="4" width="19.140625" style="110" customWidth="1"/>
    <col min="5" max="5" width="16" style="158" customWidth="1"/>
    <col min="6" max="6" width="17" style="158" customWidth="1"/>
    <col min="7" max="16384" width="9" style="88"/>
  </cols>
  <sheetData>
    <row r="1" spans="1:7" x14ac:dyDescent="0.25">
      <c r="A1" s="653" t="s">
        <v>397</v>
      </c>
      <c r="B1" s="653"/>
      <c r="C1" s="653"/>
      <c r="D1" s="653"/>
      <c r="E1" s="653"/>
      <c r="F1" s="653"/>
      <c r="G1" s="653"/>
    </row>
    <row r="2" spans="1:7" x14ac:dyDescent="0.25">
      <c r="A2" s="386"/>
      <c r="B2" s="386"/>
      <c r="C2" s="386"/>
      <c r="D2" s="386"/>
      <c r="E2" s="386"/>
      <c r="F2" s="386"/>
      <c r="G2" s="386"/>
    </row>
    <row r="3" spans="1:7" ht="15.75" x14ac:dyDescent="0.25">
      <c r="A3" s="654" t="s">
        <v>368</v>
      </c>
      <c r="B3" s="654"/>
      <c r="C3" s="654"/>
      <c r="D3" s="654"/>
      <c r="E3" s="654"/>
      <c r="F3" s="654"/>
    </row>
    <row r="4" spans="1:7" ht="24.95" customHeight="1" x14ac:dyDescent="0.25">
      <c r="A4" s="657" t="s">
        <v>187</v>
      </c>
      <c r="B4" s="657"/>
      <c r="C4" s="657"/>
      <c r="D4" s="657"/>
      <c r="E4" s="657"/>
      <c r="F4" s="657"/>
    </row>
    <row r="5" spans="1:7" ht="24.95" customHeight="1" x14ac:dyDescent="0.25">
      <c r="A5" s="155" t="s">
        <v>152</v>
      </c>
      <c r="B5" s="155" t="s">
        <v>87</v>
      </c>
      <c r="C5" s="155" t="s">
        <v>38</v>
      </c>
      <c r="D5" s="155" t="s">
        <v>88</v>
      </c>
      <c r="E5" s="141" t="s">
        <v>153</v>
      </c>
      <c r="F5" s="141" t="s">
        <v>151</v>
      </c>
    </row>
    <row r="6" spans="1:7" ht="31.5" customHeight="1" x14ac:dyDescent="0.25">
      <c r="A6" s="655" t="s">
        <v>81</v>
      </c>
      <c r="B6" s="157" t="s">
        <v>89</v>
      </c>
      <c r="C6" s="154">
        <v>150</v>
      </c>
      <c r="D6" s="154" t="s">
        <v>90</v>
      </c>
      <c r="E6" s="142">
        <f>ROUND((0.9*1.0955),2)</f>
        <v>0.99</v>
      </c>
      <c r="F6" s="142">
        <f>E6*C6*12</f>
        <v>1782</v>
      </c>
    </row>
    <row r="7" spans="1:7" ht="42.75" customHeight="1" x14ac:dyDescent="0.25">
      <c r="A7" s="655"/>
      <c r="B7" s="157" t="s">
        <v>91</v>
      </c>
      <c r="C7" s="143">
        <v>34</v>
      </c>
      <c r="D7" s="154" t="s">
        <v>92</v>
      </c>
      <c r="E7" s="142">
        <f>ROUND((15*1.0955),2)</f>
        <v>16.43</v>
      </c>
      <c r="F7" s="142">
        <f>E7*C7*2</f>
        <v>1117.24</v>
      </c>
    </row>
    <row r="8" spans="1:7" ht="33.75" customHeight="1" x14ac:dyDescent="0.25">
      <c r="A8" s="655"/>
      <c r="B8" s="157" t="s">
        <v>93</v>
      </c>
      <c r="C8" s="154">
        <v>150</v>
      </c>
      <c r="D8" s="154" t="s">
        <v>90</v>
      </c>
      <c r="E8" s="142">
        <f>ROUND((0.35*1.0955),2)</f>
        <v>0.38</v>
      </c>
      <c r="F8" s="142">
        <f>E8*C8*12</f>
        <v>684</v>
      </c>
    </row>
    <row r="9" spans="1:7" ht="24.95" customHeight="1" x14ac:dyDescent="0.25">
      <c r="A9" s="656" t="s">
        <v>71</v>
      </c>
      <c r="B9" s="656"/>
      <c r="C9" s="656"/>
      <c r="D9" s="656"/>
      <c r="E9" s="656"/>
      <c r="F9" s="144">
        <f>SUM(F6:F8)/12</f>
        <v>298.6033333333333</v>
      </c>
    </row>
    <row r="10" spans="1:7" ht="24.95" customHeight="1" x14ac:dyDescent="0.25">
      <c r="A10" s="656" t="s">
        <v>154</v>
      </c>
      <c r="B10" s="656"/>
      <c r="C10" s="656"/>
      <c r="D10" s="656"/>
      <c r="E10" s="656"/>
      <c r="F10" s="145">
        <f>F9/34</f>
        <v>8.7824509803921558</v>
      </c>
    </row>
    <row r="13" spans="1:7" ht="12.75" customHeight="1" x14ac:dyDescent="0.25">
      <c r="A13" s="657" t="s">
        <v>187</v>
      </c>
      <c r="B13" s="657"/>
      <c r="C13" s="657"/>
      <c r="D13" s="657"/>
      <c r="E13" s="657"/>
      <c r="F13" s="657"/>
    </row>
    <row r="14" spans="1:7" ht="26.25" customHeight="1" x14ac:dyDescent="0.25">
      <c r="A14" s="425" t="s">
        <v>152</v>
      </c>
      <c r="B14" s="425" t="s">
        <v>87</v>
      </c>
      <c r="C14" s="425" t="s">
        <v>38</v>
      </c>
      <c r="D14" s="425" t="s">
        <v>88</v>
      </c>
      <c r="E14" s="141" t="s">
        <v>153</v>
      </c>
      <c r="F14" s="141" t="s">
        <v>151</v>
      </c>
    </row>
    <row r="15" spans="1:7" ht="28.5" customHeight="1" x14ac:dyDescent="0.25">
      <c r="A15" s="658" t="s">
        <v>84</v>
      </c>
      <c r="B15" s="428" t="s">
        <v>425</v>
      </c>
      <c r="C15" s="661" t="s">
        <v>426</v>
      </c>
      <c r="D15" s="661" t="s">
        <v>92</v>
      </c>
      <c r="E15" s="429">
        <f>7</f>
        <v>7</v>
      </c>
      <c r="F15" s="429">
        <f>E15*1*2</f>
        <v>14</v>
      </c>
    </row>
    <row r="16" spans="1:7" ht="42.75" customHeight="1" x14ac:dyDescent="0.25">
      <c r="A16" s="659"/>
      <c r="B16" s="428" t="s">
        <v>427</v>
      </c>
      <c r="C16" s="662"/>
      <c r="D16" s="662"/>
      <c r="E16" s="429">
        <f>9</f>
        <v>9</v>
      </c>
      <c r="F16" s="429">
        <f t="shared" ref="F16:F22" si="0">E16*1*2</f>
        <v>18</v>
      </c>
    </row>
    <row r="17" spans="1:6" ht="51" customHeight="1" x14ac:dyDescent="0.25">
      <c r="A17" s="659"/>
      <c r="B17" s="428" t="s">
        <v>428</v>
      </c>
      <c r="C17" s="662"/>
      <c r="D17" s="662"/>
      <c r="E17" s="429">
        <f>4</f>
        <v>4</v>
      </c>
      <c r="F17" s="429">
        <f t="shared" si="0"/>
        <v>8</v>
      </c>
    </row>
    <row r="18" spans="1:6" ht="45.75" customHeight="1" x14ac:dyDescent="0.25">
      <c r="A18" s="659"/>
      <c r="B18" s="428" t="s">
        <v>429</v>
      </c>
      <c r="C18" s="662"/>
      <c r="D18" s="662"/>
      <c r="E18" s="429">
        <f>20</f>
        <v>20</v>
      </c>
      <c r="F18" s="429">
        <f t="shared" si="0"/>
        <v>40</v>
      </c>
    </row>
    <row r="19" spans="1:6" ht="45" x14ac:dyDescent="0.25">
      <c r="A19" s="659"/>
      <c r="B19" s="428" t="s">
        <v>430</v>
      </c>
      <c r="C19" s="662"/>
      <c r="D19" s="662"/>
      <c r="E19" s="429">
        <f>20</f>
        <v>20</v>
      </c>
      <c r="F19" s="429">
        <f t="shared" si="0"/>
        <v>40</v>
      </c>
    </row>
    <row r="20" spans="1:6" ht="30" x14ac:dyDescent="0.25">
      <c r="A20" s="659"/>
      <c r="B20" s="428" t="s">
        <v>431</v>
      </c>
      <c r="C20" s="662"/>
      <c r="D20" s="662"/>
      <c r="E20" s="429">
        <f>1.7</f>
        <v>1.7</v>
      </c>
      <c r="F20" s="429">
        <f t="shared" si="0"/>
        <v>3.4</v>
      </c>
    </row>
    <row r="21" spans="1:6" ht="30" x14ac:dyDescent="0.25">
      <c r="A21" s="659"/>
      <c r="B21" s="428" t="s">
        <v>432</v>
      </c>
      <c r="C21" s="662"/>
      <c r="D21" s="662"/>
      <c r="E21" s="429">
        <f>200</f>
        <v>200</v>
      </c>
      <c r="F21" s="429">
        <f t="shared" si="0"/>
        <v>400</v>
      </c>
    </row>
    <row r="22" spans="1:6" ht="45" x14ac:dyDescent="0.25">
      <c r="A22" s="660"/>
      <c r="B22" s="428" t="s">
        <v>433</v>
      </c>
      <c r="C22" s="663"/>
      <c r="D22" s="663"/>
      <c r="E22" s="429">
        <f>200</f>
        <v>200</v>
      </c>
      <c r="F22" s="429">
        <f t="shared" si="0"/>
        <v>400</v>
      </c>
    </row>
    <row r="23" spans="1:6" ht="14.25" x14ac:dyDescent="0.25">
      <c r="A23" s="664" t="s">
        <v>71</v>
      </c>
      <c r="B23" s="664"/>
      <c r="C23" s="664"/>
      <c r="D23" s="664"/>
      <c r="E23" s="664"/>
      <c r="F23" s="430">
        <f>SUM(F15:F22)/12</f>
        <v>76.95</v>
      </c>
    </row>
    <row r="24" spans="1:6" ht="15" customHeight="1" x14ac:dyDescent="0.25">
      <c r="A24" s="664" t="s">
        <v>434</v>
      </c>
      <c r="B24" s="664"/>
      <c r="C24" s="664"/>
      <c r="D24" s="664"/>
      <c r="E24" s="664"/>
      <c r="F24" s="431">
        <f>F23/2</f>
        <v>38.475000000000001</v>
      </c>
    </row>
    <row r="25" spans="1:6" x14ac:dyDescent="0.25">
      <c r="A25" s="432"/>
      <c r="B25" s="433"/>
      <c r="C25" s="434"/>
      <c r="D25" s="434"/>
      <c r="E25" s="435"/>
      <c r="F25" s="435"/>
    </row>
    <row r="26" spans="1:6" ht="14.25" x14ac:dyDescent="0.25">
      <c r="A26" s="668" t="s">
        <v>435</v>
      </c>
      <c r="B26" s="669"/>
      <c r="C26" s="423" t="s">
        <v>436</v>
      </c>
      <c r="D26" s="423" t="s">
        <v>38</v>
      </c>
      <c r="E26" s="436" t="s">
        <v>153</v>
      </c>
      <c r="F26" s="436" t="s">
        <v>151</v>
      </c>
    </row>
    <row r="27" spans="1:6" x14ac:dyDescent="0.25">
      <c r="A27" s="670" t="s">
        <v>437</v>
      </c>
      <c r="B27" s="671"/>
      <c r="C27" s="661" t="s">
        <v>438</v>
      </c>
      <c r="D27" s="661">
        <v>1</v>
      </c>
      <c r="E27" s="665">
        <f>1900</f>
        <v>1900</v>
      </c>
      <c r="F27" s="665">
        <f>E27</f>
        <v>1900</v>
      </c>
    </row>
    <row r="28" spans="1:6" x14ac:dyDescent="0.25">
      <c r="A28" s="672"/>
      <c r="B28" s="673"/>
      <c r="C28" s="662"/>
      <c r="D28" s="662"/>
      <c r="E28" s="666"/>
      <c r="F28" s="666"/>
    </row>
    <row r="29" spans="1:6" x14ac:dyDescent="0.25">
      <c r="A29" s="672"/>
      <c r="B29" s="673"/>
      <c r="C29" s="662"/>
      <c r="D29" s="662"/>
      <c r="E29" s="666"/>
      <c r="F29" s="666"/>
    </row>
    <row r="30" spans="1:6" x14ac:dyDescent="0.25">
      <c r="A30" s="672"/>
      <c r="B30" s="673"/>
      <c r="C30" s="662"/>
      <c r="D30" s="662"/>
      <c r="E30" s="666"/>
      <c r="F30" s="666"/>
    </row>
    <row r="31" spans="1:6" x14ac:dyDescent="0.25">
      <c r="A31" s="672"/>
      <c r="B31" s="673"/>
      <c r="C31" s="662"/>
      <c r="D31" s="662"/>
      <c r="E31" s="666"/>
      <c r="F31" s="666"/>
    </row>
    <row r="32" spans="1:6" x14ac:dyDescent="0.25">
      <c r="A32" s="672"/>
      <c r="B32" s="673"/>
      <c r="C32" s="662"/>
      <c r="D32" s="662"/>
      <c r="E32" s="666"/>
      <c r="F32" s="666"/>
    </row>
    <row r="33" spans="1:6" x14ac:dyDescent="0.25">
      <c r="A33" s="672"/>
      <c r="B33" s="673"/>
      <c r="C33" s="662"/>
      <c r="D33" s="662"/>
      <c r="E33" s="666"/>
      <c r="F33" s="666"/>
    </row>
    <row r="34" spans="1:6" x14ac:dyDescent="0.25">
      <c r="A34" s="674"/>
      <c r="B34" s="675"/>
      <c r="C34" s="663"/>
      <c r="D34" s="663"/>
      <c r="E34" s="667"/>
      <c r="F34" s="667"/>
    </row>
    <row r="35" spans="1:6" ht="14.25" x14ac:dyDescent="0.25">
      <c r="A35" s="664" t="s">
        <v>71</v>
      </c>
      <c r="B35" s="664"/>
      <c r="C35" s="664"/>
      <c r="D35" s="664"/>
      <c r="E35" s="664"/>
      <c r="F35" s="430">
        <f>31.67</f>
        <v>31.67</v>
      </c>
    </row>
    <row r="36" spans="1:6" ht="15" customHeight="1" x14ac:dyDescent="0.25">
      <c r="A36" s="664" t="s">
        <v>434</v>
      </c>
      <c r="B36" s="664"/>
      <c r="C36" s="664"/>
      <c r="D36" s="664"/>
      <c r="E36" s="664"/>
      <c r="F36" s="431">
        <f>10.56</f>
        <v>10.56</v>
      </c>
    </row>
    <row r="37" spans="1:6" ht="45" customHeight="1" x14ac:dyDescent="0.25"/>
    <row r="38" spans="1:6" ht="45" customHeight="1" x14ac:dyDescent="0.25"/>
    <row r="39" spans="1:6" ht="30.75" customHeight="1" x14ac:dyDescent="0.25"/>
    <row r="40" spans="1:6" ht="35.25" hidden="1" customHeight="1" x14ac:dyDescent="0.25"/>
    <row r="41" spans="1:6" ht="30" hidden="1" customHeight="1" x14ac:dyDescent="0.25"/>
    <row r="42" spans="1:6" ht="13.5" hidden="1" customHeight="1" x14ac:dyDescent="0.25"/>
    <row r="43" spans="1:6" ht="45" hidden="1" customHeight="1" x14ac:dyDescent="0.25"/>
  </sheetData>
  <mergeCells count="20">
    <mergeCell ref="F27:F34"/>
    <mergeCell ref="A35:E35"/>
    <mergeCell ref="A36:E36"/>
    <mergeCell ref="A24:E24"/>
    <mergeCell ref="A26:B26"/>
    <mergeCell ref="A27:B34"/>
    <mergeCell ref="C27:C34"/>
    <mergeCell ref="D27:D34"/>
    <mergeCell ref="E27:E34"/>
    <mergeCell ref="A13:F13"/>
    <mergeCell ref="A15:A22"/>
    <mergeCell ref="C15:C22"/>
    <mergeCell ref="D15:D22"/>
    <mergeCell ref="A23:E23"/>
    <mergeCell ref="A1:G1"/>
    <mergeCell ref="A3:F3"/>
    <mergeCell ref="A6:A8"/>
    <mergeCell ref="A9:E9"/>
    <mergeCell ref="A10:E10"/>
    <mergeCell ref="A4:F4"/>
  </mergeCells>
  <printOptions horizontalCentered="1"/>
  <pageMargins left="0.11811023622047245" right="0.11811023622047245" top="0.39370078740157483" bottom="0.39370078740157483" header="0.31496062992125984" footer="0.31496062992125984"/>
  <pageSetup paperSize="9" scale="90" orientation="portrait" r:id="rId1"/>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82"/>
  <sheetViews>
    <sheetView showGridLines="0" topLeftCell="D1" zoomScale="85" zoomScaleNormal="85" zoomScaleSheetLayoutView="85" workbookViewId="0">
      <selection activeCell="L51" sqref="L51"/>
    </sheetView>
  </sheetViews>
  <sheetFormatPr defaultColWidth="9" defaultRowHeight="15" x14ac:dyDescent="0.25"/>
  <cols>
    <col min="1" max="1" width="22.7109375" style="153" customWidth="1"/>
    <col min="2" max="2" width="12.28515625" style="153" customWidth="1"/>
    <col min="3" max="3" width="44.85546875" style="147" customWidth="1"/>
    <col min="4" max="4" width="15.140625" style="206" customWidth="1"/>
    <col min="5" max="5" width="15.28515625" style="206" bestFit="1" customWidth="1"/>
    <col min="6" max="6" width="13.85546875" style="146" customWidth="1"/>
    <col min="7" max="7" width="27.85546875" style="147" customWidth="1"/>
    <col min="8" max="8" width="12.42578125" style="147" customWidth="1"/>
    <col min="9" max="9" width="49.42578125" style="147" customWidth="1"/>
    <col min="10" max="10" width="16.5703125" style="147" customWidth="1"/>
    <col min="11" max="11" width="17.5703125" style="147" customWidth="1"/>
    <col min="12" max="13" width="11.28515625" style="147" bestFit="1" customWidth="1"/>
    <col min="14" max="14" width="15.5703125" style="147" customWidth="1"/>
    <col min="15" max="16384" width="9" style="147"/>
  </cols>
  <sheetData>
    <row r="1" spans="1:11" ht="30" customHeight="1" x14ac:dyDescent="0.25">
      <c r="A1" s="679" t="s">
        <v>398</v>
      </c>
      <c r="B1" s="679"/>
      <c r="C1" s="679"/>
      <c r="D1" s="679"/>
      <c r="E1" s="679"/>
      <c r="G1" s="685" t="s">
        <v>414</v>
      </c>
      <c r="H1" s="685"/>
      <c r="I1" s="685"/>
      <c r="J1" s="685"/>
      <c r="K1" s="685"/>
    </row>
    <row r="2" spans="1:11" ht="24" customHeight="1" x14ac:dyDescent="0.25">
      <c r="A2" s="680" t="s">
        <v>188</v>
      </c>
      <c r="B2" s="680"/>
      <c r="C2" s="680"/>
      <c r="D2" s="680"/>
      <c r="E2" s="680"/>
      <c r="G2" s="686" t="s">
        <v>188</v>
      </c>
      <c r="H2" s="686"/>
      <c r="I2" s="686"/>
      <c r="J2" s="686"/>
      <c r="K2" s="686"/>
    </row>
    <row r="3" spans="1:11" ht="24.75" customHeight="1" x14ac:dyDescent="0.25">
      <c r="A3" s="140" t="s">
        <v>79</v>
      </c>
      <c r="B3" s="140" t="s">
        <v>264</v>
      </c>
      <c r="C3" s="140" t="s">
        <v>196</v>
      </c>
      <c r="D3" s="207" t="s">
        <v>80</v>
      </c>
      <c r="E3" s="207" t="s">
        <v>40</v>
      </c>
      <c r="G3" s="423" t="s">
        <v>79</v>
      </c>
      <c r="H3" s="423" t="s">
        <v>264</v>
      </c>
      <c r="I3" s="423" t="s">
        <v>421</v>
      </c>
      <c r="J3" s="424" t="s">
        <v>80</v>
      </c>
      <c r="K3" s="424" t="s">
        <v>40</v>
      </c>
    </row>
    <row r="4" spans="1:11" ht="63.75" customHeight="1" x14ac:dyDescent="0.25">
      <c r="A4" s="678" t="s">
        <v>82</v>
      </c>
      <c r="B4" s="148">
        <v>4</v>
      </c>
      <c r="C4" s="150" t="s">
        <v>201</v>
      </c>
      <c r="D4" s="208">
        <f>ROUND((50*1.0955),2)</f>
        <v>54.78</v>
      </c>
      <c r="E4" s="208">
        <f>D4*B4</f>
        <v>219.12</v>
      </c>
      <c r="G4" s="683" t="s">
        <v>82</v>
      </c>
      <c r="H4" s="461">
        <v>4</v>
      </c>
      <c r="I4" s="462" t="s">
        <v>462</v>
      </c>
      <c r="J4" s="463">
        <f>ROUND((50*1.0955),2)</f>
        <v>54.78</v>
      </c>
      <c r="K4" s="463">
        <f>J4*H4</f>
        <v>219.12</v>
      </c>
    </row>
    <row r="5" spans="1:11" ht="58.5" customHeight="1" x14ac:dyDescent="0.25">
      <c r="A5" s="678"/>
      <c r="B5" s="148">
        <v>8</v>
      </c>
      <c r="C5" s="150" t="s">
        <v>202</v>
      </c>
      <c r="D5" s="208">
        <f>ROUND((20*1.0955),2)</f>
        <v>21.91</v>
      </c>
      <c r="E5" s="208">
        <f>D5*B5</f>
        <v>175.28</v>
      </c>
      <c r="G5" s="683"/>
      <c r="H5" s="461">
        <v>8</v>
      </c>
      <c r="I5" s="462" t="s">
        <v>463</v>
      </c>
      <c r="J5" s="463">
        <f>ROUND((20*1.0955),2)</f>
        <v>21.91</v>
      </c>
      <c r="K5" s="463">
        <f>J5*H5</f>
        <v>175.28</v>
      </c>
    </row>
    <row r="6" spans="1:11" ht="33.75" customHeight="1" x14ac:dyDescent="0.25">
      <c r="A6" s="678"/>
      <c r="B6" s="148">
        <v>4</v>
      </c>
      <c r="C6" s="150" t="s">
        <v>203</v>
      </c>
      <c r="D6" s="208">
        <f>ROUND((20*1.0955),2)</f>
        <v>21.91</v>
      </c>
      <c r="E6" s="208">
        <f>D6*B6</f>
        <v>87.64</v>
      </c>
      <c r="G6" s="683"/>
      <c r="H6" s="461">
        <v>4</v>
      </c>
      <c r="I6" s="462" t="s">
        <v>464</v>
      </c>
      <c r="J6" s="463">
        <f>ROUND((20*1.0955),2)</f>
        <v>21.91</v>
      </c>
      <c r="K6" s="463">
        <f>J6*H6</f>
        <v>87.64</v>
      </c>
    </row>
    <row r="7" spans="1:11" ht="47.25" customHeight="1" x14ac:dyDescent="0.25">
      <c r="A7" s="678"/>
      <c r="B7" s="148">
        <v>8</v>
      </c>
      <c r="C7" s="150" t="s">
        <v>204</v>
      </c>
      <c r="D7" s="208">
        <f>ROUND((4*1.0955),2)</f>
        <v>4.38</v>
      </c>
      <c r="E7" s="208">
        <f>D7*B7</f>
        <v>35.04</v>
      </c>
      <c r="G7" s="683"/>
      <c r="H7" s="461">
        <v>8</v>
      </c>
      <c r="I7" s="462" t="s">
        <v>282</v>
      </c>
      <c r="J7" s="463">
        <f>ROUND((4*1.0955),2)</f>
        <v>4.38</v>
      </c>
      <c r="K7" s="463">
        <f>J7*H7</f>
        <v>35.04</v>
      </c>
    </row>
    <row r="8" spans="1:11" ht="65.25" customHeight="1" x14ac:dyDescent="0.25">
      <c r="A8" s="681"/>
      <c r="B8" s="151">
        <v>4</v>
      </c>
      <c r="C8" s="152" t="s">
        <v>205</v>
      </c>
      <c r="D8" s="209">
        <f>ROUND((30*1.0955),2)</f>
        <v>32.869999999999997</v>
      </c>
      <c r="E8" s="209">
        <f>D8*B8</f>
        <v>131.47999999999999</v>
      </c>
      <c r="G8" s="684"/>
      <c r="H8" s="464">
        <v>4</v>
      </c>
      <c r="I8" s="465" t="s">
        <v>465</v>
      </c>
      <c r="J8" s="466">
        <f>ROUND((30*1.0955),2)</f>
        <v>32.869999999999997</v>
      </c>
      <c r="K8" s="466">
        <f>J8*H8</f>
        <v>131.47999999999999</v>
      </c>
    </row>
    <row r="9" spans="1:11" ht="18" customHeight="1" x14ac:dyDescent="0.25">
      <c r="A9" s="677" t="s">
        <v>150</v>
      </c>
      <c r="B9" s="677"/>
      <c r="C9" s="677"/>
      <c r="D9" s="677"/>
      <c r="E9" s="210">
        <f>SUM(E4:E8)</f>
        <v>648.55999999999995</v>
      </c>
      <c r="G9" s="682" t="s">
        <v>150</v>
      </c>
      <c r="H9" s="682"/>
      <c r="I9" s="682"/>
      <c r="J9" s="682"/>
      <c r="K9" s="467">
        <f>SUM(K4:K8)</f>
        <v>648.55999999999995</v>
      </c>
    </row>
    <row r="10" spans="1:11" ht="18" customHeight="1" x14ac:dyDescent="0.25">
      <c r="A10" s="677" t="s">
        <v>71</v>
      </c>
      <c r="B10" s="677"/>
      <c r="C10" s="677"/>
      <c r="D10" s="677"/>
      <c r="E10" s="210">
        <f>ROUND((SUM(E4:E8)/12),2)</f>
        <v>54.05</v>
      </c>
      <c r="G10" s="682" t="s">
        <v>71</v>
      </c>
      <c r="H10" s="682"/>
      <c r="I10" s="682"/>
      <c r="J10" s="682"/>
      <c r="K10" s="467">
        <f>ROUND((SUM(K4:K8)/12),2)</f>
        <v>54.05</v>
      </c>
    </row>
    <row r="11" spans="1:11" ht="20.100000000000001" customHeight="1" x14ac:dyDescent="0.25">
      <c r="A11" s="140" t="s">
        <v>79</v>
      </c>
      <c r="B11" s="140" t="s">
        <v>38</v>
      </c>
      <c r="C11" s="140" t="s">
        <v>196</v>
      </c>
      <c r="D11" s="207" t="s">
        <v>80</v>
      </c>
      <c r="E11" s="207" t="s">
        <v>40</v>
      </c>
      <c r="G11" s="423" t="s">
        <v>79</v>
      </c>
      <c r="H11" s="423" t="s">
        <v>38</v>
      </c>
      <c r="I11" s="423" t="s">
        <v>421</v>
      </c>
      <c r="J11" s="424" t="s">
        <v>80</v>
      </c>
      <c r="K11" s="424" t="s">
        <v>40</v>
      </c>
    </row>
    <row r="12" spans="1:11" ht="62.45" customHeight="1" x14ac:dyDescent="0.25">
      <c r="A12" s="678" t="s">
        <v>81</v>
      </c>
      <c r="B12" s="148">
        <v>4</v>
      </c>
      <c r="C12" s="149" t="s">
        <v>197</v>
      </c>
      <c r="D12" s="208">
        <f>ROUND((6.5*1.0955),2)</f>
        <v>7.12</v>
      </c>
      <c r="E12" s="208">
        <f>D12*B12</f>
        <v>28.48</v>
      </c>
      <c r="G12" s="683" t="s">
        <v>81</v>
      </c>
      <c r="H12" s="461">
        <v>4</v>
      </c>
      <c r="I12" s="468" t="s">
        <v>466</v>
      </c>
      <c r="J12" s="463">
        <f>ROUND((D12*1.15),2)</f>
        <v>8.19</v>
      </c>
      <c r="K12" s="463">
        <f>J12*H12</f>
        <v>32.76</v>
      </c>
    </row>
    <row r="13" spans="1:11" ht="47.45" customHeight="1" x14ac:dyDescent="0.25">
      <c r="A13" s="678"/>
      <c r="B13" s="148">
        <v>8</v>
      </c>
      <c r="C13" s="150" t="s">
        <v>198</v>
      </c>
      <c r="D13" s="208">
        <f>ROUND((6.5*1.0955),2)</f>
        <v>7.12</v>
      </c>
      <c r="E13" s="208">
        <f>D13*B13</f>
        <v>56.96</v>
      </c>
      <c r="G13" s="683"/>
      <c r="H13" s="461">
        <v>8</v>
      </c>
      <c r="I13" s="462" t="s">
        <v>467</v>
      </c>
      <c r="J13" s="463">
        <f t="shared" ref="J13:J15" si="0">ROUND((D13*1.15),2)</f>
        <v>8.19</v>
      </c>
      <c r="K13" s="463">
        <f>J13*H13</f>
        <v>65.52</v>
      </c>
    </row>
    <row r="14" spans="1:11" ht="100.5" customHeight="1" x14ac:dyDescent="0.25">
      <c r="A14" s="678"/>
      <c r="B14" s="148">
        <v>4</v>
      </c>
      <c r="C14" s="150" t="s">
        <v>199</v>
      </c>
      <c r="D14" s="208">
        <f>ROUND((13*1.0955),2)</f>
        <v>14.24</v>
      </c>
      <c r="E14" s="208">
        <f>D14*B14</f>
        <v>56.96</v>
      </c>
      <c r="G14" s="683"/>
      <c r="H14" s="461">
        <v>4</v>
      </c>
      <c r="I14" s="462" t="s">
        <v>468</v>
      </c>
      <c r="J14" s="463">
        <f t="shared" si="0"/>
        <v>16.38</v>
      </c>
      <c r="K14" s="463">
        <f>J14*H14</f>
        <v>65.52</v>
      </c>
    </row>
    <row r="15" spans="1:11" ht="37.15" customHeight="1" x14ac:dyDescent="0.25">
      <c r="A15" s="678"/>
      <c r="B15" s="148">
        <v>8</v>
      </c>
      <c r="C15" s="150" t="s">
        <v>200</v>
      </c>
      <c r="D15" s="208">
        <f>ROUND((1*1.0955),2)</f>
        <v>1.1000000000000001</v>
      </c>
      <c r="E15" s="208">
        <f>D15*B15</f>
        <v>8.8000000000000007</v>
      </c>
      <c r="G15" s="683"/>
      <c r="H15" s="461">
        <v>8</v>
      </c>
      <c r="I15" s="462" t="s">
        <v>469</v>
      </c>
      <c r="J15" s="463">
        <f t="shared" si="0"/>
        <v>1.27</v>
      </c>
      <c r="K15" s="463">
        <f>J15*H15</f>
        <v>10.16</v>
      </c>
    </row>
    <row r="16" spans="1:11" ht="20.100000000000001" customHeight="1" x14ac:dyDescent="0.25">
      <c r="A16" s="269" t="s">
        <v>150</v>
      </c>
      <c r="B16" s="269"/>
      <c r="C16" s="269"/>
      <c r="D16" s="269" t="s">
        <v>150</v>
      </c>
      <c r="E16" s="210">
        <f>SUM(E12:E15)</f>
        <v>151.20000000000002</v>
      </c>
      <c r="G16" s="469" t="s">
        <v>150</v>
      </c>
      <c r="H16" s="469"/>
      <c r="I16" s="469"/>
      <c r="J16" s="469" t="s">
        <v>150</v>
      </c>
      <c r="K16" s="467">
        <f>SUM(K12:K15)</f>
        <v>173.96</v>
      </c>
    </row>
    <row r="17" spans="1:14" ht="20.100000000000001" customHeight="1" x14ac:dyDescent="0.25">
      <c r="A17" s="677" t="s">
        <v>71</v>
      </c>
      <c r="B17" s="677"/>
      <c r="C17" s="677"/>
      <c r="D17" s="677"/>
      <c r="E17" s="210">
        <f>ROUND((SUM(E12:E15)/12),2)</f>
        <v>12.6</v>
      </c>
      <c r="G17" s="682" t="s">
        <v>71</v>
      </c>
      <c r="H17" s="682"/>
      <c r="I17" s="682"/>
      <c r="J17" s="682"/>
      <c r="K17" s="467">
        <f>ROUND((SUM(K12:K15)/12),2)</f>
        <v>14.5</v>
      </c>
    </row>
    <row r="18" spans="1:14" ht="20.100000000000001" customHeight="1" x14ac:dyDescent="0.25">
      <c r="A18" s="140" t="s">
        <v>79</v>
      </c>
      <c r="B18" s="140" t="s">
        <v>38</v>
      </c>
      <c r="C18" s="140" t="s">
        <v>196</v>
      </c>
      <c r="D18" s="207" t="s">
        <v>80</v>
      </c>
      <c r="E18" s="207" t="s">
        <v>40</v>
      </c>
      <c r="G18" s="423" t="s">
        <v>79</v>
      </c>
      <c r="H18" s="423" t="s">
        <v>38</v>
      </c>
      <c r="I18" s="423" t="s">
        <v>421</v>
      </c>
      <c r="J18" s="424" t="s">
        <v>80</v>
      </c>
      <c r="K18" s="424" t="s">
        <v>40</v>
      </c>
    </row>
    <row r="19" spans="1:14" ht="87" customHeight="1" x14ac:dyDescent="0.25">
      <c r="A19" s="678" t="s">
        <v>83</v>
      </c>
      <c r="B19" s="148">
        <v>4</v>
      </c>
      <c r="C19" s="150" t="s">
        <v>206</v>
      </c>
      <c r="D19" s="208">
        <f>ROUND((57.2*1.0955),2)</f>
        <v>62.66</v>
      </c>
      <c r="E19" s="208">
        <f t="shared" ref="E19:E24" si="1">D19*B19</f>
        <v>250.64</v>
      </c>
      <c r="G19" s="683" t="s">
        <v>83</v>
      </c>
      <c r="H19" s="461">
        <v>4</v>
      </c>
      <c r="I19" s="462" t="s">
        <v>470</v>
      </c>
      <c r="J19" s="463">
        <f>ROUND((D19*1.15),2)</f>
        <v>72.06</v>
      </c>
      <c r="K19" s="463">
        <f t="shared" ref="K19:K24" si="2">J19*H19</f>
        <v>288.24</v>
      </c>
    </row>
    <row r="20" spans="1:14" ht="30" x14ac:dyDescent="0.25">
      <c r="A20" s="678"/>
      <c r="B20" s="148">
        <v>8</v>
      </c>
      <c r="C20" s="150" t="s">
        <v>207</v>
      </c>
      <c r="D20" s="208">
        <f>ROUND((23*1.0955),2)</f>
        <v>25.2</v>
      </c>
      <c r="E20" s="208">
        <f t="shared" si="1"/>
        <v>201.6</v>
      </c>
      <c r="G20" s="683"/>
      <c r="H20" s="461">
        <v>8</v>
      </c>
      <c r="I20" s="462" t="s">
        <v>471</v>
      </c>
      <c r="J20" s="463">
        <f t="shared" ref="J20:J24" si="3">ROUND((D20*1.15),2)</f>
        <v>28.98</v>
      </c>
      <c r="K20" s="463">
        <f t="shared" si="2"/>
        <v>231.84</v>
      </c>
      <c r="M20" s="147">
        <v>250.64</v>
      </c>
    </row>
    <row r="21" spans="1:14" ht="32.25" customHeight="1" x14ac:dyDescent="0.25">
      <c r="A21" s="678"/>
      <c r="B21" s="148">
        <v>2</v>
      </c>
      <c r="C21" s="150" t="s">
        <v>208</v>
      </c>
      <c r="D21" s="208">
        <f>ROUND((8*1.0955),2)</f>
        <v>8.76</v>
      </c>
      <c r="E21" s="208">
        <f t="shared" si="1"/>
        <v>17.52</v>
      </c>
      <c r="G21" s="683"/>
      <c r="H21" s="461">
        <v>2</v>
      </c>
      <c r="I21" s="462" t="s">
        <v>472</v>
      </c>
      <c r="J21" s="463">
        <f t="shared" si="3"/>
        <v>10.07</v>
      </c>
      <c r="K21" s="463">
        <f t="shared" si="2"/>
        <v>20.14</v>
      </c>
      <c r="M21" s="147">
        <v>17.52</v>
      </c>
    </row>
    <row r="22" spans="1:14" s="146" customFormat="1" ht="35.25" customHeight="1" x14ac:dyDescent="0.25">
      <c r="A22" s="678"/>
      <c r="B22" s="148">
        <v>8</v>
      </c>
      <c r="C22" s="150" t="s">
        <v>209</v>
      </c>
      <c r="D22" s="208">
        <f>ROUND((3*1.0955),2)</f>
        <v>3.29</v>
      </c>
      <c r="E22" s="208">
        <f t="shared" si="1"/>
        <v>26.32</v>
      </c>
      <c r="G22" s="683"/>
      <c r="H22" s="461">
        <v>8</v>
      </c>
      <c r="I22" s="462" t="s">
        <v>473</v>
      </c>
      <c r="J22" s="463">
        <f t="shared" si="3"/>
        <v>3.78</v>
      </c>
      <c r="K22" s="463">
        <f t="shared" si="2"/>
        <v>30.24</v>
      </c>
      <c r="M22" s="274">
        <f>M20+M21</f>
        <v>268.15999999999997</v>
      </c>
      <c r="N22" s="146" t="s">
        <v>274</v>
      </c>
    </row>
    <row r="23" spans="1:14" s="146" customFormat="1" ht="26.25" customHeight="1" x14ac:dyDescent="0.25">
      <c r="A23" s="678"/>
      <c r="B23" s="148">
        <v>2</v>
      </c>
      <c r="C23" s="150" t="s">
        <v>210</v>
      </c>
      <c r="D23" s="208">
        <f>ROUND((8*1.0955),2)</f>
        <v>8.76</v>
      </c>
      <c r="E23" s="208">
        <f t="shared" si="1"/>
        <v>17.52</v>
      </c>
      <c r="G23" s="683"/>
      <c r="H23" s="461">
        <v>2</v>
      </c>
      <c r="I23" s="462" t="s">
        <v>474</v>
      </c>
      <c r="J23" s="463">
        <f t="shared" si="3"/>
        <v>10.07</v>
      </c>
      <c r="K23" s="463">
        <f t="shared" si="2"/>
        <v>20.14</v>
      </c>
      <c r="M23" s="146">
        <f>M22/12</f>
        <v>22.346666666666664</v>
      </c>
    </row>
    <row r="24" spans="1:14" s="146" customFormat="1" ht="69" customHeight="1" x14ac:dyDescent="0.25">
      <c r="A24" s="681"/>
      <c r="B24" s="151">
        <v>4</v>
      </c>
      <c r="C24" s="152" t="s">
        <v>211</v>
      </c>
      <c r="D24" s="209">
        <f>ROUND((30*1.0955),2)</f>
        <v>32.869999999999997</v>
      </c>
      <c r="E24" s="209">
        <f t="shared" si="1"/>
        <v>131.47999999999999</v>
      </c>
      <c r="G24" s="684"/>
      <c r="H24" s="464">
        <v>4</v>
      </c>
      <c r="I24" s="465" t="s">
        <v>156</v>
      </c>
      <c r="J24" s="463">
        <f t="shared" si="3"/>
        <v>37.799999999999997</v>
      </c>
      <c r="K24" s="466">
        <f t="shared" si="2"/>
        <v>151.19999999999999</v>
      </c>
    </row>
    <row r="25" spans="1:14" ht="20.100000000000001" customHeight="1" x14ac:dyDescent="0.25">
      <c r="A25" s="677" t="s">
        <v>150</v>
      </c>
      <c r="B25" s="677"/>
      <c r="C25" s="677"/>
      <c r="D25" s="677"/>
      <c r="E25" s="210">
        <f>SUM(E19:E24)</f>
        <v>645.08000000000004</v>
      </c>
      <c r="G25" s="682" t="s">
        <v>150</v>
      </c>
      <c r="H25" s="682"/>
      <c r="I25" s="682"/>
      <c r="J25" s="682"/>
      <c r="K25" s="467">
        <f>SUM(K19:K24)</f>
        <v>741.8</v>
      </c>
    </row>
    <row r="26" spans="1:14" ht="20.100000000000001" customHeight="1" x14ac:dyDescent="0.25">
      <c r="A26" s="677" t="s">
        <v>71</v>
      </c>
      <c r="B26" s="677"/>
      <c r="C26" s="677"/>
      <c r="D26" s="677"/>
      <c r="E26" s="210">
        <f>SUM(E19:E24)/12</f>
        <v>53.756666666666668</v>
      </c>
      <c r="G26" s="682" t="s">
        <v>71</v>
      </c>
      <c r="H26" s="682"/>
      <c r="I26" s="682"/>
      <c r="J26" s="682"/>
      <c r="K26" s="467">
        <f>SUM(K19:K24)/12</f>
        <v>61.816666666666663</v>
      </c>
    </row>
    <row r="27" spans="1:14" ht="18" customHeight="1" x14ac:dyDescent="0.25">
      <c r="A27" s="140" t="s">
        <v>79</v>
      </c>
      <c r="B27" s="140" t="s">
        <v>38</v>
      </c>
      <c r="C27" s="140" t="s">
        <v>196</v>
      </c>
      <c r="D27" s="207" t="s">
        <v>80</v>
      </c>
      <c r="E27" s="207" t="s">
        <v>40</v>
      </c>
      <c r="G27" s="423" t="s">
        <v>79</v>
      </c>
      <c r="H27" s="423" t="s">
        <v>38</v>
      </c>
      <c r="I27" s="423" t="s">
        <v>421</v>
      </c>
      <c r="J27" s="424" t="s">
        <v>80</v>
      </c>
      <c r="K27" s="424" t="s">
        <v>40</v>
      </c>
    </row>
    <row r="28" spans="1:14" s="146" customFormat="1" ht="81" customHeight="1" x14ac:dyDescent="0.25">
      <c r="A28" s="678" t="s">
        <v>33</v>
      </c>
      <c r="B28" s="148">
        <v>4</v>
      </c>
      <c r="C28" s="150" t="s">
        <v>212</v>
      </c>
      <c r="D28" s="208">
        <f>ROUND((57.1*1.0955),2)</f>
        <v>62.55</v>
      </c>
      <c r="E28" s="208">
        <f>D28*B28</f>
        <v>250.2</v>
      </c>
      <c r="G28" s="683" t="s">
        <v>33</v>
      </c>
      <c r="H28" s="461">
        <v>4</v>
      </c>
      <c r="I28" s="462" t="s">
        <v>475</v>
      </c>
      <c r="J28" s="463">
        <f>ROUND((D28*1.15),2)</f>
        <v>71.930000000000007</v>
      </c>
      <c r="K28" s="463">
        <f>J28*H28</f>
        <v>287.72000000000003</v>
      </c>
    </row>
    <row r="29" spans="1:14" s="146" customFormat="1" ht="60" x14ac:dyDescent="0.25">
      <c r="A29" s="678"/>
      <c r="B29" s="148">
        <v>2</v>
      </c>
      <c r="C29" s="150" t="s">
        <v>155</v>
      </c>
      <c r="D29" s="208">
        <f>ROUND((50*1.0955),2)</f>
        <v>54.78</v>
      </c>
      <c r="E29" s="208">
        <f t="shared" ref="E29:E34" si="4">D29*B29</f>
        <v>109.56</v>
      </c>
      <c r="G29" s="683"/>
      <c r="H29" s="461">
        <v>2</v>
      </c>
      <c r="I29" s="462" t="s">
        <v>155</v>
      </c>
      <c r="J29" s="463">
        <f t="shared" ref="J29:J34" si="5">ROUND((D29*1.15),2)</f>
        <v>63</v>
      </c>
      <c r="K29" s="463">
        <f t="shared" ref="K29:K34" si="6">J29*H29</f>
        <v>126</v>
      </c>
    </row>
    <row r="30" spans="1:14" s="146" customFormat="1" ht="54" customHeight="1" x14ac:dyDescent="0.25">
      <c r="A30" s="678"/>
      <c r="B30" s="148">
        <v>8</v>
      </c>
      <c r="C30" s="150" t="s">
        <v>213</v>
      </c>
      <c r="D30" s="208">
        <f>ROUND((25*1.0955),2)</f>
        <v>27.39</v>
      </c>
      <c r="E30" s="208">
        <f t="shared" si="4"/>
        <v>219.12</v>
      </c>
      <c r="G30" s="683"/>
      <c r="H30" s="461">
        <v>8</v>
      </c>
      <c r="I30" s="462" t="s">
        <v>476</v>
      </c>
      <c r="J30" s="463">
        <f t="shared" si="5"/>
        <v>31.5</v>
      </c>
      <c r="K30" s="463">
        <f t="shared" si="6"/>
        <v>252</v>
      </c>
    </row>
    <row r="31" spans="1:14" s="146" customFormat="1" ht="55.5" customHeight="1" x14ac:dyDescent="0.25">
      <c r="A31" s="678"/>
      <c r="B31" s="148">
        <v>2</v>
      </c>
      <c r="C31" s="150" t="s">
        <v>214</v>
      </c>
      <c r="D31" s="208">
        <f>ROUND((8*1.0955),2)</f>
        <v>8.76</v>
      </c>
      <c r="E31" s="208">
        <f t="shared" si="4"/>
        <v>17.52</v>
      </c>
      <c r="G31" s="683"/>
      <c r="H31" s="461">
        <v>2</v>
      </c>
      <c r="I31" s="462" t="s">
        <v>477</v>
      </c>
      <c r="J31" s="463">
        <f t="shared" si="5"/>
        <v>10.07</v>
      </c>
      <c r="K31" s="463">
        <f t="shared" si="6"/>
        <v>20.14</v>
      </c>
    </row>
    <row r="32" spans="1:14" s="146" customFormat="1" ht="45.75" customHeight="1" x14ac:dyDescent="0.25">
      <c r="A32" s="678"/>
      <c r="B32" s="148">
        <v>8</v>
      </c>
      <c r="C32" s="150" t="s">
        <v>209</v>
      </c>
      <c r="D32" s="208">
        <f>ROUND((3*1.0955),2)</f>
        <v>3.29</v>
      </c>
      <c r="E32" s="208">
        <f t="shared" si="4"/>
        <v>26.32</v>
      </c>
      <c r="G32" s="683"/>
      <c r="H32" s="461">
        <v>8</v>
      </c>
      <c r="I32" s="462" t="s">
        <v>473</v>
      </c>
      <c r="J32" s="463">
        <f t="shared" si="5"/>
        <v>3.78</v>
      </c>
      <c r="K32" s="463">
        <f t="shared" si="6"/>
        <v>30.24</v>
      </c>
    </row>
    <row r="33" spans="1:11" s="146" customFormat="1" ht="29.25" customHeight="1" x14ac:dyDescent="0.25">
      <c r="A33" s="678"/>
      <c r="B33" s="148">
        <v>2</v>
      </c>
      <c r="C33" s="150" t="s">
        <v>210</v>
      </c>
      <c r="D33" s="208">
        <f>ROUND((8*1.0955),2)</f>
        <v>8.76</v>
      </c>
      <c r="E33" s="208">
        <f t="shared" si="4"/>
        <v>17.52</v>
      </c>
      <c r="G33" s="683"/>
      <c r="H33" s="461">
        <v>2</v>
      </c>
      <c r="I33" s="462" t="s">
        <v>474</v>
      </c>
      <c r="J33" s="463">
        <f t="shared" si="5"/>
        <v>10.07</v>
      </c>
      <c r="K33" s="463">
        <f t="shared" si="6"/>
        <v>20.14</v>
      </c>
    </row>
    <row r="34" spans="1:11" s="146" customFormat="1" ht="60" x14ac:dyDescent="0.25">
      <c r="A34" s="678"/>
      <c r="B34" s="148">
        <v>4</v>
      </c>
      <c r="C34" s="150" t="s">
        <v>156</v>
      </c>
      <c r="D34" s="209">
        <f>ROUND((30*1.0955),2)</f>
        <v>32.869999999999997</v>
      </c>
      <c r="E34" s="208">
        <f t="shared" si="4"/>
        <v>131.47999999999999</v>
      </c>
      <c r="G34" s="683"/>
      <c r="H34" s="461">
        <v>4</v>
      </c>
      <c r="I34" s="462" t="s">
        <v>156</v>
      </c>
      <c r="J34" s="463">
        <f t="shared" si="5"/>
        <v>37.799999999999997</v>
      </c>
      <c r="K34" s="463">
        <f t="shared" si="6"/>
        <v>151.19999999999999</v>
      </c>
    </row>
    <row r="35" spans="1:11" ht="20.100000000000001" customHeight="1" x14ac:dyDescent="0.25">
      <c r="A35" s="677" t="s">
        <v>150</v>
      </c>
      <c r="B35" s="677"/>
      <c r="C35" s="677"/>
      <c r="D35" s="677"/>
      <c r="E35" s="210">
        <f>SUM(E28:E34)</f>
        <v>771.72</v>
      </c>
      <c r="G35" s="682" t="s">
        <v>150</v>
      </c>
      <c r="H35" s="682"/>
      <c r="I35" s="682"/>
      <c r="J35" s="682"/>
      <c r="K35" s="467">
        <f>SUM(K28:K34)</f>
        <v>887.44</v>
      </c>
    </row>
    <row r="36" spans="1:11" ht="20.100000000000001" customHeight="1" x14ac:dyDescent="0.25">
      <c r="A36" s="677" t="s">
        <v>71</v>
      </c>
      <c r="B36" s="677"/>
      <c r="C36" s="677"/>
      <c r="D36" s="677"/>
      <c r="E36" s="210">
        <f>SUM(E28:E34)/12</f>
        <v>64.31</v>
      </c>
      <c r="G36" s="682" t="s">
        <v>71</v>
      </c>
      <c r="H36" s="682"/>
      <c r="I36" s="682"/>
      <c r="J36" s="682"/>
      <c r="K36" s="467">
        <f>SUM(K28:K34)/12</f>
        <v>73.953333333333333</v>
      </c>
    </row>
    <row r="37" spans="1:11" ht="18" customHeight="1" x14ac:dyDescent="0.25">
      <c r="A37" s="140" t="s">
        <v>79</v>
      </c>
      <c r="B37" s="140" t="s">
        <v>38</v>
      </c>
      <c r="C37" s="140" t="s">
        <v>196</v>
      </c>
      <c r="D37" s="207" t="s">
        <v>80</v>
      </c>
      <c r="E37" s="207" t="s">
        <v>40</v>
      </c>
      <c r="G37" s="423" t="s">
        <v>79</v>
      </c>
      <c r="H37" s="423" t="s">
        <v>38</v>
      </c>
      <c r="I37" s="423" t="s">
        <v>421</v>
      </c>
      <c r="J37" s="424" t="s">
        <v>80</v>
      </c>
      <c r="K37" s="424" t="s">
        <v>40</v>
      </c>
    </row>
    <row r="38" spans="1:11" s="146" customFormat="1" ht="42.75" customHeight="1" x14ac:dyDescent="0.25">
      <c r="A38" s="678" t="s">
        <v>34</v>
      </c>
      <c r="B38" s="148">
        <v>4</v>
      </c>
      <c r="C38" s="150" t="s">
        <v>215</v>
      </c>
      <c r="D38" s="208">
        <f>ROUND((14*1.0955),2)</f>
        <v>15.34</v>
      </c>
      <c r="E38" s="208">
        <f>D38*B38</f>
        <v>61.36</v>
      </c>
      <c r="G38" s="683" t="s">
        <v>34</v>
      </c>
      <c r="H38" s="461">
        <v>4</v>
      </c>
      <c r="I38" s="462" t="s">
        <v>478</v>
      </c>
      <c r="J38" s="463">
        <f>ROUND((D38*1.15),2)</f>
        <v>17.64</v>
      </c>
      <c r="K38" s="463">
        <f>J38*H38</f>
        <v>70.56</v>
      </c>
    </row>
    <row r="39" spans="1:11" s="146" customFormat="1" ht="44.25" customHeight="1" x14ac:dyDescent="0.25">
      <c r="A39" s="678"/>
      <c r="B39" s="148">
        <v>8</v>
      </c>
      <c r="C39" s="150" t="s">
        <v>216</v>
      </c>
      <c r="D39" s="208">
        <f>ROUND((14*1.0955),2)</f>
        <v>15.34</v>
      </c>
      <c r="E39" s="208">
        <f t="shared" ref="E39:E44" si="7">D39*B39</f>
        <v>122.72</v>
      </c>
      <c r="G39" s="683"/>
      <c r="H39" s="461">
        <v>8</v>
      </c>
      <c r="I39" s="462" t="s">
        <v>479</v>
      </c>
      <c r="J39" s="463">
        <f t="shared" ref="J39:J44" si="8">ROUND((D39*1.15),2)</f>
        <v>17.64</v>
      </c>
      <c r="K39" s="463">
        <f t="shared" ref="K39:K44" si="9">J39*H39</f>
        <v>141.12</v>
      </c>
    </row>
    <row r="40" spans="1:11" s="146" customFormat="1" ht="39" customHeight="1" x14ac:dyDescent="0.25">
      <c r="A40" s="678"/>
      <c r="B40" s="148">
        <v>2</v>
      </c>
      <c r="C40" s="150" t="s">
        <v>217</v>
      </c>
      <c r="D40" s="208">
        <f>ROUND((10*1.0955),2)</f>
        <v>10.96</v>
      </c>
      <c r="E40" s="208">
        <f t="shared" si="7"/>
        <v>21.92</v>
      </c>
      <c r="G40" s="683"/>
      <c r="H40" s="461">
        <v>2</v>
      </c>
      <c r="I40" s="462" t="s">
        <v>480</v>
      </c>
      <c r="J40" s="463">
        <f t="shared" si="8"/>
        <v>12.6</v>
      </c>
      <c r="K40" s="463">
        <f t="shared" si="9"/>
        <v>25.2</v>
      </c>
    </row>
    <row r="41" spans="1:11" s="146" customFormat="1" ht="36" customHeight="1" x14ac:dyDescent="0.25">
      <c r="A41" s="678"/>
      <c r="B41" s="148">
        <v>4</v>
      </c>
      <c r="C41" s="150" t="s">
        <v>265</v>
      </c>
      <c r="D41" s="208">
        <f>ROUND((1*1.0955),2)</f>
        <v>1.1000000000000001</v>
      </c>
      <c r="E41" s="208">
        <f t="shared" si="7"/>
        <v>4.4000000000000004</v>
      </c>
      <c r="G41" s="683"/>
      <c r="H41" s="461">
        <v>4</v>
      </c>
      <c r="I41" s="462" t="s">
        <v>481</v>
      </c>
      <c r="J41" s="463">
        <f t="shared" si="8"/>
        <v>1.27</v>
      </c>
      <c r="K41" s="463">
        <f t="shared" si="9"/>
        <v>5.08</v>
      </c>
    </row>
    <row r="42" spans="1:11" s="146" customFormat="1" ht="48" customHeight="1" x14ac:dyDescent="0.25">
      <c r="A42" s="678"/>
      <c r="B42" s="148">
        <v>8</v>
      </c>
      <c r="C42" s="150" t="s">
        <v>218</v>
      </c>
      <c r="D42" s="208">
        <f>ROUND((2*1.0955),2)</f>
        <v>2.19</v>
      </c>
      <c r="E42" s="208">
        <f t="shared" si="7"/>
        <v>17.52</v>
      </c>
      <c r="G42" s="683"/>
      <c r="H42" s="461">
        <v>8</v>
      </c>
      <c r="I42" s="462" t="s">
        <v>482</v>
      </c>
      <c r="J42" s="463">
        <f t="shared" si="8"/>
        <v>2.52</v>
      </c>
      <c r="K42" s="463">
        <f t="shared" si="9"/>
        <v>20.16</v>
      </c>
    </row>
    <row r="43" spans="1:11" s="146" customFormat="1" ht="28.5" customHeight="1" x14ac:dyDescent="0.25">
      <c r="A43" s="678"/>
      <c r="B43" s="148">
        <v>2</v>
      </c>
      <c r="C43" s="150" t="s">
        <v>219</v>
      </c>
      <c r="D43" s="208">
        <f>ROUND((6*1.0955),2)</f>
        <v>6.57</v>
      </c>
      <c r="E43" s="208">
        <f t="shared" si="7"/>
        <v>13.14</v>
      </c>
      <c r="G43" s="683"/>
      <c r="H43" s="461">
        <v>2</v>
      </c>
      <c r="I43" s="462" t="s">
        <v>483</v>
      </c>
      <c r="J43" s="463">
        <f t="shared" si="8"/>
        <v>7.56</v>
      </c>
      <c r="K43" s="463">
        <f t="shared" si="9"/>
        <v>15.12</v>
      </c>
    </row>
    <row r="44" spans="1:11" s="146" customFormat="1" ht="66" customHeight="1" x14ac:dyDescent="0.25">
      <c r="A44" s="678"/>
      <c r="B44" s="148">
        <v>4</v>
      </c>
      <c r="C44" s="150" t="s">
        <v>156</v>
      </c>
      <c r="D44" s="208">
        <f>ROUND((19*1.0955),2)</f>
        <v>20.81</v>
      </c>
      <c r="E44" s="208">
        <f t="shared" si="7"/>
        <v>83.24</v>
      </c>
      <c r="G44" s="683"/>
      <c r="H44" s="461">
        <v>4</v>
      </c>
      <c r="I44" s="462" t="s">
        <v>156</v>
      </c>
      <c r="J44" s="463">
        <f t="shared" si="8"/>
        <v>23.93</v>
      </c>
      <c r="K44" s="463">
        <f t="shared" si="9"/>
        <v>95.72</v>
      </c>
    </row>
    <row r="45" spans="1:11" ht="20.100000000000001" customHeight="1" x14ac:dyDescent="0.25">
      <c r="A45" s="677" t="s">
        <v>150</v>
      </c>
      <c r="B45" s="677"/>
      <c r="C45" s="677"/>
      <c r="D45" s="677"/>
      <c r="E45" s="210">
        <f>SUM(E38:E44)</f>
        <v>324.3</v>
      </c>
      <c r="G45" s="682" t="s">
        <v>150</v>
      </c>
      <c r="H45" s="682"/>
      <c r="I45" s="682"/>
      <c r="J45" s="682"/>
      <c r="K45" s="467">
        <f>SUM(K38:K44)</f>
        <v>372.96000000000004</v>
      </c>
    </row>
    <row r="46" spans="1:11" ht="20.100000000000001" customHeight="1" x14ac:dyDescent="0.25">
      <c r="A46" s="677" t="s">
        <v>71</v>
      </c>
      <c r="B46" s="677"/>
      <c r="C46" s="677"/>
      <c r="D46" s="677"/>
      <c r="E46" s="210">
        <f>SUM(E38:E44)/12</f>
        <v>27.025000000000002</v>
      </c>
      <c r="G46" s="682" t="s">
        <v>71</v>
      </c>
      <c r="H46" s="682"/>
      <c r="I46" s="682"/>
      <c r="J46" s="682"/>
      <c r="K46" s="467">
        <f>SUM(K38:K44)/12</f>
        <v>31.080000000000002</v>
      </c>
    </row>
    <row r="47" spans="1:11" ht="18" customHeight="1" x14ac:dyDescent="0.25">
      <c r="A47" s="140" t="s">
        <v>79</v>
      </c>
      <c r="B47" s="140" t="s">
        <v>38</v>
      </c>
      <c r="C47" s="140" t="s">
        <v>196</v>
      </c>
      <c r="D47" s="207" t="s">
        <v>80</v>
      </c>
      <c r="E47" s="207" t="s">
        <v>40</v>
      </c>
      <c r="G47" s="423" t="s">
        <v>79</v>
      </c>
      <c r="H47" s="423" t="s">
        <v>38</v>
      </c>
      <c r="I47" s="423" t="s">
        <v>421</v>
      </c>
      <c r="J47" s="424" t="s">
        <v>80</v>
      </c>
      <c r="K47" s="424" t="s">
        <v>40</v>
      </c>
    </row>
    <row r="48" spans="1:11" ht="60" x14ac:dyDescent="0.25">
      <c r="A48" s="678" t="s">
        <v>277</v>
      </c>
      <c r="B48" s="275">
        <v>4</v>
      </c>
      <c r="C48" s="150" t="s">
        <v>278</v>
      </c>
      <c r="D48" s="208">
        <f>ROUND((17*1.0955),2)</f>
        <v>18.62</v>
      </c>
      <c r="E48" s="208">
        <f t="shared" ref="E48:E53" si="10">D48*B48</f>
        <v>74.48</v>
      </c>
      <c r="G48" s="683" t="s">
        <v>277</v>
      </c>
      <c r="H48" s="461">
        <v>4</v>
      </c>
      <c r="I48" s="462" t="s">
        <v>484</v>
      </c>
      <c r="J48" s="463">
        <f>ROUND((D48*1.15),2)</f>
        <v>21.41</v>
      </c>
      <c r="K48" s="463">
        <f t="shared" ref="K48:K53" si="11">J48*H48</f>
        <v>85.64</v>
      </c>
    </row>
    <row r="49" spans="1:11" ht="30" x14ac:dyDescent="0.25">
      <c r="A49" s="678"/>
      <c r="B49" s="275">
        <v>2</v>
      </c>
      <c r="C49" s="150" t="s">
        <v>279</v>
      </c>
      <c r="D49" s="208">
        <f>ROUND((15*1.0955),2)</f>
        <v>16.43</v>
      </c>
      <c r="E49" s="208">
        <f t="shared" si="10"/>
        <v>32.86</v>
      </c>
      <c r="G49" s="683"/>
      <c r="H49" s="461">
        <v>2</v>
      </c>
      <c r="I49" s="462" t="s">
        <v>485</v>
      </c>
      <c r="J49" s="463">
        <f t="shared" ref="J49:J53" si="12">ROUND((D49*1.15),2)</f>
        <v>18.89</v>
      </c>
      <c r="K49" s="463">
        <f t="shared" si="11"/>
        <v>37.78</v>
      </c>
    </row>
    <row r="50" spans="1:11" ht="30" x14ac:dyDescent="0.25">
      <c r="A50" s="678"/>
      <c r="B50" s="275">
        <v>2</v>
      </c>
      <c r="C50" s="150" t="s">
        <v>280</v>
      </c>
      <c r="D50" s="208">
        <f>ROUND((20*1.0955),2)</f>
        <v>21.91</v>
      </c>
      <c r="E50" s="208">
        <f t="shared" si="10"/>
        <v>43.82</v>
      </c>
      <c r="G50" s="683"/>
      <c r="H50" s="461">
        <v>2</v>
      </c>
      <c r="I50" s="462" t="s">
        <v>486</v>
      </c>
      <c r="J50" s="463">
        <f t="shared" si="12"/>
        <v>25.2</v>
      </c>
      <c r="K50" s="463">
        <f t="shared" si="11"/>
        <v>50.4</v>
      </c>
    </row>
    <row r="51" spans="1:11" ht="45" x14ac:dyDescent="0.25">
      <c r="A51" s="678"/>
      <c r="B51" s="275">
        <v>8</v>
      </c>
      <c r="C51" s="150" t="s">
        <v>281</v>
      </c>
      <c r="D51" s="208">
        <f>ROUND((15*1.0955),2)</f>
        <v>16.43</v>
      </c>
      <c r="E51" s="208">
        <f t="shared" si="10"/>
        <v>131.44</v>
      </c>
      <c r="G51" s="683"/>
      <c r="H51" s="461">
        <v>8</v>
      </c>
      <c r="I51" s="462" t="s">
        <v>487</v>
      </c>
      <c r="J51" s="463">
        <f t="shared" si="12"/>
        <v>18.89</v>
      </c>
      <c r="K51" s="463">
        <f t="shared" si="11"/>
        <v>151.12</v>
      </c>
    </row>
    <row r="52" spans="1:11" ht="45" x14ac:dyDescent="0.25">
      <c r="A52" s="678"/>
      <c r="B52" s="275">
        <v>8</v>
      </c>
      <c r="C52" s="150" t="s">
        <v>282</v>
      </c>
      <c r="D52" s="208">
        <f>ROUND((3*1.0955),2)</f>
        <v>3.29</v>
      </c>
      <c r="E52" s="208">
        <f t="shared" si="10"/>
        <v>26.32</v>
      </c>
      <c r="G52" s="683"/>
      <c r="H52" s="461">
        <v>8</v>
      </c>
      <c r="I52" s="462" t="s">
        <v>282</v>
      </c>
      <c r="J52" s="463">
        <f t="shared" si="12"/>
        <v>3.78</v>
      </c>
      <c r="K52" s="463">
        <f t="shared" si="11"/>
        <v>30.24</v>
      </c>
    </row>
    <row r="53" spans="1:11" ht="75" x14ac:dyDescent="0.25">
      <c r="A53" s="678"/>
      <c r="B53" s="275">
        <v>4</v>
      </c>
      <c r="C53" s="150" t="s">
        <v>283</v>
      </c>
      <c r="D53" s="208">
        <f>ROUND((19.3*1.0955),2)</f>
        <v>21.14</v>
      </c>
      <c r="E53" s="208">
        <f t="shared" si="10"/>
        <v>84.56</v>
      </c>
      <c r="G53" s="683"/>
      <c r="H53" s="461">
        <v>4</v>
      </c>
      <c r="I53" s="462" t="s">
        <v>488</v>
      </c>
      <c r="J53" s="463">
        <f t="shared" si="12"/>
        <v>24.31</v>
      </c>
      <c r="K53" s="463">
        <f t="shared" si="11"/>
        <v>97.24</v>
      </c>
    </row>
    <row r="54" spans="1:11" ht="15" customHeight="1" x14ac:dyDescent="0.25">
      <c r="A54" s="677" t="s">
        <v>150</v>
      </c>
      <c r="B54" s="677"/>
      <c r="C54" s="677"/>
      <c r="D54" s="677"/>
      <c r="E54" s="210">
        <f>SUM(E48:E53)</f>
        <v>393.48</v>
      </c>
      <c r="G54" s="682" t="s">
        <v>150</v>
      </c>
      <c r="H54" s="682"/>
      <c r="I54" s="682"/>
      <c r="J54" s="682"/>
      <c r="K54" s="467">
        <f>SUM(K48:K53)</f>
        <v>452.42</v>
      </c>
    </row>
    <row r="55" spans="1:11" ht="18" customHeight="1" x14ac:dyDescent="0.25">
      <c r="A55" s="677" t="s">
        <v>71</v>
      </c>
      <c r="B55" s="677"/>
      <c r="C55" s="677"/>
      <c r="D55" s="677"/>
      <c r="E55" s="210">
        <f>ROUND((SUM(E48:E53)/12),2)</f>
        <v>32.79</v>
      </c>
      <c r="G55" s="682" t="s">
        <v>71</v>
      </c>
      <c r="H55" s="682"/>
      <c r="I55" s="682"/>
      <c r="J55" s="682"/>
      <c r="K55" s="467">
        <f>ROUND((SUM(K48:K53)/12),2)</f>
        <v>37.700000000000003</v>
      </c>
    </row>
    <row r="56" spans="1:11" ht="44.25" customHeight="1" x14ac:dyDescent="0.25">
      <c r="A56" s="276"/>
      <c r="B56" s="276"/>
      <c r="C56" s="276"/>
      <c r="D56" s="277"/>
      <c r="E56" s="277"/>
      <c r="G56" s="423" t="s">
        <v>79</v>
      </c>
      <c r="H56" s="423" t="s">
        <v>264</v>
      </c>
      <c r="I56" s="423" t="s">
        <v>421</v>
      </c>
      <c r="J56" s="424" t="s">
        <v>80</v>
      </c>
      <c r="K56" s="424" t="s">
        <v>40</v>
      </c>
    </row>
    <row r="57" spans="1:11" ht="54.75" customHeight="1" x14ac:dyDescent="0.25">
      <c r="A57" s="676" t="s">
        <v>148</v>
      </c>
      <c r="B57" s="676"/>
      <c r="C57" s="676"/>
      <c r="D57" s="676"/>
      <c r="E57" s="676"/>
      <c r="G57" s="683" t="s">
        <v>415</v>
      </c>
      <c r="H57" s="461">
        <v>4</v>
      </c>
      <c r="I57" s="462" t="s">
        <v>416</v>
      </c>
      <c r="J57" s="463">
        <f>ROUND((7.67*1.15),2)</f>
        <v>8.82</v>
      </c>
      <c r="K57" s="463">
        <f>J57*H57</f>
        <v>35.28</v>
      </c>
    </row>
    <row r="58" spans="1:11" ht="37.5" customHeight="1" x14ac:dyDescent="0.25">
      <c r="A58" s="276"/>
      <c r="B58" s="276"/>
      <c r="C58" s="276"/>
      <c r="D58" s="277"/>
      <c r="E58" s="277"/>
      <c r="G58" s="683"/>
      <c r="H58" s="461">
        <v>8</v>
      </c>
      <c r="I58" s="462" t="s">
        <v>417</v>
      </c>
      <c r="J58" s="463">
        <f t="shared" ref="J58" si="13">ROUND((7.67*1.15),2)</f>
        <v>8.82</v>
      </c>
      <c r="K58" s="463">
        <f>J58*H58</f>
        <v>70.56</v>
      </c>
    </row>
    <row r="59" spans="1:11" ht="86.25" customHeight="1" x14ac:dyDescent="0.25">
      <c r="A59" s="276"/>
      <c r="B59" s="276"/>
      <c r="C59" s="276"/>
      <c r="D59" s="277"/>
      <c r="E59" s="277"/>
      <c r="G59" s="683"/>
      <c r="H59" s="461">
        <v>2</v>
      </c>
      <c r="I59" s="462" t="s">
        <v>418</v>
      </c>
      <c r="J59" s="463">
        <f>ROUND((21.91*1.15),2)</f>
        <v>25.2</v>
      </c>
      <c r="K59" s="463">
        <f>J59*H59</f>
        <v>50.4</v>
      </c>
    </row>
    <row r="60" spans="1:11" ht="81" customHeight="1" x14ac:dyDescent="0.25">
      <c r="A60" s="276"/>
      <c r="B60" s="276"/>
      <c r="C60" s="276"/>
      <c r="D60" s="277"/>
      <c r="E60" s="277"/>
      <c r="G60" s="683"/>
      <c r="H60" s="461">
        <v>2</v>
      </c>
      <c r="I60" s="462" t="s">
        <v>419</v>
      </c>
      <c r="J60" s="463">
        <f>ROUND((31.77*1.15),2)</f>
        <v>36.54</v>
      </c>
      <c r="K60" s="463">
        <f>J60*H60</f>
        <v>73.08</v>
      </c>
    </row>
    <row r="61" spans="1:11" ht="60.75" customHeight="1" x14ac:dyDescent="0.25">
      <c r="A61" s="276"/>
      <c r="B61" s="276"/>
      <c r="C61" s="276"/>
      <c r="D61" s="277"/>
      <c r="E61" s="277"/>
      <c r="G61" s="684"/>
      <c r="H61" s="464">
        <v>8</v>
      </c>
      <c r="I61" s="465" t="s">
        <v>420</v>
      </c>
      <c r="J61" s="463">
        <f>ROUND((2.74*1.15),2)</f>
        <v>3.15</v>
      </c>
      <c r="K61" s="466">
        <f>J61*H61</f>
        <v>25.2</v>
      </c>
    </row>
    <row r="62" spans="1:11" ht="18" customHeight="1" x14ac:dyDescent="0.25">
      <c r="A62" s="276"/>
      <c r="B62" s="276"/>
      <c r="C62" s="276"/>
      <c r="D62" s="277"/>
      <c r="E62" s="277"/>
      <c r="G62" s="682" t="s">
        <v>150</v>
      </c>
      <c r="H62" s="682"/>
      <c r="I62" s="682"/>
      <c r="J62" s="682"/>
      <c r="K62" s="467">
        <f>SUM(K57:K61)</f>
        <v>254.51999999999998</v>
      </c>
    </row>
    <row r="63" spans="1:11" ht="18" customHeight="1" x14ac:dyDescent="0.25">
      <c r="A63" s="276"/>
      <c r="B63" s="276"/>
      <c r="C63" s="276"/>
      <c r="D63" s="277"/>
      <c r="E63" s="277"/>
      <c r="G63" s="682" t="s">
        <v>71</v>
      </c>
      <c r="H63" s="682"/>
      <c r="I63" s="682"/>
      <c r="J63" s="682"/>
      <c r="K63" s="467">
        <f>ROUND((SUM(K57:K61)/12),2)</f>
        <v>21.21</v>
      </c>
    </row>
    <row r="64" spans="1:11" ht="18" customHeight="1" x14ac:dyDescent="0.25">
      <c r="A64" s="276"/>
      <c r="B64" s="276"/>
      <c r="C64" s="276"/>
      <c r="D64" s="277"/>
      <c r="E64" s="277"/>
    </row>
    <row r="65" spans="1:6" ht="18" customHeight="1" x14ac:dyDescent="0.25">
      <c r="A65" s="276"/>
      <c r="B65" s="276"/>
      <c r="C65" s="276"/>
      <c r="D65" s="277"/>
      <c r="E65" s="277"/>
    </row>
    <row r="66" spans="1:6" ht="18" customHeight="1" x14ac:dyDescent="0.25">
      <c r="A66" s="276"/>
      <c r="B66" s="276"/>
      <c r="C66" s="276"/>
      <c r="D66" s="277"/>
      <c r="E66" s="277"/>
    </row>
    <row r="67" spans="1:6" ht="18" customHeight="1" x14ac:dyDescent="0.25">
      <c r="A67" s="276"/>
      <c r="B67" s="276"/>
      <c r="C67" s="276"/>
      <c r="D67" s="277"/>
      <c r="E67" s="277"/>
    </row>
    <row r="68" spans="1:6" ht="18" customHeight="1" x14ac:dyDescent="0.25">
      <c r="A68" s="276"/>
      <c r="B68" s="276"/>
      <c r="C68" s="276"/>
      <c r="D68" s="277"/>
      <c r="E68" s="277"/>
    </row>
    <row r="69" spans="1:6" ht="18" customHeight="1" x14ac:dyDescent="0.25">
      <c r="A69" s="276"/>
      <c r="B69" s="276"/>
      <c r="C69" s="276"/>
      <c r="D69" s="277"/>
      <c r="E69" s="277"/>
    </row>
    <row r="70" spans="1:6" ht="18" customHeight="1" x14ac:dyDescent="0.25">
      <c r="A70" s="276"/>
      <c r="B70" s="276"/>
      <c r="C70" s="276"/>
      <c r="D70" s="277"/>
      <c r="E70" s="277"/>
    </row>
    <row r="71" spans="1:6" ht="18" customHeight="1" x14ac:dyDescent="0.25">
      <c r="A71" s="276"/>
      <c r="B71" s="276"/>
      <c r="C71" s="276"/>
      <c r="D71" s="277"/>
      <c r="E71" s="277"/>
    </row>
    <row r="72" spans="1:6" ht="18" customHeight="1" x14ac:dyDescent="0.25">
      <c r="A72" s="276"/>
      <c r="B72" s="276"/>
      <c r="C72" s="276"/>
      <c r="D72" s="277"/>
      <c r="E72" s="277"/>
    </row>
    <row r="73" spans="1:6" ht="18" customHeight="1" x14ac:dyDescent="0.25">
      <c r="A73" s="276"/>
      <c r="B73" s="276"/>
      <c r="C73" s="276"/>
      <c r="D73" s="277"/>
      <c r="E73" s="277"/>
    </row>
    <row r="74" spans="1:6" ht="18" customHeight="1" x14ac:dyDescent="0.25">
      <c r="A74" s="276"/>
      <c r="B74" s="276"/>
      <c r="C74" s="276"/>
      <c r="D74" s="277"/>
      <c r="E74" s="277"/>
    </row>
    <row r="75" spans="1:6" ht="18" customHeight="1" x14ac:dyDescent="0.25">
      <c r="A75" s="276"/>
      <c r="B75" s="276"/>
      <c r="C75" s="276"/>
      <c r="D75" s="277"/>
      <c r="E75" s="277"/>
    </row>
    <row r="76" spans="1:6" ht="18" customHeight="1" x14ac:dyDescent="0.25">
      <c r="A76" s="276"/>
      <c r="B76" s="276"/>
      <c r="C76" s="276"/>
      <c r="D76" s="277"/>
      <c r="E76" s="277"/>
    </row>
    <row r="77" spans="1:6" ht="18" customHeight="1" x14ac:dyDescent="0.25">
      <c r="A77" s="276"/>
      <c r="B77" s="276"/>
      <c r="C77" s="276"/>
      <c r="D77" s="277"/>
      <c r="E77" s="277"/>
    </row>
    <row r="78" spans="1:6" s="248" customFormat="1" ht="18" customHeight="1" x14ac:dyDescent="0.25">
      <c r="A78" s="276"/>
      <c r="B78" s="276"/>
      <c r="C78" s="276"/>
      <c r="D78" s="277"/>
      <c r="E78" s="277"/>
      <c r="F78" s="278"/>
    </row>
    <row r="79" spans="1:6" s="248" customFormat="1" ht="18" customHeight="1" x14ac:dyDescent="0.25">
      <c r="A79" s="276"/>
      <c r="B79" s="276"/>
      <c r="C79" s="276"/>
      <c r="D79" s="277"/>
      <c r="E79" s="277"/>
      <c r="F79" s="278"/>
    </row>
    <row r="80" spans="1:6" s="248" customFormat="1" ht="18" customHeight="1" x14ac:dyDescent="0.25">
      <c r="A80" s="276"/>
      <c r="B80" s="276"/>
      <c r="C80" s="276"/>
      <c r="D80" s="277"/>
      <c r="E80" s="277"/>
      <c r="F80" s="278"/>
    </row>
    <row r="81" spans="1:6" s="248" customFormat="1" ht="18" customHeight="1" x14ac:dyDescent="0.25">
      <c r="A81" s="276"/>
      <c r="B81" s="276"/>
      <c r="C81" s="276"/>
      <c r="D81" s="277"/>
      <c r="E81" s="277"/>
      <c r="F81" s="278"/>
    </row>
    <row r="82" spans="1:6" ht="19.899999999999999" customHeight="1" x14ac:dyDescent="0.25"/>
  </sheetData>
  <mergeCells count="42">
    <mergeCell ref="G63:J63"/>
    <mergeCell ref="G57:G61"/>
    <mergeCell ref="G62:J62"/>
    <mergeCell ref="G48:G53"/>
    <mergeCell ref="G54:J54"/>
    <mergeCell ref="G55:J55"/>
    <mergeCell ref="G1:K1"/>
    <mergeCell ref="G35:J35"/>
    <mergeCell ref="G36:J36"/>
    <mergeCell ref="G38:G44"/>
    <mergeCell ref="G45:J45"/>
    <mergeCell ref="G2:K2"/>
    <mergeCell ref="G4:G8"/>
    <mergeCell ref="G9:J9"/>
    <mergeCell ref="G10:J10"/>
    <mergeCell ref="G12:G15"/>
    <mergeCell ref="G46:J46"/>
    <mergeCell ref="G17:J17"/>
    <mergeCell ref="G19:G24"/>
    <mergeCell ref="G25:J25"/>
    <mergeCell ref="G26:J26"/>
    <mergeCell ref="G28:G34"/>
    <mergeCell ref="A9:D9"/>
    <mergeCell ref="A1:E1"/>
    <mergeCell ref="A2:E2"/>
    <mergeCell ref="A4:A8"/>
    <mergeCell ref="A36:D36"/>
    <mergeCell ref="A19:A24"/>
    <mergeCell ref="A26:D26"/>
    <mergeCell ref="A28:A34"/>
    <mergeCell ref="A25:D25"/>
    <mergeCell ref="A35:D35"/>
    <mergeCell ref="A57:E57"/>
    <mergeCell ref="A10:D10"/>
    <mergeCell ref="A12:A15"/>
    <mergeCell ref="A17:D17"/>
    <mergeCell ref="A38:A44"/>
    <mergeCell ref="A48:A53"/>
    <mergeCell ref="A54:D54"/>
    <mergeCell ref="A55:D55"/>
    <mergeCell ref="A46:D46"/>
    <mergeCell ref="A45:D45"/>
  </mergeCells>
  <printOptions horizontalCentered="1"/>
  <pageMargins left="0.31496062992125984" right="0.11811023622047245" top="1.1811023622047245" bottom="0.78740157480314965" header="0.31496062992125984" footer="0.31496062992125984"/>
  <pageSetup paperSize="9" scale="84" orientation="portrait" r:id="rId1"/>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248"/>
  <sheetViews>
    <sheetView showGridLines="0" topLeftCell="A235" zoomScaleNormal="100" zoomScaleSheetLayoutView="115" workbookViewId="0">
      <selection activeCell="E276" sqref="E276"/>
    </sheetView>
  </sheetViews>
  <sheetFormatPr defaultColWidth="9.140625" defaultRowHeight="14.1" customHeight="1" x14ac:dyDescent="0.25"/>
  <cols>
    <col min="1" max="1" width="5.42578125" style="62" customWidth="1"/>
    <col min="2" max="2" width="35.5703125" style="62" customWidth="1"/>
    <col min="3" max="3" width="11.42578125" style="62" customWidth="1"/>
    <col min="4" max="4" width="23" style="62" customWidth="1"/>
    <col min="5" max="5" width="19.5703125" style="62" customWidth="1"/>
    <col min="6" max="6" width="19" style="253" customWidth="1"/>
    <col min="7" max="7" width="17.7109375" style="62" bestFit="1" customWidth="1"/>
    <col min="8" max="8" width="19.140625" style="62" hidden="1" customWidth="1"/>
    <col min="9" max="9" width="15.140625" style="255" hidden="1" customWidth="1"/>
    <col min="10" max="10" width="25.85546875" style="256" hidden="1" customWidth="1"/>
    <col min="11" max="11" width="15.7109375" style="256" hidden="1" customWidth="1"/>
    <col min="12" max="12" width="13.140625" style="256" hidden="1" customWidth="1"/>
    <col min="13" max="13" width="12" style="62" hidden="1" customWidth="1"/>
    <col min="14" max="16" width="0" style="62" hidden="1" customWidth="1"/>
    <col min="17" max="17" width="9.140625" style="62"/>
    <col min="18" max="18" width="12.85546875" style="62" bestFit="1" customWidth="1"/>
    <col min="19" max="19" width="35.7109375" style="62" customWidth="1"/>
    <col min="20" max="20" width="9.140625" style="62"/>
    <col min="21" max="21" width="12.85546875" style="62" bestFit="1" customWidth="1"/>
    <col min="22" max="23" width="9.140625" style="62"/>
    <col min="24" max="24" width="12.85546875" style="62" bestFit="1" customWidth="1"/>
    <col min="25" max="25" width="16" style="62" bestFit="1" customWidth="1"/>
    <col min="26" max="26" width="14.28515625" style="62" customWidth="1"/>
    <col min="27" max="16384" width="9.140625" style="62"/>
  </cols>
  <sheetData>
    <row r="1" spans="1:18" ht="14.1" hidden="1" customHeight="1" x14ac:dyDescent="0.25">
      <c r="A1" s="706"/>
      <c r="B1" s="706"/>
      <c r="C1" s="706"/>
      <c r="D1" s="706"/>
      <c r="E1" s="706"/>
      <c r="F1" s="706"/>
      <c r="G1" s="371"/>
      <c r="H1" s="371"/>
      <c r="M1" s="371"/>
      <c r="N1" s="371"/>
      <c r="O1" s="371"/>
      <c r="P1" s="371"/>
      <c r="Q1" s="371"/>
      <c r="R1" s="371"/>
    </row>
    <row r="2" spans="1:18" ht="14.1" hidden="1" customHeight="1" x14ac:dyDescent="0.25">
      <c r="A2" s="447"/>
      <c r="B2" s="447"/>
      <c r="C2" s="447"/>
      <c r="D2" s="447"/>
      <c r="E2" s="447"/>
      <c r="F2" s="447"/>
      <c r="G2" s="371"/>
      <c r="H2" s="371"/>
      <c r="M2" s="371"/>
      <c r="N2" s="371"/>
      <c r="O2" s="371"/>
      <c r="P2" s="371"/>
      <c r="Q2" s="371"/>
      <c r="R2" s="371"/>
    </row>
    <row r="3" spans="1:18" ht="56.25" hidden="1" customHeight="1" x14ac:dyDescent="0.25">
      <c r="A3" s="705" t="s">
        <v>275</v>
      </c>
      <c r="B3" s="705"/>
      <c r="C3" s="705"/>
      <c r="D3" s="705"/>
      <c r="E3" s="705"/>
      <c r="F3" s="705"/>
      <c r="G3" s="371"/>
      <c r="H3" s="371"/>
      <c r="M3" s="371"/>
      <c r="N3" s="371"/>
      <c r="O3" s="371"/>
      <c r="P3" s="371"/>
      <c r="Q3" s="371"/>
      <c r="R3" s="371"/>
    </row>
    <row r="4" spans="1:18" ht="25.5" hidden="1" customHeight="1" x14ac:dyDescent="0.25">
      <c r="A4" s="708" t="s">
        <v>345</v>
      </c>
      <c r="B4" s="708"/>
      <c r="C4" s="708"/>
      <c r="D4" s="708"/>
      <c r="E4" s="708"/>
      <c r="F4" s="708"/>
      <c r="G4" s="708"/>
      <c r="H4" s="371"/>
      <c r="M4" s="371"/>
      <c r="N4" s="371"/>
      <c r="O4" s="371"/>
      <c r="P4" s="371"/>
      <c r="Q4" s="371"/>
      <c r="R4" s="371"/>
    </row>
    <row r="5" spans="1:18" ht="56.25" hidden="1" customHeight="1" x14ac:dyDescent="0.25">
      <c r="A5" s="708" t="s">
        <v>350</v>
      </c>
      <c r="B5" s="708"/>
      <c r="C5" s="708"/>
      <c r="D5" s="708"/>
      <c r="E5" s="708"/>
      <c r="F5" s="708"/>
      <c r="G5" s="708"/>
      <c r="H5" s="371"/>
      <c r="M5" s="371"/>
      <c r="N5" s="371"/>
      <c r="O5" s="371"/>
      <c r="P5" s="371"/>
      <c r="Q5" s="371"/>
      <c r="R5" s="371"/>
    </row>
    <row r="6" spans="1:18" ht="14.25" hidden="1" customHeight="1" x14ac:dyDescent="0.25">
      <c r="A6" s="448" t="s">
        <v>149</v>
      </c>
      <c r="B6" s="372" t="s">
        <v>30</v>
      </c>
      <c r="C6" s="372" t="s">
        <v>78</v>
      </c>
      <c r="D6" s="448" t="s">
        <v>346</v>
      </c>
      <c r="E6" s="448" t="s">
        <v>347</v>
      </c>
      <c r="F6" s="448" t="s">
        <v>71</v>
      </c>
      <c r="G6" s="448" t="s">
        <v>348</v>
      </c>
      <c r="H6" s="371"/>
      <c r="M6" s="371"/>
      <c r="N6" s="371"/>
      <c r="O6" s="371"/>
      <c r="P6" s="371"/>
      <c r="Q6" s="371"/>
      <c r="R6" s="371"/>
    </row>
    <row r="7" spans="1:18" ht="14.25" hidden="1" customHeight="1" x14ac:dyDescent="0.2">
      <c r="A7" s="363">
        <v>1</v>
      </c>
      <c r="B7" s="364" t="s">
        <v>31</v>
      </c>
      <c r="C7" s="470">
        <v>3159.95</v>
      </c>
      <c r="D7" s="365" t="e">
        <f>#REF!</f>
        <v>#REF!</v>
      </c>
      <c r="E7" s="363">
        <v>3</v>
      </c>
      <c r="F7" s="365" t="e">
        <f>D7*E7</f>
        <v>#REF!</v>
      </c>
      <c r="G7" s="365" t="e">
        <f>F7*12</f>
        <v>#REF!</v>
      </c>
      <c r="H7" s="371"/>
      <c r="M7" s="371"/>
      <c r="N7" s="371"/>
      <c r="O7" s="371"/>
      <c r="P7" s="371"/>
      <c r="Q7" s="371"/>
      <c r="R7" s="371"/>
    </row>
    <row r="8" spans="1:18" ht="14.25" hidden="1" customHeight="1" x14ac:dyDescent="0.2">
      <c r="A8" s="363">
        <v>2</v>
      </c>
      <c r="B8" s="364" t="s">
        <v>81</v>
      </c>
      <c r="C8" s="471">
        <v>1237.23</v>
      </c>
      <c r="D8" s="365" t="e">
        <f>#REF!</f>
        <v>#REF!</v>
      </c>
      <c r="E8" s="363">
        <v>32</v>
      </c>
      <c r="F8" s="365" t="e">
        <f t="shared" ref="F8:F15" si="0">D8*E8</f>
        <v>#REF!</v>
      </c>
      <c r="G8" s="365" t="e">
        <f t="shared" ref="G8:G15" si="1">F8*12</f>
        <v>#REF!</v>
      </c>
      <c r="H8" s="371"/>
      <c r="M8" s="371"/>
      <c r="N8" s="371"/>
      <c r="O8" s="371"/>
      <c r="P8" s="371"/>
      <c r="Q8" s="371"/>
      <c r="R8" s="371"/>
    </row>
    <row r="9" spans="1:18" ht="14.25" hidden="1" customHeight="1" x14ac:dyDescent="0.2">
      <c r="A9" s="363">
        <v>3</v>
      </c>
      <c r="B9" s="364" t="s">
        <v>84</v>
      </c>
      <c r="C9" s="471">
        <f>1421.4</f>
        <v>1421.4</v>
      </c>
      <c r="D9" s="367">
        <v>4908.3100000000004</v>
      </c>
      <c r="E9" s="363">
        <v>2</v>
      </c>
      <c r="F9" s="365">
        <f t="shared" si="0"/>
        <v>9816.6200000000008</v>
      </c>
      <c r="G9" s="365">
        <f t="shared" si="1"/>
        <v>117799.44</v>
      </c>
      <c r="H9" s="371"/>
      <c r="M9" s="371"/>
      <c r="N9" s="371"/>
      <c r="O9" s="371"/>
      <c r="P9" s="371"/>
      <c r="Q9" s="371"/>
      <c r="R9" s="371"/>
    </row>
    <row r="10" spans="1:18" ht="14.25" hidden="1" customHeight="1" x14ac:dyDescent="0.2">
      <c r="A10" s="363">
        <v>4</v>
      </c>
      <c r="B10" s="364" t="s">
        <v>85</v>
      </c>
      <c r="C10" s="471">
        <v>1237.23</v>
      </c>
      <c r="D10" s="365" t="e">
        <f>#REF!</f>
        <v>#REF!</v>
      </c>
      <c r="E10" s="363">
        <v>3</v>
      </c>
      <c r="F10" s="365" t="e">
        <f t="shared" si="0"/>
        <v>#REF!</v>
      </c>
      <c r="G10" s="365" t="e">
        <f t="shared" si="1"/>
        <v>#REF!</v>
      </c>
      <c r="H10" s="371"/>
      <c r="M10" s="371"/>
      <c r="N10" s="371"/>
      <c r="O10" s="371"/>
      <c r="P10" s="371"/>
      <c r="Q10" s="371"/>
      <c r="R10" s="371"/>
    </row>
    <row r="11" spans="1:18" ht="14.25" hidden="1" customHeight="1" x14ac:dyDescent="0.2">
      <c r="A11" s="363">
        <v>5</v>
      </c>
      <c r="B11" s="364" t="s">
        <v>72</v>
      </c>
      <c r="C11" s="471">
        <v>1237.23</v>
      </c>
      <c r="D11" s="365" t="e">
        <f>#REF!</f>
        <v>#REF!</v>
      </c>
      <c r="E11" s="363">
        <v>3</v>
      </c>
      <c r="F11" s="365" t="e">
        <f t="shared" si="0"/>
        <v>#REF!</v>
      </c>
      <c r="G11" s="365" t="e">
        <f t="shared" si="1"/>
        <v>#REF!</v>
      </c>
      <c r="H11" s="371"/>
      <c r="M11" s="371"/>
      <c r="N11" s="371"/>
      <c r="O11" s="371"/>
      <c r="P11" s="371"/>
      <c r="Q11" s="371"/>
      <c r="R11" s="371"/>
    </row>
    <row r="12" spans="1:18" ht="14.25" hidden="1" customHeight="1" x14ac:dyDescent="0.2">
      <c r="A12" s="363">
        <v>6</v>
      </c>
      <c r="B12" s="364" t="s">
        <v>33</v>
      </c>
      <c r="C12" s="471">
        <v>1826.64</v>
      </c>
      <c r="D12" s="365" t="e">
        <f>#REF!</f>
        <v>#REF!</v>
      </c>
      <c r="E12" s="363">
        <v>3</v>
      </c>
      <c r="F12" s="365" t="e">
        <f t="shared" si="0"/>
        <v>#REF!</v>
      </c>
      <c r="G12" s="365" t="e">
        <f t="shared" si="1"/>
        <v>#REF!</v>
      </c>
      <c r="H12" s="371"/>
      <c r="M12" s="371"/>
      <c r="N12" s="371"/>
      <c r="O12" s="371"/>
      <c r="P12" s="371"/>
      <c r="Q12" s="371"/>
      <c r="R12" s="371"/>
    </row>
    <row r="13" spans="1:18" ht="14.25" hidden="1" customHeight="1" x14ac:dyDescent="0.2">
      <c r="A13" s="363">
        <v>7</v>
      </c>
      <c r="B13" s="364" t="s">
        <v>34</v>
      </c>
      <c r="C13" s="471">
        <v>1237.23</v>
      </c>
      <c r="D13" s="365" t="e">
        <f>#REF!</f>
        <v>#REF!</v>
      </c>
      <c r="E13" s="363">
        <v>7</v>
      </c>
      <c r="F13" s="365" t="e">
        <f t="shared" si="0"/>
        <v>#REF!</v>
      </c>
      <c r="G13" s="365" t="e">
        <f t="shared" si="1"/>
        <v>#REF!</v>
      </c>
      <c r="H13" s="371"/>
      <c r="M13" s="371"/>
      <c r="N13" s="371"/>
      <c r="O13" s="371"/>
      <c r="P13" s="371"/>
      <c r="Q13" s="371"/>
      <c r="R13" s="371"/>
    </row>
    <row r="14" spans="1:18" ht="14.1" hidden="1" customHeight="1" x14ac:dyDescent="0.2">
      <c r="A14" s="363">
        <v>8</v>
      </c>
      <c r="B14" s="364" t="s">
        <v>35</v>
      </c>
      <c r="C14" s="471">
        <v>1826.64</v>
      </c>
      <c r="D14" s="365" t="e">
        <f>#REF!</f>
        <v>#REF!</v>
      </c>
      <c r="E14" s="363">
        <v>24</v>
      </c>
      <c r="F14" s="365" t="e">
        <f t="shared" si="0"/>
        <v>#REF!</v>
      </c>
      <c r="G14" s="365" t="e">
        <f t="shared" si="1"/>
        <v>#REF!</v>
      </c>
      <c r="H14" s="371"/>
      <c r="M14" s="371"/>
      <c r="N14" s="371"/>
      <c r="O14" s="371"/>
      <c r="P14" s="371"/>
      <c r="Q14" s="371"/>
      <c r="R14" s="371"/>
    </row>
    <row r="15" spans="1:18" ht="14.1" hidden="1" customHeight="1" x14ac:dyDescent="0.2">
      <c r="A15" s="363">
        <v>9</v>
      </c>
      <c r="B15" s="364" t="s">
        <v>36</v>
      </c>
      <c r="C15" s="471">
        <v>1267.1199999999999</v>
      </c>
      <c r="D15" s="365">
        <v>3562.3</v>
      </c>
      <c r="E15" s="363">
        <v>2</v>
      </c>
      <c r="F15" s="365">
        <f t="shared" si="0"/>
        <v>7124.6</v>
      </c>
      <c r="G15" s="365">
        <f t="shared" si="1"/>
        <v>85495.200000000012</v>
      </c>
      <c r="H15" s="371"/>
      <c r="M15" s="371"/>
      <c r="N15" s="371"/>
      <c r="O15" s="371"/>
      <c r="P15" s="371"/>
      <c r="Q15" s="371"/>
      <c r="R15" s="371"/>
    </row>
    <row r="16" spans="1:18" s="362" customFormat="1" ht="14.1" hidden="1" customHeight="1" x14ac:dyDescent="0.25">
      <c r="A16" s="709" t="s">
        <v>349</v>
      </c>
      <c r="B16" s="710"/>
      <c r="C16" s="710"/>
      <c r="D16" s="711"/>
      <c r="E16" s="448">
        <f>SUM(E7:E15)</f>
        <v>79</v>
      </c>
      <c r="F16" s="366" t="e">
        <f>SUM(F7:F15)</f>
        <v>#REF!</v>
      </c>
      <c r="G16" s="366" t="e">
        <f>SUM(G7:G15)</f>
        <v>#REF!</v>
      </c>
      <c r="H16" s="371"/>
      <c r="I16" s="255"/>
      <c r="J16" s="256"/>
      <c r="K16" s="256"/>
      <c r="L16" s="256"/>
      <c r="M16" s="371"/>
      <c r="N16" s="371"/>
      <c r="O16" s="371"/>
      <c r="P16" s="371"/>
      <c r="Q16" s="371"/>
      <c r="R16" s="371"/>
    </row>
    <row r="17" spans="1:12" s="371" customFormat="1" ht="14.1" hidden="1" customHeight="1" x14ac:dyDescent="0.25">
      <c r="A17" s="511"/>
      <c r="B17" s="511"/>
      <c r="C17" s="511"/>
      <c r="D17" s="511"/>
      <c r="E17" s="509"/>
      <c r="F17" s="512"/>
      <c r="G17" s="512"/>
      <c r="I17" s="255"/>
      <c r="J17" s="256"/>
      <c r="K17" s="256"/>
      <c r="L17" s="256"/>
    </row>
    <row r="18" spans="1:12" s="371" customFormat="1" ht="14.1" hidden="1" customHeight="1" x14ac:dyDescent="0.25">
      <c r="A18" s="513"/>
      <c r="B18" s="513"/>
      <c r="C18" s="513"/>
      <c r="D18" s="513"/>
      <c r="E18" s="513"/>
      <c r="F18" s="514"/>
      <c r="G18" s="512"/>
      <c r="I18" s="255"/>
      <c r="J18" s="256"/>
      <c r="K18" s="256"/>
      <c r="L18" s="256"/>
    </row>
    <row r="19" spans="1:12" s="371" customFormat="1" ht="14.1" hidden="1" customHeight="1" x14ac:dyDescent="0.25">
      <c r="A19" s="513"/>
      <c r="B19" s="513"/>
      <c r="C19" s="513"/>
      <c r="D19" s="513"/>
      <c r="E19" s="513"/>
      <c r="F19" s="514"/>
      <c r="G19" s="512"/>
      <c r="I19" s="255"/>
      <c r="J19" s="256"/>
      <c r="K19" s="256"/>
      <c r="L19" s="256"/>
    </row>
    <row r="20" spans="1:12" s="371" customFormat="1" ht="32.25" hidden="1" customHeight="1" thickBot="1" x14ac:dyDescent="0.3">
      <c r="A20" s="713" t="s">
        <v>500</v>
      </c>
      <c r="B20" s="713"/>
      <c r="C20" s="713"/>
      <c r="D20" s="713"/>
      <c r="E20" s="713"/>
      <c r="F20" s="713"/>
      <c r="G20" s="512"/>
      <c r="I20" s="255"/>
      <c r="J20" s="256"/>
      <c r="K20" s="256"/>
      <c r="L20" s="256"/>
    </row>
    <row r="21" spans="1:12" s="371" customFormat="1" ht="29.25" hidden="1" customHeight="1" thickBot="1" x14ac:dyDescent="0.3">
      <c r="A21" s="698" t="s">
        <v>504</v>
      </c>
      <c r="B21" s="699"/>
      <c r="C21" s="699"/>
      <c r="D21" s="699"/>
      <c r="E21" s="699"/>
      <c r="F21" s="707"/>
      <c r="G21" s="512"/>
      <c r="I21" s="255"/>
      <c r="J21" s="256"/>
      <c r="K21" s="256"/>
      <c r="L21" s="256"/>
    </row>
    <row r="22" spans="1:12" s="371" customFormat="1" ht="14.1" hidden="1" customHeight="1" thickBot="1" x14ac:dyDescent="0.3">
      <c r="A22" s="159" t="s">
        <v>149</v>
      </c>
      <c r="B22" s="159" t="s">
        <v>30</v>
      </c>
      <c r="C22" s="242" t="s">
        <v>244</v>
      </c>
      <c r="D22" s="159" t="s">
        <v>284</v>
      </c>
      <c r="E22" s="159" t="s">
        <v>242</v>
      </c>
      <c r="F22" s="159" t="s">
        <v>243</v>
      </c>
      <c r="G22" s="512"/>
      <c r="I22" s="255"/>
      <c r="J22" s="256"/>
      <c r="K22" s="256"/>
      <c r="L22" s="256"/>
    </row>
    <row r="23" spans="1:12" s="371" customFormat="1" ht="19.5" hidden="1" customHeight="1" x14ac:dyDescent="0.25">
      <c r="A23" s="132">
        <v>1</v>
      </c>
      <c r="B23" s="133" t="s">
        <v>31</v>
      </c>
      <c r="C23" s="243">
        <v>3</v>
      </c>
      <c r="D23" s="472">
        <v>2952.71</v>
      </c>
      <c r="E23" s="134">
        <v>7019.61</v>
      </c>
      <c r="F23" s="252">
        <f>ROUND((C23*E23),2)</f>
        <v>21058.83</v>
      </c>
      <c r="G23" s="512"/>
      <c r="I23" s="255"/>
      <c r="J23" s="256"/>
      <c r="K23" s="256"/>
      <c r="L23" s="256"/>
    </row>
    <row r="24" spans="1:12" s="371" customFormat="1" ht="15.75" hidden="1" customHeight="1" x14ac:dyDescent="0.25">
      <c r="A24" s="135">
        <v>2</v>
      </c>
      <c r="B24" s="136" t="s">
        <v>81</v>
      </c>
      <c r="C24" s="244">
        <v>34</v>
      </c>
      <c r="D24" s="384">
        <v>1156.0899999999999</v>
      </c>
      <c r="E24" s="137">
        <v>3419.23</v>
      </c>
      <c r="F24" s="252">
        <f t="shared" ref="F24:F27" si="2">ROUND((C24*E24),2)</f>
        <v>116253.82</v>
      </c>
      <c r="G24" s="512"/>
      <c r="I24" s="255"/>
      <c r="J24" s="256"/>
      <c r="K24" s="256"/>
      <c r="L24" s="256"/>
    </row>
    <row r="25" spans="1:12" s="371" customFormat="1" ht="17.25" hidden="1" customHeight="1" x14ac:dyDescent="0.25">
      <c r="A25" s="135">
        <v>3</v>
      </c>
      <c r="B25" s="136" t="s">
        <v>84</v>
      </c>
      <c r="C25" s="244">
        <v>2</v>
      </c>
      <c r="D25" s="384">
        <v>1781.9</v>
      </c>
      <c r="E25" s="137">
        <v>4744.58</v>
      </c>
      <c r="F25" s="252">
        <f t="shared" si="2"/>
        <v>9489.16</v>
      </c>
      <c r="G25" s="512"/>
      <c r="I25" s="255"/>
      <c r="J25" s="256"/>
      <c r="K25" s="256"/>
      <c r="L25" s="256"/>
    </row>
    <row r="26" spans="1:12" s="371" customFormat="1" ht="21" hidden="1" customHeight="1" x14ac:dyDescent="0.25">
      <c r="A26" s="135">
        <v>4</v>
      </c>
      <c r="B26" s="136" t="s">
        <v>85</v>
      </c>
      <c r="C26" s="244">
        <v>3</v>
      </c>
      <c r="D26" s="384">
        <v>1156.0899999999999</v>
      </c>
      <c r="E26" s="137">
        <v>3458.34</v>
      </c>
      <c r="F26" s="252">
        <f t="shared" si="2"/>
        <v>10375.02</v>
      </c>
      <c r="G26" s="512"/>
      <c r="I26" s="255"/>
      <c r="J26" s="256"/>
      <c r="K26" s="256"/>
      <c r="L26" s="256"/>
    </row>
    <row r="27" spans="1:12" s="371" customFormat="1" ht="17.25" hidden="1" customHeight="1" x14ac:dyDescent="0.25">
      <c r="A27" s="135">
        <v>5</v>
      </c>
      <c r="B27" s="136" t="s">
        <v>72</v>
      </c>
      <c r="C27" s="244">
        <v>3</v>
      </c>
      <c r="D27" s="384">
        <v>1156.0899999999999</v>
      </c>
      <c r="E27" s="137">
        <v>3458.34</v>
      </c>
      <c r="F27" s="252">
        <f t="shared" si="2"/>
        <v>10375.02</v>
      </c>
      <c r="G27" s="512"/>
      <c r="I27" s="255"/>
      <c r="J27" s="256"/>
      <c r="K27" s="256"/>
      <c r="L27" s="256"/>
    </row>
    <row r="28" spans="1:12" s="371" customFormat="1" ht="17.25" hidden="1" customHeight="1" x14ac:dyDescent="0.25">
      <c r="A28" s="135">
        <v>6</v>
      </c>
      <c r="B28" s="136" t="s">
        <v>33</v>
      </c>
      <c r="C28" s="244">
        <v>3</v>
      </c>
      <c r="D28" s="384">
        <v>1706.84</v>
      </c>
      <c r="E28" s="137">
        <v>4562.6400000000003</v>
      </c>
      <c r="F28" s="252">
        <f>ROUND((C28*E28),2)</f>
        <v>13687.92</v>
      </c>
      <c r="G28" s="512"/>
      <c r="I28" s="255"/>
      <c r="J28" s="256"/>
      <c r="K28" s="256"/>
      <c r="L28" s="256"/>
    </row>
    <row r="29" spans="1:12" s="371" customFormat="1" ht="18.75" hidden="1" customHeight="1" x14ac:dyDescent="0.25">
      <c r="A29" s="135">
        <v>7</v>
      </c>
      <c r="B29" s="138" t="s">
        <v>34</v>
      </c>
      <c r="C29" s="245">
        <v>6</v>
      </c>
      <c r="D29" s="473">
        <v>1156.0899999999999</v>
      </c>
      <c r="E29" s="139">
        <v>3426.46</v>
      </c>
      <c r="F29" s="252">
        <f t="shared" ref="F29:F31" si="3">ROUND((C29*E29),2)</f>
        <v>20558.759999999998</v>
      </c>
      <c r="G29" s="512"/>
      <c r="I29" s="255"/>
      <c r="J29" s="256"/>
      <c r="K29" s="256"/>
      <c r="L29" s="256"/>
    </row>
    <row r="30" spans="1:12" s="371" customFormat="1" ht="17.25" hidden="1" customHeight="1" x14ac:dyDescent="0.25">
      <c r="A30" s="135">
        <v>8</v>
      </c>
      <c r="B30" s="136" t="s">
        <v>35</v>
      </c>
      <c r="C30" s="244">
        <v>24</v>
      </c>
      <c r="D30" s="384">
        <v>1706.84</v>
      </c>
      <c r="E30" s="137">
        <v>4525.04</v>
      </c>
      <c r="F30" s="252">
        <f t="shared" si="3"/>
        <v>108600.96000000001</v>
      </c>
      <c r="G30" s="512"/>
      <c r="I30" s="255"/>
      <c r="J30" s="256"/>
      <c r="K30" s="256"/>
      <c r="L30" s="256"/>
    </row>
    <row r="31" spans="1:12" s="371" customFormat="1" ht="21" hidden="1" customHeight="1" thickBot="1" x14ac:dyDescent="0.3">
      <c r="A31" s="135">
        <v>9</v>
      </c>
      <c r="B31" s="377" t="s">
        <v>36</v>
      </c>
      <c r="C31" s="515">
        <v>2</v>
      </c>
      <c r="D31" s="474">
        <v>1221.9100000000001</v>
      </c>
      <c r="E31" s="137">
        <v>3449.95</v>
      </c>
      <c r="F31" s="252">
        <f t="shared" si="3"/>
        <v>6899.9</v>
      </c>
      <c r="G31" s="512"/>
      <c r="I31" s="255"/>
      <c r="J31" s="256"/>
      <c r="K31" s="256"/>
      <c r="L31" s="256"/>
    </row>
    <row r="32" spans="1:12" s="371" customFormat="1" ht="14.1" hidden="1" customHeight="1" x14ac:dyDescent="0.25">
      <c r="A32" s="690" t="s">
        <v>47</v>
      </c>
      <c r="B32" s="691"/>
      <c r="C32" s="273">
        <f>SUM(C23:C31)</f>
        <v>80</v>
      </c>
      <c r="D32" s="692"/>
      <c r="E32" s="693"/>
      <c r="F32" s="539">
        <f>SUM(F23:F31)</f>
        <v>317299.39000000007</v>
      </c>
      <c r="G32" s="512"/>
      <c r="I32" s="255"/>
      <c r="J32" s="256"/>
      <c r="K32" s="256"/>
      <c r="L32" s="256"/>
    </row>
    <row r="33" spans="1:18" s="371" customFormat="1" ht="14.1" hidden="1" customHeight="1" x14ac:dyDescent="0.25">
      <c r="A33" s="642" t="s">
        <v>270</v>
      </c>
      <c r="B33" s="642"/>
      <c r="C33" s="642"/>
      <c r="D33" s="642"/>
      <c r="E33" s="642"/>
      <c r="F33" s="540">
        <f>F32*12</f>
        <v>3807592.6800000006</v>
      </c>
      <c r="G33" s="512"/>
      <c r="I33" s="255"/>
      <c r="J33" s="256"/>
      <c r="K33" s="256"/>
      <c r="L33" s="256"/>
    </row>
    <row r="34" spans="1:18" s="371" customFormat="1" ht="14.1" hidden="1" customHeight="1" x14ac:dyDescent="0.25">
      <c r="A34" s="513"/>
      <c r="B34" s="513"/>
      <c r="C34" s="513"/>
      <c r="D34" s="513"/>
      <c r="E34" s="513"/>
      <c r="F34" s="514"/>
      <c r="G34" s="512"/>
      <c r="I34" s="255"/>
      <c r="J34" s="256"/>
      <c r="K34" s="256"/>
      <c r="L34" s="256"/>
    </row>
    <row r="35" spans="1:18" s="371" customFormat="1" ht="14.1" hidden="1" customHeight="1" x14ac:dyDescent="0.25">
      <c r="A35" s="513"/>
      <c r="B35" s="513"/>
      <c r="C35" s="513"/>
      <c r="D35" s="513"/>
      <c r="E35" s="513"/>
      <c r="F35" s="514"/>
      <c r="G35" s="512"/>
      <c r="I35" s="255"/>
      <c r="J35" s="256"/>
      <c r="K35" s="256"/>
      <c r="L35" s="256"/>
    </row>
    <row r="36" spans="1:18" s="371" customFormat="1" ht="14.1" hidden="1" customHeight="1" x14ac:dyDescent="0.25">
      <c r="A36" s="513"/>
      <c r="B36" s="513"/>
      <c r="C36" s="513"/>
      <c r="D36" s="513"/>
      <c r="E36" s="513"/>
      <c r="F36" s="514"/>
      <c r="G36" s="512"/>
      <c r="I36" s="255"/>
      <c r="J36" s="256"/>
      <c r="K36" s="256"/>
      <c r="L36" s="256"/>
    </row>
    <row r="37" spans="1:18" ht="52.5" hidden="1" customHeight="1" thickBot="1" x14ac:dyDescent="0.3">
      <c r="A37" s="712" t="s">
        <v>506</v>
      </c>
      <c r="B37" s="712"/>
      <c r="C37" s="712"/>
      <c r="D37" s="712"/>
      <c r="E37" s="712"/>
      <c r="F37" s="712"/>
      <c r="G37" s="371"/>
      <c r="H37" s="371"/>
      <c r="M37" s="371"/>
      <c r="N37" s="371"/>
      <c r="O37" s="371"/>
      <c r="P37" s="371"/>
      <c r="Q37" s="371"/>
      <c r="R37" s="371"/>
    </row>
    <row r="38" spans="1:18" ht="30.75" hidden="1" customHeight="1" thickBot="1" x14ac:dyDescent="0.3">
      <c r="A38" s="698" t="s">
        <v>505</v>
      </c>
      <c r="B38" s="699"/>
      <c r="C38" s="699"/>
      <c r="D38" s="699"/>
      <c r="E38" s="699"/>
      <c r="F38" s="707"/>
      <c r="G38" s="371"/>
      <c r="H38" s="371"/>
      <c r="M38" s="371"/>
      <c r="N38" s="371"/>
      <c r="O38" s="371"/>
      <c r="P38" s="371"/>
      <c r="Q38" s="371"/>
      <c r="R38" s="371"/>
    </row>
    <row r="39" spans="1:18" ht="47.25" hidden="1" customHeight="1" thickBot="1" x14ac:dyDescent="0.3">
      <c r="A39" s="159" t="s">
        <v>149</v>
      </c>
      <c r="B39" s="159" t="s">
        <v>30</v>
      </c>
      <c r="C39" s="242" t="s">
        <v>244</v>
      </c>
      <c r="D39" s="159" t="s">
        <v>284</v>
      </c>
      <c r="E39" s="159" t="s">
        <v>242</v>
      </c>
      <c r="F39" s="159" t="s">
        <v>243</v>
      </c>
      <c r="G39" s="371"/>
      <c r="H39" s="371"/>
      <c r="M39" s="371"/>
      <c r="N39" s="371"/>
      <c r="O39" s="371"/>
      <c r="P39" s="371"/>
      <c r="Q39" s="371"/>
      <c r="R39" s="371"/>
    </row>
    <row r="40" spans="1:18" ht="20.100000000000001" hidden="1" customHeight="1" x14ac:dyDescent="0.25">
      <c r="A40" s="132">
        <v>1</v>
      </c>
      <c r="B40" s="133" t="s">
        <v>31</v>
      </c>
      <c r="C40" s="243">
        <v>3</v>
      </c>
      <c r="D40" s="472">
        <v>3061.96</v>
      </c>
      <c r="E40" s="134">
        <f>encarregado!J36</f>
        <v>7269.26</v>
      </c>
      <c r="F40" s="252">
        <f>ROUND((C40*E40),2)</f>
        <v>21807.78</v>
      </c>
      <c r="G40" s="371"/>
      <c r="H40" s="371"/>
      <c r="I40" s="255">
        <v>328205.01</v>
      </c>
      <c r="J40" s="256">
        <v>100</v>
      </c>
      <c r="K40" s="255" t="e">
        <f>#REF!-F49</f>
        <v>#REF!</v>
      </c>
      <c r="M40" s="371"/>
      <c r="N40" s="371"/>
      <c r="O40" s="371"/>
      <c r="P40" s="371"/>
      <c r="Q40" s="371"/>
      <c r="R40" s="371"/>
    </row>
    <row r="41" spans="1:18" ht="20.100000000000001" hidden="1" customHeight="1" x14ac:dyDescent="0.25">
      <c r="A41" s="135">
        <v>2</v>
      </c>
      <c r="B41" s="136" t="s">
        <v>81</v>
      </c>
      <c r="C41" s="244">
        <v>34</v>
      </c>
      <c r="D41" s="384">
        <v>1198.8699999999999</v>
      </c>
      <c r="E41" s="137">
        <f>servente!J34</f>
        <v>3535.35</v>
      </c>
      <c r="F41" s="252">
        <f t="shared" ref="F41:F48" si="4">ROUND((C41*E41),2)</f>
        <v>120201.9</v>
      </c>
      <c r="G41" s="371"/>
      <c r="H41" s="371"/>
      <c r="I41" s="255">
        <v>318387.99</v>
      </c>
      <c r="J41" s="256" t="s">
        <v>250</v>
      </c>
      <c r="M41" s="371"/>
      <c r="N41" s="371"/>
      <c r="O41" s="371"/>
      <c r="P41" s="371"/>
      <c r="Q41" s="371"/>
      <c r="R41" s="371"/>
    </row>
    <row r="42" spans="1:18" s="371" customFormat="1" ht="20.100000000000001" hidden="1" customHeight="1" x14ac:dyDescent="0.25">
      <c r="A42" s="135">
        <v>3</v>
      </c>
      <c r="B42" s="136" t="s">
        <v>84</v>
      </c>
      <c r="C42" s="244">
        <v>2</v>
      </c>
      <c r="D42" s="384">
        <v>1847.82</v>
      </c>
      <c r="E42" s="137">
        <v>4908.3100000000004</v>
      </c>
      <c r="F42" s="252">
        <v>9816.6200000000008</v>
      </c>
      <c r="I42" s="255"/>
      <c r="J42" s="256"/>
      <c r="K42" s="256"/>
      <c r="L42" s="256"/>
    </row>
    <row r="43" spans="1:18" ht="20.100000000000001" hidden="1" customHeight="1" x14ac:dyDescent="0.25">
      <c r="A43" s="135">
        <v>4</v>
      </c>
      <c r="B43" s="136" t="s">
        <v>85</v>
      </c>
      <c r="C43" s="244">
        <v>3</v>
      </c>
      <c r="D43" s="384">
        <v>1198.8699999999999</v>
      </c>
      <c r="E43" s="137">
        <f>mensageiro!K36</f>
        <v>3574.47</v>
      </c>
      <c r="F43" s="252">
        <f t="shared" si="4"/>
        <v>10723.41</v>
      </c>
      <c r="G43" s="371"/>
      <c r="H43" s="371"/>
      <c r="I43" s="255">
        <f>I41*J40/I40</f>
        <v>97.008875641477871</v>
      </c>
      <c r="M43" s="371"/>
      <c r="N43" s="371"/>
      <c r="O43" s="371"/>
      <c r="P43" s="371"/>
      <c r="Q43" s="371"/>
      <c r="R43" s="371"/>
    </row>
    <row r="44" spans="1:18" ht="20.100000000000001" hidden="1" customHeight="1" x14ac:dyDescent="0.25">
      <c r="A44" s="135">
        <v>5</v>
      </c>
      <c r="B44" s="136" t="s">
        <v>72</v>
      </c>
      <c r="C44" s="244">
        <v>3</v>
      </c>
      <c r="D44" s="384">
        <v>1198.8699999999999</v>
      </c>
      <c r="E44" s="137">
        <f>mensageiro!K36</f>
        <v>3574.47</v>
      </c>
      <c r="F44" s="252">
        <f t="shared" si="4"/>
        <v>10723.41</v>
      </c>
      <c r="G44" s="371"/>
      <c r="H44" s="371"/>
      <c r="I44" s="255">
        <f>100-I43</f>
        <v>2.9911243585221285</v>
      </c>
      <c r="M44" s="371"/>
      <c r="N44" s="371"/>
      <c r="O44" s="371"/>
      <c r="P44" s="371"/>
      <c r="Q44" s="371"/>
      <c r="R44" s="371"/>
    </row>
    <row r="45" spans="1:18" ht="20.100000000000001" hidden="1" customHeight="1" x14ac:dyDescent="0.25">
      <c r="A45" s="135">
        <v>6</v>
      </c>
      <c r="B45" s="136" t="s">
        <v>33</v>
      </c>
      <c r="C45" s="244">
        <v>3</v>
      </c>
      <c r="D45" s="384">
        <v>1770</v>
      </c>
      <c r="E45" s="137">
        <f>garcom!K32</f>
        <v>4719.6899999999996</v>
      </c>
      <c r="F45" s="252">
        <f>ROUND((C45*E45),2)</f>
        <v>14159.07</v>
      </c>
      <c r="G45" s="371"/>
      <c r="H45" s="371"/>
      <c r="M45" s="371"/>
      <c r="N45" s="371"/>
      <c r="O45" s="371"/>
      <c r="P45" s="371"/>
      <c r="Q45" s="371"/>
      <c r="R45" s="371"/>
    </row>
    <row r="46" spans="1:18" ht="20.100000000000001" hidden="1" customHeight="1" x14ac:dyDescent="0.25">
      <c r="A46" s="135">
        <v>7</v>
      </c>
      <c r="B46" s="138" t="s">
        <v>34</v>
      </c>
      <c r="C46" s="245">
        <v>6</v>
      </c>
      <c r="D46" s="473">
        <v>1198.8699999999999</v>
      </c>
      <c r="E46" s="139">
        <f>copeira!K33</f>
        <v>3542.59</v>
      </c>
      <c r="F46" s="252">
        <f t="shared" si="4"/>
        <v>21255.54</v>
      </c>
      <c r="G46" s="371"/>
      <c r="H46" s="371"/>
      <c r="M46" s="371"/>
      <c r="N46" s="371"/>
      <c r="O46" s="371"/>
      <c r="P46" s="371"/>
      <c r="Q46" s="371"/>
      <c r="R46" s="371"/>
    </row>
    <row r="47" spans="1:18" s="371" customFormat="1" ht="20.100000000000001" hidden="1" customHeight="1" x14ac:dyDescent="0.25">
      <c r="A47" s="135">
        <v>8</v>
      </c>
      <c r="B47" s="136" t="s">
        <v>35</v>
      </c>
      <c r="C47" s="244">
        <v>24</v>
      </c>
      <c r="D47" s="384">
        <v>1770</v>
      </c>
      <c r="E47" s="137">
        <v>4682.09</v>
      </c>
      <c r="F47" s="252">
        <f t="shared" si="4"/>
        <v>112370.16</v>
      </c>
      <c r="I47" s="255"/>
      <c r="J47" s="256"/>
      <c r="K47" s="256"/>
      <c r="L47" s="256"/>
    </row>
    <row r="48" spans="1:18" s="371" customFormat="1" ht="20.100000000000001" hidden="1" customHeight="1" thickBot="1" x14ac:dyDescent="0.3">
      <c r="A48" s="135">
        <v>9</v>
      </c>
      <c r="B48" s="136" t="s">
        <v>36</v>
      </c>
      <c r="C48" s="244">
        <v>2</v>
      </c>
      <c r="D48" s="384">
        <v>1267.1199999999999</v>
      </c>
      <c r="E48" s="137">
        <v>3562.3</v>
      </c>
      <c r="F48" s="252">
        <f t="shared" si="4"/>
        <v>7124.6</v>
      </c>
      <c r="I48" s="255"/>
      <c r="J48" s="256"/>
      <c r="K48" s="256">
        <v>328205.01</v>
      </c>
      <c r="L48" s="256">
        <v>100</v>
      </c>
    </row>
    <row r="49" spans="1:25" ht="22.5" hidden="1" customHeight="1" x14ac:dyDescent="0.25">
      <c r="A49" s="690" t="s">
        <v>47</v>
      </c>
      <c r="B49" s="691"/>
      <c r="C49" s="273">
        <f>SUM(C40:C48)</f>
        <v>80</v>
      </c>
      <c r="D49" s="692"/>
      <c r="E49" s="693"/>
      <c r="F49" s="539">
        <f>SUM(F40:F48)</f>
        <v>328182.49</v>
      </c>
      <c r="G49" s="254"/>
      <c r="H49" s="371"/>
      <c r="K49" s="255" t="e">
        <f>#REF!*L48/K48</f>
        <v>#REF!</v>
      </c>
      <c r="M49" s="371"/>
      <c r="N49" s="371"/>
      <c r="O49" s="371"/>
      <c r="P49" s="371"/>
      <c r="Q49" s="371"/>
      <c r="R49" s="254"/>
      <c r="Y49" s="347"/>
    </row>
    <row r="50" spans="1:25" ht="19.5" hidden="1" customHeight="1" x14ac:dyDescent="0.25">
      <c r="A50" s="642" t="s">
        <v>270</v>
      </c>
      <c r="B50" s="642"/>
      <c r="C50" s="642"/>
      <c r="D50" s="642"/>
      <c r="E50" s="642"/>
      <c r="F50" s="540">
        <f>F49*12</f>
        <v>3938189.88</v>
      </c>
      <c r="G50" s="371"/>
      <c r="H50" s="371"/>
      <c r="M50" s="371"/>
      <c r="N50" s="371"/>
      <c r="O50" s="371"/>
      <c r="P50" s="371"/>
      <c r="Q50" s="371"/>
      <c r="R50" s="371"/>
      <c r="U50" s="254"/>
      <c r="Y50" s="348"/>
    </row>
    <row r="51" spans="1:25" ht="14.1" hidden="1" customHeight="1" x14ac:dyDescent="0.25">
      <c r="A51" s="371"/>
      <c r="B51" s="371"/>
      <c r="C51" s="371"/>
      <c r="D51" s="371"/>
      <c r="E51" s="371"/>
      <c r="F51" s="373"/>
      <c r="G51" s="371"/>
      <c r="H51" s="371"/>
      <c r="J51" s="256" t="s">
        <v>253</v>
      </c>
      <c r="K51" s="256">
        <v>1.0900000000000001</v>
      </c>
      <c r="M51" s="371"/>
      <c r="N51" s="371"/>
      <c r="O51" s="371"/>
      <c r="P51" s="371"/>
      <c r="Q51" s="371"/>
      <c r="R51" s="371"/>
      <c r="Y51" s="349"/>
    </row>
    <row r="52" spans="1:25" s="371" customFormat="1" ht="14.1" hidden="1" customHeight="1" x14ac:dyDescent="0.25">
      <c r="F52" s="373"/>
      <c r="I52" s="255"/>
      <c r="J52" s="256"/>
      <c r="K52" s="256"/>
      <c r="L52" s="256"/>
      <c r="Y52" s="349"/>
    </row>
    <row r="53" spans="1:25" s="371" customFormat="1" ht="39" hidden="1" customHeight="1" thickBot="1" x14ac:dyDescent="0.3">
      <c r="A53" s="712" t="s">
        <v>506</v>
      </c>
      <c r="B53" s="712"/>
      <c r="C53" s="712"/>
      <c r="D53" s="712"/>
      <c r="E53" s="712"/>
      <c r="F53" s="712"/>
      <c r="I53" s="255"/>
      <c r="J53" s="256"/>
      <c r="K53" s="256"/>
      <c r="L53" s="256"/>
      <c r="Y53" s="349"/>
    </row>
    <row r="54" spans="1:25" s="371" customFormat="1" ht="35.25" hidden="1" customHeight="1" thickBot="1" x14ac:dyDescent="0.3">
      <c r="A54" s="716" t="s">
        <v>507</v>
      </c>
      <c r="B54" s="717"/>
      <c r="C54" s="717"/>
      <c r="D54" s="717"/>
      <c r="E54" s="717"/>
      <c r="F54" s="718"/>
      <c r="I54" s="255"/>
      <c r="J54" s="256"/>
      <c r="K54" s="256"/>
      <c r="L54" s="256"/>
      <c r="Y54" s="349"/>
    </row>
    <row r="55" spans="1:25" s="371" customFormat="1" ht="32.25" hidden="1" customHeight="1" thickBot="1" x14ac:dyDescent="0.3">
      <c r="A55" s="159" t="s">
        <v>149</v>
      </c>
      <c r="B55" s="159" t="s">
        <v>30</v>
      </c>
      <c r="C55" s="242" t="s">
        <v>244</v>
      </c>
      <c r="D55" s="159" t="s">
        <v>284</v>
      </c>
      <c r="E55" s="159" t="s">
        <v>242</v>
      </c>
      <c r="F55" s="159" t="s">
        <v>243</v>
      </c>
      <c r="I55" s="255"/>
      <c r="J55" s="256"/>
      <c r="K55" s="256"/>
      <c r="L55" s="256"/>
      <c r="Y55" s="349"/>
    </row>
    <row r="56" spans="1:25" s="371" customFormat="1" ht="21" hidden="1" customHeight="1" x14ac:dyDescent="0.25">
      <c r="A56" s="132">
        <v>1</v>
      </c>
      <c r="B56" s="133" t="s">
        <v>31</v>
      </c>
      <c r="C56" s="243">
        <v>3</v>
      </c>
      <c r="D56" s="472">
        <v>3061.96</v>
      </c>
      <c r="E56" s="134">
        <v>7269.26</v>
      </c>
      <c r="F56" s="252">
        <f>ROUND((C56*E56),2)</f>
        <v>21807.78</v>
      </c>
      <c r="I56" s="255"/>
      <c r="J56" s="256"/>
      <c r="K56" s="256"/>
      <c r="L56" s="256"/>
      <c r="Y56" s="349"/>
    </row>
    <row r="57" spans="1:25" s="371" customFormat="1" ht="20.25" hidden="1" customHeight="1" x14ac:dyDescent="0.25">
      <c r="A57" s="135">
        <v>2</v>
      </c>
      <c r="B57" s="136" t="s">
        <v>81</v>
      </c>
      <c r="C57" s="244">
        <v>34</v>
      </c>
      <c r="D57" s="384">
        <v>1198.8699999999999</v>
      </c>
      <c r="E57" s="137">
        <v>3535.35</v>
      </c>
      <c r="F57" s="252">
        <f t="shared" ref="F57" si="5">ROUND((C57*E57),2)</f>
        <v>120201.9</v>
      </c>
      <c r="I57" s="255"/>
      <c r="J57" s="256"/>
      <c r="K57" s="256"/>
      <c r="L57" s="256"/>
      <c r="Y57" s="349"/>
    </row>
    <row r="58" spans="1:25" s="371" customFormat="1" ht="17.25" hidden="1" customHeight="1" x14ac:dyDescent="0.25">
      <c r="A58" s="135">
        <v>4</v>
      </c>
      <c r="B58" s="136" t="s">
        <v>85</v>
      </c>
      <c r="C58" s="244">
        <v>3</v>
      </c>
      <c r="D58" s="384">
        <v>1198.8699999999999</v>
      </c>
      <c r="E58" s="137">
        <v>3574.47</v>
      </c>
      <c r="F58" s="252">
        <f t="shared" ref="F58:F59" si="6">ROUND((C58*E58),2)</f>
        <v>10723.41</v>
      </c>
      <c r="I58" s="255"/>
      <c r="J58" s="256"/>
      <c r="K58" s="256"/>
      <c r="L58" s="256"/>
      <c r="Y58" s="349"/>
    </row>
    <row r="59" spans="1:25" s="371" customFormat="1" ht="21" hidden="1" customHeight="1" x14ac:dyDescent="0.25">
      <c r="A59" s="135">
        <v>5</v>
      </c>
      <c r="B59" s="136" t="s">
        <v>72</v>
      </c>
      <c r="C59" s="244">
        <v>3</v>
      </c>
      <c r="D59" s="384">
        <v>1198.8699999999999</v>
      </c>
      <c r="E59" s="137">
        <v>3574.47</v>
      </c>
      <c r="F59" s="252">
        <f t="shared" si="6"/>
        <v>10723.41</v>
      </c>
      <c r="I59" s="255"/>
      <c r="J59" s="256"/>
      <c r="K59" s="256"/>
      <c r="L59" s="256"/>
      <c r="Y59" s="349"/>
    </row>
    <row r="60" spans="1:25" s="371" customFormat="1" ht="18.75" hidden="1" customHeight="1" x14ac:dyDescent="0.25">
      <c r="A60" s="135">
        <v>6</v>
      </c>
      <c r="B60" s="136" t="s">
        <v>33</v>
      </c>
      <c r="C60" s="244">
        <v>3</v>
      </c>
      <c r="D60" s="384">
        <v>1770</v>
      </c>
      <c r="E60" s="137">
        <v>4719.6899999999996</v>
      </c>
      <c r="F60" s="252">
        <f>ROUND((C60*E60),2)</f>
        <v>14159.07</v>
      </c>
      <c r="I60" s="255"/>
      <c r="J60" s="256"/>
      <c r="K60" s="256"/>
      <c r="L60" s="256"/>
      <c r="Y60" s="349"/>
    </row>
    <row r="61" spans="1:25" s="371" customFormat="1" ht="19.5" hidden="1" customHeight="1" x14ac:dyDescent="0.25">
      <c r="A61" s="135">
        <v>7</v>
      </c>
      <c r="B61" s="138" t="s">
        <v>34</v>
      </c>
      <c r="C61" s="245">
        <v>6</v>
      </c>
      <c r="D61" s="473">
        <v>1198.8699999999999</v>
      </c>
      <c r="E61" s="139">
        <v>3542.59</v>
      </c>
      <c r="F61" s="252">
        <f t="shared" ref="F61:F63" si="7">ROUND((C61*E61),2)</f>
        <v>21255.54</v>
      </c>
      <c r="I61" s="255"/>
      <c r="J61" s="256"/>
      <c r="K61" s="256"/>
      <c r="L61" s="256"/>
      <c r="Y61" s="349"/>
    </row>
    <row r="62" spans="1:25" s="371" customFormat="1" ht="18" hidden="1" customHeight="1" x14ac:dyDescent="0.25">
      <c r="A62" s="135">
        <v>8</v>
      </c>
      <c r="B62" s="136" t="s">
        <v>35</v>
      </c>
      <c r="C62" s="244">
        <v>24</v>
      </c>
      <c r="D62" s="384">
        <v>1770</v>
      </c>
      <c r="E62" s="137">
        <v>4682.09</v>
      </c>
      <c r="F62" s="252">
        <f t="shared" si="7"/>
        <v>112370.16</v>
      </c>
      <c r="I62" s="255"/>
      <c r="J62" s="256"/>
      <c r="K62" s="256"/>
      <c r="L62" s="256"/>
      <c r="Y62" s="349"/>
    </row>
    <row r="63" spans="1:25" s="371" customFormat="1" ht="22.5" hidden="1" customHeight="1" thickBot="1" x14ac:dyDescent="0.3">
      <c r="A63" s="135">
        <v>9</v>
      </c>
      <c r="B63" s="136" t="s">
        <v>36</v>
      </c>
      <c r="C63" s="244">
        <v>2</v>
      </c>
      <c r="D63" s="384">
        <v>1267.1199999999999</v>
      </c>
      <c r="E63" s="137">
        <v>3562.3</v>
      </c>
      <c r="F63" s="252">
        <f t="shared" si="7"/>
        <v>7124.6</v>
      </c>
      <c r="I63" s="255"/>
      <c r="J63" s="256"/>
      <c r="K63" s="256"/>
      <c r="L63" s="256"/>
      <c r="Y63" s="349"/>
    </row>
    <row r="64" spans="1:25" s="371" customFormat="1" ht="14.1" hidden="1" customHeight="1" x14ac:dyDescent="0.25">
      <c r="A64" s="690" t="s">
        <v>47</v>
      </c>
      <c r="B64" s="691"/>
      <c r="C64" s="273">
        <f>SUM(C56:C63)</f>
        <v>78</v>
      </c>
      <c r="D64" s="692"/>
      <c r="E64" s="693"/>
      <c r="F64" s="539">
        <f>SUM(F56:F63)</f>
        <v>318365.87</v>
      </c>
      <c r="I64" s="255"/>
      <c r="J64" s="256"/>
      <c r="K64" s="256"/>
      <c r="L64" s="256"/>
      <c r="Y64" s="349"/>
    </row>
    <row r="65" spans="1:25" ht="14.1" hidden="1" customHeight="1" x14ac:dyDescent="0.25">
      <c r="A65" s="642" t="s">
        <v>270</v>
      </c>
      <c r="B65" s="642"/>
      <c r="C65" s="642"/>
      <c r="D65" s="642"/>
      <c r="E65" s="642"/>
      <c r="F65" s="540">
        <f>F64*12</f>
        <v>3820390.44</v>
      </c>
      <c r="G65" s="371"/>
      <c r="H65" s="371"/>
      <c r="K65" s="256">
        <f>100-K51</f>
        <v>98.91</v>
      </c>
      <c r="M65" s="371"/>
      <c r="N65" s="371"/>
      <c r="O65" s="371"/>
      <c r="P65" s="371"/>
      <c r="Q65" s="371"/>
      <c r="R65" s="371"/>
      <c r="Y65" s="349"/>
    </row>
    <row r="66" spans="1:25" s="371" customFormat="1" ht="14.1" hidden="1" customHeight="1" x14ac:dyDescent="0.25">
      <c r="A66" s="513"/>
      <c r="B66" s="513"/>
      <c r="C66" s="513"/>
      <c r="D66" s="513"/>
      <c r="E66" s="513"/>
      <c r="F66" s="514"/>
      <c r="I66" s="255"/>
      <c r="J66" s="256"/>
      <c r="K66" s="256"/>
      <c r="L66" s="256"/>
      <c r="Y66" s="349"/>
    </row>
    <row r="67" spans="1:25" s="371" customFormat="1" ht="14.1" hidden="1" customHeight="1" x14ac:dyDescent="0.25">
      <c r="A67" s="513"/>
      <c r="B67" s="513"/>
      <c r="C67" s="513"/>
      <c r="D67" s="513"/>
      <c r="E67" s="513"/>
      <c r="F67" s="514"/>
      <c r="I67" s="255"/>
      <c r="J67" s="256"/>
      <c r="K67" s="256"/>
      <c r="L67" s="256"/>
      <c r="Y67" s="349"/>
    </row>
    <row r="68" spans="1:25" s="371" customFormat="1" ht="30.75" hidden="1" customHeight="1" thickBot="1" x14ac:dyDescent="0.3">
      <c r="A68" s="705" t="s">
        <v>508</v>
      </c>
      <c r="B68" s="705"/>
      <c r="C68" s="705"/>
      <c r="D68" s="705"/>
      <c r="E68" s="705"/>
      <c r="F68" s="705"/>
      <c r="I68" s="255"/>
      <c r="J68" s="256"/>
      <c r="K68" s="256"/>
      <c r="L68" s="256"/>
      <c r="Y68" s="349"/>
    </row>
    <row r="69" spans="1:25" s="371" customFormat="1" ht="32.25" hidden="1" customHeight="1" thickBot="1" x14ac:dyDescent="0.3">
      <c r="A69" s="716" t="s">
        <v>268</v>
      </c>
      <c r="B69" s="717"/>
      <c r="C69" s="717"/>
      <c r="D69" s="717"/>
      <c r="E69" s="717"/>
      <c r="F69" s="718"/>
      <c r="I69" s="255"/>
      <c r="J69" s="256"/>
      <c r="K69" s="256"/>
      <c r="L69" s="256"/>
      <c r="Y69" s="349"/>
    </row>
    <row r="70" spans="1:25" s="371" customFormat="1" ht="33.75" hidden="1" customHeight="1" thickBot="1" x14ac:dyDescent="0.3">
      <c r="A70" s="159" t="s">
        <v>149</v>
      </c>
      <c r="B70" s="159" t="s">
        <v>30</v>
      </c>
      <c r="C70" s="242" t="s">
        <v>244</v>
      </c>
      <c r="D70" s="159" t="s">
        <v>284</v>
      </c>
      <c r="E70" s="159" t="s">
        <v>242</v>
      </c>
      <c r="F70" s="159" t="s">
        <v>243</v>
      </c>
      <c r="I70" s="255"/>
      <c r="J70" s="256"/>
      <c r="K70" s="256"/>
      <c r="L70" s="256"/>
      <c r="Y70" s="349"/>
    </row>
    <row r="71" spans="1:25" s="371" customFormat="1" ht="21" hidden="1" customHeight="1" x14ac:dyDescent="0.25">
      <c r="A71" s="132">
        <v>1</v>
      </c>
      <c r="B71" s="133" t="s">
        <v>31</v>
      </c>
      <c r="C71" s="243">
        <v>2</v>
      </c>
      <c r="D71" s="472">
        <v>3061.96</v>
      </c>
      <c r="E71" s="134">
        <v>7269.26</v>
      </c>
      <c r="F71" s="252">
        <f>ROUND((C71*E71),2)</f>
        <v>14538.52</v>
      </c>
      <c r="I71" s="255"/>
      <c r="J71" s="256"/>
      <c r="K71" s="256"/>
      <c r="L71" s="256"/>
      <c r="Y71" s="349"/>
    </row>
    <row r="72" spans="1:25" s="371" customFormat="1" ht="21" hidden="1" customHeight="1" x14ac:dyDescent="0.25">
      <c r="A72" s="135">
        <v>2</v>
      </c>
      <c r="B72" s="136" t="s">
        <v>81</v>
      </c>
      <c r="C72" s="244">
        <v>29</v>
      </c>
      <c r="D72" s="384">
        <v>1198.8699999999999</v>
      </c>
      <c r="E72" s="137">
        <v>3535.35</v>
      </c>
      <c r="F72" s="252">
        <f t="shared" ref="F72:F74" si="8">ROUND((C72*E72),2)</f>
        <v>102525.15</v>
      </c>
      <c r="I72" s="255"/>
      <c r="J72" s="256"/>
      <c r="K72" s="256"/>
      <c r="L72" s="256"/>
      <c r="Y72" s="349"/>
    </row>
    <row r="73" spans="1:25" s="371" customFormat="1" ht="21" hidden="1" customHeight="1" x14ac:dyDescent="0.25">
      <c r="A73" s="135">
        <v>4</v>
      </c>
      <c r="B73" s="136" t="s">
        <v>85</v>
      </c>
      <c r="C73" s="244">
        <v>1</v>
      </c>
      <c r="D73" s="384">
        <v>1198.8699999999999</v>
      </c>
      <c r="E73" s="137">
        <v>3574.47</v>
      </c>
      <c r="F73" s="252">
        <f t="shared" si="8"/>
        <v>3574.47</v>
      </c>
      <c r="I73" s="255"/>
      <c r="J73" s="256"/>
      <c r="K73" s="256"/>
      <c r="L73" s="256"/>
      <c r="Y73" s="349"/>
    </row>
    <row r="74" spans="1:25" s="371" customFormat="1" ht="18" hidden="1" customHeight="1" x14ac:dyDescent="0.25">
      <c r="A74" s="135">
        <v>5</v>
      </c>
      <c r="B74" s="136" t="s">
        <v>72</v>
      </c>
      <c r="C74" s="244">
        <v>1</v>
      </c>
      <c r="D74" s="384">
        <v>1198.8699999999999</v>
      </c>
      <c r="E74" s="137">
        <v>3574.47</v>
      </c>
      <c r="F74" s="252">
        <f t="shared" si="8"/>
        <v>3574.47</v>
      </c>
      <c r="I74" s="255"/>
      <c r="J74" s="256"/>
      <c r="K74" s="256"/>
      <c r="L74" s="256"/>
      <c r="Y74" s="349"/>
    </row>
    <row r="75" spans="1:25" s="371" customFormat="1" ht="22.5" hidden="1" customHeight="1" x14ac:dyDescent="0.25">
      <c r="A75" s="135">
        <v>6</v>
      </c>
      <c r="B75" s="136" t="s">
        <v>33</v>
      </c>
      <c r="C75" s="244">
        <v>3</v>
      </c>
      <c r="D75" s="384">
        <v>1770</v>
      </c>
      <c r="E75" s="137">
        <v>4719.6899999999996</v>
      </c>
      <c r="F75" s="252">
        <f>ROUND((C75*E75),2)</f>
        <v>14159.07</v>
      </c>
      <c r="I75" s="255"/>
      <c r="J75" s="256"/>
      <c r="K75" s="256"/>
      <c r="L75" s="256"/>
      <c r="Y75" s="349"/>
    </row>
    <row r="76" spans="1:25" s="371" customFormat="1" ht="21.75" hidden="1" customHeight="1" x14ac:dyDescent="0.25">
      <c r="A76" s="135">
        <v>7</v>
      </c>
      <c r="B76" s="138" t="s">
        <v>34</v>
      </c>
      <c r="C76" s="245">
        <v>3</v>
      </c>
      <c r="D76" s="473">
        <v>1198.8699999999999</v>
      </c>
      <c r="E76" s="139">
        <v>3542.59</v>
      </c>
      <c r="F76" s="252">
        <f t="shared" ref="F76:F77" si="9">ROUND((C76*E76),2)</f>
        <v>10627.77</v>
      </c>
      <c r="I76" s="255"/>
      <c r="J76" s="256"/>
      <c r="K76" s="256"/>
      <c r="L76" s="256"/>
      <c r="Y76" s="349"/>
    </row>
    <row r="77" spans="1:25" s="371" customFormat="1" ht="21" hidden="1" customHeight="1" thickBot="1" x14ac:dyDescent="0.3">
      <c r="A77" s="135">
        <v>8</v>
      </c>
      <c r="B77" s="136" t="s">
        <v>35</v>
      </c>
      <c r="C77" s="244">
        <v>16</v>
      </c>
      <c r="D77" s="384">
        <v>1770</v>
      </c>
      <c r="E77" s="137">
        <v>4682.09</v>
      </c>
      <c r="F77" s="252">
        <f t="shared" si="9"/>
        <v>74913.440000000002</v>
      </c>
      <c r="I77" s="255"/>
      <c r="J77" s="256"/>
      <c r="K77" s="256"/>
      <c r="L77" s="256"/>
      <c r="Y77" s="349"/>
    </row>
    <row r="78" spans="1:25" s="371" customFormat="1" ht="14.1" hidden="1" customHeight="1" x14ac:dyDescent="0.25">
      <c r="A78" s="690" t="s">
        <v>47</v>
      </c>
      <c r="B78" s="691"/>
      <c r="C78" s="273">
        <f>SUM(C71:C77)</f>
        <v>55</v>
      </c>
      <c r="D78" s="692"/>
      <c r="E78" s="693"/>
      <c r="F78" s="539">
        <f>SUM(F71:F77)</f>
        <v>223912.88999999998</v>
      </c>
      <c r="I78" s="255"/>
      <c r="J78" s="256"/>
      <c r="K78" s="256"/>
      <c r="L78" s="256"/>
      <c r="Y78" s="349"/>
    </row>
    <row r="79" spans="1:25" s="371" customFormat="1" ht="14.1" hidden="1" customHeight="1" x14ac:dyDescent="0.25">
      <c r="A79" s="642" t="s">
        <v>270</v>
      </c>
      <c r="B79" s="642"/>
      <c r="C79" s="642"/>
      <c r="D79" s="642"/>
      <c r="E79" s="642"/>
      <c r="F79" s="540">
        <f>F78*12</f>
        <v>2686954.6799999997</v>
      </c>
      <c r="I79" s="255"/>
      <c r="J79" s="256"/>
      <c r="K79" s="256"/>
      <c r="L79" s="256"/>
      <c r="Y79" s="349"/>
    </row>
    <row r="80" spans="1:25" s="371" customFormat="1" ht="14.1" hidden="1" customHeight="1" x14ac:dyDescent="0.25">
      <c r="A80" s="513"/>
      <c r="B80" s="513"/>
      <c r="C80" s="513"/>
      <c r="D80" s="513"/>
      <c r="E80" s="513"/>
      <c r="F80" s="514"/>
      <c r="I80" s="255"/>
      <c r="J80" s="256"/>
      <c r="K80" s="256"/>
      <c r="L80" s="256"/>
      <c r="Y80" s="349"/>
    </row>
    <row r="81" spans="1:25" s="371" customFormat="1" ht="14.1" hidden="1" customHeight="1" x14ac:dyDescent="0.25">
      <c r="A81" s="513"/>
      <c r="B81" s="513"/>
      <c r="C81" s="513"/>
      <c r="D81" s="513"/>
      <c r="E81" s="513"/>
      <c r="F81" s="514"/>
      <c r="I81" s="255"/>
      <c r="J81" s="256"/>
      <c r="K81" s="256"/>
      <c r="L81" s="256"/>
      <c r="Y81" s="349"/>
    </row>
    <row r="82" spans="1:25" s="371" customFormat="1" ht="14.1" hidden="1" customHeight="1" x14ac:dyDescent="0.25">
      <c r="A82" s="513"/>
      <c r="B82" s="513"/>
      <c r="C82" s="513"/>
      <c r="D82" s="513"/>
      <c r="E82" s="513"/>
      <c r="F82" s="514"/>
      <c r="I82" s="255"/>
      <c r="J82" s="256"/>
      <c r="K82" s="256"/>
      <c r="L82" s="256"/>
      <c r="Y82" s="349"/>
    </row>
    <row r="83" spans="1:25" ht="14.1" hidden="1" customHeight="1" x14ac:dyDescent="0.25">
      <c r="A83" s="537"/>
      <c r="B83" s="537"/>
      <c r="C83" s="537"/>
      <c r="D83" s="537"/>
      <c r="E83" s="537"/>
      <c r="F83" s="537"/>
      <c r="G83" s="371"/>
      <c r="H83" s="371"/>
      <c r="M83" s="371"/>
      <c r="N83" s="371"/>
      <c r="O83" s="371"/>
      <c r="P83" s="371"/>
      <c r="Q83" s="371"/>
      <c r="R83" s="371"/>
    </row>
    <row r="84" spans="1:25" ht="41.25" hidden="1" customHeight="1" x14ac:dyDescent="0.25">
      <c r="A84" s="371"/>
      <c r="B84" s="705" t="s">
        <v>373</v>
      </c>
      <c r="C84" s="705"/>
      <c r="D84" s="705"/>
      <c r="E84" s="705"/>
      <c r="F84" s="705"/>
      <c r="G84" s="705"/>
      <c r="H84" s="371"/>
      <c r="M84" s="371"/>
      <c r="N84" s="371"/>
      <c r="O84" s="371"/>
      <c r="P84" s="371"/>
      <c r="Q84" s="371"/>
      <c r="R84" s="371"/>
    </row>
    <row r="85" spans="1:25" ht="14.1" hidden="1" customHeight="1" thickBot="1" x14ac:dyDescent="0.3">
      <c r="A85" s="371"/>
      <c r="B85" s="371"/>
      <c r="C85" s="371"/>
      <c r="D85" s="371"/>
      <c r="E85" s="371"/>
      <c r="F85" s="373"/>
      <c r="G85" s="371"/>
      <c r="H85" s="371"/>
      <c r="M85" s="371"/>
      <c r="N85" s="371"/>
      <c r="O85" s="371"/>
      <c r="P85" s="371"/>
      <c r="Q85" s="371"/>
      <c r="R85" s="371"/>
    </row>
    <row r="86" spans="1:25" ht="20.25" hidden="1" customHeight="1" thickBot="1" x14ac:dyDescent="0.3">
      <c r="A86" s="687" t="s">
        <v>489</v>
      </c>
      <c r="B86" s="688"/>
      <c r="C86" s="688"/>
      <c r="D86" s="688"/>
      <c r="E86" s="688"/>
      <c r="F86" s="689"/>
      <c r="G86" s="371"/>
      <c r="H86" s="371"/>
      <c r="M86" s="371"/>
      <c r="N86" s="371"/>
      <c r="O86" s="371"/>
      <c r="P86" s="371"/>
      <c r="Q86" s="371"/>
      <c r="R86" s="371"/>
    </row>
    <row r="87" spans="1:25" ht="36" hidden="1" customHeight="1" thickBot="1" x14ac:dyDescent="0.3">
      <c r="A87" s="159" t="s">
        <v>149</v>
      </c>
      <c r="B87" s="159" t="s">
        <v>30</v>
      </c>
      <c r="C87" s="242" t="s">
        <v>244</v>
      </c>
      <c r="D87" s="159" t="s">
        <v>284</v>
      </c>
      <c r="E87" s="159" t="s">
        <v>242</v>
      </c>
      <c r="F87" s="159" t="s">
        <v>243</v>
      </c>
      <c r="G87" s="371"/>
      <c r="H87" s="371"/>
      <c r="M87" s="371"/>
      <c r="N87" s="371"/>
      <c r="O87" s="371"/>
      <c r="P87" s="371"/>
      <c r="Q87" s="371"/>
      <c r="R87" s="371"/>
    </row>
    <row r="88" spans="1:25" ht="20.25" hidden="1" customHeight="1" x14ac:dyDescent="0.25">
      <c r="A88" s="132">
        <v>1</v>
      </c>
      <c r="B88" s="133" t="s">
        <v>31</v>
      </c>
      <c r="C88" s="243">
        <v>2</v>
      </c>
      <c r="D88" s="472">
        <f>encarregado!L9</f>
        <v>3159.9500000000003</v>
      </c>
      <c r="E88" s="134">
        <f>encarregado!L36</f>
        <v>7453.06</v>
      </c>
      <c r="F88" s="252">
        <f>ROUND((C88*E88),2)</f>
        <v>14906.12</v>
      </c>
      <c r="G88" s="371"/>
      <c r="H88" s="371"/>
      <c r="M88" s="371"/>
      <c r="N88" s="371"/>
      <c r="O88" s="371"/>
      <c r="P88" s="371"/>
      <c r="Q88" s="371"/>
      <c r="R88" s="371"/>
    </row>
    <row r="89" spans="1:25" ht="20.25" hidden="1" customHeight="1" x14ac:dyDescent="0.25">
      <c r="A89" s="135">
        <v>2</v>
      </c>
      <c r="B89" s="136" t="s">
        <v>81</v>
      </c>
      <c r="C89" s="244">
        <v>29</v>
      </c>
      <c r="D89" s="384">
        <f>servente!L7</f>
        <v>1237.23</v>
      </c>
      <c r="E89" s="137">
        <f>servente!L34</f>
        <v>3622.24</v>
      </c>
      <c r="F89" s="252">
        <f t="shared" ref="F89:F94" si="10">ROUND((C89*E89),2)</f>
        <v>105044.96</v>
      </c>
      <c r="G89" s="371"/>
      <c r="H89" s="371"/>
      <c r="M89" s="371"/>
      <c r="N89" s="371"/>
      <c r="O89" s="371"/>
      <c r="P89" s="371"/>
      <c r="Q89" s="371"/>
      <c r="R89" s="371"/>
    </row>
    <row r="90" spans="1:25" ht="20.25" hidden="1" customHeight="1" x14ac:dyDescent="0.25">
      <c r="A90" s="135">
        <v>4</v>
      </c>
      <c r="B90" s="136" t="s">
        <v>85</v>
      </c>
      <c r="C90" s="244">
        <v>1</v>
      </c>
      <c r="D90" s="384">
        <f>mensageiro!L7</f>
        <v>1237.23</v>
      </c>
      <c r="E90" s="137">
        <f>mensageiro!L36</f>
        <v>3661.36</v>
      </c>
      <c r="F90" s="252">
        <f t="shared" si="10"/>
        <v>3661.36</v>
      </c>
      <c r="G90" s="371"/>
      <c r="H90" s="371"/>
      <c r="M90" s="371"/>
      <c r="N90" s="371"/>
      <c r="O90" s="371"/>
      <c r="P90" s="371"/>
      <c r="Q90" s="371"/>
      <c r="R90" s="371"/>
    </row>
    <row r="91" spans="1:25" ht="20.25" hidden="1" customHeight="1" x14ac:dyDescent="0.25">
      <c r="A91" s="135">
        <v>5</v>
      </c>
      <c r="B91" s="136" t="s">
        <v>72</v>
      </c>
      <c r="C91" s="244">
        <v>1</v>
      </c>
      <c r="D91" s="384">
        <f>'op.maq.reprografica'!L7</f>
        <v>1237.23</v>
      </c>
      <c r="E91" s="137">
        <f>'op.maq.reprografica'!L36</f>
        <v>3661.36</v>
      </c>
      <c r="F91" s="252">
        <f t="shared" si="10"/>
        <v>3661.36</v>
      </c>
      <c r="G91" s="371"/>
      <c r="H91" s="371"/>
      <c r="M91" s="371"/>
      <c r="N91" s="371"/>
      <c r="O91" s="371"/>
      <c r="P91" s="371"/>
      <c r="Q91" s="371"/>
      <c r="R91" s="371"/>
    </row>
    <row r="92" spans="1:25" ht="20.25" hidden="1" customHeight="1" x14ac:dyDescent="0.25">
      <c r="A92" s="135">
        <v>6</v>
      </c>
      <c r="B92" s="136" t="s">
        <v>33</v>
      </c>
      <c r="C92" s="244">
        <v>3</v>
      </c>
      <c r="D92" s="384">
        <f>garcom!L6</f>
        <v>1826.64</v>
      </c>
      <c r="E92" s="137">
        <f>garcom!L32</f>
        <v>4836.28</v>
      </c>
      <c r="F92" s="252">
        <f t="shared" si="10"/>
        <v>14508.84</v>
      </c>
      <c r="G92" s="371"/>
      <c r="H92" s="371"/>
      <c r="M92" s="371"/>
      <c r="N92" s="371"/>
      <c r="O92" s="371"/>
      <c r="P92" s="371"/>
      <c r="Q92" s="371"/>
      <c r="R92" s="371"/>
    </row>
    <row r="93" spans="1:25" ht="20.25" hidden="1" customHeight="1" x14ac:dyDescent="0.25">
      <c r="A93" s="135">
        <v>7</v>
      </c>
      <c r="B93" s="138" t="s">
        <v>34</v>
      </c>
      <c r="C93" s="245">
        <v>3</v>
      </c>
      <c r="D93" s="473">
        <f>copeira!M7</f>
        <v>1237.23</v>
      </c>
      <c r="E93" s="139">
        <f>copeira!M33</f>
        <v>3629.47</v>
      </c>
      <c r="F93" s="252">
        <f t="shared" si="10"/>
        <v>10888.41</v>
      </c>
      <c r="G93" s="371"/>
      <c r="H93" s="371"/>
      <c r="M93" s="371"/>
      <c r="N93" s="371"/>
      <c r="O93" s="371"/>
      <c r="P93" s="371"/>
      <c r="Q93" s="371"/>
      <c r="R93" s="371"/>
    </row>
    <row r="94" spans="1:25" s="371" customFormat="1" ht="20.25" hidden="1" customHeight="1" thickBot="1" x14ac:dyDescent="0.3">
      <c r="A94" s="376">
        <v>8</v>
      </c>
      <c r="B94" s="377" t="s">
        <v>35</v>
      </c>
      <c r="C94" s="515">
        <v>16</v>
      </c>
      <c r="D94" s="474">
        <f>recepcionista!M7</f>
        <v>1826.64</v>
      </c>
      <c r="E94" s="375">
        <f>recepcionista!L33</f>
        <v>4798.68</v>
      </c>
      <c r="F94" s="556">
        <f t="shared" si="10"/>
        <v>76778.880000000005</v>
      </c>
      <c r="I94" s="255"/>
      <c r="J94" s="256"/>
      <c r="K94" s="256"/>
      <c r="L94" s="256"/>
    </row>
    <row r="95" spans="1:25" ht="20.25" hidden="1" customHeight="1" thickBot="1" x14ac:dyDescent="0.3">
      <c r="A95" s="698" t="s">
        <v>47</v>
      </c>
      <c r="B95" s="699"/>
      <c r="C95" s="552">
        <f>SUM(C88:C94)</f>
        <v>55</v>
      </c>
      <c r="D95" s="700"/>
      <c r="E95" s="701"/>
      <c r="F95" s="557">
        <f>SUM(F88:F94)</f>
        <v>229449.93000000002</v>
      </c>
      <c r="G95" s="371"/>
      <c r="H95" s="371"/>
      <c r="M95" s="371"/>
      <c r="N95" s="371"/>
      <c r="O95" s="371"/>
      <c r="P95" s="371"/>
      <c r="Q95" s="371"/>
      <c r="R95" s="371"/>
    </row>
    <row r="96" spans="1:25" s="371" customFormat="1" ht="20.25" hidden="1" customHeight="1" x14ac:dyDescent="0.25">
      <c r="A96" s="513"/>
      <c r="B96" s="513"/>
      <c r="C96" s="513"/>
      <c r="D96" s="513"/>
      <c r="E96" s="513"/>
      <c r="F96" s="550"/>
      <c r="I96" s="255"/>
      <c r="J96" s="256"/>
      <c r="K96" s="256"/>
      <c r="L96" s="256"/>
    </row>
    <row r="97" spans="1:12" s="371" customFormat="1" ht="20.25" hidden="1" customHeight="1" thickBot="1" x14ac:dyDescent="0.3">
      <c r="A97" s="513"/>
      <c r="B97" s="513"/>
      <c r="C97" s="513"/>
      <c r="D97" s="513"/>
      <c r="E97" s="513"/>
      <c r="F97" s="550"/>
      <c r="I97" s="255"/>
      <c r="J97" s="256"/>
      <c r="K97" s="256"/>
      <c r="L97" s="256"/>
    </row>
    <row r="98" spans="1:12" s="371" customFormat="1" ht="20.25" hidden="1" customHeight="1" thickBot="1" x14ac:dyDescent="0.3">
      <c r="A98" s="687" t="s">
        <v>490</v>
      </c>
      <c r="B98" s="688"/>
      <c r="C98" s="688"/>
      <c r="D98" s="688"/>
      <c r="E98" s="688"/>
      <c r="F98" s="689"/>
      <c r="I98" s="255"/>
      <c r="J98" s="256"/>
      <c r="K98" s="256"/>
      <c r="L98" s="256"/>
    </row>
    <row r="99" spans="1:12" s="371" customFormat="1" ht="33" hidden="1" customHeight="1" thickBot="1" x14ac:dyDescent="0.3">
      <c r="A99" s="159" t="s">
        <v>149</v>
      </c>
      <c r="B99" s="159" t="s">
        <v>30</v>
      </c>
      <c r="C99" s="242" t="s">
        <v>244</v>
      </c>
      <c r="D99" s="159" t="s">
        <v>284</v>
      </c>
      <c r="E99" s="159" t="s">
        <v>242</v>
      </c>
      <c r="F99" s="159" t="s">
        <v>243</v>
      </c>
      <c r="I99" s="255"/>
      <c r="J99" s="256"/>
      <c r="K99" s="256"/>
      <c r="L99" s="256"/>
    </row>
    <row r="100" spans="1:12" s="371" customFormat="1" ht="20.25" hidden="1" customHeight="1" x14ac:dyDescent="0.25">
      <c r="A100" s="132">
        <v>1</v>
      </c>
      <c r="B100" s="133" t="s">
        <v>31</v>
      </c>
      <c r="C100" s="243">
        <v>2</v>
      </c>
      <c r="D100" s="472">
        <f>encarregado!M9</f>
        <v>3159.9500000000003</v>
      </c>
      <c r="E100" s="134">
        <f>encarregado!M36</f>
        <v>7479.3</v>
      </c>
      <c r="F100" s="252">
        <f>ROUND((C100*E100),2)</f>
        <v>14958.6</v>
      </c>
      <c r="I100" s="255"/>
      <c r="J100" s="256"/>
      <c r="K100" s="256"/>
      <c r="L100" s="256"/>
    </row>
    <row r="101" spans="1:12" s="371" customFormat="1" ht="20.25" hidden="1" customHeight="1" x14ac:dyDescent="0.25">
      <c r="A101" s="135">
        <v>2</v>
      </c>
      <c r="B101" s="136" t="s">
        <v>81</v>
      </c>
      <c r="C101" s="244">
        <v>29</v>
      </c>
      <c r="D101" s="384">
        <f>servente!M7</f>
        <v>1237.23</v>
      </c>
      <c r="E101" s="137">
        <f>servente!M34</f>
        <v>3648.49</v>
      </c>
      <c r="F101" s="252">
        <f t="shared" ref="F101:F106" si="11">ROUND((C101*E101),2)</f>
        <v>105806.21</v>
      </c>
      <c r="I101" s="255"/>
      <c r="J101" s="256"/>
      <c r="K101" s="256"/>
      <c r="L101" s="256"/>
    </row>
    <row r="102" spans="1:12" s="371" customFormat="1" ht="20.25" hidden="1" customHeight="1" x14ac:dyDescent="0.25">
      <c r="A102" s="135">
        <v>4</v>
      </c>
      <c r="B102" s="136" t="s">
        <v>85</v>
      </c>
      <c r="C102" s="244">
        <v>1</v>
      </c>
      <c r="D102" s="384">
        <f>mensageiro!M11</f>
        <v>1237.23</v>
      </c>
      <c r="E102" s="137">
        <f>mensageiro!M36</f>
        <v>3687.6</v>
      </c>
      <c r="F102" s="252">
        <f t="shared" si="11"/>
        <v>3687.6</v>
      </c>
      <c r="I102" s="255"/>
      <c r="J102" s="256"/>
      <c r="K102" s="256"/>
      <c r="L102" s="256"/>
    </row>
    <row r="103" spans="1:12" s="371" customFormat="1" ht="20.25" hidden="1" customHeight="1" x14ac:dyDescent="0.25">
      <c r="A103" s="135">
        <v>5</v>
      </c>
      <c r="B103" s="136" t="s">
        <v>72</v>
      </c>
      <c r="C103" s="244">
        <v>1</v>
      </c>
      <c r="D103" s="384">
        <f>'op.maq.reprografica'!M11</f>
        <v>1237.23</v>
      </c>
      <c r="E103" s="137">
        <f>'op.maq.reprografica'!M36</f>
        <v>3687.6</v>
      </c>
      <c r="F103" s="252">
        <f t="shared" si="11"/>
        <v>3687.6</v>
      </c>
      <c r="I103" s="255"/>
      <c r="J103" s="256"/>
      <c r="K103" s="256"/>
      <c r="L103" s="256"/>
    </row>
    <row r="104" spans="1:12" s="371" customFormat="1" ht="20.25" hidden="1" customHeight="1" x14ac:dyDescent="0.25">
      <c r="A104" s="135">
        <v>6</v>
      </c>
      <c r="B104" s="136" t="s">
        <v>33</v>
      </c>
      <c r="C104" s="244">
        <v>3</v>
      </c>
      <c r="D104" s="384">
        <f>garcom!M7</f>
        <v>1826.64</v>
      </c>
      <c r="E104" s="137">
        <f>garcom!M32</f>
        <v>4862.5200000000004</v>
      </c>
      <c r="F104" s="252">
        <f t="shared" si="11"/>
        <v>14587.56</v>
      </c>
      <c r="I104" s="255"/>
      <c r="J104" s="256"/>
      <c r="K104" s="256"/>
      <c r="L104" s="256"/>
    </row>
    <row r="105" spans="1:12" s="371" customFormat="1" ht="20.25" hidden="1" customHeight="1" x14ac:dyDescent="0.25">
      <c r="A105" s="135">
        <v>7</v>
      </c>
      <c r="B105" s="138" t="s">
        <v>34</v>
      </c>
      <c r="C105" s="245">
        <v>3</v>
      </c>
      <c r="D105" s="473">
        <f>copeira!N8</f>
        <v>1237.23</v>
      </c>
      <c r="E105" s="139">
        <f>copeira!N33</f>
        <v>3655.72</v>
      </c>
      <c r="F105" s="252">
        <f t="shared" si="11"/>
        <v>10967.16</v>
      </c>
      <c r="I105" s="255"/>
      <c r="J105" s="256"/>
      <c r="K105" s="256"/>
      <c r="L105" s="256"/>
    </row>
    <row r="106" spans="1:12" s="371" customFormat="1" ht="20.25" hidden="1" customHeight="1" thickBot="1" x14ac:dyDescent="0.3">
      <c r="A106" s="135">
        <v>8</v>
      </c>
      <c r="B106" s="136" t="s">
        <v>35</v>
      </c>
      <c r="C106" s="244">
        <v>16</v>
      </c>
      <c r="D106" s="474">
        <f>recepcionista!M8</f>
        <v>1826.64</v>
      </c>
      <c r="E106" s="137">
        <f>recepcionista!M33</f>
        <v>4824.92</v>
      </c>
      <c r="F106" s="252">
        <f t="shared" si="11"/>
        <v>77198.720000000001</v>
      </c>
      <c r="I106" s="255"/>
      <c r="J106" s="256"/>
      <c r="K106" s="256"/>
      <c r="L106" s="256"/>
    </row>
    <row r="107" spans="1:12" s="371" customFormat="1" ht="20.25" hidden="1" customHeight="1" thickBot="1" x14ac:dyDescent="0.3">
      <c r="A107" s="698" t="s">
        <v>47</v>
      </c>
      <c r="B107" s="699"/>
      <c r="C107" s="378">
        <f>SUM(C100:C106)</f>
        <v>55</v>
      </c>
      <c r="D107" s="714"/>
      <c r="E107" s="715"/>
      <c r="F107" s="557">
        <f>SUM(F100:F106)</f>
        <v>230893.45000000004</v>
      </c>
      <c r="I107" s="255"/>
      <c r="J107" s="256"/>
      <c r="K107" s="256"/>
      <c r="L107" s="256"/>
    </row>
    <row r="108" spans="1:12" s="371" customFormat="1" ht="20.25" hidden="1" customHeight="1" x14ac:dyDescent="0.25">
      <c r="A108" s="513"/>
      <c r="B108" s="513"/>
      <c r="C108" s="513"/>
      <c r="D108" s="513"/>
      <c r="E108" s="513"/>
      <c r="F108" s="550"/>
      <c r="I108" s="255"/>
      <c r="J108" s="256"/>
      <c r="K108" s="256"/>
      <c r="L108" s="256"/>
    </row>
    <row r="109" spans="1:12" s="371" customFormat="1" ht="14.1" hidden="1" customHeight="1" thickBot="1" x14ac:dyDescent="0.3">
      <c r="F109" s="373"/>
      <c r="I109" s="255"/>
      <c r="J109" s="256"/>
      <c r="K109" s="256"/>
      <c r="L109" s="256"/>
    </row>
    <row r="110" spans="1:12" s="371" customFormat="1" ht="18.75" hidden="1" customHeight="1" thickBot="1" x14ac:dyDescent="0.3">
      <c r="A110" s="687" t="s">
        <v>497</v>
      </c>
      <c r="B110" s="688"/>
      <c r="C110" s="688"/>
      <c r="D110" s="688"/>
      <c r="E110" s="688"/>
      <c r="F110" s="689"/>
      <c r="I110" s="255"/>
      <c r="J110" s="256"/>
      <c r="K110" s="256"/>
      <c r="L110" s="256"/>
    </row>
    <row r="111" spans="1:12" s="371" customFormat="1" ht="31.5" hidden="1" customHeight="1" thickBot="1" x14ac:dyDescent="0.3">
      <c r="A111" s="159" t="s">
        <v>149</v>
      </c>
      <c r="B111" s="159" t="s">
        <v>30</v>
      </c>
      <c r="C111" s="159" t="s">
        <v>244</v>
      </c>
      <c r="D111" s="159" t="s">
        <v>284</v>
      </c>
      <c r="E111" s="159" t="s">
        <v>498</v>
      </c>
      <c r="F111" s="159" t="s">
        <v>499</v>
      </c>
      <c r="I111" s="255"/>
      <c r="J111" s="256"/>
      <c r="K111" s="256"/>
      <c r="L111" s="256"/>
    </row>
    <row r="112" spans="1:12" s="371" customFormat="1" ht="20.25" hidden="1" customHeight="1" x14ac:dyDescent="0.25">
      <c r="A112" s="132">
        <v>1</v>
      </c>
      <c r="B112" s="133" t="s">
        <v>31</v>
      </c>
      <c r="C112" s="243">
        <v>2</v>
      </c>
      <c r="D112" s="472">
        <f>encarregado!L9</f>
        <v>3159.9500000000003</v>
      </c>
      <c r="E112" s="134">
        <f>encarregado!M36</f>
        <v>7479.3</v>
      </c>
      <c r="F112" s="252">
        <f>ROUND((C112*E112),2)</f>
        <v>14958.6</v>
      </c>
      <c r="I112" s="255"/>
      <c r="J112" s="256"/>
      <c r="K112" s="256"/>
      <c r="L112" s="256"/>
    </row>
    <row r="113" spans="1:24" s="371" customFormat="1" ht="18" hidden="1" customHeight="1" x14ac:dyDescent="0.25">
      <c r="A113" s="132">
        <v>2</v>
      </c>
      <c r="B113" s="136" t="s">
        <v>81</v>
      </c>
      <c r="C113" s="244">
        <v>29</v>
      </c>
      <c r="D113" s="384">
        <f>servente!L7</f>
        <v>1237.23</v>
      </c>
      <c r="E113" s="137">
        <f>servente!M34</f>
        <v>3648.49</v>
      </c>
      <c r="F113" s="252">
        <f t="shared" ref="F113:F118" si="12">ROUND((C113*E113),2)</f>
        <v>105806.21</v>
      </c>
      <c r="I113" s="255"/>
      <c r="J113" s="256"/>
      <c r="K113" s="256"/>
      <c r="L113" s="256"/>
    </row>
    <row r="114" spans="1:24" s="371" customFormat="1" ht="18.75" hidden="1" customHeight="1" x14ac:dyDescent="0.25">
      <c r="A114" s="132">
        <v>4</v>
      </c>
      <c r="B114" s="136" t="s">
        <v>85</v>
      </c>
      <c r="C114" s="244">
        <v>1</v>
      </c>
      <c r="D114" s="384">
        <f>mensageiro!L7</f>
        <v>1237.23</v>
      </c>
      <c r="E114" s="137">
        <f>mensageiro!M38</f>
        <v>3687.6</v>
      </c>
      <c r="F114" s="252">
        <f t="shared" si="12"/>
        <v>3687.6</v>
      </c>
      <c r="I114" s="255"/>
      <c r="J114" s="256"/>
      <c r="K114" s="256"/>
      <c r="L114" s="256"/>
    </row>
    <row r="115" spans="1:24" s="371" customFormat="1" ht="17.25" hidden="1" customHeight="1" x14ac:dyDescent="0.25">
      <c r="A115" s="132">
        <v>5</v>
      </c>
      <c r="B115" s="136" t="s">
        <v>72</v>
      </c>
      <c r="C115" s="244">
        <v>1</v>
      </c>
      <c r="D115" s="384">
        <f>'op.maq.reprografica'!L7</f>
        <v>1237.23</v>
      </c>
      <c r="E115" s="137">
        <f>'op.maq.reprografica'!M38</f>
        <v>3687.6</v>
      </c>
      <c r="F115" s="252">
        <f t="shared" si="12"/>
        <v>3687.6</v>
      </c>
      <c r="I115" s="255"/>
      <c r="J115" s="256"/>
      <c r="K115" s="256"/>
      <c r="L115" s="256"/>
    </row>
    <row r="116" spans="1:24" s="371" customFormat="1" ht="18" hidden="1" customHeight="1" x14ac:dyDescent="0.25">
      <c r="A116" s="132">
        <v>6</v>
      </c>
      <c r="B116" s="136" t="s">
        <v>33</v>
      </c>
      <c r="C116" s="244">
        <v>3</v>
      </c>
      <c r="D116" s="384">
        <f>garcom!L6</f>
        <v>1826.64</v>
      </c>
      <c r="E116" s="137">
        <f>garcom!M32</f>
        <v>4862.5200000000004</v>
      </c>
      <c r="F116" s="252">
        <f t="shared" si="12"/>
        <v>14587.56</v>
      </c>
      <c r="I116" s="255"/>
      <c r="J116" s="256"/>
      <c r="K116" s="256"/>
      <c r="L116" s="256"/>
    </row>
    <row r="117" spans="1:24" s="371" customFormat="1" ht="17.25" hidden="1" customHeight="1" x14ac:dyDescent="0.25">
      <c r="A117" s="132">
        <v>7</v>
      </c>
      <c r="B117" s="138" t="s">
        <v>34</v>
      </c>
      <c r="C117" s="245">
        <v>3</v>
      </c>
      <c r="D117" s="473">
        <f>copeira!M7</f>
        <v>1237.23</v>
      </c>
      <c r="E117" s="139">
        <f>copeira!N33</f>
        <v>3655.72</v>
      </c>
      <c r="F117" s="252">
        <f t="shared" si="12"/>
        <v>10967.16</v>
      </c>
      <c r="I117" s="255"/>
      <c r="J117" s="256"/>
      <c r="K117" s="256"/>
      <c r="L117" s="256"/>
    </row>
    <row r="118" spans="1:24" s="371" customFormat="1" ht="18.75" hidden="1" customHeight="1" thickBot="1" x14ac:dyDescent="0.3">
      <c r="A118" s="132">
        <v>8</v>
      </c>
      <c r="B118" s="377" t="s">
        <v>35</v>
      </c>
      <c r="C118" s="515">
        <v>16</v>
      </c>
      <c r="D118" s="474">
        <f>recepcionista!M7</f>
        <v>1826.64</v>
      </c>
      <c r="E118" s="375">
        <f>recepcionista!M33</f>
        <v>4824.92</v>
      </c>
      <c r="F118" s="556">
        <f t="shared" si="12"/>
        <v>77198.720000000001</v>
      </c>
      <c r="I118" s="255"/>
      <c r="J118" s="256"/>
      <c r="K118" s="256"/>
      <c r="L118" s="256"/>
    </row>
    <row r="119" spans="1:24" s="371" customFormat="1" ht="20.25" hidden="1" customHeight="1" thickBot="1" x14ac:dyDescent="0.3">
      <c r="A119" s="698" t="s">
        <v>47</v>
      </c>
      <c r="B119" s="699"/>
      <c r="C119" s="552">
        <v>55</v>
      </c>
      <c r="D119" s="700"/>
      <c r="E119" s="701"/>
      <c r="F119" s="557">
        <f>SUM(F112:F118)</f>
        <v>230893.45000000004</v>
      </c>
      <c r="I119" s="255"/>
      <c r="J119" s="256"/>
      <c r="K119" s="256"/>
      <c r="L119" s="256"/>
    </row>
    <row r="120" spans="1:24" ht="14.1" hidden="1" customHeight="1" x14ac:dyDescent="0.25">
      <c r="A120" s="371"/>
      <c r="B120" s="371"/>
      <c r="C120" s="371"/>
      <c r="D120" s="371"/>
      <c r="E120" s="371"/>
      <c r="F120" s="373"/>
      <c r="G120" s="371"/>
      <c r="H120" s="371"/>
      <c r="M120" s="371"/>
      <c r="N120" s="371"/>
      <c r="O120" s="371"/>
      <c r="P120" s="371"/>
      <c r="Q120" s="371"/>
      <c r="R120" s="371"/>
    </row>
    <row r="121" spans="1:24" ht="14.1" hidden="1" customHeight="1" x14ac:dyDescent="0.25">
      <c r="A121" s="371"/>
      <c r="B121" s="371"/>
      <c r="C121" s="371"/>
      <c r="D121" s="371"/>
      <c r="E121" s="371"/>
      <c r="F121" s="373"/>
      <c r="G121" s="371"/>
      <c r="H121" s="371"/>
      <c r="M121" s="371"/>
      <c r="N121" s="371"/>
      <c r="O121" s="371"/>
      <c r="P121" s="371"/>
      <c r="Q121" s="371"/>
      <c r="R121" s="371"/>
      <c r="X121" s="254"/>
    </row>
    <row r="122" spans="1:24" ht="14.1" hidden="1" customHeight="1" thickBot="1" x14ac:dyDescent="0.3">
      <c r="A122" s="371"/>
      <c r="B122" s="371"/>
      <c r="C122" s="371"/>
      <c r="D122" s="371"/>
      <c r="E122" s="371"/>
      <c r="F122" s="373"/>
      <c r="G122" s="371"/>
      <c r="H122" s="371"/>
      <c r="M122" s="371"/>
      <c r="N122" s="371"/>
      <c r="O122" s="371"/>
      <c r="P122" s="371"/>
      <c r="Q122" s="371"/>
      <c r="R122" s="371"/>
      <c r="X122" s="254"/>
    </row>
    <row r="123" spans="1:24" ht="21" hidden="1" customHeight="1" thickBot="1" x14ac:dyDescent="0.3">
      <c r="A123" s="687" t="s">
        <v>387</v>
      </c>
      <c r="B123" s="688"/>
      <c r="C123" s="688"/>
      <c r="D123" s="688"/>
      <c r="E123" s="688"/>
      <c r="F123" s="689"/>
      <c r="G123" s="371"/>
      <c r="H123" s="371"/>
      <c r="M123" s="371"/>
      <c r="N123" s="371"/>
      <c r="O123" s="371"/>
      <c r="P123" s="371"/>
      <c r="Q123" s="371"/>
      <c r="R123" s="371"/>
    </row>
    <row r="124" spans="1:24" ht="31.5" hidden="1" customHeight="1" thickBot="1" x14ac:dyDescent="0.3">
      <c r="A124" s="159" t="s">
        <v>149</v>
      </c>
      <c r="B124" s="159" t="s">
        <v>30</v>
      </c>
      <c r="C124" s="242" t="s">
        <v>244</v>
      </c>
      <c r="D124" s="159" t="s">
        <v>284</v>
      </c>
      <c r="E124" s="159" t="s">
        <v>242</v>
      </c>
      <c r="F124" s="159" t="s">
        <v>243</v>
      </c>
      <c r="G124" s="371"/>
      <c r="H124" s="371"/>
      <c r="M124" s="371"/>
      <c r="N124" s="371"/>
      <c r="O124" s="371"/>
      <c r="P124" s="371"/>
      <c r="Q124" s="371"/>
      <c r="R124" s="371"/>
    </row>
    <row r="125" spans="1:24" ht="21" hidden="1" customHeight="1" x14ac:dyDescent="0.25">
      <c r="A125" s="132">
        <v>1</v>
      </c>
      <c r="B125" s="133" t="s">
        <v>31</v>
      </c>
      <c r="C125" s="243">
        <v>2</v>
      </c>
      <c r="D125" s="472">
        <f>encarregado!M9</f>
        <v>3159.9500000000003</v>
      </c>
      <c r="E125" s="134">
        <f>encarregado!M36</f>
        <v>7479.3</v>
      </c>
      <c r="F125" s="252">
        <f>ROUND((C125*E125),2)</f>
        <v>14958.6</v>
      </c>
      <c r="G125" s="371"/>
      <c r="H125" s="371"/>
      <c r="M125" s="371"/>
      <c r="N125" s="371"/>
      <c r="O125" s="371"/>
      <c r="P125" s="371"/>
      <c r="Q125" s="371"/>
      <c r="R125" s="371"/>
      <c r="S125" s="366" t="e">
        <f>G16</f>
        <v>#REF!</v>
      </c>
      <c r="T125" s="62">
        <v>100</v>
      </c>
    </row>
    <row r="126" spans="1:24" ht="21" hidden="1" customHeight="1" x14ac:dyDescent="0.25">
      <c r="A126" s="135">
        <v>2</v>
      </c>
      <c r="B126" s="136" t="s">
        <v>81</v>
      </c>
      <c r="C126" s="244">
        <v>29</v>
      </c>
      <c r="D126" s="384">
        <f>servente!M7</f>
        <v>1237.23</v>
      </c>
      <c r="E126" s="137">
        <f>servente!M34</f>
        <v>3648.49</v>
      </c>
      <c r="F126" s="252">
        <f t="shared" ref="F126:F131" si="13">ROUND((C126*E126),2)</f>
        <v>105806.21</v>
      </c>
      <c r="G126" s="371"/>
      <c r="H126" s="371"/>
      <c r="M126" s="371"/>
      <c r="N126" s="371"/>
      <c r="O126" s="371"/>
      <c r="P126" s="371"/>
      <c r="Q126" s="371"/>
      <c r="R126" s="371"/>
      <c r="S126" s="254">
        <v>173697.12</v>
      </c>
      <c r="T126" s="62" t="s">
        <v>250</v>
      </c>
    </row>
    <row r="127" spans="1:24" ht="21" hidden="1" customHeight="1" x14ac:dyDescent="0.25">
      <c r="A127" s="135">
        <v>4</v>
      </c>
      <c r="B127" s="136" t="s">
        <v>85</v>
      </c>
      <c r="C127" s="244">
        <v>1</v>
      </c>
      <c r="D127" s="384">
        <f>mensageiro!M7</f>
        <v>1237.23</v>
      </c>
      <c r="E127" s="137">
        <f>mensageiro!M36</f>
        <v>3687.6</v>
      </c>
      <c r="F127" s="252">
        <f t="shared" si="13"/>
        <v>3687.6</v>
      </c>
      <c r="G127" s="371"/>
      <c r="H127" s="371"/>
      <c r="M127" s="371"/>
      <c r="N127" s="371"/>
      <c r="O127" s="371"/>
      <c r="P127" s="371"/>
      <c r="Q127" s="371"/>
      <c r="R127" s="371"/>
    </row>
    <row r="128" spans="1:24" ht="21" hidden="1" customHeight="1" x14ac:dyDescent="0.25">
      <c r="A128" s="135">
        <v>5</v>
      </c>
      <c r="B128" s="136" t="s">
        <v>72</v>
      </c>
      <c r="C128" s="244">
        <v>1</v>
      </c>
      <c r="D128" s="384">
        <f>'op.maq.reprografica'!M7</f>
        <v>1237.23</v>
      </c>
      <c r="E128" s="137">
        <f>'op.maq.reprografica'!M36</f>
        <v>3687.6</v>
      </c>
      <c r="F128" s="252">
        <f t="shared" si="13"/>
        <v>3687.6</v>
      </c>
      <c r="G128" s="371"/>
      <c r="H128" s="371"/>
      <c r="M128" s="371"/>
      <c r="N128" s="371"/>
      <c r="O128" s="371"/>
      <c r="P128" s="371"/>
      <c r="Q128" s="371"/>
      <c r="R128" s="371"/>
      <c r="S128" s="271" t="e">
        <f>(S126*T125)/S125</f>
        <v>#REF!</v>
      </c>
    </row>
    <row r="129" spans="1:24" ht="21" hidden="1" customHeight="1" x14ac:dyDescent="0.25">
      <c r="A129" s="135">
        <v>6</v>
      </c>
      <c r="B129" s="136" t="s">
        <v>33</v>
      </c>
      <c r="C129" s="244">
        <v>3</v>
      </c>
      <c r="D129" s="384">
        <f>garcom!M6</f>
        <v>1826.64</v>
      </c>
      <c r="E129" s="137">
        <f>garcom!M32</f>
        <v>4862.5200000000004</v>
      </c>
      <c r="F129" s="252">
        <f t="shared" si="13"/>
        <v>14587.56</v>
      </c>
      <c r="G129" s="371"/>
      <c r="H129" s="371"/>
      <c r="M129" s="371"/>
      <c r="N129" s="371"/>
      <c r="O129" s="371"/>
      <c r="P129" s="371"/>
      <c r="Q129" s="371"/>
      <c r="R129" s="371"/>
    </row>
    <row r="130" spans="1:24" ht="21" hidden="1" customHeight="1" x14ac:dyDescent="0.25">
      <c r="A130" s="135">
        <v>7</v>
      </c>
      <c r="B130" s="138" t="s">
        <v>34</v>
      </c>
      <c r="C130" s="245">
        <v>3</v>
      </c>
      <c r="D130" s="473">
        <f>copeira!N7</f>
        <v>1237.23</v>
      </c>
      <c r="E130" s="139">
        <f>copeira!N33</f>
        <v>3655.72</v>
      </c>
      <c r="F130" s="252">
        <f t="shared" si="13"/>
        <v>10967.16</v>
      </c>
      <c r="G130" s="371"/>
      <c r="H130" s="371"/>
      <c r="M130" s="371"/>
      <c r="N130" s="371"/>
      <c r="O130" s="371"/>
      <c r="P130" s="371"/>
      <c r="Q130" s="371"/>
      <c r="R130" s="371"/>
    </row>
    <row r="131" spans="1:24" ht="21" hidden="1" customHeight="1" thickBot="1" x14ac:dyDescent="0.3">
      <c r="A131" s="135">
        <v>8</v>
      </c>
      <c r="B131" s="136" t="s">
        <v>35</v>
      </c>
      <c r="C131" s="244">
        <v>19</v>
      </c>
      <c r="D131" s="384">
        <f>recepcionista!N7</f>
        <v>1826.64</v>
      </c>
      <c r="E131" s="137">
        <f>recepcionista!N33</f>
        <v>4824.92</v>
      </c>
      <c r="F131" s="252">
        <f t="shared" si="13"/>
        <v>91673.48</v>
      </c>
      <c r="G131" s="371"/>
      <c r="H131" s="371"/>
      <c r="M131" s="371"/>
      <c r="N131" s="371"/>
      <c r="O131" s="371"/>
      <c r="P131" s="371"/>
      <c r="Q131" s="371"/>
      <c r="R131" s="371"/>
    </row>
    <row r="132" spans="1:24" ht="21" hidden="1" customHeight="1" x14ac:dyDescent="0.25">
      <c r="A132" s="690" t="s">
        <v>47</v>
      </c>
      <c r="B132" s="691"/>
      <c r="C132" s="273">
        <f>SUM(C125:C131)</f>
        <v>58</v>
      </c>
      <c r="D132" s="692"/>
      <c r="E132" s="693"/>
      <c r="F132" s="539">
        <f>SUM(F125:F131)</f>
        <v>245368.21000000002</v>
      </c>
      <c r="G132" s="371"/>
      <c r="H132" s="371"/>
      <c r="M132" s="371"/>
      <c r="N132" s="371"/>
      <c r="O132" s="371"/>
      <c r="P132" s="371"/>
      <c r="Q132" s="371"/>
      <c r="R132" s="371"/>
    </row>
    <row r="133" spans="1:24" ht="21" hidden="1" customHeight="1" x14ac:dyDescent="0.25">
      <c r="A133" s="642" t="s">
        <v>369</v>
      </c>
      <c r="B133" s="642"/>
      <c r="C133" s="642"/>
      <c r="D133" s="642"/>
      <c r="E133" s="642"/>
      <c r="F133" s="540">
        <f>F132*12</f>
        <v>2944418.5200000005</v>
      </c>
      <c r="G133" s="254"/>
      <c r="H133" s="371"/>
      <c r="M133" s="371"/>
      <c r="N133" s="371"/>
      <c r="O133" s="371"/>
      <c r="P133" s="371"/>
      <c r="Q133" s="371"/>
      <c r="R133" s="371"/>
    </row>
    <row r="134" spans="1:24" ht="14.1" hidden="1" customHeight="1" x14ac:dyDescent="0.25">
      <c r="A134" s="371"/>
      <c r="B134" s="371"/>
      <c r="C134" s="371"/>
      <c r="D134" s="371"/>
      <c r="E134" s="371"/>
      <c r="F134" s="373"/>
      <c r="G134" s="371"/>
      <c r="H134" s="371"/>
      <c r="M134" s="371"/>
      <c r="N134" s="371"/>
      <c r="O134" s="371"/>
      <c r="P134" s="371"/>
      <c r="Q134" s="371"/>
      <c r="R134" s="371"/>
    </row>
    <row r="135" spans="1:24" s="362" customFormat="1" ht="14.1" hidden="1" customHeight="1" x14ac:dyDescent="0.25">
      <c r="A135" s="371"/>
      <c r="B135" s="723" t="s">
        <v>374</v>
      </c>
      <c r="C135" s="723"/>
      <c r="D135" s="723"/>
      <c r="E135" s="723"/>
      <c r="F135" s="723"/>
      <c r="G135" s="371"/>
      <c r="H135" s="371"/>
      <c r="I135" s="255"/>
      <c r="J135" s="256"/>
      <c r="K135" s="256"/>
      <c r="L135" s="256"/>
      <c r="M135" s="371"/>
      <c r="N135" s="371"/>
      <c r="O135" s="371"/>
      <c r="P135" s="371"/>
      <c r="Q135" s="371"/>
      <c r="R135" s="371"/>
    </row>
    <row r="136" spans="1:24" s="362" customFormat="1" ht="14.1" hidden="1" customHeight="1" x14ac:dyDescent="0.25">
      <c r="A136" s="371"/>
      <c r="B136" s="724"/>
      <c r="C136" s="724"/>
      <c r="D136" s="724"/>
      <c r="E136" s="724"/>
      <c r="F136" s="724"/>
      <c r="G136" s="371"/>
      <c r="H136" s="371"/>
      <c r="I136" s="255"/>
      <c r="J136" s="256"/>
      <c r="K136" s="256"/>
      <c r="L136" s="256"/>
      <c r="M136" s="371"/>
      <c r="N136" s="371"/>
      <c r="O136" s="371"/>
      <c r="P136" s="371"/>
      <c r="Q136" s="371"/>
      <c r="R136" s="371"/>
    </row>
    <row r="137" spans="1:24" s="362" customFormat="1" ht="14.1" hidden="1" customHeight="1" x14ac:dyDescent="0.25">
      <c r="A137" s="448" t="s">
        <v>149</v>
      </c>
      <c r="B137" s="372" t="s">
        <v>30</v>
      </c>
      <c r="C137" s="372" t="s">
        <v>78</v>
      </c>
      <c r="D137" s="448" t="s">
        <v>346</v>
      </c>
      <c r="E137" s="448" t="s">
        <v>347</v>
      </c>
      <c r="F137" s="448" t="s">
        <v>71</v>
      </c>
      <c r="G137" s="448" t="s">
        <v>348</v>
      </c>
      <c r="H137" s="371"/>
      <c r="I137" s="255"/>
      <c r="J137" s="256"/>
      <c r="K137" s="256"/>
      <c r="L137" s="256"/>
      <c r="M137" s="371"/>
      <c r="N137" s="371"/>
      <c r="O137" s="371"/>
      <c r="P137" s="371"/>
      <c r="Q137" s="371"/>
      <c r="R137" s="371"/>
      <c r="S137" s="254" t="e">
        <f>F132-#REF!</f>
        <v>#REF!</v>
      </c>
      <c r="X137" s="362">
        <f>14474.76*9</f>
        <v>130272.84</v>
      </c>
    </row>
    <row r="138" spans="1:24" s="362" customFormat="1" ht="14.1" hidden="1" customHeight="1" x14ac:dyDescent="0.25">
      <c r="A138" s="135">
        <v>8</v>
      </c>
      <c r="B138" s="136" t="s">
        <v>35</v>
      </c>
      <c r="C138" s="475">
        <v>1826.64</v>
      </c>
      <c r="D138" s="137">
        <f>4824.92</f>
        <v>4824.92</v>
      </c>
      <c r="E138" s="369">
        <v>3</v>
      </c>
      <c r="F138" s="368">
        <f>D138*3</f>
        <v>14474.76</v>
      </c>
      <c r="G138" s="370">
        <f>F138*12</f>
        <v>173697.12</v>
      </c>
      <c r="H138" s="371"/>
      <c r="I138" s="255"/>
      <c r="J138" s="256"/>
      <c r="K138" s="256"/>
      <c r="L138" s="256"/>
      <c r="M138" s="371"/>
      <c r="N138" s="371"/>
      <c r="O138" s="371"/>
      <c r="P138" s="371"/>
      <c r="Q138" s="371"/>
      <c r="R138" s="371"/>
      <c r="X138" s="254">
        <f>F138/30</f>
        <v>482.49200000000002</v>
      </c>
    </row>
    <row r="139" spans="1:24" s="371" customFormat="1" ht="14.1" hidden="1" customHeight="1" x14ac:dyDescent="0.25">
      <c r="F139" s="373"/>
      <c r="I139" s="255"/>
      <c r="J139" s="256"/>
      <c r="K139" s="256"/>
      <c r="L139" s="256"/>
      <c r="X139" s="254">
        <f>X138*9</f>
        <v>4342.4279999999999</v>
      </c>
    </row>
    <row r="140" spans="1:24" s="371" customFormat="1" ht="14.1" hidden="1" customHeight="1" x14ac:dyDescent="0.25">
      <c r="F140" s="373"/>
      <c r="I140" s="255"/>
      <c r="J140" s="256"/>
      <c r="K140" s="256"/>
      <c r="L140" s="256"/>
      <c r="X140" s="254">
        <f>X137+X139</f>
        <v>134615.26799999998</v>
      </c>
    </row>
    <row r="141" spans="1:24" ht="14.1" hidden="1" customHeight="1" x14ac:dyDescent="0.25">
      <c r="A141" s="371"/>
      <c r="B141" s="371"/>
      <c r="C141" s="371"/>
      <c r="D141" s="371"/>
      <c r="E141" s="371"/>
      <c r="F141" s="271">
        <f>F138*9</f>
        <v>130272.84</v>
      </c>
      <c r="G141" s="371"/>
      <c r="H141" s="371"/>
      <c r="M141" s="371"/>
      <c r="N141" s="371"/>
      <c r="O141" s="371"/>
      <c r="P141" s="371"/>
      <c r="Q141" s="371"/>
      <c r="R141" s="371"/>
    </row>
    <row r="142" spans="1:24" ht="14.1" hidden="1" customHeight="1" x14ac:dyDescent="0.25">
      <c r="A142" s="371"/>
      <c r="B142" s="371"/>
      <c r="C142" s="371"/>
      <c r="D142" s="371"/>
      <c r="E142" s="371"/>
      <c r="F142" s="271" t="e">
        <f>#REF!-F49</f>
        <v>#REF!</v>
      </c>
      <c r="G142" s="371"/>
      <c r="H142" s="371"/>
      <c r="M142" s="371"/>
      <c r="N142" s="371"/>
      <c r="O142" s="371"/>
      <c r="P142" s="371"/>
      <c r="Q142" s="371"/>
      <c r="R142" s="371"/>
    </row>
    <row r="143" spans="1:24" ht="14.1" hidden="1" customHeight="1" x14ac:dyDescent="0.25">
      <c r="A143" s="371"/>
      <c r="B143" s="695" t="s">
        <v>351</v>
      </c>
      <c r="C143" s="696"/>
      <c r="D143" s="697"/>
      <c r="E143" s="371"/>
      <c r="F143" s="271" t="e">
        <f>#REF!-F49</f>
        <v>#REF!</v>
      </c>
      <c r="G143" s="371"/>
      <c r="H143" s="371"/>
      <c r="M143" s="371"/>
      <c r="N143" s="371"/>
      <c r="O143" s="371"/>
      <c r="P143" s="371"/>
      <c r="Q143" s="371"/>
      <c r="R143" s="371"/>
    </row>
    <row r="144" spans="1:24" ht="14.1" hidden="1" customHeight="1" x14ac:dyDescent="0.25">
      <c r="A144" s="371"/>
      <c r="B144" s="476">
        <v>4010784.96</v>
      </c>
      <c r="C144" s="477">
        <v>100</v>
      </c>
      <c r="D144" s="478"/>
      <c r="E144" s="371"/>
      <c r="F144" s="271" t="e">
        <f>#REF!-F49</f>
        <v>#REF!</v>
      </c>
      <c r="G144" s="371"/>
      <c r="H144" s="371"/>
      <c r="M144" s="371"/>
      <c r="N144" s="371"/>
      <c r="O144" s="371"/>
      <c r="P144" s="371"/>
      <c r="Q144" s="371"/>
      <c r="R144" s="371"/>
      <c r="X144" s="62" t="s">
        <v>353</v>
      </c>
    </row>
    <row r="145" spans="1:18" ht="14.1" hidden="1" customHeight="1" x14ac:dyDescent="0.25">
      <c r="A145" s="371"/>
      <c r="B145" s="476">
        <v>173697.12</v>
      </c>
      <c r="C145" s="479" t="s">
        <v>250</v>
      </c>
      <c r="D145" s="478"/>
      <c r="E145" s="371"/>
      <c r="F145" s="373"/>
      <c r="G145" s="371"/>
      <c r="H145" s="371"/>
      <c r="M145" s="371"/>
      <c r="N145" s="371"/>
      <c r="O145" s="371"/>
      <c r="P145" s="371"/>
      <c r="Q145" s="371"/>
      <c r="R145" s="371"/>
    </row>
    <row r="146" spans="1:18" ht="14.1" hidden="1" customHeight="1" x14ac:dyDescent="0.25">
      <c r="A146" s="371"/>
      <c r="B146" s="476"/>
      <c r="C146" s="477"/>
      <c r="D146" s="478"/>
      <c r="E146" s="371"/>
      <c r="F146" s="373"/>
      <c r="G146" s="371"/>
      <c r="H146" s="371"/>
      <c r="M146" s="371"/>
      <c r="N146" s="371"/>
      <c r="O146" s="371"/>
      <c r="P146" s="371"/>
      <c r="Q146" s="371"/>
      <c r="R146" s="371"/>
    </row>
    <row r="147" spans="1:18" ht="14.1" hidden="1" customHeight="1" x14ac:dyDescent="0.25">
      <c r="A147" s="371"/>
      <c r="B147" s="480" t="s">
        <v>352</v>
      </c>
      <c r="C147" s="703">
        <f>B145*C144/B144</f>
        <v>4.330751255235584</v>
      </c>
      <c r="D147" s="704"/>
      <c r="E147" s="371"/>
      <c r="F147" s="373"/>
      <c r="G147" s="371"/>
      <c r="H147" s="371"/>
      <c r="M147" s="371"/>
      <c r="N147" s="371"/>
      <c r="O147" s="371"/>
      <c r="P147" s="371"/>
      <c r="Q147" s="371"/>
      <c r="R147" s="371"/>
    </row>
    <row r="148" spans="1:18" ht="14.1" hidden="1" customHeight="1" x14ac:dyDescent="0.25">
      <c r="A148" s="371"/>
      <c r="B148" s="371"/>
      <c r="C148" s="371"/>
      <c r="D148" s="371"/>
      <c r="E148" s="371"/>
      <c r="F148" s="373"/>
      <c r="G148" s="371"/>
      <c r="H148" s="371"/>
      <c r="M148" s="371"/>
      <c r="N148" s="371"/>
      <c r="O148" s="371"/>
      <c r="P148" s="371"/>
      <c r="Q148" s="371"/>
      <c r="R148" s="371"/>
    </row>
    <row r="149" spans="1:18" ht="14.1" hidden="1" customHeight="1" x14ac:dyDescent="0.25">
      <c r="A149" s="371"/>
      <c r="B149" s="694" t="s">
        <v>399</v>
      </c>
      <c r="C149" s="694"/>
      <c r="D149" s="694"/>
      <c r="E149" s="694"/>
      <c r="F149" s="694"/>
      <c r="G149" s="371"/>
      <c r="H149" s="371"/>
      <c r="M149" s="371"/>
      <c r="N149" s="371"/>
      <c r="O149" s="371"/>
      <c r="P149" s="371"/>
      <c r="Q149" s="371"/>
      <c r="R149" s="371"/>
    </row>
    <row r="150" spans="1:18" s="371" customFormat="1" ht="14.1" hidden="1" customHeight="1" thickBot="1" x14ac:dyDescent="0.3">
      <c r="B150" s="396"/>
      <c r="C150" s="396"/>
      <c r="D150" s="396"/>
      <c r="E150" s="396"/>
      <c r="F150" s="396"/>
      <c r="I150" s="255"/>
      <c r="J150" s="256"/>
      <c r="K150" s="256"/>
      <c r="L150" s="256"/>
    </row>
    <row r="151" spans="1:18" ht="14.1" hidden="1" customHeight="1" thickBot="1" x14ac:dyDescent="0.3">
      <c r="A151" s="687" t="s">
        <v>491</v>
      </c>
      <c r="B151" s="688"/>
      <c r="C151" s="688"/>
      <c r="D151" s="688"/>
      <c r="E151" s="688"/>
      <c r="F151" s="689"/>
      <c r="G151" s="371"/>
      <c r="H151" s="371"/>
      <c r="M151" s="371"/>
      <c r="N151" s="371"/>
      <c r="O151" s="371"/>
      <c r="P151" s="371"/>
      <c r="Q151" s="371"/>
      <c r="R151" s="371"/>
    </row>
    <row r="152" spans="1:18" ht="14.1" hidden="1" customHeight="1" thickBot="1" x14ac:dyDescent="0.3">
      <c r="A152" s="159" t="s">
        <v>149</v>
      </c>
      <c r="B152" s="159" t="s">
        <v>30</v>
      </c>
      <c r="C152" s="242" t="s">
        <v>244</v>
      </c>
      <c r="D152" s="159" t="s">
        <v>284</v>
      </c>
      <c r="E152" s="159" t="s">
        <v>242</v>
      </c>
      <c r="F152" s="159" t="s">
        <v>243</v>
      </c>
      <c r="G152" s="371"/>
      <c r="H152" s="371"/>
      <c r="M152" s="371"/>
      <c r="N152" s="371"/>
      <c r="O152" s="371"/>
      <c r="P152" s="371"/>
      <c r="Q152" s="371"/>
      <c r="R152" s="371"/>
    </row>
    <row r="153" spans="1:18" ht="14.1" hidden="1" customHeight="1" x14ac:dyDescent="0.25">
      <c r="A153" s="132">
        <v>1</v>
      </c>
      <c r="B153" s="133" t="s">
        <v>31</v>
      </c>
      <c r="C153" s="243">
        <v>2</v>
      </c>
      <c r="D153" s="472">
        <f>encarregado!N9</f>
        <v>3159.9500000000003</v>
      </c>
      <c r="E153" s="134">
        <f>encarregado!N36</f>
        <v>7421.64</v>
      </c>
      <c r="F153" s="252">
        <f>ROUND((C153*E153),2)</f>
        <v>14843.28</v>
      </c>
      <c r="G153" s="371"/>
      <c r="H153" s="371"/>
      <c r="M153" s="371"/>
      <c r="N153" s="371"/>
      <c r="O153" s="371"/>
      <c r="P153" s="371"/>
      <c r="Q153" s="371"/>
      <c r="R153" s="371"/>
    </row>
    <row r="154" spans="1:18" ht="14.1" hidden="1" customHeight="1" x14ac:dyDescent="0.25">
      <c r="A154" s="135">
        <v>2</v>
      </c>
      <c r="B154" s="136" t="s">
        <v>81</v>
      </c>
      <c r="C154" s="244">
        <v>29</v>
      </c>
      <c r="D154" s="384">
        <f>servente!O7</f>
        <v>1237.23</v>
      </c>
      <c r="E154" s="137">
        <f>servente!N34</f>
        <v>3625.9</v>
      </c>
      <c r="F154" s="252">
        <f t="shared" ref="F154:F159" si="14">ROUND((C154*E154),2)</f>
        <v>105151.1</v>
      </c>
      <c r="G154" s="371"/>
      <c r="H154" s="371"/>
      <c r="M154" s="371"/>
      <c r="N154" s="371"/>
      <c r="O154" s="371"/>
      <c r="P154" s="371"/>
      <c r="Q154" s="371"/>
      <c r="R154" s="371"/>
    </row>
    <row r="155" spans="1:18" ht="14.1" hidden="1" customHeight="1" x14ac:dyDescent="0.25">
      <c r="A155" s="135">
        <v>4</v>
      </c>
      <c r="B155" s="136" t="s">
        <v>85</v>
      </c>
      <c r="C155" s="244">
        <v>1</v>
      </c>
      <c r="D155" s="384">
        <f>mensageiro!N7</f>
        <v>1237.23</v>
      </c>
      <c r="E155" s="137">
        <f>mensageiro!N36</f>
        <v>3665.03</v>
      </c>
      <c r="F155" s="252">
        <f t="shared" si="14"/>
        <v>3665.03</v>
      </c>
      <c r="G155" s="371"/>
      <c r="H155" s="371"/>
      <c r="M155" s="371"/>
      <c r="N155" s="371"/>
      <c r="O155" s="371"/>
      <c r="P155" s="371"/>
      <c r="Q155" s="371"/>
      <c r="R155" s="371"/>
    </row>
    <row r="156" spans="1:18" ht="14.1" hidden="1" customHeight="1" x14ac:dyDescent="0.25">
      <c r="A156" s="135">
        <v>5</v>
      </c>
      <c r="B156" s="136" t="s">
        <v>72</v>
      </c>
      <c r="C156" s="244">
        <v>1</v>
      </c>
      <c r="D156" s="384">
        <f>'op.maq.reprografica'!N7</f>
        <v>1237.23</v>
      </c>
      <c r="E156" s="137">
        <f>'op.maq.reprografica'!N36</f>
        <v>3665.03</v>
      </c>
      <c r="F156" s="252">
        <f t="shared" si="14"/>
        <v>3665.03</v>
      </c>
      <c r="G156" s="371"/>
      <c r="H156" s="371"/>
      <c r="M156" s="371"/>
      <c r="N156" s="371"/>
      <c r="O156" s="371"/>
      <c r="P156" s="371"/>
      <c r="Q156" s="371"/>
      <c r="R156" s="371"/>
    </row>
    <row r="157" spans="1:18" ht="14.1" hidden="1" customHeight="1" x14ac:dyDescent="0.25">
      <c r="A157" s="135">
        <v>6</v>
      </c>
      <c r="B157" s="136" t="s">
        <v>33</v>
      </c>
      <c r="C157" s="244">
        <v>3</v>
      </c>
      <c r="D157" s="384">
        <f>garcom!N6</f>
        <v>1826.64</v>
      </c>
      <c r="E157" s="137">
        <f>garcom!N32</f>
        <v>4829.1899999999996</v>
      </c>
      <c r="F157" s="252">
        <f t="shared" si="14"/>
        <v>14487.57</v>
      </c>
      <c r="G157" s="371"/>
      <c r="H157" s="371"/>
      <c r="M157" s="371"/>
      <c r="N157" s="371"/>
      <c r="O157" s="371"/>
      <c r="P157" s="371"/>
      <c r="Q157" s="371"/>
      <c r="R157" s="371"/>
    </row>
    <row r="158" spans="1:18" ht="14.1" hidden="1" customHeight="1" x14ac:dyDescent="0.25">
      <c r="A158" s="135">
        <v>7</v>
      </c>
      <c r="B158" s="138" t="s">
        <v>34</v>
      </c>
      <c r="C158" s="245">
        <v>3</v>
      </c>
      <c r="D158" s="473">
        <f>copeira!O7</f>
        <v>1237.23</v>
      </c>
      <c r="E158" s="139">
        <f>copeira!O33</f>
        <v>3633.14</v>
      </c>
      <c r="F158" s="252">
        <f t="shared" si="14"/>
        <v>10899.42</v>
      </c>
      <c r="G158" s="371"/>
      <c r="H158" s="371"/>
      <c r="M158" s="371"/>
      <c r="N158" s="371"/>
      <c r="O158" s="371"/>
      <c r="P158" s="371"/>
      <c r="Q158" s="371"/>
      <c r="R158" s="371"/>
    </row>
    <row r="159" spans="1:18" ht="14.1" hidden="1" customHeight="1" thickBot="1" x14ac:dyDescent="0.3">
      <c r="A159" s="376">
        <v>8</v>
      </c>
      <c r="B159" s="377" t="s">
        <v>35</v>
      </c>
      <c r="C159" s="515">
        <v>16</v>
      </c>
      <c r="D159" s="384">
        <f>recepcionista!O7</f>
        <v>1826.64</v>
      </c>
      <c r="E159" s="137">
        <f>recepcionista!O33</f>
        <v>4791.59</v>
      </c>
      <c r="F159" s="252">
        <f t="shared" si="14"/>
        <v>76665.440000000002</v>
      </c>
      <c r="G159" s="371"/>
      <c r="H159" s="371"/>
      <c r="M159" s="371"/>
      <c r="N159" s="371"/>
      <c r="O159" s="371"/>
      <c r="P159" s="371"/>
      <c r="Q159" s="371"/>
      <c r="R159" s="371"/>
    </row>
    <row r="160" spans="1:18" ht="14.1" hidden="1" customHeight="1" x14ac:dyDescent="0.25">
      <c r="A160" s="642" t="s">
        <v>47</v>
      </c>
      <c r="B160" s="642"/>
      <c r="C160" s="551">
        <f>SUM(C153:C159)</f>
        <v>55</v>
      </c>
      <c r="D160" s="702"/>
      <c r="E160" s="693"/>
      <c r="F160" s="539">
        <f>SUM(F153:F159)</f>
        <v>229376.87000000002</v>
      </c>
      <c r="G160" s="371"/>
      <c r="H160" s="371"/>
      <c r="M160" s="371"/>
      <c r="N160" s="371"/>
      <c r="O160" s="371"/>
      <c r="P160" s="371"/>
      <c r="Q160" s="371"/>
      <c r="R160" s="371"/>
    </row>
    <row r="161" spans="1:18" ht="14.1" hidden="1" customHeight="1" x14ac:dyDescent="0.25">
      <c r="A161" s="371"/>
      <c r="B161" s="371"/>
      <c r="C161" s="371"/>
      <c r="D161" s="371"/>
      <c r="E161" s="371"/>
      <c r="F161" s="373"/>
      <c r="G161" s="371"/>
      <c r="H161" s="371"/>
      <c r="M161" s="371"/>
      <c r="N161" s="371"/>
      <c r="O161" s="371"/>
      <c r="P161" s="371"/>
      <c r="Q161" s="371"/>
      <c r="R161" s="371"/>
    </row>
    <row r="162" spans="1:18" ht="14.1" hidden="1" customHeight="1" thickBot="1" x14ac:dyDescent="0.3">
      <c r="A162" s="371"/>
      <c r="B162" s="371"/>
      <c r="C162" s="371"/>
      <c r="D162" s="371"/>
      <c r="E162" s="371"/>
      <c r="F162" s="373"/>
      <c r="G162" s="371"/>
      <c r="H162" s="371"/>
      <c r="M162" s="371"/>
      <c r="N162" s="371"/>
      <c r="O162" s="371"/>
      <c r="P162" s="371"/>
      <c r="Q162" s="371"/>
      <c r="R162" s="371"/>
    </row>
    <row r="163" spans="1:18" ht="14.1" hidden="1" customHeight="1" thickBot="1" x14ac:dyDescent="0.3">
      <c r="A163" s="687" t="s">
        <v>388</v>
      </c>
      <c r="B163" s="688"/>
      <c r="C163" s="688"/>
      <c r="D163" s="688"/>
      <c r="E163" s="688"/>
      <c r="F163" s="689"/>
      <c r="G163" s="371"/>
      <c r="H163" s="371"/>
      <c r="M163" s="371"/>
      <c r="N163" s="371"/>
      <c r="O163" s="371"/>
      <c r="P163" s="371"/>
      <c r="Q163" s="371"/>
      <c r="R163" s="371"/>
    </row>
    <row r="164" spans="1:18" ht="14.1" hidden="1" customHeight="1" thickBot="1" x14ac:dyDescent="0.3">
      <c r="A164" s="159" t="s">
        <v>149</v>
      </c>
      <c r="B164" s="159" t="s">
        <v>30</v>
      </c>
      <c r="C164" s="242" t="s">
        <v>244</v>
      </c>
      <c r="D164" s="159" t="s">
        <v>284</v>
      </c>
      <c r="E164" s="159" t="s">
        <v>242</v>
      </c>
      <c r="F164" s="159" t="s">
        <v>243</v>
      </c>
      <c r="G164" s="371"/>
      <c r="H164" s="371"/>
      <c r="M164" s="371"/>
      <c r="N164" s="371"/>
      <c r="O164" s="371"/>
      <c r="P164" s="371"/>
      <c r="Q164" s="371"/>
      <c r="R164" s="371"/>
    </row>
    <row r="165" spans="1:18" ht="14.1" hidden="1" customHeight="1" x14ac:dyDescent="0.25">
      <c r="A165" s="132">
        <v>1</v>
      </c>
      <c r="B165" s="133" t="s">
        <v>31</v>
      </c>
      <c r="C165" s="243">
        <v>2</v>
      </c>
      <c r="D165" s="472">
        <v>3159.95</v>
      </c>
      <c r="E165" s="134">
        <f>encarregado!O36</f>
        <v>7479.3</v>
      </c>
      <c r="F165" s="252">
        <f>ROUND((C165*E165),2)</f>
        <v>14958.6</v>
      </c>
      <c r="G165" s="371"/>
      <c r="H165" s="371"/>
      <c r="M165" s="371"/>
      <c r="N165" s="371"/>
      <c r="O165" s="371"/>
      <c r="P165" s="371"/>
      <c r="Q165" s="371"/>
      <c r="R165" s="371"/>
    </row>
    <row r="166" spans="1:18" ht="14.1" hidden="1" customHeight="1" x14ac:dyDescent="0.25">
      <c r="A166" s="135">
        <v>2</v>
      </c>
      <c r="B166" s="136" t="s">
        <v>81</v>
      </c>
      <c r="C166" s="244">
        <v>29</v>
      </c>
      <c r="D166" s="384">
        <v>1237.23</v>
      </c>
      <c r="E166" s="137">
        <f>servente!O34</f>
        <v>3648.49</v>
      </c>
      <c r="F166" s="252">
        <f t="shared" ref="F166:F171" si="15">ROUND((C166*E166),2)</f>
        <v>105806.21</v>
      </c>
      <c r="G166" s="371"/>
      <c r="H166" s="371"/>
      <c r="M166" s="371"/>
      <c r="N166" s="371"/>
      <c r="O166" s="371"/>
      <c r="P166" s="371"/>
      <c r="Q166" s="371"/>
      <c r="R166" s="371"/>
    </row>
    <row r="167" spans="1:18" ht="14.1" hidden="1" customHeight="1" x14ac:dyDescent="0.25">
      <c r="A167" s="135">
        <v>4</v>
      </c>
      <c r="B167" s="136" t="s">
        <v>85</v>
      </c>
      <c r="C167" s="244">
        <v>1</v>
      </c>
      <c r="D167" s="384">
        <v>1237.23</v>
      </c>
      <c r="E167" s="137">
        <f>mensageiro!O36</f>
        <v>3687.6</v>
      </c>
      <c r="F167" s="252">
        <f t="shared" si="15"/>
        <v>3687.6</v>
      </c>
      <c r="G167" s="371"/>
      <c r="H167" s="371"/>
      <c r="M167" s="371"/>
      <c r="N167" s="371"/>
      <c r="O167" s="371"/>
      <c r="P167" s="371"/>
      <c r="Q167" s="371"/>
      <c r="R167" s="371"/>
    </row>
    <row r="168" spans="1:18" ht="14.1" hidden="1" customHeight="1" x14ac:dyDescent="0.25">
      <c r="A168" s="135">
        <v>5</v>
      </c>
      <c r="B168" s="136" t="s">
        <v>72</v>
      </c>
      <c r="C168" s="244">
        <v>1</v>
      </c>
      <c r="D168" s="384">
        <v>1237.23</v>
      </c>
      <c r="E168" s="137">
        <f>mensageiro!O36</f>
        <v>3687.6</v>
      </c>
      <c r="F168" s="252">
        <f t="shared" si="15"/>
        <v>3687.6</v>
      </c>
      <c r="G168" s="371"/>
      <c r="H168" s="371"/>
      <c r="M168" s="371"/>
      <c r="N168" s="371"/>
      <c r="O168" s="371"/>
      <c r="P168" s="371"/>
      <c r="Q168" s="371"/>
      <c r="R168" s="371"/>
    </row>
    <row r="169" spans="1:18" ht="14.1" hidden="1" customHeight="1" x14ac:dyDescent="0.25">
      <c r="A169" s="135">
        <v>6</v>
      </c>
      <c r="B169" s="136" t="s">
        <v>33</v>
      </c>
      <c r="C169" s="244">
        <v>3</v>
      </c>
      <c r="D169" s="384">
        <v>1826.64</v>
      </c>
      <c r="E169" s="137">
        <f>garcom!O32</f>
        <v>4862.5200000000004</v>
      </c>
      <c r="F169" s="252">
        <f t="shared" si="15"/>
        <v>14587.56</v>
      </c>
      <c r="G169" s="371"/>
      <c r="H169" s="371"/>
      <c r="M169" s="371"/>
      <c r="N169" s="371"/>
      <c r="O169" s="371"/>
      <c r="P169" s="371"/>
      <c r="Q169" s="371"/>
      <c r="R169" s="371"/>
    </row>
    <row r="170" spans="1:18" ht="14.1" hidden="1" customHeight="1" x14ac:dyDescent="0.25">
      <c r="A170" s="135">
        <v>7</v>
      </c>
      <c r="B170" s="138" t="s">
        <v>34</v>
      </c>
      <c r="C170" s="245">
        <v>3</v>
      </c>
      <c r="D170" s="384">
        <v>1237.23</v>
      </c>
      <c r="E170" s="139">
        <f>copeira!P33</f>
        <v>3655.72</v>
      </c>
      <c r="F170" s="252">
        <f t="shared" si="15"/>
        <v>10967.16</v>
      </c>
      <c r="G170" s="371"/>
      <c r="H170" s="371"/>
      <c r="M170" s="371"/>
      <c r="N170" s="371"/>
      <c r="O170" s="371"/>
      <c r="P170" s="371"/>
      <c r="Q170" s="371"/>
      <c r="R170" s="371"/>
    </row>
    <row r="171" spans="1:18" ht="14.1" hidden="1" customHeight="1" thickBot="1" x14ac:dyDescent="0.3">
      <c r="A171" s="376">
        <v>8</v>
      </c>
      <c r="B171" s="377" t="s">
        <v>35</v>
      </c>
      <c r="C171" s="515">
        <v>16</v>
      </c>
      <c r="D171" s="384">
        <v>1826.64</v>
      </c>
      <c r="E171" s="137">
        <f>recepcionista!P33</f>
        <v>4824.92</v>
      </c>
      <c r="F171" s="556">
        <f t="shared" si="15"/>
        <v>77198.720000000001</v>
      </c>
      <c r="G171" s="371"/>
      <c r="H171" s="371"/>
      <c r="M171" s="371"/>
      <c r="N171" s="371"/>
      <c r="O171" s="371"/>
      <c r="P171" s="371"/>
      <c r="Q171" s="371"/>
      <c r="R171" s="371"/>
    </row>
    <row r="172" spans="1:18" ht="14.1" hidden="1" customHeight="1" x14ac:dyDescent="0.25">
      <c r="A172" s="642" t="s">
        <v>47</v>
      </c>
      <c r="B172" s="642"/>
      <c r="C172" s="551">
        <f>SUM(C165:C171)</f>
        <v>55</v>
      </c>
      <c r="D172" s="702"/>
      <c r="E172" s="702"/>
      <c r="F172" s="558">
        <f>SUM(F165:F171)</f>
        <v>230893.45000000004</v>
      </c>
      <c r="G172" s="371"/>
      <c r="H172" s="371"/>
      <c r="M172" s="371"/>
      <c r="N172" s="371"/>
      <c r="O172" s="371"/>
      <c r="P172" s="371"/>
      <c r="Q172" s="371"/>
      <c r="R172" s="371"/>
    </row>
    <row r="173" spans="1:18" ht="14.1" hidden="1" customHeight="1" x14ac:dyDescent="0.25">
      <c r="A173" s="371"/>
      <c r="B173" s="371"/>
      <c r="C173" s="371"/>
      <c r="D173" s="371"/>
      <c r="E173" s="371"/>
      <c r="F173" s="373"/>
      <c r="G173" s="371"/>
      <c r="H173" s="371"/>
      <c r="M173" s="371"/>
      <c r="N173" s="371"/>
      <c r="O173" s="371"/>
      <c r="P173" s="371"/>
      <c r="Q173" s="371"/>
      <c r="R173" s="371"/>
    </row>
    <row r="174" spans="1:18" s="371" customFormat="1" ht="14.1" hidden="1" customHeight="1" thickBot="1" x14ac:dyDescent="0.3">
      <c r="F174" s="373"/>
      <c r="I174" s="255"/>
      <c r="J174" s="256"/>
      <c r="K174" s="256"/>
      <c r="L174" s="256"/>
    </row>
    <row r="175" spans="1:18" s="371" customFormat="1" ht="14.1" hidden="1" customHeight="1" thickBot="1" x14ac:dyDescent="0.3">
      <c r="A175" s="687" t="s">
        <v>387</v>
      </c>
      <c r="B175" s="688"/>
      <c r="C175" s="688"/>
      <c r="D175" s="688"/>
      <c r="E175" s="688"/>
      <c r="F175" s="689"/>
      <c r="I175" s="255"/>
      <c r="J175" s="256"/>
      <c r="K175" s="256"/>
      <c r="L175" s="256"/>
    </row>
    <row r="176" spans="1:18" s="371" customFormat="1" ht="14.1" hidden="1" customHeight="1" thickBot="1" x14ac:dyDescent="0.3">
      <c r="A176" s="159" t="s">
        <v>149</v>
      </c>
      <c r="B176" s="159" t="s">
        <v>30</v>
      </c>
      <c r="C176" s="242" t="s">
        <v>244</v>
      </c>
      <c r="D176" s="159" t="s">
        <v>284</v>
      </c>
      <c r="E176" s="159" t="s">
        <v>242</v>
      </c>
      <c r="F176" s="159" t="s">
        <v>243</v>
      </c>
      <c r="I176" s="255"/>
      <c r="J176" s="256"/>
      <c r="K176" s="256"/>
      <c r="L176" s="256"/>
    </row>
    <row r="177" spans="1:18" s="371" customFormat="1" ht="14.1" hidden="1" customHeight="1" x14ac:dyDescent="0.25">
      <c r="A177" s="132">
        <v>1</v>
      </c>
      <c r="B177" s="133" t="s">
        <v>31</v>
      </c>
      <c r="C177" s="243">
        <v>2</v>
      </c>
      <c r="D177" s="472">
        <v>3159.95</v>
      </c>
      <c r="E177" s="134">
        <v>7479.3</v>
      </c>
      <c r="F177" s="252">
        <f>ROUND((C177*E177),2)</f>
        <v>14958.6</v>
      </c>
      <c r="I177" s="255"/>
      <c r="J177" s="256"/>
      <c r="K177" s="256"/>
      <c r="L177" s="256"/>
    </row>
    <row r="178" spans="1:18" s="371" customFormat="1" ht="14.1" hidden="1" customHeight="1" x14ac:dyDescent="0.25">
      <c r="A178" s="135">
        <v>2</v>
      </c>
      <c r="B178" s="136" t="s">
        <v>81</v>
      </c>
      <c r="C178" s="244">
        <v>29</v>
      </c>
      <c r="D178" s="384">
        <v>1237.23</v>
      </c>
      <c r="E178" s="137">
        <v>3648.49</v>
      </c>
      <c r="F178" s="252">
        <f t="shared" ref="F178:F183" si="16">ROUND((C178*E178),2)</f>
        <v>105806.21</v>
      </c>
      <c r="I178" s="255"/>
      <c r="J178" s="256"/>
      <c r="K178" s="256"/>
      <c r="L178" s="256"/>
    </row>
    <row r="179" spans="1:18" s="371" customFormat="1" ht="14.1" hidden="1" customHeight="1" x14ac:dyDescent="0.25">
      <c r="A179" s="135">
        <v>4</v>
      </c>
      <c r="B179" s="136" t="s">
        <v>85</v>
      </c>
      <c r="C179" s="244">
        <v>1</v>
      </c>
      <c r="D179" s="384">
        <v>1237.23</v>
      </c>
      <c r="E179" s="137">
        <v>3687.6</v>
      </c>
      <c r="F179" s="252">
        <f t="shared" si="16"/>
        <v>3687.6</v>
      </c>
      <c r="I179" s="255"/>
      <c r="J179" s="256"/>
      <c r="K179" s="256"/>
      <c r="L179" s="256"/>
    </row>
    <row r="180" spans="1:18" s="371" customFormat="1" ht="14.1" hidden="1" customHeight="1" x14ac:dyDescent="0.25">
      <c r="A180" s="135">
        <v>5</v>
      </c>
      <c r="B180" s="136" t="s">
        <v>72</v>
      </c>
      <c r="C180" s="244">
        <v>1</v>
      </c>
      <c r="D180" s="384">
        <v>1237.23</v>
      </c>
      <c r="E180" s="137">
        <v>3687.6</v>
      </c>
      <c r="F180" s="252">
        <f t="shared" si="16"/>
        <v>3687.6</v>
      </c>
      <c r="I180" s="255"/>
      <c r="J180" s="256"/>
      <c r="K180" s="256"/>
      <c r="L180" s="256"/>
    </row>
    <row r="181" spans="1:18" s="371" customFormat="1" ht="14.1" hidden="1" customHeight="1" x14ac:dyDescent="0.25">
      <c r="A181" s="135">
        <v>6</v>
      </c>
      <c r="B181" s="136" t="s">
        <v>33</v>
      </c>
      <c r="C181" s="244">
        <v>3</v>
      </c>
      <c r="D181" s="384">
        <v>1826.64</v>
      </c>
      <c r="E181" s="137">
        <v>4862.5200000000004</v>
      </c>
      <c r="F181" s="252">
        <f t="shared" si="16"/>
        <v>14587.56</v>
      </c>
      <c r="I181" s="255"/>
      <c r="J181" s="256"/>
      <c r="K181" s="256"/>
      <c r="L181" s="256"/>
    </row>
    <row r="182" spans="1:18" s="371" customFormat="1" ht="14.1" hidden="1" customHeight="1" x14ac:dyDescent="0.25">
      <c r="A182" s="135">
        <v>7</v>
      </c>
      <c r="B182" s="138" t="s">
        <v>34</v>
      </c>
      <c r="C182" s="245">
        <v>3</v>
      </c>
      <c r="D182" s="384">
        <v>1237.23</v>
      </c>
      <c r="E182" s="139">
        <v>3655.72</v>
      </c>
      <c r="F182" s="252">
        <f t="shared" si="16"/>
        <v>10967.16</v>
      </c>
      <c r="I182" s="255"/>
      <c r="J182" s="256"/>
      <c r="K182" s="256"/>
      <c r="L182" s="256"/>
    </row>
    <row r="183" spans="1:18" s="371" customFormat="1" ht="14.1" hidden="1" customHeight="1" thickBot="1" x14ac:dyDescent="0.3">
      <c r="A183" s="135">
        <v>8</v>
      </c>
      <c r="B183" s="136" t="s">
        <v>35</v>
      </c>
      <c r="C183" s="244">
        <v>19</v>
      </c>
      <c r="D183" s="384">
        <v>1826.64</v>
      </c>
      <c r="E183" s="137">
        <v>4824.92</v>
      </c>
      <c r="F183" s="252">
        <f t="shared" si="16"/>
        <v>91673.48</v>
      </c>
      <c r="I183" s="255"/>
      <c r="J183" s="256"/>
      <c r="K183" s="256"/>
      <c r="L183" s="256"/>
    </row>
    <row r="184" spans="1:18" s="371" customFormat="1" ht="14.1" hidden="1" customHeight="1" x14ac:dyDescent="0.25">
      <c r="A184" s="690" t="s">
        <v>47</v>
      </c>
      <c r="B184" s="691"/>
      <c r="C184" s="273">
        <f>SUM(C177:C183)</f>
        <v>58</v>
      </c>
      <c r="D184" s="692"/>
      <c r="E184" s="693"/>
      <c r="F184" s="539">
        <f>SUM(F177:F183)</f>
        <v>245368.21000000002</v>
      </c>
      <c r="I184" s="255"/>
      <c r="J184" s="256"/>
      <c r="K184" s="256"/>
      <c r="L184" s="256"/>
    </row>
    <row r="185" spans="1:18" s="371" customFormat="1" ht="14.1" hidden="1" customHeight="1" x14ac:dyDescent="0.25">
      <c r="F185" s="373"/>
      <c r="I185" s="255"/>
      <c r="J185" s="256"/>
      <c r="K185" s="256"/>
      <c r="L185" s="256"/>
    </row>
    <row r="186" spans="1:18" s="371" customFormat="1" ht="14.1" hidden="1" customHeight="1" thickBot="1" x14ac:dyDescent="0.3">
      <c r="F186" s="373"/>
      <c r="I186" s="255"/>
      <c r="J186" s="256"/>
      <c r="K186" s="256"/>
      <c r="L186" s="256"/>
    </row>
    <row r="187" spans="1:18" ht="14.1" hidden="1" customHeight="1" thickBot="1" x14ac:dyDescent="0.3">
      <c r="A187" s="687" t="s">
        <v>389</v>
      </c>
      <c r="B187" s="688"/>
      <c r="C187" s="688"/>
      <c r="D187" s="688"/>
      <c r="E187" s="688"/>
      <c r="F187" s="689"/>
      <c r="G187" s="371"/>
      <c r="H187" s="371"/>
      <c r="M187" s="371"/>
      <c r="N187" s="371"/>
      <c r="O187" s="371"/>
      <c r="P187" s="371"/>
      <c r="Q187" s="371"/>
      <c r="R187" s="371"/>
    </row>
    <row r="188" spans="1:18" ht="14.1" hidden="1" customHeight="1" thickBot="1" x14ac:dyDescent="0.3">
      <c r="A188" s="159" t="s">
        <v>149</v>
      </c>
      <c r="B188" s="159" t="s">
        <v>30</v>
      </c>
      <c r="C188" s="242" t="s">
        <v>244</v>
      </c>
      <c r="D188" s="159" t="s">
        <v>284</v>
      </c>
      <c r="E188" s="159" t="s">
        <v>242</v>
      </c>
      <c r="F188" s="159" t="s">
        <v>243</v>
      </c>
      <c r="G188" s="371"/>
      <c r="H188" s="371"/>
      <c r="M188" s="371"/>
      <c r="N188" s="371"/>
      <c r="O188" s="371"/>
      <c r="P188" s="371"/>
      <c r="Q188" s="371"/>
      <c r="R188" s="371"/>
    </row>
    <row r="189" spans="1:18" ht="14.1" hidden="1" customHeight="1" x14ac:dyDescent="0.25">
      <c r="A189" s="132">
        <v>1</v>
      </c>
      <c r="B189" s="133" t="s">
        <v>31</v>
      </c>
      <c r="C189" s="243">
        <v>2</v>
      </c>
      <c r="D189" s="472">
        <v>3159.95</v>
      </c>
      <c r="E189" s="134">
        <f>encarregado!P36</f>
        <v>7479.3</v>
      </c>
      <c r="F189" s="252">
        <f>ROUND((C189*E189),2)</f>
        <v>14958.6</v>
      </c>
      <c r="G189" s="371"/>
      <c r="H189" s="371"/>
      <c r="M189" s="371"/>
      <c r="N189" s="371"/>
      <c r="O189" s="371"/>
      <c r="P189" s="371"/>
      <c r="Q189" s="371"/>
      <c r="R189" s="371"/>
    </row>
    <row r="190" spans="1:18" ht="14.1" hidden="1" customHeight="1" x14ac:dyDescent="0.25">
      <c r="A190" s="135">
        <v>2</v>
      </c>
      <c r="B190" s="136" t="s">
        <v>81</v>
      </c>
      <c r="C190" s="244">
        <v>29</v>
      </c>
      <c r="D190" s="384">
        <v>1237.23</v>
      </c>
      <c r="E190" s="137">
        <f>servente!P34</f>
        <v>3648.49</v>
      </c>
      <c r="F190" s="252">
        <f t="shared" ref="F190:F195" si="17">ROUND((C190*E190),2)</f>
        <v>105806.21</v>
      </c>
      <c r="G190" s="371"/>
      <c r="H190" s="371"/>
      <c r="M190" s="371"/>
      <c r="N190" s="371"/>
      <c r="O190" s="371"/>
      <c r="P190" s="371"/>
      <c r="Q190" s="371"/>
      <c r="R190" s="371"/>
    </row>
    <row r="191" spans="1:18" ht="14.1" hidden="1" customHeight="1" x14ac:dyDescent="0.25">
      <c r="A191" s="135">
        <v>4</v>
      </c>
      <c r="B191" s="136" t="s">
        <v>85</v>
      </c>
      <c r="C191" s="244">
        <v>1</v>
      </c>
      <c r="D191" s="384">
        <v>1237.23</v>
      </c>
      <c r="E191" s="137">
        <f>mensageiro!P36</f>
        <v>3687.6</v>
      </c>
      <c r="F191" s="252">
        <f t="shared" si="17"/>
        <v>3687.6</v>
      </c>
      <c r="G191" s="371"/>
      <c r="H191" s="371"/>
      <c r="M191" s="371"/>
      <c r="N191" s="371"/>
      <c r="O191" s="371"/>
      <c r="P191" s="371"/>
      <c r="Q191" s="371"/>
      <c r="R191" s="371"/>
    </row>
    <row r="192" spans="1:18" ht="14.1" hidden="1" customHeight="1" x14ac:dyDescent="0.25">
      <c r="A192" s="135">
        <v>5</v>
      </c>
      <c r="B192" s="136" t="s">
        <v>72</v>
      </c>
      <c r="C192" s="244">
        <v>1</v>
      </c>
      <c r="D192" s="384">
        <v>1237.23</v>
      </c>
      <c r="E192" s="137">
        <f>'op.maq.reprografica'!P36</f>
        <v>3687.6</v>
      </c>
      <c r="F192" s="252">
        <f t="shared" si="17"/>
        <v>3687.6</v>
      </c>
      <c r="G192" s="371"/>
      <c r="H192" s="371"/>
      <c r="M192" s="371"/>
      <c r="N192" s="371"/>
      <c r="O192" s="371"/>
      <c r="P192" s="371"/>
      <c r="Q192" s="371"/>
      <c r="R192" s="371"/>
    </row>
    <row r="193" spans="1:18" ht="14.1" hidden="1" customHeight="1" x14ac:dyDescent="0.25">
      <c r="A193" s="135">
        <v>6</v>
      </c>
      <c r="B193" s="136" t="s">
        <v>33</v>
      </c>
      <c r="C193" s="244">
        <v>3</v>
      </c>
      <c r="D193" s="384">
        <v>1826.64</v>
      </c>
      <c r="E193" s="137">
        <f>garcom!P32</f>
        <v>4862.5200000000004</v>
      </c>
      <c r="F193" s="252">
        <f t="shared" si="17"/>
        <v>14587.56</v>
      </c>
      <c r="G193" s="371"/>
      <c r="H193" s="371"/>
      <c r="M193" s="371"/>
      <c r="N193" s="371"/>
      <c r="O193" s="371"/>
      <c r="P193" s="371"/>
      <c r="Q193" s="371"/>
      <c r="R193" s="371"/>
    </row>
    <row r="194" spans="1:18" ht="14.1" hidden="1" customHeight="1" x14ac:dyDescent="0.25">
      <c r="A194" s="135">
        <v>7</v>
      </c>
      <c r="B194" s="138" t="s">
        <v>34</v>
      </c>
      <c r="C194" s="245">
        <v>3</v>
      </c>
      <c r="D194" s="384">
        <v>1237.23</v>
      </c>
      <c r="E194" s="139">
        <f>copeira!Q33</f>
        <v>3655.72</v>
      </c>
      <c r="F194" s="252">
        <f t="shared" si="17"/>
        <v>10967.16</v>
      </c>
      <c r="G194" s="371"/>
      <c r="H194" s="371"/>
      <c r="M194" s="371"/>
      <c r="N194" s="371"/>
      <c r="O194" s="371"/>
      <c r="P194" s="371"/>
      <c r="Q194" s="371"/>
      <c r="R194" s="371"/>
    </row>
    <row r="195" spans="1:18" ht="14.1" hidden="1" customHeight="1" thickBot="1" x14ac:dyDescent="0.3">
      <c r="A195" s="135">
        <v>8</v>
      </c>
      <c r="B195" s="136" t="s">
        <v>35</v>
      </c>
      <c r="C195" s="244">
        <v>19</v>
      </c>
      <c r="D195" s="384">
        <v>1826.64</v>
      </c>
      <c r="E195" s="137">
        <f>recepcionista!R33</f>
        <v>4824.92</v>
      </c>
      <c r="F195" s="252">
        <f t="shared" si="17"/>
        <v>91673.48</v>
      </c>
      <c r="G195" s="371"/>
      <c r="H195" s="371"/>
      <c r="M195" s="371"/>
      <c r="N195" s="371"/>
      <c r="O195" s="371"/>
      <c r="P195" s="371"/>
      <c r="Q195" s="371"/>
      <c r="R195" s="371"/>
    </row>
    <row r="196" spans="1:18" ht="14.1" hidden="1" customHeight="1" x14ac:dyDescent="0.25">
      <c r="A196" s="690" t="s">
        <v>47</v>
      </c>
      <c r="B196" s="691"/>
      <c r="C196" s="273">
        <f>SUM(C189:C195)</f>
        <v>58</v>
      </c>
      <c r="D196" s="692"/>
      <c r="E196" s="693"/>
      <c r="F196" s="539">
        <f>SUM(F189:F195)</f>
        <v>245368.21000000002</v>
      </c>
      <c r="G196" s="371"/>
      <c r="H196" s="371"/>
      <c r="M196" s="371"/>
      <c r="N196" s="371"/>
      <c r="O196" s="371"/>
      <c r="P196" s="371"/>
      <c r="Q196" s="371"/>
      <c r="R196" s="371"/>
    </row>
    <row r="197" spans="1:18" ht="14.1" hidden="1" customHeight="1" x14ac:dyDescent="0.25">
      <c r="A197" s="642" t="s">
        <v>369</v>
      </c>
      <c r="B197" s="642"/>
      <c r="C197" s="642"/>
      <c r="D197" s="642"/>
      <c r="E197" s="642"/>
      <c r="F197" s="540">
        <f>F196*12</f>
        <v>2944418.5200000005</v>
      </c>
      <c r="G197" s="371"/>
      <c r="H197" s="371"/>
      <c r="M197" s="371"/>
      <c r="N197" s="371"/>
      <c r="O197" s="371"/>
      <c r="P197" s="371"/>
      <c r="Q197" s="371"/>
      <c r="R197" s="371"/>
    </row>
    <row r="198" spans="1:18" ht="14.1" hidden="1" customHeight="1" x14ac:dyDescent="0.25">
      <c r="A198" s="371"/>
      <c r="B198" s="371"/>
      <c r="C198" s="371"/>
      <c r="D198" s="371"/>
      <c r="E198" s="371"/>
      <c r="F198" s="373"/>
      <c r="G198" s="371"/>
      <c r="H198" s="371"/>
      <c r="M198" s="371"/>
      <c r="N198" s="371"/>
      <c r="O198" s="371"/>
      <c r="P198" s="371"/>
      <c r="Q198" s="371"/>
      <c r="R198" s="371"/>
    </row>
    <row r="199" spans="1:18" ht="14.1" hidden="1" customHeight="1" x14ac:dyDescent="0.25">
      <c r="A199" s="371"/>
      <c r="B199" s="371"/>
      <c r="C199" s="371"/>
      <c r="D199" s="371"/>
      <c r="E199" s="371"/>
      <c r="F199" s="373"/>
      <c r="G199" s="371"/>
      <c r="H199" s="371"/>
      <c r="M199" s="371"/>
      <c r="N199" s="371"/>
      <c r="O199" s="371"/>
      <c r="P199" s="371"/>
      <c r="Q199" s="371"/>
      <c r="R199" s="371"/>
    </row>
    <row r="200" spans="1:18" ht="14.1" hidden="1" customHeight="1" thickBot="1" x14ac:dyDescent="0.3">
      <c r="A200" s="723" t="s">
        <v>413</v>
      </c>
      <c r="B200" s="723"/>
      <c r="C200" s="723"/>
      <c r="D200" s="723"/>
      <c r="E200" s="723"/>
      <c r="F200" s="723"/>
      <c r="G200" s="371"/>
      <c r="H200" s="371"/>
      <c r="M200" s="371"/>
      <c r="N200" s="371"/>
      <c r="O200" s="371"/>
      <c r="P200" s="371"/>
      <c r="Q200" s="371"/>
      <c r="R200" s="371"/>
    </row>
    <row r="201" spans="1:18" ht="14.1" hidden="1" customHeight="1" thickBot="1" x14ac:dyDescent="0.3">
      <c r="A201" s="687" t="s">
        <v>492</v>
      </c>
      <c r="B201" s="688"/>
      <c r="C201" s="688"/>
      <c r="D201" s="688"/>
      <c r="E201" s="688"/>
      <c r="F201" s="689"/>
      <c r="G201" s="371"/>
      <c r="H201" s="371"/>
      <c r="M201" s="371"/>
      <c r="N201" s="371"/>
      <c r="O201" s="371"/>
      <c r="P201" s="371"/>
      <c r="Q201" s="371"/>
      <c r="R201" s="371"/>
    </row>
    <row r="202" spans="1:18" ht="14.1" hidden="1" customHeight="1" thickBot="1" x14ac:dyDescent="0.3">
      <c r="A202" s="159" t="s">
        <v>149</v>
      </c>
      <c r="B202" s="159" t="s">
        <v>30</v>
      </c>
      <c r="C202" s="242" t="s">
        <v>244</v>
      </c>
      <c r="D202" s="159" t="s">
        <v>284</v>
      </c>
      <c r="E202" s="159" t="s">
        <v>242</v>
      </c>
      <c r="F202" s="159" t="s">
        <v>243</v>
      </c>
      <c r="G202" s="371"/>
      <c r="H202" s="371"/>
      <c r="M202" s="371"/>
      <c r="N202" s="371"/>
      <c r="O202" s="371"/>
      <c r="P202" s="371"/>
      <c r="Q202" s="371"/>
      <c r="R202" s="371"/>
    </row>
    <row r="203" spans="1:18" ht="14.1" hidden="1" customHeight="1" x14ac:dyDescent="0.25">
      <c r="A203" s="132">
        <v>1</v>
      </c>
      <c r="B203" s="133" t="s">
        <v>31</v>
      </c>
      <c r="C203" s="243">
        <v>2</v>
      </c>
      <c r="D203" s="472">
        <v>3159.95</v>
      </c>
      <c r="E203" s="134">
        <f>encarregado!Q36</f>
        <v>7488.92</v>
      </c>
      <c r="F203" s="252">
        <f>ROUND((C203*E203),2)</f>
        <v>14977.84</v>
      </c>
      <c r="G203" s="371"/>
      <c r="H203" s="371"/>
      <c r="M203" s="371"/>
      <c r="N203" s="371"/>
      <c r="O203" s="371"/>
      <c r="P203" s="371"/>
      <c r="Q203" s="371"/>
      <c r="R203" s="371"/>
    </row>
    <row r="204" spans="1:18" ht="14.1" hidden="1" customHeight="1" x14ac:dyDescent="0.25">
      <c r="A204" s="135">
        <v>2</v>
      </c>
      <c r="B204" s="136" t="s">
        <v>81</v>
      </c>
      <c r="C204" s="244">
        <v>29</v>
      </c>
      <c r="D204" s="384">
        <v>1237.23</v>
      </c>
      <c r="E204" s="137">
        <f>servente!Q34</f>
        <v>3650.75</v>
      </c>
      <c r="F204" s="252">
        <f t="shared" ref="F204:F209" si="18">ROUND((C204*E204),2)</f>
        <v>105871.75</v>
      </c>
      <c r="G204" s="371"/>
      <c r="H204" s="371"/>
      <c r="M204" s="371"/>
      <c r="N204" s="371"/>
      <c r="O204" s="371"/>
      <c r="P204" s="371"/>
      <c r="Q204" s="371"/>
      <c r="R204" s="371"/>
    </row>
    <row r="205" spans="1:18" ht="14.1" hidden="1" customHeight="1" x14ac:dyDescent="0.25">
      <c r="A205" s="135">
        <v>4</v>
      </c>
      <c r="B205" s="136" t="s">
        <v>85</v>
      </c>
      <c r="C205" s="244">
        <v>1</v>
      </c>
      <c r="D205" s="384">
        <v>1237.23</v>
      </c>
      <c r="E205" s="137">
        <f>mensageiro!Q36</f>
        <v>3697.22</v>
      </c>
      <c r="F205" s="252">
        <f t="shared" si="18"/>
        <v>3697.22</v>
      </c>
      <c r="G205" s="371"/>
      <c r="H205" s="371"/>
      <c r="M205" s="371"/>
      <c r="N205" s="371"/>
      <c r="O205" s="371"/>
      <c r="P205" s="371"/>
      <c r="Q205" s="371"/>
      <c r="R205" s="371"/>
    </row>
    <row r="206" spans="1:18" ht="14.1" hidden="1" customHeight="1" x14ac:dyDescent="0.25">
      <c r="A206" s="135">
        <v>5</v>
      </c>
      <c r="B206" s="136" t="s">
        <v>72</v>
      </c>
      <c r="C206" s="244">
        <v>1</v>
      </c>
      <c r="D206" s="384">
        <v>1237.23</v>
      </c>
      <c r="E206" s="137">
        <f>'op.maq.reprografica'!Q36</f>
        <v>3697.23</v>
      </c>
      <c r="F206" s="252">
        <f t="shared" si="18"/>
        <v>3697.23</v>
      </c>
      <c r="G206" s="371"/>
      <c r="H206" s="371"/>
      <c r="M206" s="371"/>
      <c r="N206" s="371"/>
      <c r="O206" s="371"/>
      <c r="P206" s="371"/>
      <c r="Q206" s="371"/>
      <c r="R206" s="371"/>
    </row>
    <row r="207" spans="1:18" ht="14.1" hidden="1" customHeight="1" x14ac:dyDescent="0.25">
      <c r="A207" s="135">
        <v>6</v>
      </c>
      <c r="B207" s="136" t="s">
        <v>33</v>
      </c>
      <c r="C207" s="244">
        <v>3</v>
      </c>
      <c r="D207" s="384">
        <v>1826.64</v>
      </c>
      <c r="E207" s="137">
        <f>garcom!Q32</f>
        <v>4874.0200000000004</v>
      </c>
      <c r="F207" s="252">
        <f t="shared" si="18"/>
        <v>14622.06</v>
      </c>
      <c r="G207" s="371"/>
      <c r="H207" s="371"/>
      <c r="M207" s="371"/>
      <c r="N207" s="371"/>
      <c r="O207" s="371"/>
      <c r="P207" s="371"/>
      <c r="Q207" s="371"/>
      <c r="R207" s="371"/>
    </row>
    <row r="208" spans="1:18" ht="14.1" hidden="1" customHeight="1" x14ac:dyDescent="0.25">
      <c r="A208" s="135">
        <v>7</v>
      </c>
      <c r="B208" s="138" t="s">
        <v>34</v>
      </c>
      <c r="C208" s="245">
        <v>3</v>
      </c>
      <c r="D208" s="384">
        <v>1237.23</v>
      </c>
      <c r="E208" s="139">
        <f>copeira!R33</f>
        <v>3660.55</v>
      </c>
      <c r="F208" s="252">
        <f t="shared" si="18"/>
        <v>10981.65</v>
      </c>
      <c r="G208" s="371"/>
      <c r="H208" s="371"/>
      <c r="M208" s="371"/>
      <c r="N208" s="371"/>
      <c r="O208" s="371"/>
      <c r="P208" s="371"/>
      <c r="Q208" s="371"/>
      <c r="R208" s="371"/>
    </row>
    <row r="209" spans="1:18" ht="14.1" hidden="1" customHeight="1" thickBot="1" x14ac:dyDescent="0.3">
      <c r="A209" s="376">
        <v>8</v>
      </c>
      <c r="B209" s="377" t="s">
        <v>35</v>
      </c>
      <c r="C209" s="135">
        <v>19</v>
      </c>
      <c r="D209" s="384">
        <v>1826.64</v>
      </c>
      <c r="E209" s="137">
        <f>recepcionista!S33</f>
        <v>4830.78</v>
      </c>
      <c r="F209" s="556">
        <f t="shared" si="18"/>
        <v>91784.82</v>
      </c>
      <c r="G209" s="371"/>
      <c r="H209" s="371"/>
      <c r="M209" s="371"/>
      <c r="N209" s="371"/>
      <c r="O209" s="371"/>
      <c r="P209" s="371"/>
      <c r="Q209" s="371"/>
      <c r="R209" s="371"/>
    </row>
    <row r="210" spans="1:18" ht="14.1" hidden="1" customHeight="1" thickBot="1" x14ac:dyDescent="0.3">
      <c r="A210" s="698" t="s">
        <v>47</v>
      </c>
      <c r="B210" s="699"/>
      <c r="C210" s="552">
        <f>SUM(C203:C209)</f>
        <v>58</v>
      </c>
      <c r="D210" s="700"/>
      <c r="E210" s="701"/>
      <c r="F210" s="557">
        <f>SUM(F203:F209)</f>
        <v>245632.57</v>
      </c>
      <c r="G210" s="371"/>
      <c r="H210" s="371"/>
      <c r="M210" s="371"/>
      <c r="N210" s="371"/>
      <c r="O210" s="371"/>
      <c r="P210" s="371"/>
      <c r="Q210" s="371"/>
      <c r="R210" s="371"/>
    </row>
    <row r="211" spans="1:18" ht="14.1" hidden="1" customHeight="1" thickBot="1" x14ac:dyDescent="0.3">
      <c r="A211" s="371"/>
      <c r="B211" s="371"/>
      <c r="C211" s="371"/>
      <c r="D211" s="371"/>
      <c r="E211" s="371"/>
      <c r="F211" s="373"/>
      <c r="G211" s="371"/>
      <c r="H211" s="371"/>
      <c r="M211" s="371"/>
      <c r="N211" s="371"/>
      <c r="O211" s="371"/>
      <c r="P211" s="371"/>
      <c r="Q211" s="371"/>
      <c r="R211" s="371"/>
    </row>
    <row r="212" spans="1:18" ht="14.1" hidden="1" customHeight="1" thickBot="1" x14ac:dyDescent="0.3">
      <c r="A212" s="687" t="s">
        <v>493</v>
      </c>
      <c r="B212" s="688"/>
      <c r="C212" s="688"/>
      <c r="D212" s="688"/>
      <c r="E212" s="688"/>
      <c r="F212" s="689"/>
      <c r="G212" s="371"/>
      <c r="H212" s="371"/>
      <c r="M212" s="371"/>
      <c r="N212" s="371"/>
      <c r="O212" s="371"/>
      <c r="P212" s="371"/>
      <c r="Q212" s="371"/>
      <c r="R212" s="371"/>
    </row>
    <row r="213" spans="1:18" ht="14.1" hidden="1" customHeight="1" thickBot="1" x14ac:dyDescent="0.3">
      <c r="A213" s="159" t="s">
        <v>149</v>
      </c>
      <c r="B213" s="159" t="s">
        <v>30</v>
      </c>
      <c r="C213" s="242" t="s">
        <v>244</v>
      </c>
      <c r="D213" s="159" t="s">
        <v>284</v>
      </c>
      <c r="E213" s="159" t="s">
        <v>242</v>
      </c>
      <c r="F213" s="159" t="s">
        <v>243</v>
      </c>
      <c r="G213" s="371"/>
      <c r="H213" s="371"/>
      <c r="M213" s="371"/>
      <c r="N213" s="371"/>
      <c r="O213" s="371"/>
      <c r="P213" s="371"/>
      <c r="Q213" s="371"/>
      <c r="R213" s="371"/>
    </row>
    <row r="214" spans="1:18" ht="14.1" hidden="1" customHeight="1" x14ac:dyDescent="0.25">
      <c r="A214" s="132">
        <v>1</v>
      </c>
      <c r="B214" s="133" t="s">
        <v>31</v>
      </c>
      <c r="C214" s="243">
        <v>2</v>
      </c>
      <c r="D214" s="472">
        <v>3289.5</v>
      </c>
      <c r="E214" s="134">
        <f>encarregado!R36</f>
        <v>7788.47</v>
      </c>
      <c r="F214" s="252">
        <f>ROUND((C214*E214),2)</f>
        <v>15576.94</v>
      </c>
      <c r="G214" s="371"/>
      <c r="H214" s="371"/>
      <c r="M214" s="371"/>
      <c r="N214" s="371"/>
      <c r="O214" s="371"/>
      <c r="P214" s="371"/>
      <c r="Q214" s="371"/>
      <c r="R214" s="371"/>
    </row>
    <row r="215" spans="1:18" ht="14.1" hidden="1" customHeight="1" x14ac:dyDescent="0.25">
      <c r="A215" s="135">
        <v>2</v>
      </c>
      <c r="B215" s="136" t="s">
        <v>81</v>
      </c>
      <c r="C215" s="244">
        <v>29</v>
      </c>
      <c r="D215" s="384">
        <v>1287.96</v>
      </c>
      <c r="E215" s="137">
        <f>servente!R34</f>
        <v>3790.06</v>
      </c>
      <c r="F215" s="252">
        <f t="shared" ref="F215:F220" si="19">ROUND((C215*E215),2)</f>
        <v>109911.74</v>
      </c>
      <c r="G215" s="371"/>
      <c r="H215" s="371"/>
      <c r="M215" s="371"/>
      <c r="N215" s="371"/>
      <c r="O215" s="371"/>
      <c r="P215" s="371"/>
      <c r="Q215" s="371"/>
      <c r="R215" s="371"/>
    </row>
    <row r="216" spans="1:18" ht="14.1" hidden="1" customHeight="1" x14ac:dyDescent="0.25">
      <c r="A216" s="135">
        <v>4</v>
      </c>
      <c r="B216" s="136" t="s">
        <v>85</v>
      </c>
      <c r="C216" s="244">
        <v>1</v>
      </c>
      <c r="D216" s="384">
        <v>1287.96</v>
      </c>
      <c r="E216" s="137">
        <f>mensageiro!R36</f>
        <v>3836.54</v>
      </c>
      <c r="F216" s="252">
        <f t="shared" si="19"/>
        <v>3836.54</v>
      </c>
      <c r="G216" s="371"/>
      <c r="H216" s="371"/>
      <c r="M216" s="371"/>
      <c r="N216" s="371"/>
      <c r="O216" s="371"/>
      <c r="P216" s="371"/>
      <c r="Q216" s="371"/>
      <c r="R216" s="371"/>
    </row>
    <row r="217" spans="1:18" ht="14.1" hidden="1" customHeight="1" x14ac:dyDescent="0.25">
      <c r="A217" s="135">
        <v>5</v>
      </c>
      <c r="B217" s="136" t="s">
        <v>72</v>
      </c>
      <c r="C217" s="244">
        <v>1</v>
      </c>
      <c r="D217" s="384">
        <v>1287.96</v>
      </c>
      <c r="E217" s="137">
        <f>'op.maq.reprografica'!R36</f>
        <v>3836.54</v>
      </c>
      <c r="F217" s="252">
        <f t="shared" si="19"/>
        <v>3836.54</v>
      </c>
      <c r="G217" s="371"/>
      <c r="H217" s="371"/>
      <c r="M217" s="371"/>
      <c r="N217" s="371"/>
      <c r="O217" s="371"/>
      <c r="P217" s="371"/>
      <c r="Q217" s="371"/>
      <c r="R217" s="371"/>
    </row>
    <row r="218" spans="1:18" ht="14.1" hidden="1" customHeight="1" x14ac:dyDescent="0.25">
      <c r="A218" s="135">
        <v>6</v>
      </c>
      <c r="B218" s="136" t="s">
        <v>33</v>
      </c>
      <c r="C218" s="244">
        <v>3</v>
      </c>
      <c r="D218" s="384">
        <v>1901.53</v>
      </c>
      <c r="E218" s="137">
        <f>garcom!R32</f>
        <v>5062.46</v>
      </c>
      <c r="F218" s="252">
        <f t="shared" si="19"/>
        <v>15187.38</v>
      </c>
      <c r="G218" s="371"/>
      <c r="H218" s="371"/>
      <c r="M218" s="371"/>
      <c r="N218" s="371"/>
      <c r="O218" s="371"/>
      <c r="P218" s="371"/>
      <c r="Q218" s="371"/>
      <c r="R218" s="371"/>
    </row>
    <row r="219" spans="1:18" ht="14.1" hidden="1" customHeight="1" x14ac:dyDescent="0.25">
      <c r="A219" s="135">
        <v>7</v>
      </c>
      <c r="B219" s="138" t="s">
        <v>34</v>
      </c>
      <c r="C219" s="245">
        <v>3</v>
      </c>
      <c r="D219" s="384">
        <v>1287.96</v>
      </c>
      <c r="E219" s="139">
        <f>copeira!S33</f>
        <v>3799.87</v>
      </c>
      <c r="F219" s="252">
        <f t="shared" si="19"/>
        <v>11399.61</v>
      </c>
      <c r="G219" s="371"/>
      <c r="H219" s="371"/>
      <c r="M219" s="371"/>
      <c r="N219" s="371"/>
      <c r="O219" s="371"/>
      <c r="P219" s="371"/>
      <c r="Q219" s="371"/>
      <c r="R219" s="371"/>
    </row>
    <row r="220" spans="1:18" ht="14.1" hidden="1" customHeight="1" thickBot="1" x14ac:dyDescent="0.3">
      <c r="A220" s="376">
        <v>8</v>
      </c>
      <c r="B220" s="377" t="s">
        <v>35</v>
      </c>
      <c r="C220" s="135">
        <v>19</v>
      </c>
      <c r="D220" s="384">
        <v>1901.53</v>
      </c>
      <c r="E220" s="137">
        <f>recepcionista!T33</f>
        <v>5019.22</v>
      </c>
      <c r="F220" s="556">
        <f t="shared" si="19"/>
        <v>95365.18</v>
      </c>
      <c r="G220" s="371"/>
      <c r="H220" s="371"/>
      <c r="M220" s="371"/>
      <c r="N220" s="371"/>
      <c r="O220" s="371"/>
      <c r="P220" s="371"/>
      <c r="Q220" s="371"/>
      <c r="R220" s="371"/>
    </row>
    <row r="221" spans="1:18" ht="14.1" hidden="1" customHeight="1" thickBot="1" x14ac:dyDescent="0.3">
      <c r="A221" s="698" t="s">
        <v>47</v>
      </c>
      <c r="B221" s="699"/>
      <c r="C221" s="552">
        <f>SUM(C214:C220)</f>
        <v>58</v>
      </c>
      <c r="D221" s="700"/>
      <c r="E221" s="701"/>
      <c r="F221" s="557">
        <f>SUM(F214:F220)</f>
        <v>255113.93</v>
      </c>
      <c r="G221" s="371"/>
      <c r="H221" s="371"/>
      <c r="M221" s="371"/>
      <c r="N221" s="371"/>
      <c r="O221" s="371"/>
      <c r="P221" s="371"/>
      <c r="Q221" s="371"/>
      <c r="R221" s="371"/>
    </row>
    <row r="222" spans="1:18" ht="14.1" hidden="1" customHeight="1" thickBot="1" x14ac:dyDescent="0.3">
      <c r="A222" s="371"/>
      <c r="B222" s="371"/>
      <c r="C222" s="371"/>
      <c r="D222" s="371"/>
      <c r="E222" s="371"/>
      <c r="F222" s="373"/>
      <c r="G222" s="371"/>
      <c r="H222" s="371"/>
      <c r="M222" s="371"/>
      <c r="N222" s="371"/>
      <c r="O222" s="371"/>
      <c r="P222" s="371"/>
      <c r="Q222" s="371"/>
      <c r="R222" s="371"/>
    </row>
    <row r="223" spans="1:18" ht="14.1" hidden="1" customHeight="1" thickBot="1" x14ac:dyDescent="0.3">
      <c r="A223" s="687" t="s">
        <v>494</v>
      </c>
      <c r="B223" s="688"/>
      <c r="C223" s="688"/>
      <c r="D223" s="688"/>
      <c r="E223" s="688"/>
      <c r="F223" s="689"/>
      <c r="G223" s="371"/>
      <c r="H223" s="371"/>
      <c r="M223" s="371"/>
      <c r="N223" s="371"/>
      <c r="O223" s="371"/>
      <c r="P223" s="371"/>
      <c r="Q223" s="371"/>
      <c r="R223" s="371"/>
    </row>
    <row r="224" spans="1:18" ht="14.1" hidden="1" customHeight="1" thickBot="1" x14ac:dyDescent="0.3">
      <c r="A224" s="159" t="s">
        <v>149</v>
      </c>
      <c r="B224" s="159" t="s">
        <v>30</v>
      </c>
      <c r="C224" s="242" t="s">
        <v>244</v>
      </c>
      <c r="D224" s="159" t="s">
        <v>284</v>
      </c>
      <c r="E224" s="159" t="s">
        <v>242</v>
      </c>
      <c r="F224" s="159" t="s">
        <v>243</v>
      </c>
      <c r="G224" s="371"/>
      <c r="H224" s="371"/>
      <c r="M224" s="371"/>
      <c r="N224" s="371"/>
      <c r="O224" s="371"/>
      <c r="P224" s="371"/>
      <c r="Q224" s="371"/>
      <c r="R224" s="371"/>
    </row>
    <row r="225" spans="1:18" ht="14.1" hidden="1" customHeight="1" x14ac:dyDescent="0.25">
      <c r="A225" s="132">
        <v>1</v>
      </c>
      <c r="B225" s="133" t="s">
        <v>31</v>
      </c>
      <c r="C225" s="243">
        <v>2</v>
      </c>
      <c r="D225" s="472">
        <v>3289.5</v>
      </c>
      <c r="E225" s="134">
        <f>encarregado!R36</f>
        <v>7788.47</v>
      </c>
      <c r="F225" s="252">
        <f>ROUND((C225*E225),2)</f>
        <v>15576.94</v>
      </c>
      <c r="G225" s="426"/>
      <c r="H225" s="371"/>
      <c r="M225" s="371"/>
      <c r="N225" s="371"/>
      <c r="O225" s="371"/>
      <c r="P225" s="371"/>
      <c r="Q225" s="371"/>
      <c r="R225" s="371"/>
    </row>
    <row r="226" spans="1:18" ht="14.1" hidden="1" customHeight="1" x14ac:dyDescent="0.25">
      <c r="A226" s="135">
        <v>2</v>
      </c>
      <c r="B226" s="136" t="s">
        <v>81</v>
      </c>
      <c r="C226" s="244">
        <v>27</v>
      </c>
      <c r="D226" s="384">
        <v>1287.96</v>
      </c>
      <c r="E226" s="137">
        <f>servente!S34</f>
        <v>3790.06</v>
      </c>
      <c r="F226" s="252">
        <f t="shared" ref="F226:F232" si="20">ROUND((C226*E226),2)</f>
        <v>102331.62</v>
      </c>
      <c r="G226" s="371"/>
      <c r="H226" s="371"/>
      <c r="M226" s="371"/>
      <c r="N226" s="371"/>
      <c r="O226" s="371"/>
      <c r="P226" s="371"/>
      <c r="Q226" s="371"/>
      <c r="R226" s="371"/>
    </row>
    <row r="227" spans="1:18" s="371" customFormat="1" ht="14.1" hidden="1" customHeight="1" x14ac:dyDescent="0.25">
      <c r="A227" s="135">
        <v>3</v>
      </c>
      <c r="B227" s="419" t="s">
        <v>84</v>
      </c>
      <c r="C227" s="418">
        <v>2</v>
      </c>
      <c r="D227" s="420">
        <v>1527.03</v>
      </c>
      <c r="E227" s="421">
        <f>jauzeiro!N36</f>
        <v>5255.92</v>
      </c>
      <c r="F227" s="422">
        <f t="shared" si="20"/>
        <v>10511.84</v>
      </c>
      <c r="I227" s="255"/>
      <c r="J227" s="256"/>
      <c r="K227" s="256"/>
      <c r="L227" s="256"/>
    </row>
    <row r="228" spans="1:18" ht="14.1" hidden="1" customHeight="1" x14ac:dyDescent="0.25">
      <c r="A228" s="135">
        <v>4</v>
      </c>
      <c r="B228" s="136" t="s">
        <v>85</v>
      </c>
      <c r="C228" s="244">
        <v>1</v>
      </c>
      <c r="D228" s="384">
        <v>1287.96</v>
      </c>
      <c r="E228" s="137">
        <f>mensageiro!R36</f>
        <v>3836.54</v>
      </c>
      <c r="F228" s="252">
        <f t="shared" si="20"/>
        <v>3836.54</v>
      </c>
      <c r="G228" s="371"/>
      <c r="H228" s="371"/>
      <c r="M228" s="371"/>
      <c r="N228" s="371"/>
      <c r="O228" s="371"/>
      <c r="P228" s="371"/>
      <c r="Q228" s="371"/>
      <c r="R228" s="371"/>
    </row>
    <row r="229" spans="1:18" ht="14.1" hidden="1" customHeight="1" x14ac:dyDescent="0.25">
      <c r="A229" s="135">
        <v>5</v>
      </c>
      <c r="B229" s="136" t="s">
        <v>72</v>
      </c>
      <c r="C229" s="244">
        <v>1</v>
      </c>
      <c r="D229" s="384">
        <v>1287.96</v>
      </c>
      <c r="E229" s="137">
        <f>'op.maq.reprografica'!R36</f>
        <v>3836.54</v>
      </c>
      <c r="F229" s="252">
        <f t="shared" si="20"/>
        <v>3836.54</v>
      </c>
      <c r="G229" s="371"/>
      <c r="H229" s="371"/>
      <c r="M229" s="371"/>
      <c r="N229" s="371"/>
      <c r="O229" s="371"/>
      <c r="P229" s="371"/>
      <c r="Q229" s="371"/>
      <c r="R229" s="371"/>
    </row>
    <row r="230" spans="1:18" ht="14.1" hidden="1" customHeight="1" x14ac:dyDescent="0.25">
      <c r="A230" s="135">
        <v>6</v>
      </c>
      <c r="B230" s="136" t="s">
        <v>33</v>
      </c>
      <c r="C230" s="244">
        <v>3</v>
      </c>
      <c r="D230" s="384">
        <v>1901.53</v>
      </c>
      <c r="E230" s="137">
        <f>garcom!R32</f>
        <v>5062.46</v>
      </c>
      <c r="F230" s="252">
        <f t="shared" si="20"/>
        <v>15187.38</v>
      </c>
      <c r="G230" s="371"/>
      <c r="H230" s="371"/>
      <c r="M230" s="371"/>
      <c r="N230" s="371"/>
      <c r="O230" s="371"/>
      <c r="P230" s="371"/>
      <c r="Q230" s="371"/>
      <c r="R230" s="371"/>
    </row>
    <row r="231" spans="1:18" ht="14.1" hidden="1" customHeight="1" x14ac:dyDescent="0.25">
      <c r="A231" s="135">
        <v>7</v>
      </c>
      <c r="B231" s="138" t="s">
        <v>34</v>
      </c>
      <c r="C231" s="245">
        <v>3</v>
      </c>
      <c r="D231" s="384">
        <v>1287.96</v>
      </c>
      <c r="E231" s="139">
        <f>copeira!S33</f>
        <v>3799.87</v>
      </c>
      <c r="F231" s="252">
        <f t="shared" si="20"/>
        <v>11399.61</v>
      </c>
      <c r="G231" s="371"/>
      <c r="H231" s="371"/>
      <c r="M231" s="371"/>
      <c r="N231" s="371"/>
      <c r="O231" s="371"/>
      <c r="P231" s="371"/>
      <c r="Q231" s="371"/>
      <c r="R231" s="371"/>
    </row>
    <row r="232" spans="1:18" ht="14.1" hidden="1" customHeight="1" x14ac:dyDescent="0.25">
      <c r="A232" s="418">
        <v>8</v>
      </c>
      <c r="B232" s="419" t="s">
        <v>35</v>
      </c>
      <c r="C232" s="418">
        <v>19</v>
      </c>
      <c r="D232" s="420">
        <v>1901.53</v>
      </c>
      <c r="E232" s="421">
        <f>recepcionista!T33</f>
        <v>5019.22</v>
      </c>
      <c r="F232" s="422">
        <f t="shared" si="20"/>
        <v>95365.18</v>
      </c>
      <c r="G232" s="371"/>
      <c r="H232" s="371"/>
      <c r="M232" s="371"/>
      <c r="N232" s="371"/>
      <c r="O232" s="371"/>
      <c r="P232" s="371"/>
      <c r="Q232" s="371"/>
      <c r="R232" s="371"/>
    </row>
    <row r="233" spans="1:18" ht="14.1" hidden="1" customHeight="1" thickBot="1" x14ac:dyDescent="0.3">
      <c r="A233" s="719" t="s">
        <v>47</v>
      </c>
      <c r="B233" s="720"/>
      <c r="C233" s="553">
        <f>SUM(C225:C232)</f>
        <v>58</v>
      </c>
      <c r="D233" s="721"/>
      <c r="E233" s="722"/>
      <c r="F233" s="481">
        <f>SUM(F225:F232)</f>
        <v>258045.65000000002</v>
      </c>
      <c r="G233" s="371"/>
      <c r="H233" s="371"/>
      <c r="M233" s="371"/>
      <c r="N233" s="371"/>
      <c r="O233" s="371"/>
      <c r="P233" s="371"/>
      <c r="Q233" s="371"/>
      <c r="R233" s="371"/>
    </row>
    <row r="234" spans="1:18" ht="14.1" hidden="1" customHeight="1" x14ac:dyDescent="0.25"/>
    <row r="235" spans="1:18" ht="14.1" customHeight="1" thickBot="1" x14ac:dyDescent="0.3"/>
    <row r="236" spans="1:18" ht="14.1" customHeight="1" thickBot="1" x14ac:dyDescent="0.3">
      <c r="A236" s="687" t="s">
        <v>514</v>
      </c>
      <c r="B236" s="688"/>
      <c r="C236" s="688"/>
      <c r="D236" s="688"/>
      <c r="E236" s="688"/>
      <c r="F236" s="689"/>
    </row>
    <row r="237" spans="1:18" ht="14.1" customHeight="1" thickBot="1" x14ac:dyDescent="0.3">
      <c r="A237" s="159" t="s">
        <v>149</v>
      </c>
      <c r="B237" s="159" t="s">
        <v>30</v>
      </c>
      <c r="C237" s="242" t="s">
        <v>244</v>
      </c>
      <c r="D237" s="159" t="s">
        <v>284</v>
      </c>
      <c r="E237" s="159" t="s">
        <v>242</v>
      </c>
      <c r="F237" s="159" t="s">
        <v>243</v>
      </c>
    </row>
    <row r="238" spans="1:18" ht="14.1" customHeight="1" x14ac:dyDescent="0.25">
      <c r="A238" s="132">
        <v>1</v>
      </c>
      <c r="B238" s="133" t="s">
        <v>31</v>
      </c>
      <c r="C238" s="243">
        <v>2</v>
      </c>
      <c r="D238" s="472">
        <v>3289.5</v>
      </c>
      <c r="E238" s="134">
        <f>encarregado!R36</f>
        <v>7788.47</v>
      </c>
      <c r="F238" s="252">
        <f>ROUND((C238*E238),2)</f>
        <v>15576.94</v>
      </c>
    </row>
    <row r="239" spans="1:18" ht="14.1" customHeight="1" x14ac:dyDescent="0.25">
      <c r="A239" s="135">
        <v>2</v>
      </c>
      <c r="B239" s="136" t="s">
        <v>81</v>
      </c>
      <c r="C239" s="244">
        <v>26</v>
      </c>
      <c r="D239" s="384">
        <v>1287.96</v>
      </c>
      <c r="E239" s="137">
        <f>servente!S34</f>
        <v>3790.06</v>
      </c>
      <c r="F239" s="252">
        <f t="shared" ref="F239:F247" si="21">ROUND((C239*E239),2)</f>
        <v>98541.56</v>
      </c>
    </row>
    <row r="240" spans="1:18" ht="14.1" customHeight="1" x14ac:dyDescent="0.25">
      <c r="A240" s="135" t="s">
        <v>515</v>
      </c>
      <c r="B240" s="136" t="s">
        <v>495</v>
      </c>
      <c r="C240" s="244">
        <v>1</v>
      </c>
      <c r="D240" s="384">
        <v>1507.96</v>
      </c>
      <c r="E240" s="137">
        <v>4240.1899999999996</v>
      </c>
      <c r="F240" s="252">
        <f t="shared" si="21"/>
        <v>4240.1899999999996</v>
      </c>
    </row>
    <row r="241" spans="1:12" s="371" customFormat="1" ht="14.1" customHeight="1" x14ac:dyDescent="0.25">
      <c r="A241" s="135">
        <v>3</v>
      </c>
      <c r="B241" s="419" t="s">
        <v>84</v>
      </c>
      <c r="C241" s="418">
        <v>2</v>
      </c>
      <c r="D241" s="420">
        <v>1527.03</v>
      </c>
      <c r="E241" s="421">
        <f>jauzeiro!N36</f>
        <v>5255.92</v>
      </c>
      <c r="F241" s="422">
        <f t="shared" si="21"/>
        <v>10511.84</v>
      </c>
      <c r="I241" s="255"/>
      <c r="J241" s="256"/>
      <c r="K241" s="256"/>
      <c r="L241" s="256"/>
    </row>
    <row r="242" spans="1:12" ht="14.1" customHeight="1" x14ac:dyDescent="0.25">
      <c r="A242" s="135">
        <v>4</v>
      </c>
      <c r="B242" s="136" t="s">
        <v>85</v>
      </c>
      <c r="C242" s="244">
        <v>1</v>
      </c>
      <c r="D242" s="384">
        <v>1287.96</v>
      </c>
      <c r="E242" s="137">
        <f>mensageiro!R36</f>
        <v>3836.54</v>
      </c>
      <c r="F242" s="252">
        <f t="shared" si="21"/>
        <v>3836.54</v>
      </c>
    </row>
    <row r="243" spans="1:12" ht="14.1" customHeight="1" x14ac:dyDescent="0.25">
      <c r="A243" s="135">
        <v>5</v>
      </c>
      <c r="B243" s="136" t="s">
        <v>72</v>
      </c>
      <c r="C243" s="244">
        <v>1</v>
      </c>
      <c r="D243" s="384">
        <v>1287.96</v>
      </c>
      <c r="E243" s="137">
        <f>'op.maq.reprografica'!R36</f>
        <v>3836.54</v>
      </c>
      <c r="F243" s="252">
        <f t="shared" si="21"/>
        <v>3836.54</v>
      </c>
    </row>
    <row r="244" spans="1:12" ht="14.1" customHeight="1" x14ac:dyDescent="0.25">
      <c r="A244" s="135">
        <v>6</v>
      </c>
      <c r="B244" s="136" t="s">
        <v>33</v>
      </c>
      <c r="C244" s="244">
        <v>3</v>
      </c>
      <c r="D244" s="384">
        <v>1901.53</v>
      </c>
      <c r="E244" s="137">
        <f>garcom!R32</f>
        <v>5062.46</v>
      </c>
      <c r="F244" s="252">
        <f t="shared" si="21"/>
        <v>15187.38</v>
      </c>
    </row>
    <row r="245" spans="1:12" ht="14.1" customHeight="1" x14ac:dyDescent="0.25">
      <c r="A245" s="135">
        <v>7</v>
      </c>
      <c r="B245" s="138" t="s">
        <v>34</v>
      </c>
      <c r="C245" s="245">
        <v>3</v>
      </c>
      <c r="D245" s="384">
        <v>1287.96</v>
      </c>
      <c r="E245" s="139">
        <f>copeira!S33</f>
        <v>3799.87</v>
      </c>
      <c r="F245" s="252">
        <f t="shared" si="21"/>
        <v>11399.61</v>
      </c>
    </row>
    <row r="246" spans="1:12" ht="14.1" customHeight="1" x14ac:dyDescent="0.25">
      <c r="A246" s="418">
        <v>8</v>
      </c>
      <c r="B246" s="419" t="s">
        <v>35</v>
      </c>
      <c r="C246" s="418">
        <v>18</v>
      </c>
      <c r="D246" s="420">
        <v>1901.53</v>
      </c>
      <c r="E246" s="421">
        <f>recepcionista!T33</f>
        <v>5019.22</v>
      </c>
      <c r="F246" s="422">
        <f t="shared" si="21"/>
        <v>90345.96</v>
      </c>
    </row>
    <row r="247" spans="1:12" ht="14.1" customHeight="1" x14ac:dyDescent="0.25">
      <c r="A247" s="418" t="s">
        <v>516</v>
      </c>
      <c r="B247" s="377" t="s">
        <v>496</v>
      </c>
      <c r="C247" s="418">
        <v>1</v>
      </c>
      <c r="D247" s="420">
        <v>2121.5300000000002</v>
      </c>
      <c r="E247" s="421">
        <v>5469.35</v>
      </c>
      <c r="F247" s="422">
        <f t="shared" si="21"/>
        <v>5469.35</v>
      </c>
    </row>
    <row r="248" spans="1:12" ht="14.1" customHeight="1" thickBot="1" x14ac:dyDescent="0.3">
      <c r="A248" s="719" t="s">
        <v>47</v>
      </c>
      <c r="B248" s="720"/>
      <c r="C248" s="555">
        <f>SUM(C238:C247)</f>
        <v>58</v>
      </c>
      <c r="D248" s="721"/>
      <c r="E248" s="722"/>
      <c r="F248" s="481">
        <f>SUM(F238:F247)</f>
        <v>258945.91000000006</v>
      </c>
    </row>
  </sheetData>
  <mergeCells count="69">
    <mergeCell ref="A236:F236"/>
    <mergeCell ref="A248:B248"/>
    <mergeCell ref="D248:E248"/>
    <mergeCell ref="B135:F136"/>
    <mergeCell ref="A123:F123"/>
    <mergeCell ref="A132:B132"/>
    <mergeCell ref="D132:E132"/>
    <mergeCell ref="A133:E133"/>
    <mergeCell ref="A233:B233"/>
    <mergeCell ref="D233:E233"/>
    <mergeCell ref="A200:F200"/>
    <mergeCell ref="A201:F201"/>
    <mergeCell ref="A210:B210"/>
    <mergeCell ref="D210:E210"/>
    <mergeCell ref="A175:F175"/>
    <mergeCell ref="A184:B184"/>
    <mergeCell ref="A53:F53"/>
    <mergeCell ref="A54:F54"/>
    <mergeCell ref="A64:B64"/>
    <mergeCell ref="D64:E64"/>
    <mergeCell ref="A65:E65"/>
    <mergeCell ref="A68:F68"/>
    <mergeCell ref="A69:F69"/>
    <mergeCell ref="A78:B78"/>
    <mergeCell ref="D78:E78"/>
    <mergeCell ref="A79:E79"/>
    <mergeCell ref="A3:F3"/>
    <mergeCell ref="A1:F1"/>
    <mergeCell ref="A50:E50"/>
    <mergeCell ref="A38:F38"/>
    <mergeCell ref="A49:B49"/>
    <mergeCell ref="D49:E49"/>
    <mergeCell ref="A4:G4"/>
    <mergeCell ref="A5:G5"/>
    <mergeCell ref="A16:D16"/>
    <mergeCell ref="A21:F21"/>
    <mergeCell ref="A32:B32"/>
    <mergeCell ref="D32:E32"/>
    <mergeCell ref="A33:E33"/>
    <mergeCell ref="A37:F37"/>
    <mergeCell ref="A20:F20"/>
    <mergeCell ref="A110:F110"/>
    <mergeCell ref="A119:B119"/>
    <mergeCell ref="D119:E119"/>
    <mergeCell ref="D95:E95"/>
    <mergeCell ref="B84:G84"/>
    <mergeCell ref="A98:F98"/>
    <mergeCell ref="A107:B107"/>
    <mergeCell ref="D107:E107"/>
    <mergeCell ref="A95:B95"/>
    <mergeCell ref="A86:F86"/>
    <mergeCell ref="D184:E184"/>
    <mergeCell ref="B149:F149"/>
    <mergeCell ref="B143:D143"/>
    <mergeCell ref="A212:F212"/>
    <mergeCell ref="A221:B221"/>
    <mergeCell ref="D221:E221"/>
    <mergeCell ref="A151:F151"/>
    <mergeCell ref="A160:B160"/>
    <mergeCell ref="D160:E160"/>
    <mergeCell ref="A163:F163"/>
    <mergeCell ref="A172:B172"/>
    <mergeCell ref="D172:E172"/>
    <mergeCell ref="C147:D147"/>
    <mergeCell ref="A223:F223"/>
    <mergeCell ref="A187:F187"/>
    <mergeCell ref="A196:B196"/>
    <mergeCell ref="D196:E196"/>
    <mergeCell ref="A197:E197"/>
  </mergeCells>
  <printOptions horizontalCentered="1" gridLines="1"/>
  <pageMargins left="0.11811023622047245" right="0.11811023622047245" top="0.78740157480314965" bottom="0.59055118110236227" header="0.31496062992125984" footer="0.31496062992125984"/>
  <pageSetup paperSize="9" scale="91" orientation="portrait" r:id="rId1"/>
  <rowBreaks count="1" manualBreakCount="1">
    <brk id="36" max="5" man="1"/>
  </rowBreaks>
  <legacy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P17"/>
  <sheetViews>
    <sheetView workbookViewId="0">
      <selection activeCell="M22" sqref="M22"/>
    </sheetView>
  </sheetViews>
  <sheetFormatPr defaultRowHeight="15" x14ac:dyDescent="0.25"/>
  <cols>
    <col min="2" max="2" width="15.5703125" customWidth="1"/>
    <col min="3" max="3" width="14.7109375" customWidth="1"/>
    <col min="4" max="4" width="16.140625" customWidth="1"/>
    <col min="5" max="5" width="15.140625" customWidth="1"/>
    <col min="6" max="6" width="14.85546875" customWidth="1"/>
    <col min="7" max="7" width="19.28515625" customWidth="1"/>
    <col min="9" max="9" width="15.42578125" customWidth="1"/>
    <col min="10" max="10" width="17.42578125" customWidth="1"/>
    <col min="12" max="12" width="14.28515625" customWidth="1"/>
    <col min="13" max="13" width="14" customWidth="1"/>
    <col min="15" max="15" width="12.7109375" customWidth="1"/>
    <col min="16" max="16" width="14.5703125" customWidth="1"/>
  </cols>
  <sheetData>
    <row r="2" spans="1:16" x14ac:dyDescent="0.25">
      <c r="A2" s="482"/>
      <c r="B2" s="482"/>
      <c r="C2" s="482"/>
      <c r="D2" s="482"/>
      <c r="E2" s="482"/>
      <c r="F2" s="482"/>
      <c r="G2" s="482"/>
      <c r="H2" s="482"/>
      <c r="I2" s="637" t="s">
        <v>440</v>
      </c>
      <c r="J2" s="637"/>
      <c r="K2" s="482"/>
      <c r="L2" s="637" t="s">
        <v>441</v>
      </c>
      <c r="M2" s="637"/>
      <c r="N2" s="482"/>
      <c r="O2" s="637" t="s">
        <v>447</v>
      </c>
      <c r="P2" s="637"/>
    </row>
    <row r="3" spans="1:16" ht="25.5" x14ac:dyDescent="0.25">
      <c r="A3" s="448" t="s">
        <v>149</v>
      </c>
      <c r="B3" s="372" t="s">
        <v>30</v>
      </c>
      <c r="C3" s="372" t="s">
        <v>78</v>
      </c>
      <c r="D3" s="448" t="s">
        <v>346</v>
      </c>
      <c r="E3" s="448" t="s">
        <v>347</v>
      </c>
      <c r="F3" s="448" t="s">
        <v>71</v>
      </c>
      <c r="G3" s="448" t="s">
        <v>348</v>
      </c>
      <c r="H3" s="482"/>
      <c r="I3" s="448" t="s">
        <v>347</v>
      </c>
      <c r="J3" s="448" t="s">
        <v>71</v>
      </c>
      <c r="K3" s="482"/>
      <c r="L3" s="448" t="s">
        <v>347</v>
      </c>
      <c r="M3" s="448" t="s">
        <v>71</v>
      </c>
      <c r="N3" s="482"/>
      <c r="O3" s="448" t="s">
        <v>444</v>
      </c>
      <c r="P3" s="483" t="s">
        <v>1</v>
      </c>
    </row>
    <row r="4" spans="1:16" x14ac:dyDescent="0.25">
      <c r="A4" s="363">
        <v>1</v>
      </c>
      <c r="B4" s="364" t="s">
        <v>31</v>
      </c>
      <c r="C4" s="470">
        <v>3289.5</v>
      </c>
      <c r="D4" s="365">
        <f>7793.01</f>
        <v>7793.01</v>
      </c>
      <c r="E4" s="363">
        <v>3</v>
      </c>
      <c r="F4" s="365">
        <f>D4*E4</f>
        <v>23379.03</v>
      </c>
      <c r="G4" s="365">
        <f>F4*12</f>
        <v>280548.36</v>
      </c>
      <c r="H4" s="482"/>
      <c r="I4" s="484">
        <v>3</v>
      </c>
      <c r="J4" s="485">
        <v>23379.03</v>
      </c>
      <c r="K4" s="482"/>
      <c r="L4" s="486">
        <v>3</v>
      </c>
      <c r="M4" s="485">
        <v>23379.03</v>
      </c>
      <c r="N4" s="482"/>
      <c r="O4" s="487" t="s">
        <v>443</v>
      </c>
      <c r="P4" s="488">
        <v>2.18E-2</v>
      </c>
    </row>
    <row r="5" spans="1:16" x14ac:dyDescent="0.25">
      <c r="A5" s="363">
        <v>2</v>
      </c>
      <c r="B5" s="364" t="s">
        <v>81</v>
      </c>
      <c r="C5" s="471">
        <v>1287.96</v>
      </c>
      <c r="D5" s="365">
        <f>3791.11</f>
        <v>3791.11</v>
      </c>
      <c r="E5" s="363">
        <v>32</v>
      </c>
      <c r="F5" s="365">
        <f t="shared" ref="F5:F11" si="0">D5*E5</f>
        <v>121315.52</v>
      </c>
      <c r="G5" s="365">
        <f t="shared" ref="G5:G12" si="1">F5*12</f>
        <v>1455786.24</v>
      </c>
      <c r="H5" s="482"/>
      <c r="I5" s="484">
        <v>32</v>
      </c>
      <c r="J5" s="485">
        <v>121315.52</v>
      </c>
      <c r="K5" s="482"/>
      <c r="L5" s="486">
        <v>27</v>
      </c>
      <c r="M5" s="485">
        <f>D5*L5</f>
        <v>102359.97</v>
      </c>
      <c r="N5" s="482"/>
      <c r="O5" s="487" t="s">
        <v>445</v>
      </c>
      <c r="P5" s="488">
        <v>4.3299999999999998E-2</v>
      </c>
    </row>
    <row r="6" spans="1:16" x14ac:dyDescent="0.25">
      <c r="A6" s="363">
        <v>3</v>
      </c>
      <c r="B6" s="364" t="s">
        <v>84</v>
      </c>
      <c r="C6" s="489">
        <f>1466.89</f>
        <v>1466.89</v>
      </c>
      <c r="D6" s="367">
        <v>5056.2</v>
      </c>
      <c r="E6" s="363">
        <v>2</v>
      </c>
      <c r="F6" s="365">
        <f t="shared" si="0"/>
        <v>10112.4</v>
      </c>
      <c r="G6" s="365">
        <f t="shared" si="1"/>
        <v>121348.79999999999</v>
      </c>
      <c r="H6" s="482"/>
      <c r="I6" s="486">
        <v>2</v>
      </c>
      <c r="J6" s="485">
        <f>5255.92*I6</f>
        <v>10511.84</v>
      </c>
      <c r="K6" s="482"/>
      <c r="L6" s="486">
        <v>2</v>
      </c>
      <c r="M6" s="365">
        <v>10112.4</v>
      </c>
      <c r="N6" s="482"/>
      <c r="O6" s="487" t="s">
        <v>446</v>
      </c>
      <c r="P6" s="490">
        <v>1.1492379999999999E-3</v>
      </c>
    </row>
    <row r="7" spans="1:16" x14ac:dyDescent="0.25">
      <c r="A7" s="363">
        <v>4</v>
      </c>
      <c r="B7" s="364" t="s">
        <v>85</v>
      </c>
      <c r="C7" s="471">
        <v>1287.96</v>
      </c>
      <c r="D7" s="365">
        <f>3841.1</f>
        <v>3841.1</v>
      </c>
      <c r="E7" s="363">
        <v>3</v>
      </c>
      <c r="F7" s="365">
        <f t="shared" si="0"/>
        <v>11523.3</v>
      </c>
      <c r="G7" s="365">
        <f t="shared" si="1"/>
        <v>138279.59999999998</v>
      </c>
      <c r="H7" s="482"/>
      <c r="I7" s="484">
        <v>3</v>
      </c>
      <c r="J7" s="485">
        <v>11523.3</v>
      </c>
      <c r="K7" s="482"/>
      <c r="L7" s="486">
        <v>3</v>
      </c>
      <c r="M7" s="485">
        <v>11523.3</v>
      </c>
      <c r="N7" s="482"/>
      <c r="O7" s="491" t="s">
        <v>47</v>
      </c>
      <c r="P7" s="492">
        <f>SUM(P4:P6)</f>
        <v>6.6249237999999988E-2</v>
      </c>
    </row>
    <row r="8" spans="1:16" ht="38.25" x14ac:dyDescent="0.25">
      <c r="A8" s="363">
        <v>5</v>
      </c>
      <c r="B8" s="364" t="s">
        <v>72</v>
      </c>
      <c r="C8" s="493">
        <v>1287.96</v>
      </c>
      <c r="D8" s="365">
        <f>3841.1</f>
        <v>3841.1</v>
      </c>
      <c r="E8" s="363">
        <v>3</v>
      </c>
      <c r="F8" s="365">
        <f t="shared" si="0"/>
        <v>11523.3</v>
      </c>
      <c r="G8" s="365">
        <f t="shared" si="1"/>
        <v>138279.59999999998</v>
      </c>
      <c r="H8" s="482"/>
      <c r="I8" s="486">
        <v>3</v>
      </c>
      <c r="J8" s="494">
        <v>11523.3</v>
      </c>
      <c r="K8" s="482"/>
      <c r="L8" s="486">
        <v>3</v>
      </c>
      <c r="M8" s="495">
        <v>11523.3</v>
      </c>
      <c r="N8" s="482"/>
      <c r="O8" s="482"/>
      <c r="P8" s="482"/>
    </row>
    <row r="9" spans="1:16" x14ac:dyDescent="0.25">
      <c r="A9" s="363">
        <v>6</v>
      </c>
      <c r="B9" s="364" t="s">
        <v>33</v>
      </c>
      <c r="C9" s="471">
        <v>1901.53</v>
      </c>
      <c r="D9" s="365">
        <f>5067.92</f>
        <v>5067.92</v>
      </c>
      <c r="E9" s="363">
        <v>3</v>
      </c>
      <c r="F9" s="365">
        <f t="shared" si="0"/>
        <v>15203.76</v>
      </c>
      <c r="G9" s="365">
        <f t="shared" si="1"/>
        <v>182445.12</v>
      </c>
      <c r="H9" s="482"/>
      <c r="I9" s="484">
        <v>3</v>
      </c>
      <c r="J9" s="485">
        <v>15203.76</v>
      </c>
      <c r="K9" s="482"/>
      <c r="L9" s="486">
        <v>3</v>
      </c>
      <c r="M9" s="485">
        <v>15203.76</v>
      </c>
      <c r="N9" s="482"/>
      <c r="O9" s="725" t="s">
        <v>448</v>
      </c>
      <c r="P9" s="725"/>
    </row>
    <row r="10" spans="1:16" x14ac:dyDescent="0.25">
      <c r="A10" s="363">
        <v>7</v>
      </c>
      <c r="B10" s="364" t="s">
        <v>34</v>
      </c>
      <c r="C10" s="471">
        <v>1287.96</v>
      </c>
      <c r="D10" s="365">
        <f>3802.15</f>
        <v>3802.15</v>
      </c>
      <c r="E10" s="363">
        <v>7</v>
      </c>
      <c r="F10" s="365">
        <f t="shared" si="0"/>
        <v>26615.05</v>
      </c>
      <c r="G10" s="365">
        <f t="shared" si="1"/>
        <v>319380.59999999998</v>
      </c>
      <c r="H10" s="482"/>
      <c r="I10" s="484">
        <v>7</v>
      </c>
      <c r="J10" s="485">
        <v>26615.05</v>
      </c>
      <c r="K10" s="482"/>
      <c r="L10" s="486">
        <v>7</v>
      </c>
      <c r="M10" s="485">
        <v>26615.05</v>
      </c>
      <c r="N10" s="482"/>
      <c r="O10" s="448" t="s">
        <v>444</v>
      </c>
      <c r="P10" s="483" t="s">
        <v>1</v>
      </c>
    </row>
    <row r="11" spans="1:16" x14ac:dyDescent="0.25">
      <c r="A11" s="363">
        <v>8</v>
      </c>
      <c r="B11" s="364" t="s">
        <v>35</v>
      </c>
      <c r="C11" s="471">
        <v>1901.53</v>
      </c>
      <c r="D11" s="365">
        <f>5022.02</f>
        <v>5022.0200000000004</v>
      </c>
      <c r="E11" s="363">
        <v>24</v>
      </c>
      <c r="F11" s="365">
        <f t="shared" si="0"/>
        <v>120528.48000000001</v>
      </c>
      <c r="G11" s="365">
        <f t="shared" si="1"/>
        <v>1446341.7600000002</v>
      </c>
      <c r="H11" s="482"/>
      <c r="I11" s="484">
        <v>24</v>
      </c>
      <c r="J11" s="485">
        <v>120528.48000000001</v>
      </c>
      <c r="K11" s="482"/>
      <c r="L11" s="486">
        <v>24</v>
      </c>
      <c r="M11" s="485">
        <v>120528.48000000001</v>
      </c>
      <c r="N11" s="482"/>
      <c r="O11" s="487" t="s">
        <v>449</v>
      </c>
      <c r="P11" s="488">
        <v>1.09E-2</v>
      </c>
    </row>
    <row r="12" spans="1:16" x14ac:dyDescent="0.25">
      <c r="A12" s="363">
        <v>9</v>
      </c>
      <c r="B12" s="364" t="s">
        <v>36</v>
      </c>
      <c r="C12" s="489">
        <v>1267.1199999999999</v>
      </c>
      <c r="D12" s="367">
        <v>3684.33</v>
      </c>
      <c r="E12" s="363">
        <v>2</v>
      </c>
      <c r="F12" s="365">
        <f>D12*E12</f>
        <v>7368.66</v>
      </c>
      <c r="G12" s="365">
        <f t="shared" si="1"/>
        <v>88423.92</v>
      </c>
      <c r="H12" s="482"/>
      <c r="I12" s="484">
        <v>2</v>
      </c>
      <c r="J12" s="485">
        <v>7368.66</v>
      </c>
      <c r="K12" s="482"/>
      <c r="L12" s="486">
        <v>2</v>
      </c>
      <c r="M12" s="485">
        <v>7368.66</v>
      </c>
      <c r="N12" s="482"/>
      <c r="O12" s="487" t="s">
        <v>450</v>
      </c>
      <c r="P12" s="488">
        <v>3.0200000000000001E-2</v>
      </c>
    </row>
    <row r="13" spans="1:16" x14ac:dyDescent="0.25">
      <c r="A13" s="709" t="s">
        <v>349</v>
      </c>
      <c r="B13" s="710"/>
      <c r="C13" s="710"/>
      <c r="D13" s="711"/>
      <c r="E13" s="448">
        <f>SUM(E4:E12)</f>
        <v>79</v>
      </c>
      <c r="F13" s="366">
        <f>SUM(F4:F12)</f>
        <v>347569.49999999994</v>
      </c>
      <c r="G13" s="366">
        <f>SUM(G4:G12)</f>
        <v>4170834.0000000005</v>
      </c>
      <c r="H13" s="482"/>
      <c r="I13" s="496" t="s">
        <v>47</v>
      </c>
      <c r="J13" s="497">
        <f>SUM(J4:J12)</f>
        <v>347968.93999999994</v>
      </c>
      <c r="K13" s="482"/>
      <c r="L13" s="496" t="s">
        <v>47</v>
      </c>
      <c r="M13" s="498">
        <f>SUM(M4:M12)</f>
        <v>328613.94999999995</v>
      </c>
      <c r="N13" s="482"/>
      <c r="O13" s="487" t="s">
        <v>446</v>
      </c>
      <c r="P13" s="499">
        <v>5.453744E-2</v>
      </c>
    </row>
    <row r="14" spans="1:16" x14ac:dyDescent="0.25">
      <c r="A14" s="482" t="s">
        <v>439</v>
      </c>
      <c r="B14" s="482"/>
      <c r="C14" s="482"/>
      <c r="D14" s="482"/>
      <c r="E14" s="482"/>
      <c r="F14" s="482"/>
      <c r="G14" s="482"/>
      <c r="H14" s="482"/>
      <c r="I14" s="496" t="s">
        <v>451</v>
      </c>
      <c r="J14" s="500">
        <f>J13/F13</f>
        <v>1.0011492377783435</v>
      </c>
      <c r="K14" s="482"/>
      <c r="L14" s="496" t="s">
        <v>452</v>
      </c>
      <c r="M14" s="500">
        <f>M13/F13</f>
        <v>0.94546256216382629</v>
      </c>
      <c r="N14" s="482"/>
      <c r="O14" s="501" t="s">
        <v>47</v>
      </c>
      <c r="P14" s="502">
        <f>SUM(P11:P13)</f>
        <v>9.563743999999999E-2</v>
      </c>
    </row>
    <row r="15" spans="1:16" x14ac:dyDescent="0.25">
      <c r="A15" s="482"/>
      <c r="B15" s="482"/>
      <c r="C15" s="482"/>
      <c r="D15" s="482"/>
      <c r="E15" s="482"/>
      <c r="F15" s="482"/>
      <c r="G15" s="482"/>
      <c r="H15" s="482"/>
      <c r="I15" s="503" t="s">
        <v>442</v>
      </c>
      <c r="J15" s="504">
        <f>J13-F13</f>
        <v>399.44000000000233</v>
      </c>
      <c r="K15" s="482"/>
      <c r="L15" s="505" t="s">
        <v>442</v>
      </c>
      <c r="M15" s="506">
        <f>F13-M13</f>
        <v>18955.549999999988</v>
      </c>
      <c r="N15" s="482"/>
      <c r="O15" s="507" t="s">
        <v>453</v>
      </c>
      <c r="P15" s="482"/>
    </row>
    <row r="17" spans="9:9" x14ac:dyDescent="0.25">
      <c r="I17" s="437"/>
    </row>
  </sheetData>
  <mergeCells count="5">
    <mergeCell ref="A13:D13"/>
    <mergeCell ref="I2:J2"/>
    <mergeCell ref="L2:M2"/>
    <mergeCell ref="O2:P2"/>
    <mergeCell ref="O9:P9"/>
  </mergeCells>
  <pageMargins left="0.511811024" right="0.511811024" top="0.78740157499999996" bottom="0.78740157499999996" header="0.31496062000000002" footer="0.31496062000000002"/>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S59"/>
  <sheetViews>
    <sheetView showGridLines="0" topLeftCell="J16" zoomScale="120" zoomScaleNormal="120" workbookViewId="0">
      <selection activeCell="S32" sqref="S32"/>
    </sheetView>
  </sheetViews>
  <sheetFormatPr defaultColWidth="9.140625" defaultRowHeight="12" customHeight="1" x14ac:dyDescent="0.25"/>
  <cols>
    <col min="1" max="1" width="3.42578125" style="63" bestFit="1" customWidth="1"/>
    <col min="2" max="2" width="43.85546875" style="64" bestFit="1" customWidth="1"/>
    <col min="3" max="3" width="6.42578125" style="63" bestFit="1" customWidth="1"/>
    <col min="4" max="4" width="37.28515625" style="65" bestFit="1" customWidth="1"/>
    <col min="5" max="5" width="21.5703125" style="66" customWidth="1"/>
    <col min="6" max="6" width="3.85546875" style="66" customWidth="1"/>
    <col min="7" max="7" width="38.5703125" style="66" customWidth="1"/>
    <col min="8" max="8" width="8.85546875" style="66" customWidth="1"/>
    <col min="9" max="9" width="57.85546875" style="66" customWidth="1"/>
    <col min="10" max="10" width="9.140625" style="66"/>
    <col min="11" max="11" width="6.140625" style="66" customWidth="1"/>
    <col min="12" max="12" width="42.140625" style="66" customWidth="1"/>
    <col min="13" max="13" width="9.140625" style="66"/>
    <col min="14" max="14" width="34.7109375" style="66" customWidth="1"/>
    <col min="15" max="16" width="9.140625" style="66"/>
    <col min="17" max="17" width="40.140625" style="66" customWidth="1"/>
    <col min="18" max="18" width="9.140625" style="66"/>
    <col min="19" max="19" width="28.140625" style="66" customWidth="1"/>
    <col min="20" max="16384" width="9.140625" style="66"/>
  </cols>
  <sheetData>
    <row r="2" spans="1:19" ht="10.5" customHeight="1" x14ac:dyDescent="0.25"/>
    <row r="3" spans="1:19" ht="12" customHeight="1" x14ac:dyDescent="0.25">
      <c r="A3" s="729" t="s">
        <v>276</v>
      </c>
      <c r="B3" s="730"/>
      <c r="C3" s="730"/>
      <c r="D3" s="730"/>
      <c r="F3" s="729" t="s">
        <v>375</v>
      </c>
      <c r="G3" s="730"/>
      <c r="H3" s="730"/>
      <c r="I3" s="730"/>
      <c r="K3" s="729" t="s">
        <v>403</v>
      </c>
      <c r="L3" s="730"/>
      <c r="M3" s="730"/>
      <c r="N3" s="730"/>
      <c r="P3" s="729" t="s">
        <v>401</v>
      </c>
      <c r="Q3" s="730"/>
      <c r="R3" s="730"/>
      <c r="S3" s="730"/>
    </row>
    <row r="4" spans="1:19" ht="12" customHeight="1" x14ac:dyDescent="0.25">
      <c r="A4" s="67" t="s">
        <v>96</v>
      </c>
      <c r="B4" s="68" t="s">
        <v>97</v>
      </c>
      <c r="C4" s="69" t="s">
        <v>1</v>
      </c>
      <c r="D4" s="70" t="s">
        <v>98</v>
      </c>
      <c r="F4" s="67" t="s">
        <v>96</v>
      </c>
      <c r="G4" s="328" t="s">
        <v>97</v>
      </c>
      <c r="H4" s="69" t="s">
        <v>1</v>
      </c>
      <c r="I4" s="70" t="s">
        <v>98</v>
      </c>
      <c r="K4" s="67" t="s">
        <v>96</v>
      </c>
      <c r="L4" s="379" t="s">
        <v>97</v>
      </c>
      <c r="M4" s="69" t="s">
        <v>1</v>
      </c>
      <c r="N4" s="70" t="s">
        <v>98</v>
      </c>
      <c r="P4" s="67" t="s">
        <v>96</v>
      </c>
      <c r="Q4" s="449" t="s">
        <v>97</v>
      </c>
      <c r="R4" s="69" t="s">
        <v>1</v>
      </c>
      <c r="S4" s="70" t="s">
        <v>98</v>
      </c>
    </row>
    <row r="5" spans="1:19" ht="12" customHeight="1" x14ac:dyDescent="0.25">
      <c r="A5" s="71" t="s">
        <v>16</v>
      </c>
      <c r="B5" s="72" t="s">
        <v>10</v>
      </c>
      <c r="C5" s="73">
        <v>20</v>
      </c>
      <c r="D5" s="74" t="s">
        <v>99</v>
      </c>
      <c r="F5" s="71" t="s">
        <v>16</v>
      </c>
      <c r="G5" s="72" t="s">
        <v>10</v>
      </c>
      <c r="H5" s="73">
        <v>20</v>
      </c>
      <c r="I5" s="74" t="s">
        <v>99</v>
      </c>
      <c r="K5" s="71" t="s">
        <v>16</v>
      </c>
      <c r="L5" s="72" t="s">
        <v>10</v>
      </c>
      <c r="M5" s="73">
        <v>20</v>
      </c>
      <c r="N5" s="74" t="s">
        <v>99</v>
      </c>
      <c r="P5" s="71" t="s">
        <v>16</v>
      </c>
      <c r="Q5" s="72" t="s">
        <v>10</v>
      </c>
      <c r="R5" s="73">
        <v>20</v>
      </c>
      <c r="S5" s="74" t="s">
        <v>99</v>
      </c>
    </row>
    <row r="6" spans="1:19" ht="12" customHeight="1" x14ac:dyDescent="0.25">
      <c r="A6" s="71" t="s">
        <v>17</v>
      </c>
      <c r="B6" s="72" t="s">
        <v>100</v>
      </c>
      <c r="C6" s="73">
        <v>1.5</v>
      </c>
      <c r="D6" s="74" t="s">
        <v>101</v>
      </c>
      <c r="F6" s="71" t="s">
        <v>17</v>
      </c>
      <c r="G6" s="72" t="s">
        <v>100</v>
      </c>
      <c r="H6" s="73">
        <v>1.5</v>
      </c>
      <c r="I6" s="74" t="s">
        <v>382</v>
      </c>
      <c r="K6" s="71" t="s">
        <v>17</v>
      </c>
      <c r="L6" s="72" t="s">
        <v>100</v>
      </c>
      <c r="M6" s="73">
        <v>0.75</v>
      </c>
      <c r="N6" s="74" t="s">
        <v>383</v>
      </c>
      <c r="P6" s="71" t="s">
        <v>17</v>
      </c>
      <c r="Q6" s="72" t="s">
        <v>100</v>
      </c>
      <c r="R6" s="73">
        <v>1.5</v>
      </c>
      <c r="S6" s="74" t="s">
        <v>383</v>
      </c>
    </row>
    <row r="7" spans="1:19" ht="12" customHeight="1" x14ac:dyDescent="0.25">
      <c r="A7" s="71" t="s">
        <v>18</v>
      </c>
      <c r="B7" s="72" t="s">
        <v>102</v>
      </c>
      <c r="C7" s="73">
        <v>1</v>
      </c>
      <c r="D7" s="74" t="s">
        <v>103</v>
      </c>
      <c r="F7" s="71" t="s">
        <v>18</v>
      </c>
      <c r="G7" s="72" t="s">
        <v>102</v>
      </c>
      <c r="H7" s="73">
        <v>1</v>
      </c>
      <c r="I7" s="74" t="s">
        <v>103</v>
      </c>
      <c r="K7" s="71" t="s">
        <v>18</v>
      </c>
      <c r="L7" s="72" t="s">
        <v>102</v>
      </c>
      <c r="M7" s="73">
        <v>0.5</v>
      </c>
      <c r="N7" s="74" t="s">
        <v>103</v>
      </c>
      <c r="P7" s="71" t="s">
        <v>18</v>
      </c>
      <c r="Q7" s="72" t="s">
        <v>102</v>
      </c>
      <c r="R7" s="73">
        <v>1</v>
      </c>
      <c r="S7" s="74" t="s">
        <v>103</v>
      </c>
    </row>
    <row r="8" spans="1:19" ht="12" customHeight="1" x14ac:dyDescent="0.25">
      <c r="A8" s="71" t="s">
        <v>19</v>
      </c>
      <c r="B8" s="72" t="s">
        <v>11</v>
      </c>
      <c r="C8" s="73">
        <v>0.2</v>
      </c>
      <c r="D8" s="74" t="s">
        <v>104</v>
      </c>
      <c r="F8" s="71" t="s">
        <v>19</v>
      </c>
      <c r="G8" s="72" t="s">
        <v>11</v>
      </c>
      <c r="H8" s="73">
        <v>0.2</v>
      </c>
      <c r="I8" s="74" t="s">
        <v>104</v>
      </c>
      <c r="K8" s="71" t="s">
        <v>19</v>
      </c>
      <c r="L8" s="72" t="s">
        <v>11</v>
      </c>
      <c r="M8" s="73">
        <v>0.2</v>
      </c>
      <c r="N8" s="74" t="s">
        <v>104</v>
      </c>
      <c r="P8" s="71" t="s">
        <v>19</v>
      </c>
      <c r="Q8" s="72" t="s">
        <v>11</v>
      </c>
      <c r="R8" s="73">
        <v>0.2</v>
      </c>
      <c r="S8" s="74" t="s">
        <v>104</v>
      </c>
    </row>
    <row r="9" spans="1:19" ht="12" customHeight="1" x14ac:dyDescent="0.25">
      <c r="A9" s="71" t="s">
        <v>20</v>
      </c>
      <c r="B9" s="72" t="s">
        <v>25</v>
      </c>
      <c r="C9" s="73">
        <v>2.5</v>
      </c>
      <c r="D9" s="74" t="s">
        <v>105</v>
      </c>
      <c r="F9" s="71" t="s">
        <v>20</v>
      </c>
      <c r="G9" s="72" t="s">
        <v>25</v>
      </c>
      <c r="H9" s="73">
        <v>2.5</v>
      </c>
      <c r="I9" s="74" t="s">
        <v>105</v>
      </c>
      <c r="K9" s="71" t="s">
        <v>20</v>
      </c>
      <c r="L9" s="72" t="s">
        <v>25</v>
      </c>
      <c r="M9" s="73">
        <v>2.5</v>
      </c>
      <c r="N9" s="74" t="s">
        <v>105</v>
      </c>
      <c r="P9" s="71" t="s">
        <v>20</v>
      </c>
      <c r="Q9" s="72" t="s">
        <v>25</v>
      </c>
      <c r="R9" s="73">
        <v>2.5</v>
      </c>
      <c r="S9" s="74" t="s">
        <v>105</v>
      </c>
    </row>
    <row r="10" spans="1:19" ht="12" customHeight="1" x14ac:dyDescent="0.25">
      <c r="A10" s="71" t="s">
        <v>21</v>
      </c>
      <c r="B10" s="72" t="s">
        <v>13</v>
      </c>
      <c r="C10" s="73">
        <v>8</v>
      </c>
      <c r="D10" s="74" t="s">
        <v>106</v>
      </c>
      <c r="F10" s="71" t="s">
        <v>21</v>
      </c>
      <c r="G10" s="72" t="s">
        <v>13</v>
      </c>
      <c r="H10" s="73">
        <v>8</v>
      </c>
      <c r="I10" s="74" t="s">
        <v>106</v>
      </c>
      <c r="K10" s="71" t="s">
        <v>21</v>
      </c>
      <c r="L10" s="72" t="s">
        <v>13</v>
      </c>
      <c r="M10" s="73">
        <v>8</v>
      </c>
      <c r="N10" s="74" t="s">
        <v>106</v>
      </c>
      <c r="P10" s="71" t="s">
        <v>21</v>
      </c>
      <c r="Q10" s="72" t="s">
        <v>13</v>
      </c>
      <c r="R10" s="73">
        <v>8</v>
      </c>
      <c r="S10" s="74" t="s">
        <v>106</v>
      </c>
    </row>
    <row r="11" spans="1:19" ht="12" customHeight="1" x14ac:dyDescent="0.25">
      <c r="A11" s="71" t="s">
        <v>22</v>
      </c>
      <c r="B11" s="72" t="s">
        <v>107</v>
      </c>
      <c r="C11" s="78">
        <f>ROUND((2*1.0189),2)</f>
        <v>2.04</v>
      </c>
      <c r="D11" s="74" t="s">
        <v>194</v>
      </c>
      <c r="E11" s="75"/>
      <c r="F11" s="71" t="s">
        <v>22</v>
      </c>
      <c r="G11" s="72" t="s">
        <v>370</v>
      </c>
      <c r="H11" s="78">
        <f>ROUND((2*1),2)</f>
        <v>2</v>
      </c>
      <c r="I11" s="74" t="s">
        <v>344</v>
      </c>
      <c r="K11" s="71" t="s">
        <v>22</v>
      </c>
      <c r="L11" s="72" t="s">
        <v>370</v>
      </c>
      <c r="M11" s="78">
        <f>ROUND((2*1),2)</f>
        <v>2</v>
      </c>
      <c r="N11" s="74" t="s">
        <v>344</v>
      </c>
      <c r="P11" s="71" t="s">
        <v>22</v>
      </c>
      <c r="Q11" s="72" t="s">
        <v>370</v>
      </c>
      <c r="R11" s="78">
        <v>2.16</v>
      </c>
      <c r="S11" s="438" t="s">
        <v>454</v>
      </c>
    </row>
    <row r="12" spans="1:19" ht="12" customHeight="1" x14ac:dyDescent="0.25">
      <c r="A12" s="71" t="s">
        <v>23</v>
      </c>
      <c r="B12" s="72" t="s">
        <v>12</v>
      </c>
      <c r="C12" s="73">
        <v>0.6</v>
      </c>
      <c r="D12" s="74" t="s">
        <v>108</v>
      </c>
      <c r="F12" s="71" t="s">
        <v>23</v>
      </c>
      <c r="G12" s="72" t="s">
        <v>12</v>
      </c>
      <c r="H12" s="73">
        <v>0.6</v>
      </c>
      <c r="I12" s="74" t="s">
        <v>108</v>
      </c>
      <c r="K12" s="71" t="s">
        <v>23</v>
      </c>
      <c r="L12" s="72" t="s">
        <v>12</v>
      </c>
      <c r="M12" s="73">
        <v>0.6</v>
      </c>
      <c r="N12" s="74" t="s">
        <v>108</v>
      </c>
      <c r="P12" s="71" t="s">
        <v>23</v>
      </c>
      <c r="Q12" s="72" t="s">
        <v>12</v>
      </c>
      <c r="R12" s="73">
        <v>0.6</v>
      </c>
      <c r="S12" s="74" t="s">
        <v>108</v>
      </c>
    </row>
    <row r="13" spans="1:19" ht="12" customHeight="1" x14ac:dyDescent="0.25">
      <c r="A13" s="727" t="s">
        <v>47</v>
      </c>
      <c r="B13" s="728"/>
      <c r="C13" s="76">
        <f>SUM(C5:C12)</f>
        <v>35.840000000000003</v>
      </c>
      <c r="F13" s="727" t="s">
        <v>47</v>
      </c>
      <c r="G13" s="728"/>
      <c r="H13" s="76">
        <f>SUM(H5:H12)</f>
        <v>35.800000000000004</v>
      </c>
      <c r="I13" s="65"/>
      <c r="K13" s="727" t="s">
        <v>47</v>
      </c>
      <c r="L13" s="728"/>
      <c r="M13" s="76">
        <f>SUM(M5:M12)</f>
        <v>34.550000000000004</v>
      </c>
      <c r="N13" s="65"/>
      <c r="P13" s="727" t="s">
        <v>47</v>
      </c>
      <c r="Q13" s="728"/>
      <c r="R13" s="76">
        <f>SUM(R5:R12)</f>
        <v>35.96</v>
      </c>
      <c r="S13" s="65"/>
    </row>
    <row r="14" spans="1:19" ht="12" customHeight="1" x14ac:dyDescent="0.25">
      <c r="F14" s="63"/>
      <c r="G14" s="64"/>
      <c r="H14" s="63"/>
      <c r="I14" s="65"/>
      <c r="K14" s="63"/>
      <c r="L14" s="64"/>
      <c r="M14" s="63"/>
      <c r="N14" s="65"/>
      <c r="P14" s="63"/>
      <c r="Q14" s="64"/>
      <c r="R14" s="63"/>
      <c r="S14" s="65"/>
    </row>
    <row r="15" spans="1:19" ht="12" customHeight="1" x14ac:dyDescent="0.25">
      <c r="A15" s="67" t="s">
        <v>109</v>
      </c>
      <c r="B15" s="68" t="s">
        <v>110</v>
      </c>
      <c r="C15" s="69" t="s">
        <v>1</v>
      </c>
      <c r="D15" s="70" t="s">
        <v>98</v>
      </c>
      <c r="F15" s="67" t="s">
        <v>109</v>
      </c>
      <c r="G15" s="397" t="s">
        <v>110</v>
      </c>
      <c r="H15" s="69" t="s">
        <v>1</v>
      </c>
      <c r="I15" s="70" t="s">
        <v>98</v>
      </c>
      <c r="K15" s="67" t="s">
        <v>109</v>
      </c>
      <c r="L15" s="397" t="s">
        <v>110</v>
      </c>
      <c r="M15" s="69" t="s">
        <v>1</v>
      </c>
      <c r="N15" s="70" t="s">
        <v>98</v>
      </c>
      <c r="P15" s="67" t="s">
        <v>109</v>
      </c>
      <c r="Q15" s="449" t="s">
        <v>110</v>
      </c>
      <c r="R15" s="69" t="s">
        <v>1</v>
      </c>
      <c r="S15" s="70" t="s">
        <v>98</v>
      </c>
    </row>
    <row r="16" spans="1:19" ht="22.5" customHeight="1" x14ac:dyDescent="0.25">
      <c r="A16" s="71" t="s">
        <v>16</v>
      </c>
      <c r="B16" s="72" t="s">
        <v>15</v>
      </c>
      <c r="C16" s="77">
        <v>9.09</v>
      </c>
      <c r="D16" s="74" t="s">
        <v>111</v>
      </c>
      <c r="F16" s="71" t="s">
        <v>16</v>
      </c>
      <c r="G16" s="72" t="s">
        <v>15</v>
      </c>
      <c r="H16" s="77">
        <v>9.09</v>
      </c>
      <c r="I16" s="74" t="s">
        <v>111</v>
      </c>
      <c r="K16" s="71" t="s">
        <v>16</v>
      </c>
      <c r="L16" s="72" t="s">
        <v>15</v>
      </c>
      <c r="M16" s="77">
        <v>9.09</v>
      </c>
      <c r="N16" s="74" t="s">
        <v>111</v>
      </c>
      <c r="P16" s="71" t="s">
        <v>16</v>
      </c>
      <c r="Q16" s="72" t="s">
        <v>15</v>
      </c>
      <c r="R16" s="77">
        <v>9.09</v>
      </c>
      <c r="S16" s="74" t="s">
        <v>111</v>
      </c>
    </row>
    <row r="17" spans="1:19" ht="15" customHeight="1" x14ac:dyDescent="0.25">
      <c r="A17" s="71" t="s">
        <v>17</v>
      </c>
      <c r="B17" s="72" t="s">
        <v>113</v>
      </c>
      <c r="C17" s="77">
        <f>C13*C16/100</f>
        <v>3.2578560000000003</v>
      </c>
      <c r="D17" s="74" t="s">
        <v>112</v>
      </c>
      <c r="F17" s="71" t="s">
        <v>17</v>
      </c>
      <c r="G17" s="72" t="s">
        <v>113</v>
      </c>
      <c r="H17" s="77">
        <f>H13*H16/100</f>
        <v>3.2542200000000001</v>
      </c>
      <c r="I17" s="74" t="s">
        <v>112</v>
      </c>
      <c r="K17" s="71" t="s">
        <v>17</v>
      </c>
      <c r="L17" s="72" t="s">
        <v>113</v>
      </c>
      <c r="M17" s="77">
        <f>M13*M16/100</f>
        <v>3.1405950000000002</v>
      </c>
      <c r="N17" s="74" t="s">
        <v>112</v>
      </c>
      <c r="P17" s="71" t="s">
        <v>17</v>
      </c>
      <c r="Q17" s="72" t="s">
        <v>113</v>
      </c>
      <c r="R17" s="77">
        <f>R13*R16/100</f>
        <v>3.268764</v>
      </c>
      <c r="S17" s="74" t="s">
        <v>112</v>
      </c>
    </row>
    <row r="18" spans="1:19" ht="12" customHeight="1" x14ac:dyDescent="0.25">
      <c r="A18" s="727" t="s">
        <v>47</v>
      </c>
      <c r="B18" s="728"/>
      <c r="C18" s="76">
        <f>SUM(C16:C17)</f>
        <v>12.347856</v>
      </c>
      <c r="F18" s="727" t="s">
        <v>47</v>
      </c>
      <c r="G18" s="728"/>
      <c r="H18" s="76">
        <f>SUM(H16:H17)</f>
        <v>12.34422</v>
      </c>
      <c r="I18" s="65"/>
      <c r="K18" s="727" t="s">
        <v>47</v>
      </c>
      <c r="L18" s="728"/>
      <c r="M18" s="76">
        <f>SUM(M16:M17)</f>
        <v>12.230595000000001</v>
      </c>
      <c r="N18" s="65"/>
      <c r="P18" s="727" t="s">
        <v>47</v>
      </c>
      <c r="Q18" s="728"/>
      <c r="R18" s="76">
        <f>SUM(R16:R17)</f>
        <v>12.358764000000001</v>
      </c>
      <c r="S18" s="65"/>
    </row>
    <row r="19" spans="1:19" ht="12" customHeight="1" x14ac:dyDescent="0.25">
      <c r="F19" s="63"/>
      <c r="G19" s="64"/>
      <c r="H19" s="63"/>
      <c r="I19" s="65"/>
      <c r="K19" s="63"/>
      <c r="L19" s="64"/>
      <c r="M19" s="63"/>
      <c r="N19" s="65"/>
      <c r="P19" s="63"/>
      <c r="Q19" s="64"/>
      <c r="R19" s="63"/>
      <c r="S19" s="65"/>
    </row>
    <row r="20" spans="1:19" ht="12" customHeight="1" x14ac:dyDescent="0.25">
      <c r="A20" s="67" t="s">
        <v>114</v>
      </c>
      <c r="B20" s="68" t="s">
        <v>115</v>
      </c>
      <c r="C20" s="69" t="s">
        <v>1</v>
      </c>
      <c r="D20" s="70" t="s">
        <v>98</v>
      </c>
      <c r="F20" s="67" t="s">
        <v>114</v>
      </c>
      <c r="G20" s="397" t="s">
        <v>115</v>
      </c>
      <c r="H20" s="69" t="s">
        <v>1</v>
      </c>
      <c r="I20" s="70" t="s">
        <v>98</v>
      </c>
      <c r="K20" s="67" t="s">
        <v>114</v>
      </c>
      <c r="L20" s="397" t="s">
        <v>115</v>
      </c>
      <c r="M20" s="69" t="s">
        <v>1</v>
      </c>
      <c r="N20" s="70" t="s">
        <v>98</v>
      </c>
      <c r="P20" s="67" t="s">
        <v>114</v>
      </c>
      <c r="Q20" s="449" t="s">
        <v>115</v>
      </c>
      <c r="R20" s="69" t="s">
        <v>1</v>
      </c>
      <c r="S20" s="70" t="s">
        <v>98</v>
      </c>
    </row>
    <row r="21" spans="1:19" ht="12" customHeight="1" x14ac:dyDescent="0.25">
      <c r="A21" s="71" t="s">
        <v>16</v>
      </c>
      <c r="B21" s="72" t="s">
        <v>115</v>
      </c>
      <c r="C21" s="71">
        <v>0.03</v>
      </c>
      <c r="D21" s="74" t="s">
        <v>116</v>
      </c>
      <c r="F21" s="71" t="s">
        <v>16</v>
      </c>
      <c r="G21" s="72" t="s">
        <v>115</v>
      </c>
      <c r="H21" s="71">
        <v>0.03</v>
      </c>
      <c r="I21" s="74" t="s">
        <v>116</v>
      </c>
      <c r="K21" s="71" t="s">
        <v>16</v>
      </c>
      <c r="L21" s="72" t="s">
        <v>115</v>
      </c>
      <c r="M21" s="71">
        <v>0.03</v>
      </c>
      <c r="N21" s="74" t="s">
        <v>116</v>
      </c>
      <c r="P21" s="71" t="s">
        <v>16</v>
      </c>
      <c r="Q21" s="72" t="s">
        <v>115</v>
      </c>
      <c r="R21" s="71">
        <v>0.03</v>
      </c>
      <c r="S21" s="74" t="s">
        <v>116</v>
      </c>
    </row>
    <row r="22" spans="1:19" ht="12" customHeight="1" x14ac:dyDescent="0.25">
      <c r="A22" s="71" t="s">
        <v>17</v>
      </c>
      <c r="B22" s="72" t="s">
        <v>117</v>
      </c>
      <c r="C22" s="78">
        <f>ROUND((C13*C21/100),2)</f>
        <v>0.01</v>
      </c>
      <c r="F22" s="71" t="s">
        <v>17</v>
      </c>
      <c r="G22" s="72" t="s">
        <v>117</v>
      </c>
      <c r="H22" s="78">
        <f>ROUND((H13*H21/100),2)</f>
        <v>0.01</v>
      </c>
      <c r="I22" s="65"/>
      <c r="K22" s="71" t="s">
        <v>17</v>
      </c>
      <c r="L22" s="72" t="s">
        <v>117</v>
      </c>
      <c r="M22" s="78">
        <f>ROUND((M13*M21/100),2)</f>
        <v>0.01</v>
      </c>
      <c r="N22" s="65"/>
      <c r="P22" s="71" t="s">
        <v>17</v>
      </c>
      <c r="Q22" s="72" t="s">
        <v>117</v>
      </c>
      <c r="R22" s="78">
        <f>ROUND((R13*R21/100),2)</f>
        <v>0.01</v>
      </c>
      <c r="S22" s="65"/>
    </row>
    <row r="23" spans="1:19" ht="12" customHeight="1" x14ac:dyDescent="0.25">
      <c r="A23" s="727" t="s">
        <v>47</v>
      </c>
      <c r="B23" s="728"/>
      <c r="C23" s="76">
        <f>ROUND(SUM(C21:C22),2)</f>
        <v>0.04</v>
      </c>
      <c r="F23" s="727" t="s">
        <v>47</v>
      </c>
      <c r="G23" s="728"/>
      <c r="H23" s="76">
        <f>ROUND(SUM(H21:H22),2)</f>
        <v>0.04</v>
      </c>
      <c r="I23" s="65"/>
      <c r="K23" s="727" t="s">
        <v>47</v>
      </c>
      <c r="L23" s="728"/>
      <c r="M23" s="76">
        <f>ROUND(SUM(M21:M22),2)</f>
        <v>0.04</v>
      </c>
      <c r="N23" s="65"/>
      <c r="P23" s="727" t="s">
        <v>47</v>
      </c>
      <c r="Q23" s="728"/>
      <c r="R23" s="76">
        <f>ROUND(SUM(R21:R22),2)</f>
        <v>0.04</v>
      </c>
      <c r="S23" s="65"/>
    </row>
    <row r="24" spans="1:19" ht="12" customHeight="1" x14ac:dyDescent="0.25">
      <c r="F24" s="63"/>
      <c r="G24" s="64"/>
      <c r="H24" s="63"/>
      <c r="I24" s="65"/>
      <c r="K24" s="63"/>
      <c r="L24" s="64"/>
      <c r="M24" s="63"/>
      <c r="N24" s="65"/>
      <c r="P24" s="63"/>
      <c r="Q24" s="64"/>
      <c r="R24" s="63"/>
      <c r="S24" s="65"/>
    </row>
    <row r="25" spans="1:19" ht="12" customHeight="1" x14ac:dyDescent="0.25">
      <c r="A25" s="67" t="s">
        <v>118</v>
      </c>
      <c r="B25" s="68" t="s">
        <v>119</v>
      </c>
      <c r="C25" s="69" t="s">
        <v>1</v>
      </c>
      <c r="D25" s="70" t="s">
        <v>98</v>
      </c>
      <c r="F25" s="67" t="s">
        <v>118</v>
      </c>
      <c r="G25" s="397" t="s">
        <v>119</v>
      </c>
      <c r="H25" s="69" t="s">
        <v>1</v>
      </c>
      <c r="I25" s="70" t="s">
        <v>98</v>
      </c>
      <c r="K25" s="67" t="s">
        <v>118</v>
      </c>
      <c r="L25" s="397" t="s">
        <v>119</v>
      </c>
      <c r="M25" s="69" t="s">
        <v>1</v>
      </c>
      <c r="N25" s="70" t="s">
        <v>98</v>
      </c>
      <c r="P25" s="67" t="s">
        <v>118</v>
      </c>
      <c r="Q25" s="449" t="s">
        <v>119</v>
      </c>
      <c r="R25" s="69" t="s">
        <v>1</v>
      </c>
      <c r="S25" s="70" t="s">
        <v>98</v>
      </c>
    </row>
    <row r="26" spans="1:19" ht="12" customHeight="1" x14ac:dyDescent="0.25">
      <c r="A26" s="71" t="s">
        <v>16</v>
      </c>
      <c r="B26" s="72" t="s">
        <v>26</v>
      </c>
      <c r="C26" s="77">
        <v>0.42</v>
      </c>
      <c r="D26" s="79" t="s">
        <v>120</v>
      </c>
      <c r="F26" s="71" t="s">
        <v>16</v>
      </c>
      <c r="G26" s="72" t="s">
        <v>26</v>
      </c>
      <c r="H26" s="77">
        <v>0.42</v>
      </c>
      <c r="I26" s="79" t="s">
        <v>120</v>
      </c>
      <c r="K26" s="71" t="s">
        <v>16</v>
      </c>
      <c r="L26" s="72" t="s">
        <v>26</v>
      </c>
      <c r="M26" s="77">
        <v>0.42</v>
      </c>
      <c r="N26" s="79" t="s">
        <v>120</v>
      </c>
      <c r="P26" s="71" t="s">
        <v>16</v>
      </c>
      <c r="Q26" s="72" t="s">
        <v>26</v>
      </c>
      <c r="R26" s="77">
        <v>0.42</v>
      </c>
      <c r="S26" s="79" t="s">
        <v>120</v>
      </c>
    </row>
    <row r="27" spans="1:19" ht="12" customHeight="1" x14ac:dyDescent="0.25">
      <c r="A27" s="71" t="s">
        <v>17</v>
      </c>
      <c r="B27" s="72" t="s">
        <v>37</v>
      </c>
      <c r="C27" s="77">
        <v>0.03</v>
      </c>
      <c r="D27" s="122"/>
      <c r="F27" s="71" t="s">
        <v>17</v>
      </c>
      <c r="G27" s="72" t="s">
        <v>37</v>
      </c>
      <c r="H27" s="77">
        <v>0.03</v>
      </c>
      <c r="I27" s="122"/>
      <c r="K27" s="71" t="s">
        <v>17</v>
      </c>
      <c r="L27" s="72" t="s">
        <v>37</v>
      </c>
      <c r="M27" s="77">
        <v>0.03</v>
      </c>
      <c r="N27" s="122"/>
      <c r="P27" s="71" t="s">
        <v>17</v>
      </c>
      <c r="Q27" s="72" t="s">
        <v>37</v>
      </c>
      <c r="R27" s="77">
        <v>0.03</v>
      </c>
      <c r="S27" s="122"/>
    </row>
    <row r="28" spans="1:19" ht="44.45" customHeight="1" x14ac:dyDescent="0.25">
      <c r="A28" s="71" t="s">
        <v>18</v>
      </c>
      <c r="B28" s="72" t="s">
        <v>27</v>
      </c>
      <c r="C28" s="77">
        <v>4.3600000000000003</v>
      </c>
      <c r="D28" s="80" t="s">
        <v>121</v>
      </c>
      <c r="F28" s="71" t="s">
        <v>18</v>
      </c>
      <c r="G28" s="72" t="s">
        <v>402</v>
      </c>
      <c r="H28" s="77">
        <v>3.49</v>
      </c>
      <c r="I28" s="80" t="s">
        <v>121</v>
      </c>
      <c r="K28" s="71" t="s">
        <v>18</v>
      </c>
      <c r="L28" s="72" t="s">
        <v>402</v>
      </c>
      <c r="M28" s="77">
        <v>3.49</v>
      </c>
      <c r="N28" s="80" t="s">
        <v>121</v>
      </c>
      <c r="P28" s="71" t="s">
        <v>18</v>
      </c>
      <c r="Q28" s="72" t="s">
        <v>402</v>
      </c>
      <c r="R28" s="77">
        <v>3.49</v>
      </c>
      <c r="S28" s="80" t="s">
        <v>121</v>
      </c>
    </row>
    <row r="29" spans="1:19" ht="12" customHeight="1" x14ac:dyDescent="0.25">
      <c r="A29" s="71" t="s">
        <v>19</v>
      </c>
      <c r="B29" s="72" t="s">
        <v>28</v>
      </c>
      <c r="C29" s="77">
        <v>0.02</v>
      </c>
      <c r="F29" s="71" t="s">
        <v>19</v>
      </c>
      <c r="G29" s="72" t="s">
        <v>28</v>
      </c>
      <c r="H29" s="77">
        <v>0.02</v>
      </c>
      <c r="I29" s="65"/>
      <c r="K29" s="71" t="s">
        <v>19</v>
      </c>
      <c r="L29" s="72" t="s">
        <v>28</v>
      </c>
      <c r="M29" s="77">
        <v>0.02</v>
      </c>
      <c r="N29" s="65"/>
      <c r="P29" s="71" t="s">
        <v>19</v>
      </c>
      <c r="Q29" s="72" t="s">
        <v>28</v>
      </c>
      <c r="R29" s="77">
        <v>0.02</v>
      </c>
      <c r="S29" s="65"/>
    </row>
    <row r="30" spans="1:19" ht="12" customHeight="1" x14ac:dyDescent="0.25">
      <c r="A30" s="71" t="s">
        <v>20</v>
      </c>
      <c r="B30" s="72" t="s">
        <v>122</v>
      </c>
      <c r="C30" s="81">
        <v>0.01</v>
      </c>
      <c r="D30" s="82"/>
      <c r="F30" s="71" t="s">
        <v>20</v>
      </c>
      <c r="G30" s="72" t="s">
        <v>122</v>
      </c>
      <c r="H30" s="81">
        <v>0.01</v>
      </c>
      <c r="I30" s="82"/>
      <c r="K30" s="71" t="s">
        <v>20</v>
      </c>
      <c r="L30" s="72" t="s">
        <v>122</v>
      </c>
      <c r="M30" s="81">
        <v>0.01</v>
      </c>
      <c r="N30" s="82"/>
      <c r="P30" s="71" t="s">
        <v>20</v>
      </c>
      <c r="Q30" s="72" t="s">
        <v>122</v>
      </c>
      <c r="R30" s="81">
        <v>0.01</v>
      </c>
      <c r="S30" s="82"/>
    </row>
    <row r="31" spans="1:19" ht="12" customHeight="1" x14ac:dyDescent="0.25">
      <c r="A31" s="71" t="s">
        <v>21</v>
      </c>
      <c r="B31" s="72" t="s">
        <v>29</v>
      </c>
      <c r="C31" s="77">
        <v>0.02</v>
      </c>
      <c r="F31" s="71" t="s">
        <v>21</v>
      </c>
      <c r="G31" s="72" t="s">
        <v>29</v>
      </c>
      <c r="H31" s="77">
        <v>0.02</v>
      </c>
      <c r="I31" s="65"/>
      <c r="K31" s="71" t="s">
        <v>21</v>
      </c>
      <c r="L31" s="72" t="s">
        <v>29</v>
      </c>
      <c r="M31" s="77">
        <v>0.02</v>
      </c>
      <c r="N31" s="65"/>
      <c r="P31" s="71" t="s">
        <v>21</v>
      </c>
      <c r="Q31" s="72" t="s">
        <v>29</v>
      </c>
      <c r="R31" s="77">
        <v>0.02</v>
      </c>
      <c r="S31" s="65"/>
    </row>
    <row r="32" spans="1:19" ht="12" customHeight="1" x14ac:dyDescent="0.25">
      <c r="A32" s="727" t="s">
        <v>47</v>
      </c>
      <c r="B32" s="728"/>
      <c r="C32" s="76">
        <f>SUM(C26:C31)</f>
        <v>4.8599999999999994</v>
      </c>
      <c r="F32" s="727" t="s">
        <v>47</v>
      </c>
      <c r="G32" s="728"/>
      <c r="H32" s="76">
        <f>SUM(H26:H31)</f>
        <v>3.99</v>
      </c>
      <c r="I32" s="65"/>
      <c r="K32" s="727" t="s">
        <v>47</v>
      </c>
      <c r="L32" s="728"/>
      <c r="M32" s="76">
        <f>SUM(M26:M31)</f>
        <v>3.99</v>
      </c>
      <c r="N32" s="65"/>
      <c r="P32" s="727" t="s">
        <v>47</v>
      </c>
      <c r="Q32" s="728"/>
      <c r="R32" s="76">
        <f>SUM(R26:R31)</f>
        <v>3.99</v>
      </c>
      <c r="S32" s="65"/>
    </row>
    <row r="33" spans="1:19" ht="12" customHeight="1" x14ac:dyDescent="0.25">
      <c r="F33" s="63"/>
      <c r="G33" s="64"/>
      <c r="H33" s="63"/>
      <c r="I33" s="65"/>
      <c r="K33" s="63"/>
      <c r="L33" s="64"/>
      <c r="M33" s="63"/>
      <c r="N33" s="65"/>
      <c r="P33" s="63"/>
      <c r="Q33" s="64"/>
      <c r="R33" s="63"/>
      <c r="S33" s="65"/>
    </row>
    <row r="34" spans="1:19" ht="12" customHeight="1" x14ac:dyDescent="0.25">
      <c r="A34" s="67" t="s">
        <v>123</v>
      </c>
      <c r="B34" s="68" t="s">
        <v>124</v>
      </c>
      <c r="C34" s="69" t="s">
        <v>1</v>
      </c>
      <c r="D34" s="70" t="s">
        <v>98</v>
      </c>
      <c r="F34" s="67" t="s">
        <v>123</v>
      </c>
      <c r="G34" s="397" t="s">
        <v>124</v>
      </c>
      <c r="H34" s="69" t="s">
        <v>1</v>
      </c>
      <c r="I34" s="70" t="s">
        <v>98</v>
      </c>
      <c r="K34" s="67" t="s">
        <v>123</v>
      </c>
      <c r="L34" s="397" t="s">
        <v>124</v>
      </c>
      <c r="M34" s="69" t="s">
        <v>1</v>
      </c>
      <c r="N34" s="70" t="s">
        <v>98</v>
      </c>
      <c r="P34" s="67" t="s">
        <v>123</v>
      </c>
      <c r="Q34" s="449" t="s">
        <v>124</v>
      </c>
      <c r="R34" s="69" t="s">
        <v>1</v>
      </c>
      <c r="S34" s="70" t="s">
        <v>98</v>
      </c>
    </row>
    <row r="35" spans="1:19" ht="12" customHeight="1" x14ac:dyDescent="0.25">
      <c r="A35" s="71" t="s">
        <v>16</v>
      </c>
      <c r="B35" s="72" t="s">
        <v>14</v>
      </c>
      <c r="C35" s="71">
        <v>12.12</v>
      </c>
      <c r="D35" s="79" t="s">
        <v>125</v>
      </c>
      <c r="F35" s="71" t="s">
        <v>16</v>
      </c>
      <c r="G35" s="72" t="s">
        <v>14</v>
      </c>
      <c r="H35" s="71">
        <v>12.12</v>
      </c>
      <c r="I35" s="79" t="s">
        <v>125</v>
      </c>
      <c r="K35" s="71" t="s">
        <v>16</v>
      </c>
      <c r="L35" s="72" t="s">
        <v>14</v>
      </c>
      <c r="M35" s="71">
        <v>12.12</v>
      </c>
      <c r="N35" s="79" t="s">
        <v>125</v>
      </c>
      <c r="P35" s="71" t="s">
        <v>16</v>
      </c>
      <c r="Q35" s="72" t="s">
        <v>14</v>
      </c>
      <c r="R35" s="71">
        <v>12.12</v>
      </c>
      <c r="S35" s="79" t="s">
        <v>125</v>
      </c>
    </row>
    <row r="36" spans="1:19" ht="12" customHeight="1" x14ac:dyDescent="0.25">
      <c r="A36" s="71" t="s">
        <v>17</v>
      </c>
      <c r="B36" s="72" t="s">
        <v>126</v>
      </c>
      <c r="C36" s="73">
        <v>1.66</v>
      </c>
      <c r="D36" s="79" t="s">
        <v>127</v>
      </c>
      <c r="F36" s="71" t="s">
        <v>17</v>
      </c>
      <c r="G36" s="72" t="s">
        <v>126</v>
      </c>
      <c r="H36" s="73">
        <v>1.66</v>
      </c>
      <c r="I36" s="79" t="s">
        <v>127</v>
      </c>
      <c r="K36" s="71" t="s">
        <v>17</v>
      </c>
      <c r="L36" s="72" t="s">
        <v>126</v>
      </c>
      <c r="M36" s="73">
        <v>1.66</v>
      </c>
      <c r="N36" s="79" t="s">
        <v>127</v>
      </c>
      <c r="P36" s="71" t="s">
        <v>17</v>
      </c>
      <c r="Q36" s="72" t="s">
        <v>126</v>
      </c>
      <c r="R36" s="73">
        <v>1.66</v>
      </c>
      <c r="S36" s="79" t="s">
        <v>127</v>
      </c>
    </row>
    <row r="37" spans="1:19" ht="12" customHeight="1" x14ac:dyDescent="0.25">
      <c r="A37" s="71" t="s">
        <v>18</v>
      </c>
      <c r="B37" s="72" t="s">
        <v>128</v>
      </c>
      <c r="C37" s="71">
        <v>0.02</v>
      </c>
      <c r="D37" s="80" t="s">
        <v>129</v>
      </c>
      <c r="F37" s="71" t="s">
        <v>18</v>
      </c>
      <c r="G37" s="72" t="s">
        <v>128</v>
      </c>
      <c r="H37" s="71">
        <v>0.02</v>
      </c>
      <c r="I37" s="80" t="s">
        <v>129</v>
      </c>
      <c r="K37" s="71" t="s">
        <v>18</v>
      </c>
      <c r="L37" s="72" t="s">
        <v>128</v>
      </c>
      <c r="M37" s="71">
        <v>0.02</v>
      </c>
      <c r="N37" s="80" t="s">
        <v>129</v>
      </c>
      <c r="P37" s="71" t="s">
        <v>18</v>
      </c>
      <c r="Q37" s="72" t="s">
        <v>128</v>
      </c>
      <c r="R37" s="71">
        <v>0.02</v>
      </c>
      <c r="S37" s="80" t="s">
        <v>129</v>
      </c>
    </row>
    <row r="38" spans="1:19" ht="12" customHeight="1" x14ac:dyDescent="0.25">
      <c r="A38" s="71" t="s">
        <v>19</v>
      </c>
      <c r="B38" s="72" t="s">
        <v>130</v>
      </c>
      <c r="C38" s="73">
        <v>0.28000000000000003</v>
      </c>
      <c r="D38" s="80" t="s">
        <v>131</v>
      </c>
      <c r="F38" s="71" t="s">
        <v>19</v>
      </c>
      <c r="G38" s="72" t="s">
        <v>130</v>
      </c>
      <c r="H38" s="73">
        <v>0.28000000000000003</v>
      </c>
      <c r="I38" s="80" t="s">
        <v>131</v>
      </c>
      <c r="K38" s="71" t="s">
        <v>19</v>
      </c>
      <c r="L38" s="72" t="s">
        <v>130</v>
      </c>
      <c r="M38" s="73">
        <v>0.28000000000000003</v>
      </c>
      <c r="N38" s="80" t="s">
        <v>131</v>
      </c>
      <c r="P38" s="71" t="s">
        <v>19</v>
      </c>
      <c r="Q38" s="72" t="s">
        <v>130</v>
      </c>
      <c r="R38" s="73">
        <v>0.28000000000000003</v>
      </c>
      <c r="S38" s="80" t="s">
        <v>131</v>
      </c>
    </row>
    <row r="39" spans="1:19" ht="12" customHeight="1" x14ac:dyDescent="0.25">
      <c r="A39" s="71" t="s">
        <v>20</v>
      </c>
      <c r="B39" s="72" t="s">
        <v>132</v>
      </c>
      <c r="C39" s="71">
        <v>0.03</v>
      </c>
      <c r="D39" s="79" t="s">
        <v>133</v>
      </c>
      <c r="F39" s="71" t="s">
        <v>20</v>
      </c>
      <c r="G39" s="72" t="s">
        <v>132</v>
      </c>
      <c r="H39" s="71">
        <v>0.03</v>
      </c>
      <c r="I39" s="79" t="s">
        <v>133</v>
      </c>
      <c r="K39" s="71" t="s">
        <v>20</v>
      </c>
      <c r="L39" s="72" t="s">
        <v>132</v>
      </c>
      <c r="M39" s="71">
        <v>0.03</v>
      </c>
      <c r="N39" s="79" t="s">
        <v>133</v>
      </c>
      <c r="P39" s="71" t="s">
        <v>20</v>
      </c>
      <c r="Q39" s="72" t="s">
        <v>132</v>
      </c>
      <c r="R39" s="71">
        <v>0.03</v>
      </c>
      <c r="S39" s="79" t="s">
        <v>133</v>
      </c>
    </row>
    <row r="40" spans="1:19" ht="12" customHeight="1" x14ac:dyDescent="0.25">
      <c r="A40" s="71" t="s">
        <v>21</v>
      </c>
      <c r="B40" s="72" t="s">
        <v>134</v>
      </c>
      <c r="C40" s="73">
        <v>0</v>
      </c>
      <c r="D40" s="83"/>
      <c r="F40" s="71" t="s">
        <v>21</v>
      </c>
      <c r="G40" s="72" t="s">
        <v>134</v>
      </c>
      <c r="H40" s="73">
        <v>0</v>
      </c>
      <c r="I40" s="83"/>
      <c r="K40" s="71" t="s">
        <v>21</v>
      </c>
      <c r="L40" s="72" t="s">
        <v>134</v>
      </c>
      <c r="M40" s="73">
        <v>0</v>
      </c>
      <c r="N40" s="83"/>
      <c r="P40" s="71" t="s">
        <v>21</v>
      </c>
      <c r="Q40" s="72" t="s">
        <v>134</v>
      </c>
      <c r="R40" s="73">
        <v>0</v>
      </c>
      <c r="S40" s="83"/>
    </row>
    <row r="41" spans="1:19" ht="12" customHeight="1" x14ac:dyDescent="0.25">
      <c r="A41" s="726" t="s">
        <v>24</v>
      </c>
      <c r="B41" s="726"/>
      <c r="C41" s="69">
        <f>ROUND(SUM(C35:C39),2)</f>
        <v>14.11</v>
      </c>
      <c r="F41" s="726" t="s">
        <v>24</v>
      </c>
      <c r="G41" s="726"/>
      <c r="H41" s="69">
        <f>ROUND(SUM(H35:H39),2)</f>
        <v>14.11</v>
      </c>
      <c r="I41" s="65"/>
      <c r="K41" s="726" t="s">
        <v>24</v>
      </c>
      <c r="L41" s="726"/>
      <c r="M41" s="69">
        <f>ROUND(SUM(M35:M39),2)</f>
        <v>14.11</v>
      </c>
      <c r="N41" s="65"/>
      <c r="P41" s="726" t="s">
        <v>24</v>
      </c>
      <c r="Q41" s="726"/>
      <c r="R41" s="69">
        <f>ROUND(SUM(R35:R39),2)</f>
        <v>14.11</v>
      </c>
      <c r="S41" s="65"/>
    </row>
    <row r="42" spans="1:19" ht="12" customHeight="1" x14ac:dyDescent="0.25">
      <c r="A42" s="71" t="s">
        <v>22</v>
      </c>
      <c r="B42" s="72" t="s">
        <v>135</v>
      </c>
      <c r="C42" s="78">
        <f>ROUND((C13*C41/100),2)</f>
        <v>5.0599999999999996</v>
      </c>
      <c r="F42" s="71" t="s">
        <v>22</v>
      </c>
      <c r="G42" s="72" t="s">
        <v>135</v>
      </c>
      <c r="H42" s="78">
        <f>ROUND((H13*H41/100),2)</f>
        <v>5.05</v>
      </c>
      <c r="I42" s="65"/>
      <c r="K42" s="71" t="s">
        <v>22</v>
      </c>
      <c r="L42" s="72" t="s">
        <v>135</v>
      </c>
      <c r="M42" s="78">
        <f>ROUND((M13*M41/100),2)</f>
        <v>4.88</v>
      </c>
      <c r="N42" s="65"/>
      <c r="P42" s="71" t="s">
        <v>22</v>
      </c>
      <c r="Q42" s="72" t="s">
        <v>135</v>
      </c>
      <c r="R42" s="78">
        <f>ROUND((R13*R41/100),2)</f>
        <v>5.07</v>
      </c>
      <c r="S42" s="65"/>
    </row>
    <row r="43" spans="1:19" ht="12" customHeight="1" x14ac:dyDescent="0.25">
      <c r="A43" s="727" t="s">
        <v>47</v>
      </c>
      <c r="B43" s="728"/>
      <c r="C43" s="76">
        <f>C41+C42</f>
        <v>19.169999999999998</v>
      </c>
      <c r="F43" s="727" t="s">
        <v>47</v>
      </c>
      <c r="G43" s="728"/>
      <c r="H43" s="76">
        <f>H41+H42</f>
        <v>19.16</v>
      </c>
      <c r="I43" s="65"/>
      <c r="K43" s="727" t="s">
        <v>47</v>
      </c>
      <c r="L43" s="728"/>
      <c r="M43" s="76">
        <f>M41+M42</f>
        <v>18.989999999999998</v>
      </c>
      <c r="N43" s="65"/>
      <c r="P43" s="727" t="s">
        <v>47</v>
      </c>
      <c r="Q43" s="728"/>
      <c r="R43" s="76">
        <f>R41+R42</f>
        <v>19.18</v>
      </c>
      <c r="S43" s="65"/>
    </row>
    <row r="44" spans="1:19" ht="12" customHeight="1" x14ac:dyDescent="0.25">
      <c r="F44" s="63"/>
      <c r="G44" s="64"/>
      <c r="H44" s="63"/>
      <c r="I44" s="65"/>
      <c r="K44" s="63"/>
      <c r="L44" s="64"/>
      <c r="M44" s="63"/>
      <c r="N44" s="65"/>
      <c r="P44" s="63"/>
      <c r="Q44" s="64"/>
      <c r="R44" s="63"/>
      <c r="S44" s="65"/>
    </row>
    <row r="45" spans="1:19" ht="12" customHeight="1" x14ac:dyDescent="0.25">
      <c r="A45" s="726" t="s">
        <v>136</v>
      </c>
      <c r="B45" s="726"/>
      <c r="C45" s="69" t="s">
        <v>1</v>
      </c>
      <c r="F45" s="726" t="s">
        <v>136</v>
      </c>
      <c r="G45" s="726"/>
      <c r="H45" s="69" t="s">
        <v>1</v>
      </c>
      <c r="I45" s="65"/>
      <c r="K45" s="726" t="s">
        <v>136</v>
      </c>
      <c r="L45" s="726"/>
      <c r="M45" s="69" t="s">
        <v>1</v>
      </c>
      <c r="N45" s="65"/>
      <c r="P45" s="726" t="s">
        <v>136</v>
      </c>
      <c r="Q45" s="726"/>
      <c r="R45" s="69" t="s">
        <v>1</v>
      </c>
      <c r="S45" s="65"/>
    </row>
    <row r="46" spans="1:19" ht="12" customHeight="1" x14ac:dyDescent="0.25">
      <c r="A46" s="71" t="s">
        <v>96</v>
      </c>
      <c r="B46" s="72" t="s">
        <v>138</v>
      </c>
      <c r="C46" s="73">
        <f>C13</f>
        <v>35.840000000000003</v>
      </c>
      <c r="F46" s="71" t="s">
        <v>96</v>
      </c>
      <c r="G46" s="72" t="s">
        <v>138</v>
      </c>
      <c r="H46" s="73">
        <f>H13</f>
        <v>35.800000000000004</v>
      </c>
      <c r="I46" s="65"/>
      <c r="K46" s="71" t="s">
        <v>96</v>
      </c>
      <c r="L46" s="72" t="s">
        <v>138</v>
      </c>
      <c r="M46" s="73">
        <f>M13</f>
        <v>34.550000000000004</v>
      </c>
      <c r="N46" s="65"/>
      <c r="P46" s="71" t="s">
        <v>96</v>
      </c>
      <c r="Q46" s="72" t="s">
        <v>138</v>
      </c>
      <c r="R46" s="73">
        <f>R13</f>
        <v>35.96</v>
      </c>
      <c r="S46" s="65"/>
    </row>
    <row r="47" spans="1:19" ht="12" customHeight="1" x14ac:dyDescent="0.25">
      <c r="A47" s="71" t="s">
        <v>109</v>
      </c>
      <c r="B47" s="72" t="s">
        <v>137</v>
      </c>
      <c r="C47" s="73">
        <f>C18</f>
        <v>12.347856</v>
      </c>
      <c r="F47" s="71" t="s">
        <v>109</v>
      </c>
      <c r="G47" s="72" t="s">
        <v>137</v>
      </c>
      <c r="H47" s="73">
        <f>H18</f>
        <v>12.34422</v>
      </c>
      <c r="I47" s="65"/>
      <c r="K47" s="71" t="s">
        <v>109</v>
      </c>
      <c r="L47" s="72" t="s">
        <v>137</v>
      </c>
      <c r="M47" s="73">
        <f>M18</f>
        <v>12.230595000000001</v>
      </c>
      <c r="N47" s="65"/>
      <c r="P47" s="71" t="s">
        <v>109</v>
      </c>
      <c r="Q47" s="72" t="s">
        <v>137</v>
      </c>
      <c r="R47" s="73">
        <f>R18</f>
        <v>12.358764000000001</v>
      </c>
      <c r="S47" s="65"/>
    </row>
    <row r="48" spans="1:19" s="65" customFormat="1" ht="12" customHeight="1" x14ac:dyDescent="0.25">
      <c r="A48" s="71" t="s">
        <v>114</v>
      </c>
      <c r="B48" s="72" t="s">
        <v>139</v>
      </c>
      <c r="C48" s="73">
        <f>C23</f>
        <v>0.04</v>
      </c>
      <c r="E48" s="66"/>
      <c r="F48" s="71" t="s">
        <v>114</v>
      </c>
      <c r="G48" s="72" t="s">
        <v>139</v>
      </c>
      <c r="H48" s="73">
        <f>H23</f>
        <v>0.04</v>
      </c>
      <c r="K48" s="71" t="s">
        <v>114</v>
      </c>
      <c r="L48" s="72" t="s">
        <v>139</v>
      </c>
      <c r="M48" s="73">
        <f>M23</f>
        <v>0.04</v>
      </c>
      <c r="P48" s="71" t="s">
        <v>114</v>
      </c>
      <c r="Q48" s="72" t="s">
        <v>139</v>
      </c>
      <c r="R48" s="73">
        <f>R23</f>
        <v>0.04</v>
      </c>
    </row>
    <row r="49" spans="1:18" s="65" customFormat="1" ht="12" customHeight="1" x14ac:dyDescent="0.25">
      <c r="A49" s="71" t="s">
        <v>118</v>
      </c>
      <c r="B49" s="72" t="s">
        <v>140</v>
      </c>
      <c r="C49" s="73">
        <f>C32</f>
        <v>4.8599999999999994</v>
      </c>
      <c r="E49" s="66"/>
      <c r="F49" s="71" t="s">
        <v>118</v>
      </c>
      <c r="G49" s="72" t="s">
        <v>140</v>
      </c>
      <c r="H49" s="73">
        <f>H32</f>
        <v>3.99</v>
      </c>
      <c r="K49" s="71" t="s">
        <v>118</v>
      </c>
      <c r="L49" s="72" t="s">
        <v>140</v>
      </c>
      <c r="M49" s="73">
        <f>M32</f>
        <v>3.99</v>
      </c>
      <c r="P49" s="71" t="s">
        <v>118</v>
      </c>
      <c r="Q49" s="72" t="s">
        <v>140</v>
      </c>
      <c r="R49" s="73">
        <f>R32</f>
        <v>3.99</v>
      </c>
    </row>
    <row r="50" spans="1:18" s="65" customFormat="1" ht="12" customHeight="1" x14ac:dyDescent="0.25">
      <c r="A50" s="71" t="s">
        <v>123</v>
      </c>
      <c r="B50" s="72" t="s">
        <v>141</v>
      </c>
      <c r="C50" s="73">
        <f>C43</f>
        <v>19.169999999999998</v>
      </c>
      <c r="E50" s="66"/>
      <c r="F50" s="71" t="s">
        <v>123</v>
      </c>
      <c r="G50" s="72" t="s">
        <v>141</v>
      </c>
      <c r="H50" s="73">
        <f>H43</f>
        <v>19.16</v>
      </c>
      <c r="K50" s="71" t="s">
        <v>123</v>
      </c>
      <c r="L50" s="72" t="s">
        <v>141</v>
      </c>
      <c r="M50" s="73">
        <f>M43</f>
        <v>18.989999999999998</v>
      </c>
      <c r="P50" s="71" t="s">
        <v>123</v>
      </c>
      <c r="Q50" s="72" t="s">
        <v>141</v>
      </c>
      <c r="R50" s="73">
        <f>R43</f>
        <v>19.18</v>
      </c>
    </row>
    <row r="51" spans="1:18" s="65" customFormat="1" ht="12" customHeight="1" x14ac:dyDescent="0.25">
      <c r="A51" s="727" t="s">
        <v>47</v>
      </c>
      <c r="B51" s="728"/>
      <c r="C51" s="76">
        <f>SUM(C46:C50)</f>
        <v>72.257856000000004</v>
      </c>
      <c r="E51" s="66"/>
      <c r="F51" s="727" t="s">
        <v>47</v>
      </c>
      <c r="G51" s="728"/>
      <c r="H51" s="76">
        <f>SUM(H46:H50)</f>
        <v>71.334220000000002</v>
      </c>
      <c r="K51" s="727" t="s">
        <v>47</v>
      </c>
      <c r="L51" s="728"/>
      <c r="M51" s="76">
        <f>SUM(M46:M50)</f>
        <v>69.800595000000001</v>
      </c>
      <c r="P51" s="727" t="s">
        <v>47</v>
      </c>
      <c r="Q51" s="728"/>
      <c r="R51" s="76">
        <f>SUM(R46:R50)</f>
        <v>71.528763999999995</v>
      </c>
    </row>
    <row r="52" spans="1:18" s="65" customFormat="1" ht="12" customHeight="1" x14ac:dyDescent="0.25">
      <c r="A52" s="63"/>
      <c r="B52" s="64"/>
      <c r="C52" s="63"/>
      <c r="E52" s="66"/>
      <c r="F52" s="63"/>
      <c r="G52" s="64"/>
      <c r="H52" s="63"/>
      <c r="K52" s="63"/>
      <c r="L52" s="64"/>
      <c r="M52" s="63"/>
      <c r="P52" s="63"/>
      <c r="Q52" s="64"/>
      <c r="R52" s="63"/>
    </row>
    <row r="53" spans="1:18" s="65" customFormat="1" ht="12" customHeight="1" x14ac:dyDescent="0.25">
      <c r="A53" s="67" t="s">
        <v>142</v>
      </c>
      <c r="B53" s="68" t="s">
        <v>143</v>
      </c>
      <c r="C53" s="69" t="s">
        <v>1</v>
      </c>
      <c r="E53" s="66"/>
      <c r="F53" s="67" t="s">
        <v>142</v>
      </c>
      <c r="G53" s="397" t="s">
        <v>143</v>
      </c>
      <c r="H53" s="69" t="s">
        <v>1</v>
      </c>
      <c r="K53" s="67" t="s">
        <v>142</v>
      </c>
      <c r="L53" s="397" t="s">
        <v>143</v>
      </c>
      <c r="M53" s="69" t="s">
        <v>1</v>
      </c>
      <c r="P53" s="67" t="s">
        <v>142</v>
      </c>
      <c r="Q53" s="449" t="s">
        <v>143</v>
      </c>
      <c r="R53" s="69" t="s">
        <v>1</v>
      </c>
    </row>
    <row r="54" spans="1:18" s="65" customFormat="1" ht="12" customHeight="1" x14ac:dyDescent="0.25">
      <c r="A54" s="69" t="s">
        <v>16</v>
      </c>
      <c r="B54" s="84" t="s">
        <v>144</v>
      </c>
      <c r="C54" s="89">
        <v>1.2699999999999999E-2</v>
      </c>
      <c r="E54" s="66"/>
      <c r="F54" s="69" t="s">
        <v>16</v>
      </c>
      <c r="G54" s="84" t="s">
        <v>144</v>
      </c>
      <c r="H54" s="89">
        <v>1.2699999999999999E-2</v>
      </c>
      <c r="K54" s="69" t="s">
        <v>16</v>
      </c>
      <c r="L54" s="84" t="s">
        <v>144</v>
      </c>
      <c r="M54" s="89">
        <v>1.2699999999999999E-2</v>
      </c>
      <c r="P54" s="69" t="s">
        <v>16</v>
      </c>
      <c r="Q54" s="84" t="s">
        <v>144</v>
      </c>
      <c r="R54" s="89">
        <v>1.2699999999999999E-2</v>
      </c>
    </row>
    <row r="55" spans="1:18" s="65" customFormat="1" ht="12" customHeight="1" x14ac:dyDescent="0.25">
      <c r="A55" s="71" t="s">
        <v>17</v>
      </c>
      <c r="B55" s="72" t="s">
        <v>3</v>
      </c>
      <c r="C55" s="90">
        <v>0.14249999999999999</v>
      </c>
      <c r="E55" s="66"/>
      <c r="F55" s="71" t="s">
        <v>17</v>
      </c>
      <c r="G55" s="72" t="s">
        <v>3</v>
      </c>
      <c r="H55" s="90">
        <v>0.14249999999999999</v>
      </c>
      <c r="K55" s="71" t="s">
        <v>17</v>
      </c>
      <c r="L55" s="72" t="s">
        <v>3</v>
      </c>
      <c r="M55" s="90">
        <v>0.14249999999999999</v>
      </c>
      <c r="P55" s="71" t="s">
        <v>17</v>
      </c>
      <c r="Q55" s="72" t="s">
        <v>3</v>
      </c>
      <c r="R55" s="90">
        <v>0.14249999999999999</v>
      </c>
    </row>
    <row r="56" spans="1:18" s="65" customFormat="1" ht="12" customHeight="1" x14ac:dyDescent="0.25">
      <c r="A56" s="71"/>
      <c r="B56" s="72" t="s">
        <v>145</v>
      </c>
      <c r="C56" s="91">
        <v>7.5999999999999998E-2</v>
      </c>
      <c r="E56" s="66"/>
      <c r="F56" s="71"/>
      <c r="G56" s="72" t="s">
        <v>145</v>
      </c>
      <c r="H56" s="91">
        <v>7.5999999999999998E-2</v>
      </c>
      <c r="K56" s="71"/>
      <c r="L56" s="72" t="s">
        <v>145</v>
      </c>
      <c r="M56" s="91">
        <v>7.5999999999999998E-2</v>
      </c>
      <c r="P56" s="71"/>
      <c r="Q56" s="72" t="s">
        <v>145</v>
      </c>
      <c r="R56" s="91">
        <v>7.5999999999999998E-2</v>
      </c>
    </row>
    <row r="57" spans="1:18" s="65" customFormat="1" ht="12" customHeight="1" x14ac:dyDescent="0.25">
      <c r="A57" s="71"/>
      <c r="B57" s="72" t="s">
        <v>146</v>
      </c>
      <c r="C57" s="91">
        <v>1.6500000000000001E-2</v>
      </c>
      <c r="E57" s="66"/>
      <c r="F57" s="71"/>
      <c r="G57" s="72" t="s">
        <v>146</v>
      </c>
      <c r="H57" s="91">
        <v>1.6500000000000001E-2</v>
      </c>
      <c r="K57" s="71"/>
      <c r="L57" s="72" t="s">
        <v>146</v>
      </c>
      <c r="M57" s="91">
        <v>1.6500000000000001E-2</v>
      </c>
      <c r="P57" s="71"/>
      <c r="Q57" s="72" t="s">
        <v>146</v>
      </c>
      <c r="R57" s="91">
        <v>1.6500000000000001E-2</v>
      </c>
    </row>
    <row r="58" spans="1:18" s="65" customFormat="1" ht="12" customHeight="1" x14ac:dyDescent="0.25">
      <c r="A58" s="71"/>
      <c r="B58" s="72" t="s">
        <v>147</v>
      </c>
      <c r="C58" s="92">
        <v>0.05</v>
      </c>
      <c r="E58" s="66"/>
      <c r="F58" s="71"/>
      <c r="G58" s="72" t="s">
        <v>147</v>
      </c>
      <c r="H58" s="92">
        <v>0.05</v>
      </c>
      <c r="K58" s="71"/>
      <c r="L58" s="72" t="s">
        <v>147</v>
      </c>
      <c r="M58" s="92">
        <v>0.05</v>
      </c>
      <c r="P58" s="71"/>
      <c r="Q58" s="72" t="s">
        <v>147</v>
      </c>
      <c r="R58" s="92">
        <v>0.05</v>
      </c>
    </row>
    <row r="59" spans="1:18" s="65" customFormat="1" ht="12" customHeight="1" x14ac:dyDescent="0.25">
      <c r="A59" s="69" t="s">
        <v>18</v>
      </c>
      <c r="B59" s="84" t="s">
        <v>4</v>
      </c>
      <c r="C59" s="93">
        <v>0.01</v>
      </c>
      <c r="E59" s="66"/>
      <c r="F59" s="69" t="s">
        <v>18</v>
      </c>
      <c r="G59" s="84" t="s">
        <v>4</v>
      </c>
      <c r="H59" s="93">
        <v>0.01</v>
      </c>
      <c r="K59" s="69" t="s">
        <v>18</v>
      </c>
      <c r="L59" s="84" t="s">
        <v>4</v>
      </c>
      <c r="M59" s="93">
        <v>0.01</v>
      </c>
      <c r="P59" s="69" t="s">
        <v>18</v>
      </c>
      <c r="Q59" s="84" t="s">
        <v>4</v>
      </c>
      <c r="R59" s="93">
        <v>0.01</v>
      </c>
    </row>
  </sheetData>
  <mergeCells count="36">
    <mergeCell ref="P41:Q41"/>
    <mergeCell ref="P43:Q43"/>
    <mergeCell ref="P45:Q45"/>
    <mergeCell ref="P51:Q51"/>
    <mergeCell ref="P3:S3"/>
    <mergeCell ref="P13:Q13"/>
    <mergeCell ref="P18:Q18"/>
    <mergeCell ref="P23:Q23"/>
    <mergeCell ref="P32:Q32"/>
    <mergeCell ref="K43:L43"/>
    <mergeCell ref="K45:L45"/>
    <mergeCell ref="K51:L51"/>
    <mergeCell ref="K3:N3"/>
    <mergeCell ref="K13:L13"/>
    <mergeCell ref="K18:L18"/>
    <mergeCell ref="K23:L23"/>
    <mergeCell ref="K32:L32"/>
    <mergeCell ref="K41:L41"/>
    <mergeCell ref="F41:G41"/>
    <mergeCell ref="F43:G43"/>
    <mergeCell ref="F45:G45"/>
    <mergeCell ref="F51:G51"/>
    <mergeCell ref="F3:I3"/>
    <mergeCell ref="F13:G13"/>
    <mergeCell ref="F18:G18"/>
    <mergeCell ref="F23:G23"/>
    <mergeCell ref="F32:G32"/>
    <mergeCell ref="A41:B41"/>
    <mergeCell ref="A43:B43"/>
    <mergeCell ref="A45:B45"/>
    <mergeCell ref="A51:B51"/>
    <mergeCell ref="A3:D3"/>
    <mergeCell ref="A13:B13"/>
    <mergeCell ref="A18:B18"/>
    <mergeCell ref="A23:B23"/>
    <mergeCell ref="A32:B32"/>
  </mergeCells>
  <pageMargins left="0.31496062992125984" right="0.11811023622047245" top="0.59055118110236227" bottom="0.39370078740157483" header="0.31496062992125984" footer="0.31496062992125984"/>
  <pageSetup paperSize="9" scale="90" orientation="portrait" horizontalDpi="1200" verticalDpi="1200" r:id="rId1"/>
  <headerFooter>
    <oddHeader>&amp;L&amp;"Arial,Negrito"&amp;10PODER JUDICIÁRIO
CONSELHO DA JUSTIÇA FEDERAL</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3:O29"/>
  <sheetViews>
    <sheetView showGridLines="0" zoomScaleNormal="100" workbookViewId="0">
      <selection activeCell="C24" sqref="C24"/>
    </sheetView>
  </sheetViews>
  <sheetFormatPr defaultColWidth="11.5703125" defaultRowHeight="18" customHeight="1" x14ac:dyDescent="0.25"/>
  <cols>
    <col min="1" max="1" width="23.5703125" style="187" customWidth="1"/>
    <col min="2" max="2" width="23.42578125" style="167" customWidth="1"/>
    <col min="3" max="3" width="17.140625" style="167" customWidth="1"/>
    <col min="4" max="4" width="14.85546875" style="167" customWidth="1"/>
    <col min="5" max="5" width="15" style="167" customWidth="1"/>
    <col min="6" max="6" width="21.42578125" style="167" customWidth="1"/>
    <col min="7" max="7" width="21.5703125" style="167" customWidth="1"/>
    <col min="8" max="8" width="23.85546875" style="167" customWidth="1"/>
    <col min="9" max="9" width="20.42578125" style="167" customWidth="1"/>
    <col min="10" max="16384" width="11.5703125" style="167"/>
  </cols>
  <sheetData>
    <row r="3" spans="1:15" s="164" customFormat="1" ht="19.5" customHeight="1" x14ac:dyDescent="0.25">
      <c r="A3" s="732" t="s">
        <v>222</v>
      </c>
      <c r="B3" s="732"/>
      <c r="C3" s="732"/>
      <c r="D3" s="732"/>
      <c r="E3" s="732"/>
      <c r="F3" s="161"/>
      <c r="G3" s="162"/>
      <c r="H3" s="163"/>
    </row>
    <row r="4" spans="1:15" s="164" customFormat="1" ht="19.5" customHeight="1" x14ac:dyDescent="0.25">
      <c r="A4" s="733" t="s">
        <v>223</v>
      </c>
      <c r="B4" s="733"/>
      <c r="C4" s="733"/>
      <c r="D4" s="733"/>
      <c r="E4" s="733"/>
      <c r="F4" s="165"/>
      <c r="G4" s="162"/>
      <c r="H4" s="163"/>
    </row>
    <row r="5" spans="1:15" s="164" customFormat="1" ht="18" customHeight="1" x14ac:dyDescent="0.25">
      <c r="A5" s="733" t="s">
        <v>224</v>
      </c>
      <c r="B5" s="733"/>
      <c r="C5" s="733"/>
      <c r="D5" s="733"/>
      <c r="E5" s="733"/>
      <c r="F5" s="165"/>
      <c r="G5" s="162"/>
      <c r="H5" s="163"/>
    </row>
    <row r="6" spans="1:15" s="164" customFormat="1" ht="18" customHeight="1" x14ac:dyDescent="0.25">
      <c r="A6" s="165" t="s">
        <v>241</v>
      </c>
      <c r="B6" s="165"/>
      <c r="C6" s="165"/>
      <c r="D6" s="165"/>
      <c r="E6" s="165"/>
      <c r="F6" s="162"/>
      <c r="G6" s="162"/>
      <c r="H6" s="163"/>
    </row>
    <row r="7" spans="1:15" s="164" customFormat="1" ht="18" customHeight="1" x14ac:dyDescent="0.25">
      <c r="A7" s="165" t="s">
        <v>225</v>
      </c>
      <c r="B7" s="165"/>
      <c r="C7" s="165"/>
      <c r="D7" s="165"/>
      <c r="E7" s="165"/>
      <c r="F7" s="162"/>
      <c r="G7" s="162"/>
      <c r="H7" s="163"/>
    </row>
    <row r="8" spans="1:15" ht="18" customHeight="1" x14ac:dyDescent="0.25">
      <c r="A8" s="166"/>
      <c r="B8" s="166"/>
      <c r="C8" s="166"/>
      <c r="D8" s="166"/>
      <c r="E8" s="166"/>
      <c r="F8" s="166"/>
    </row>
    <row r="9" spans="1:15" ht="18" customHeight="1" x14ac:dyDescent="0.25">
      <c r="A9" s="168" t="s">
        <v>226</v>
      </c>
      <c r="B9" s="168" t="s">
        <v>227</v>
      </c>
      <c r="C9" s="168" t="s">
        <v>228</v>
      </c>
      <c r="E9" s="169"/>
      <c r="F9" s="170"/>
      <c r="G9" s="171"/>
    </row>
    <row r="10" spans="1:15" ht="18" customHeight="1" x14ac:dyDescent="0.25">
      <c r="A10" s="172"/>
      <c r="B10" s="173"/>
      <c r="C10" s="174">
        <v>100</v>
      </c>
    </row>
    <row r="11" spans="1:15" ht="18" customHeight="1" x14ac:dyDescent="0.25">
      <c r="A11" s="175">
        <v>43040</v>
      </c>
      <c r="B11" s="176">
        <v>8.0000000000000002E-3</v>
      </c>
      <c r="C11" s="177">
        <f>C10*B11+C10</f>
        <v>100.8</v>
      </c>
      <c r="G11" s="178"/>
      <c r="H11" s="178"/>
      <c r="I11" s="178"/>
      <c r="J11" s="178"/>
      <c r="K11" s="178"/>
    </row>
    <row r="12" spans="1:15" ht="18" customHeight="1" x14ac:dyDescent="0.25">
      <c r="A12" s="175">
        <v>43070</v>
      </c>
      <c r="B12" s="176">
        <v>7.4000000000000003E-3</v>
      </c>
      <c r="C12" s="177">
        <f t="shared" ref="C12:C22" si="0">C11*B12+C11</f>
        <v>101.54592</v>
      </c>
      <c r="G12" s="178"/>
      <c r="H12" s="178"/>
      <c r="I12" s="178"/>
      <c r="J12" s="178"/>
      <c r="K12" s="178"/>
    </row>
    <row r="13" spans="1:15" ht="18" customHeight="1" x14ac:dyDescent="0.25">
      <c r="A13" s="175">
        <v>43101</v>
      </c>
      <c r="B13" s="176">
        <v>5.7999999999999996E-3</v>
      </c>
      <c r="C13" s="177">
        <f t="shared" si="0"/>
        <v>102.13488633599999</v>
      </c>
      <c r="J13" s="178"/>
      <c r="K13" s="178"/>
      <c r="L13" s="178"/>
      <c r="M13" s="178"/>
      <c r="N13" s="178"/>
      <c r="O13" s="178"/>
    </row>
    <row r="14" spans="1:15" ht="18" customHeight="1" x14ac:dyDescent="0.25">
      <c r="A14" s="175">
        <v>43132</v>
      </c>
      <c r="B14" s="176">
        <v>1.5E-3</v>
      </c>
      <c r="C14" s="177">
        <f t="shared" si="0"/>
        <v>102.28808866550399</v>
      </c>
      <c r="D14" s="164"/>
      <c r="E14" s="164"/>
      <c r="F14" s="164"/>
      <c r="G14" s="164"/>
    </row>
    <row r="15" spans="1:15" ht="18" customHeight="1" x14ac:dyDescent="0.25">
      <c r="A15" s="175">
        <v>43160</v>
      </c>
      <c r="B15" s="176">
        <v>5.5999999999999999E-3</v>
      </c>
      <c r="C15" s="177">
        <f t="shared" si="0"/>
        <v>102.86090196203081</v>
      </c>
      <c r="D15" s="164"/>
      <c r="E15" s="734"/>
      <c r="F15" s="734"/>
      <c r="G15" s="164">
        <f>100-0.95%</f>
        <v>99.990499999999997</v>
      </c>
      <c r="H15" s="167">
        <f>G15+10.5%</f>
        <v>100.0955</v>
      </c>
    </row>
    <row r="16" spans="1:15" ht="18" customHeight="1" x14ac:dyDescent="0.25">
      <c r="A16" s="175">
        <v>43191</v>
      </c>
      <c r="B16" s="176">
        <v>9.2999999999999992E-3</v>
      </c>
      <c r="C16" s="177">
        <f t="shared" si="0"/>
        <v>103.81750835027769</v>
      </c>
      <c r="D16" s="164"/>
      <c r="E16" s="164"/>
      <c r="F16" s="164"/>
      <c r="G16" s="164">
        <f>G15*10.5%</f>
        <v>10.4990025</v>
      </c>
      <c r="H16" s="167">
        <f>100+9.55%</f>
        <v>100.0955</v>
      </c>
    </row>
    <row r="17" spans="1:8" ht="18" customHeight="1" x14ac:dyDescent="0.25">
      <c r="A17" s="175">
        <v>43221</v>
      </c>
      <c r="B17" s="176">
        <v>1.6400000000000001E-2</v>
      </c>
      <c r="C17" s="177">
        <f t="shared" si="0"/>
        <v>105.52011548722224</v>
      </c>
      <c r="D17" s="164"/>
      <c r="E17" s="179"/>
      <c r="F17" s="164"/>
      <c r="G17" s="164"/>
    </row>
    <row r="18" spans="1:8" ht="18" customHeight="1" x14ac:dyDescent="0.25">
      <c r="A18" s="175">
        <v>43252</v>
      </c>
      <c r="B18" s="176">
        <v>1.4800000000000001E-2</v>
      </c>
      <c r="C18" s="177">
        <f t="shared" si="0"/>
        <v>107.08181319643313</v>
      </c>
      <c r="D18" s="164"/>
      <c r="E18" s="164"/>
      <c r="F18" s="164"/>
      <c r="G18" s="180"/>
    </row>
    <row r="19" spans="1:8" ht="18" customHeight="1" x14ac:dyDescent="0.25">
      <c r="A19" s="175">
        <v>43282</v>
      </c>
      <c r="B19" s="176">
        <v>4.4000000000000003E-3</v>
      </c>
      <c r="C19" s="177">
        <f t="shared" si="0"/>
        <v>107.55297317449744</v>
      </c>
      <c r="D19" s="164"/>
      <c r="E19" s="164"/>
      <c r="F19" s="164"/>
      <c r="G19" s="164">
        <f>10.5+(-0.95)</f>
        <v>9.5500000000000007</v>
      </c>
    </row>
    <row r="20" spans="1:8" ht="18" customHeight="1" x14ac:dyDescent="0.25">
      <c r="A20" s="175">
        <v>43313</v>
      </c>
      <c r="B20" s="176">
        <v>6.7999999999999996E-3</v>
      </c>
      <c r="C20" s="177">
        <f t="shared" si="0"/>
        <v>108.28433339208402</v>
      </c>
      <c r="H20" s="181"/>
    </row>
    <row r="21" spans="1:8" ht="18" customHeight="1" x14ac:dyDescent="0.25">
      <c r="A21" s="175">
        <v>43344</v>
      </c>
      <c r="B21" s="176">
        <v>1.7899999999999999E-2</v>
      </c>
      <c r="C21" s="177">
        <f t="shared" si="0"/>
        <v>110.22262295980232</v>
      </c>
    </row>
    <row r="22" spans="1:8" ht="18" customHeight="1" x14ac:dyDescent="0.25">
      <c r="A22" s="175">
        <v>43374</v>
      </c>
      <c r="B22" s="176">
        <v>2.5999999999999999E-3</v>
      </c>
      <c r="C22" s="177">
        <f t="shared" si="0"/>
        <v>110.50920177949781</v>
      </c>
    </row>
    <row r="23" spans="1:8" ht="18" customHeight="1" x14ac:dyDescent="0.25">
      <c r="A23" s="182"/>
      <c r="B23" s="183"/>
      <c r="C23" s="184">
        <v>0.105</v>
      </c>
      <c r="D23" s="182"/>
      <c r="E23" s="264"/>
      <c r="G23" s="167">
        <v>-0.95</v>
      </c>
    </row>
    <row r="24" spans="1:8" s="185" customFormat="1" ht="33.75" customHeight="1" x14ac:dyDescent="0.25">
      <c r="A24" s="735" t="s">
        <v>263</v>
      </c>
      <c r="B24" s="735"/>
      <c r="C24" s="508">
        <v>-9.4999999999999998E-3</v>
      </c>
      <c r="D24" s="267"/>
      <c r="E24" s="267"/>
    </row>
    <row r="25" spans="1:8" ht="11.25" customHeight="1" x14ac:dyDescent="0.25">
      <c r="A25" s="186"/>
      <c r="B25" s="186"/>
      <c r="C25" s="186"/>
    </row>
    <row r="26" spans="1:8" ht="18" customHeight="1" x14ac:dyDescent="0.25">
      <c r="A26" s="731" t="s">
        <v>47</v>
      </c>
      <c r="B26" s="731"/>
      <c r="C26" s="268">
        <f>10.5+(-0.95)</f>
        <v>9.5500000000000007</v>
      </c>
      <c r="D26" s="171"/>
    </row>
    <row r="27" spans="1:8" ht="18" customHeight="1" x14ac:dyDescent="0.25">
      <c r="C27" s="264"/>
      <c r="D27" s="171"/>
    </row>
    <row r="29" spans="1:8" ht="18" customHeight="1" x14ac:dyDescent="0.25">
      <c r="D29" s="171"/>
    </row>
  </sheetData>
  <mergeCells count="6">
    <mergeCell ref="A26:B26"/>
    <mergeCell ref="A3:E3"/>
    <mergeCell ref="A4:E4"/>
    <mergeCell ref="A5:E5"/>
    <mergeCell ref="E15:F15"/>
    <mergeCell ref="A24:B24"/>
  </mergeCells>
  <printOptions horizontalCentered="1"/>
  <pageMargins left="0.59055118110236227" right="0.19685039370078741" top="0.47244094488188981" bottom="0.39370078740157483" header="0.51181102362204722" footer="0.31496062992125984"/>
  <pageSetup paperSize="9" scale="93" orientation="portrait" verticalDpi="300" r:id="rId1"/>
  <headerFooter alignWithMargins="0">
    <oddHeader>&amp;LPoder Judiciário
Conselho da Justiça Federal</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57"/>
  <sheetViews>
    <sheetView showGridLines="0" topLeftCell="E7" zoomScaleNormal="100" workbookViewId="0">
      <selection activeCell="J29" sqref="J29"/>
    </sheetView>
  </sheetViews>
  <sheetFormatPr defaultColWidth="9.140625" defaultRowHeight="15" customHeight="1" x14ac:dyDescent="0.25"/>
  <cols>
    <col min="1" max="1" width="50.7109375" style="38" customWidth="1"/>
    <col min="2" max="2" width="10.7109375" style="38" customWidth="1"/>
    <col min="3" max="3" width="14.85546875" style="44" customWidth="1"/>
    <col min="4" max="4" width="14.7109375" style="44" customWidth="1"/>
    <col min="5" max="5" width="16.5703125" style="44" customWidth="1"/>
    <col min="6" max="6" width="14.7109375" style="44" customWidth="1"/>
    <col min="7" max="7" width="14.5703125" style="44" customWidth="1"/>
    <col min="8" max="8" width="19.140625" style="44" customWidth="1"/>
    <col min="9" max="9" width="19.140625" style="53" customWidth="1"/>
    <col min="10" max="10" width="18.7109375" style="53" customWidth="1"/>
    <col min="11" max="11" width="18.7109375" style="44" customWidth="1"/>
    <col min="12" max="12" width="17" style="38" customWidth="1"/>
    <col min="13" max="18" width="16.7109375" style="44" customWidth="1"/>
    <col min="19" max="19" width="9.42578125" style="38" bestFit="1" customWidth="1"/>
    <col min="20" max="20" width="255.7109375" style="38" customWidth="1"/>
    <col min="21" max="22" width="9.42578125" style="38" bestFit="1" customWidth="1"/>
    <col min="23" max="25" width="9.140625" style="38"/>
    <col min="26" max="26" width="2.42578125" style="38" customWidth="1"/>
    <col min="27" max="27" width="15.28515625" style="38" customWidth="1"/>
    <col min="28" max="16384" width="9.140625" style="38"/>
  </cols>
  <sheetData>
    <row r="1" spans="1:20" s="44" customFormat="1" ht="33" customHeight="1" x14ac:dyDescent="0.25">
      <c r="A1" s="567" t="s">
        <v>455</v>
      </c>
      <c r="B1" s="567"/>
      <c r="C1" s="567"/>
      <c r="D1" s="567"/>
      <c r="E1" s="567"/>
      <c r="F1" s="567"/>
      <c r="G1" s="567"/>
      <c r="H1" s="567"/>
      <c r="I1" s="567"/>
      <c r="J1" s="567"/>
      <c r="K1" s="567"/>
    </row>
    <row r="2" spans="1:20" s="44" customFormat="1" ht="19.5" customHeight="1" x14ac:dyDescent="0.25">
      <c r="A2" s="272"/>
      <c r="B2" s="272"/>
      <c r="C2" s="272"/>
      <c r="D2" s="272"/>
      <c r="E2" s="272"/>
      <c r="F2" s="272"/>
      <c r="G2" s="272"/>
      <c r="H2" s="272"/>
      <c r="I2" s="546"/>
      <c r="J2" s="546"/>
      <c r="K2" s="272"/>
    </row>
    <row r="3" spans="1:20" ht="12.75" customHeight="1" x14ac:dyDescent="0.25">
      <c r="A3" s="566" t="s">
        <v>456</v>
      </c>
      <c r="B3" s="566"/>
      <c r="C3" s="566"/>
      <c r="D3" s="566"/>
      <c r="E3" s="566"/>
      <c r="F3" s="566"/>
      <c r="G3" s="566"/>
      <c r="H3" s="566"/>
      <c r="I3" s="566"/>
      <c r="J3" s="566"/>
      <c r="K3" s="566"/>
    </row>
    <row r="4" spans="1:20" s="44" customFormat="1" ht="21" customHeight="1" x14ac:dyDescent="0.25">
      <c r="A4" s="565" t="s">
        <v>269</v>
      </c>
      <c r="B4" s="565"/>
      <c r="C4" s="565"/>
      <c r="D4" s="565"/>
      <c r="E4" s="565"/>
      <c r="F4" s="565"/>
      <c r="G4" s="565"/>
      <c r="H4" s="565"/>
      <c r="I4" s="565"/>
      <c r="J4" s="565"/>
      <c r="K4" s="565"/>
    </row>
    <row r="5" spans="1:20" ht="15" customHeight="1" x14ac:dyDescent="0.25">
      <c r="A5" s="576" t="s">
        <v>61</v>
      </c>
      <c r="B5" s="576"/>
      <c r="C5" s="576"/>
      <c r="D5" s="576"/>
      <c r="E5" s="576"/>
      <c r="F5" s="576"/>
      <c r="G5" s="576"/>
      <c r="H5" s="576"/>
      <c r="I5" s="576"/>
      <c r="J5" s="576"/>
      <c r="K5" s="576"/>
      <c r="L5" s="576"/>
      <c r="M5" s="576"/>
      <c r="N5" s="576"/>
      <c r="O5" s="576"/>
      <c r="P5" s="577"/>
      <c r="Q5" s="398"/>
      <c r="R5" s="411"/>
    </row>
    <row r="6" spans="1:20" s="44" customFormat="1" ht="15" customHeight="1" x14ac:dyDescent="0.25">
      <c r="A6" s="570" t="s">
        <v>171</v>
      </c>
      <c r="B6" s="571"/>
      <c r="C6" s="572"/>
      <c r="D6" s="579" t="s">
        <v>172</v>
      </c>
      <c r="E6" s="580"/>
      <c r="F6" s="580"/>
      <c r="G6" s="580"/>
      <c r="H6" s="581"/>
      <c r="I6" s="547"/>
      <c r="J6" s="578" t="s">
        <v>457</v>
      </c>
      <c r="K6" s="578"/>
      <c r="L6" s="578"/>
      <c r="M6" s="578"/>
      <c r="N6" s="578"/>
      <c r="O6" s="578"/>
      <c r="P6" s="579"/>
      <c r="Q6" s="387"/>
      <c r="R6" s="55"/>
    </row>
    <row r="7" spans="1:20" s="44" customFormat="1" ht="15" customHeight="1" x14ac:dyDescent="0.25">
      <c r="A7" s="573"/>
      <c r="B7" s="574"/>
      <c r="C7" s="574"/>
      <c r="D7" s="574"/>
      <c r="E7" s="574"/>
      <c r="F7" s="574"/>
      <c r="G7" s="574"/>
      <c r="H7" s="574"/>
      <c r="I7" s="575"/>
      <c r="J7" s="575"/>
      <c r="K7" s="575"/>
      <c r="L7" s="575"/>
      <c r="M7" s="575"/>
      <c r="N7" s="346"/>
      <c r="O7" s="346"/>
      <c r="P7" s="346"/>
      <c r="Q7" s="346"/>
      <c r="R7" s="346"/>
    </row>
    <row r="8" spans="1:20" s="44" customFormat="1" ht="36" customHeight="1" x14ac:dyDescent="0.25">
      <c r="A8" s="568" t="s">
        <v>69</v>
      </c>
      <c r="B8" s="568"/>
      <c r="C8" s="123" t="s">
        <v>285</v>
      </c>
      <c r="D8" s="287" t="s">
        <v>288</v>
      </c>
      <c r="E8" s="123" t="s">
        <v>287</v>
      </c>
      <c r="F8" s="448" t="s">
        <v>290</v>
      </c>
      <c r="G8" s="439" t="s">
        <v>289</v>
      </c>
      <c r="H8" s="439" t="s">
        <v>292</v>
      </c>
      <c r="I8" s="123" t="s">
        <v>501</v>
      </c>
      <c r="J8" s="123" t="s">
        <v>502</v>
      </c>
      <c r="K8" s="123" t="s">
        <v>291</v>
      </c>
      <c r="L8" s="123" t="s">
        <v>380</v>
      </c>
      <c r="M8" s="123" t="s">
        <v>381</v>
      </c>
      <c r="N8" s="123" t="s">
        <v>384</v>
      </c>
      <c r="O8" s="123" t="s">
        <v>385</v>
      </c>
      <c r="P8" s="399" t="s">
        <v>386</v>
      </c>
      <c r="Q8" s="123" t="s">
        <v>404</v>
      </c>
      <c r="R8" s="123" t="s">
        <v>400</v>
      </c>
      <c r="T8" s="329" t="s">
        <v>325</v>
      </c>
    </row>
    <row r="9" spans="1:20" ht="15" customHeight="1" x14ac:dyDescent="0.25">
      <c r="A9" s="112" t="s">
        <v>60</v>
      </c>
      <c r="B9" s="113"/>
      <c r="C9" s="288">
        <v>2687.37</v>
      </c>
      <c r="D9" s="301">
        <f>2687.37*1.0657</f>
        <v>2863.9302090000001</v>
      </c>
      <c r="E9" s="301">
        <f>2687.37*1.0657</f>
        <v>2863.9302090000001</v>
      </c>
      <c r="F9" s="301">
        <f>2687.37*1.0657</f>
        <v>2863.9302090000001</v>
      </c>
      <c r="G9" s="301">
        <f>2687.37*1.0657</f>
        <v>2863.9302090000001</v>
      </c>
      <c r="H9" s="301">
        <f>ROUND(2863.93*1.031,2)</f>
        <v>2952.71</v>
      </c>
      <c r="I9" s="301">
        <f>ROUND(2863.93*1.031,2)</f>
        <v>2952.71</v>
      </c>
      <c r="J9" s="101">
        <v>3061.96</v>
      </c>
      <c r="K9" s="101">
        <v>3061.96</v>
      </c>
      <c r="L9" s="101">
        <f t="shared" ref="L9:Q9" si="0">ROUND(3061.96*1.032,2)+0.01</f>
        <v>3159.9500000000003</v>
      </c>
      <c r="M9" s="101">
        <f t="shared" si="0"/>
        <v>3159.9500000000003</v>
      </c>
      <c r="N9" s="101">
        <f t="shared" si="0"/>
        <v>3159.9500000000003</v>
      </c>
      <c r="O9" s="101">
        <f t="shared" si="0"/>
        <v>3159.9500000000003</v>
      </c>
      <c r="P9" s="400">
        <f t="shared" si="0"/>
        <v>3159.9500000000003</v>
      </c>
      <c r="Q9" s="101">
        <f t="shared" si="0"/>
        <v>3159.9500000000003</v>
      </c>
      <c r="R9" s="452">
        <f>ROUND(3159.95*1.041,2)-0.01</f>
        <v>3289.5</v>
      </c>
      <c r="T9" s="324" t="s">
        <v>307</v>
      </c>
    </row>
    <row r="10" spans="1:20" ht="15" customHeight="1" x14ac:dyDescent="0.25">
      <c r="A10" s="568" t="s">
        <v>65</v>
      </c>
      <c r="B10" s="568"/>
      <c r="C10" s="289">
        <f t="shared" ref="C10:I10" si="1">C9</f>
        <v>2687.37</v>
      </c>
      <c r="D10" s="289">
        <f t="shared" si="1"/>
        <v>2863.9302090000001</v>
      </c>
      <c r="E10" s="289">
        <f t="shared" si="1"/>
        <v>2863.9302090000001</v>
      </c>
      <c r="F10" s="289">
        <f t="shared" si="1"/>
        <v>2863.9302090000001</v>
      </c>
      <c r="G10" s="289">
        <f t="shared" si="1"/>
        <v>2863.9302090000001</v>
      </c>
      <c r="H10" s="289">
        <f t="shared" si="1"/>
        <v>2952.71</v>
      </c>
      <c r="I10" s="289">
        <f t="shared" si="1"/>
        <v>2952.71</v>
      </c>
      <c r="J10" s="100">
        <f t="shared" ref="J10:R10" si="2">SUM(J9:J9)</f>
        <v>3061.96</v>
      </c>
      <c r="K10" s="100">
        <f t="shared" si="2"/>
        <v>3061.96</v>
      </c>
      <c r="L10" s="100">
        <f t="shared" si="2"/>
        <v>3159.9500000000003</v>
      </c>
      <c r="M10" s="100">
        <f t="shared" si="2"/>
        <v>3159.9500000000003</v>
      </c>
      <c r="N10" s="100">
        <f t="shared" si="2"/>
        <v>3159.9500000000003</v>
      </c>
      <c r="O10" s="100">
        <f t="shared" si="2"/>
        <v>3159.9500000000003</v>
      </c>
      <c r="P10" s="401">
        <f t="shared" si="2"/>
        <v>3159.9500000000003</v>
      </c>
      <c r="Q10" s="100">
        <f t="shared" si="2"/>
        <v>3159.9500000000003</v>
      </c>
      <c r="R10" s="100">
        <f t="shared" si="2"/>
        <v>3289.5</v>
      </c>
      <c r="T10" s="47" t="s">
        <v>308</v>
      </c>
    </row>
    <row r="11" spans="1:20" ht="15" customHeight="1" x14ac:dyDescent="0.25">
      <c r="A11" s="58"/>
      <c r="B11" s="58"/>
      <c r="C11" s="58"/>
      <c r="D11" s="58"/>
      <c r="E11" s="58"/>
      <c r="F11" s="58"/>
      <c r="G11" s="58"/>
      <c r="H11" s="58"/>
      <c r="I11" s="58"/>
      <c r="J11" s="57"/>
      <c r="K11" s="57"/>
      <c r="L11" s="57"/>
      <c r="M11" s="57"/>
      <c r="N11" s="57"/>
      <c r="O11" s="57"/>
      <c r="P11" s="57"/>
      <c r="Q11" s="119"/>
      <c r="R11" s="57"/>
      <c r="T11" s="588" t="s">
        <v>326</v>
      </c>
    </row>
    <row r="12" spans="1:20" ht="15" customHeight="1" x14ac:dyDescent="0.25">
      <c r="A12" s="568" t="s">
        <v>50</v>
      </c>
      <c r="B12" s="568"/>
      <c r="C12" s="111" t="s">
        <v>158</v>
      </c>
      <c r="D12" s="111" t="s">
        <v>158</v>
      </c>
      <c r="E12" s="111" t="s">
        <v>158</v>
      </c>
      <c r="F12" s="111" t="s">
        <v>158</v>
      </c>
      <c r="G12" s="111" t="s">
        <v>158</v>
      </c>
      <c r="H12" s="111" t="s">
        <v>158</v>
      </c>
      <c r="I12" s="111" t="s">
        <v>158</v>
      </c>
      <c r="J12" s="111" t="s">
        <v>158</v>
      </c>
      <c r="K12" s="111" t="s">
        <v>158</v>
      </c>
      <c r="L12" s="111" t="s">
        <v>158</v>
      </c>
      <c r="M12" s="111" t="s">
        <v>158</v>
      </c>
      <c r="N12" s="111" t="s">
        <v>158</v>
      </c>
      <c r="O12" s="111" t="s">
        <v>158</v>
      </c>
      <c r="P12" s="402" t="s">
        <v>158</v>
      </c>
      <c r="Q12" s="111" t="s">
        <v>158</v>
      </c>
      <c r="R12" s="111" t="s">
        <v>158</v>
      </c>
      <c r="T12" s="589"/>
    </row>
    <row r="13" spans="1:20" ht="15" customHeight="1" x14ac:dyDescent="0.25">
      <c r="A13" s="569" t="s">
        <v>9</v>
      </c>
      <c r="B13" s="569"/>
      <c r="C13" s="288">
        <f>ROUND((176-C9*6%),2)</f>
        <v>14.76</v>
      </c>
      <c r="D13" s="302">
        <f>ROUND((176-D9*6%),2)</f>
        <v>4.16</v>
      </c>
      <c r="E13" s="302">
        <f>ROUND((220-E9*6%),2)</f>
        <v>48.16</v>
      </c>
      <c r="F13" s="302">
        <f t="shared" ref="F13:L13" si="3">ROUND((220-F9*6%),2)</f>
        <v>48.16</v>
      </c>
      <c r="G13" s="302">
        <f t="shared" si="3"/>
        <v>48.16</v>
      </c>
      <c r="H13" s="302">
        <f t="shared" si="3"/>
        <v>42.84</v>
      </c>
      <c r="I13" s="302">
        <f t="shared" si="3"/>
        <v>42.84</v>
      </c>
      <c r="J13" s="101">
        <f>ROUND((220-J9*6%),2)</f>
        <v>36.28</v>
      </c>
      <c r="K13" s="101">
        <f t="shared" si="3"/>
        <v>36.28</v>
      </c>
      <c r="L13" s="302">
        <f t="shared" si="3"/>
        <v>30.4</v>
      </c>
      <c r="M13" s="302">
        <f t="shared" ref="M13:R13" si="4">ROUND((22*11)-M9*6%,2)</f>
        <v>52.4</v>
      </c>
      <c r="N13" s="302">
        <f t="shared" si="4"/>
        <v>52.4</v>
      </c>
      <c r="O13" s="302">
        <f t="shared" si="4"/>
        <v>52.4</v>
      </c>
      <c r="P13" s="403">
        <f t="shared" si="4"/>
        <v>52.4</v>
      </c>
      <c r="Q13" s="302">
        <f t="shared" si="4"/>
        <v>52.4</v>
      </c>
      <c r="R13" s="302">
        <f t="shared" si="4"/>
        <v>44.63</v>
      </c>
      <c r="T13" s="589"/>
    </row>
    <row r="14" spans="1:20" ht="15" customHeight="1" x14ac:dyDescent="0.25">
      <c r="A14" s="569" t="s">
        <v>70</v>
      </c>
      <c r="B14" s="569"/>
      <c r="C14" s="290">
        <f>ROUND((22*27.5),2)</f>
        <v>605</v>
      </c>
      <c r="D14" s="302">
        <f>ROUND((22*29.5),2)</f>
        <v>649</v>
      </c>
      <c r="E14" s="302">
        <f>ROUND((22*29.5),2)</f>
        <v>649</v>
      </c>
      <c r="F14" s="302">
        <f>ROUND((22*29.5),2)</f>
        <v>649</v>
      </c>
      <c r="G14" s="302">
        <f>ROUND((22*29.5),2)</f>
        <v>649</v>
      </c>
      <c r="H14" s="302">
        <f>ROUND((22*31.5),2)</f>
        <v>693</v>
      </c>
      <c r="I14" s="302">
        <f>ROUND((22*31.5),2)</f>
        <v>693</v>
      </c>
      <c r="J14" s="116">
        <f>'Anexo Transporte e Alimentacao'!E7</f>
        <v>719.4</v>
      </c>
      <c r="K14" s="116">
        <f>'Anexo Transporte e Alimentacao'!E7</f>
        <v>719.4</v>
      </c>
      <c r="L14" s="116">
        <f t="shared" ref="L14:P14" si="5">ROUND((22*(33.62)),2)</f>
        <v>739.64</v>
      </c>
      <c r="M14" s="116">
        <f t="shared" si="5"/>
        <v>739.64</v>
      </c>
      <c r="N14" s="116">
        <f t="shared" si="5"/>
        <v>739.64</v>
      </c>
      <c r="O14" s="116">
        <f t="shared" si="5"/>
        <v>739.64</v>
      </c>
      <c r="P14" s="404">
        <f t="shared" si="5"/>
        <v>739.64</v>
      </c>
      <c r="Q14" s="116">
        <f>ROUND((22*(33.62)),2)</f>
        <v>739.64</v>
      </c>
      <c r="R14" s="116">
        <f>ROUND((22*(35)),2)</f>
        <v>770</v>
      </c>
      <c r="T14" s="590"/>
    </row>
    <row r="15" spans="1:20" s="44" customFormat="1" ht="15" customHeight="1" x14ac:dyDescent="0.25">
      <c r="A15" s="587" t="s">
        <v>94</v>
      </c>
      <c r="B15" s="587"/>
      <c r="C15" s="290">
        <v>2.5</v>
      </c>
      <c r="D15" s="303">
        <v>1.5</v>
      </c>
      <c r="E15" s="303">
        <v>1.5</v>
      </c>
      <c r="F15" s="303">
        <v>1.5</v>
      </c>
      <c r="G15" s="303">
        <v>1.5</v>
      </c>
      <c r="H15" s="303">
        <v>1.5</v>
      </c>
      <c r="I15" s="303">
        <v>1.5</v>
      </c>
      <c r="J15" s="116">
        <v>0</v>
      </c>
      <c r="K15" s="116">
        <v>0</v>
      </c>
      <c r="L15" s="116">
        <v>0</v>
      </c>
      <c r="M15" s="116">
        <v>0</v>
      </c>
      <c r="N15" s="116">
        <v>0</v>
      </c>
      <c r="O15" s="116">
        <v>0</v>
      </c>
      <c r="P15" s="404">
        <v>0</v>
      </c>
      <c r="Q15" s="116">
        <v>0</v>
      </c>
      <c r="R15" s="116">
        <v>0</v>
      </c>
      <c r="T15" s="357"/>
    </row>
    <row r="16" spans="1:20" ht="15" customHeight="1" x14ac:dyDescent="0.25">
      <c r="A16" s="587" t="s">
        <v>95</v>
      </c>
      <c r="B16" s="587"/>
      <c r="C16" s="290">
        <v>5</v>
      </c>
      <c r="D16" s="303">
        <v>5</v>
      </c>
      <c r="E16" s="303">
        <v>5</v>
      </c>
      <c r="F16" s="303">
        <v>5</v>
      </c>
      <c r="G16" s="303">
        <v>5</v>
      </c>
      <c r="H16" s="303">
        <v>9.9</v>
      </c>
      <c r="I16" s="303">
        <v>9.9</v>
      </c>
      <c r="J16" s="116">
        <v>10.3</v>
      </c>
      <c r="K16" s="116">
        <v>10.3</v>
      </c>
      <c r="L16" s="116">
        <v>10.63</v>
      </c>
      <c r="M16" s="116">
        <v>10.63</v>
      </c>
      <c r="N16" s="116">
        <v>10.63</v>
      </c>
      <c r="O16" s="116">
        <v>10.63</v>
      </c>
      <c r="P16" s="404">
        <v>10.63</v>
      </c>
      <c r="Q16" s="116">
        <v>10.63</v>
      </c>
      <c r="R16" s="116">
        <v>10.63</v>
      </c>
      <c r="T16" s="332" t="s">
        <v>301</v>
      </c>
    </row>
    <row r="17" spans="1:22" ht="15" customHeight="1" x14ac:dyDescent="0.25">
      <c r="A17" s="568" t="s">
        <v>53</v>
      </c>
      <c r="B17" s="568"/>
      <c r="C17" s="291">
        <f t="shared" ref="C17:I17" si="6">SUM(C13:C16)</f>
        <v>627.26</v>
      </c>
      <c r="D17" s="298">
        <f t="shared" si="6"/>
        <v>659.66</v>
      </c>
      <c r="E17" s="298">
        <f t="shared" si="6"/>
        <v>703.66</v>
      </c>
      <c r="F17" s="298">
        <f t="shared" si="6"/>
        <v>703.66</v>
      </c>
      <c r="G17" s="298">
        <f t="shared" si="6"/>
        <v>703.66</v>
      </c>
      <c r="H17" s="298">
        <f t="shared" si="6"/>
        <v>747.24</v>
      </c>
      <c r="I17" s="298">
        <f t="shared" si="6"/>
        <v>747.24</v>
      </c>
      <c r="J17" s="100">
        <f t="shared" ref="J17:R17" si="7">ROUND(SUM(J13:J16),2)</f>
        <v>765.98</v>
      </c>
      <c r="K17" s="100">
        <f t="shared" si="7"/>
        <v>765.98</v>
      </c>
      <c r="L17" s="100">
        <f t="shared" si="7"/>
        <v>780.67</v>
      </c>
      <c r="M17" s="100">
        <f t="shared" si="7"/>
        <v>802.67</v>
      </c>
      <c r="N17" s="100">
        <f t="shared" si="7"/>
        <v>802.67</v>
      </c>
      <c r="O17" s="100">
        <f t="shared" si="7"/>
        <v>802.67</v>
      </c>
      <c r="P17" s="401">
        <f t="shared" si="7"/>
        <v>802.67</v>
      </c>
      <c r="Q17" s="100">
        <f t="shared" si="7"/>
        <v>802.67</v>
      </c>
      <c r="R17" s="100">
        <f t="shared" si="7"/>
        <v>825.26</v>
      </c>
      <c r="T17" s="47" t="s">
        <v>306</v>
      </c>
    </row>
    <row r="18" spans="1:22" ht="15" customHeight="1" x14ac:dyDescent="0.25">
      <c r="A18" s="577" t="s">
        <v>51</v>
      </c>
      <c r="B18" s="597"/>
      <c r="C18" s="111" t="s">
        <v>158</v>
      </c>
      <c r="D18" s="111" t="s">
        <v>158</v>
      </c>
      <c r="E18" s="111" t="s">
        <v>158</v>
      </c>
      <c r="F18" s="111" t="s">
        <v>158</v>
      </c>
      <c r="G18" s="111" t="s">
        <v>158</v>
      </c>
      <c r="H18" s="111" t="s">
        <v>158</v>
      </c>
      <c r="I18" s="111" t="s">
        <v>158</v>
      </c>
      <c r="J18" s="111" t="s">
        <v>158</v>
      </c>
      <c r="K18" s="111" t="s">
        <v>158</v>
      </c>
      <c r="L18" s="111" t="s">
        <v>158</v>
      </c>
      <c r="M18" s="111" t="s">
        <v>158</v>
      </c>
      <c r="N18" s="111" t="s">
        <v>158</v>
      </c>
      <c r="O18" s="111" t="s">
        <v>158</v>
      </c>
      <c r="P18" s="402" t="s">
        <v>158</v>
      </c>
      <c r="Q18" s="111" t="s">
        <v>158</v>
      </c>
      <c r="R18" s="111" t="s">
        <v>158</v>
      </c>
      <c r="T18" s="357"/>
    </row>
    <row r="19" spans="1:22" ht="15" customHeight="1" x14ac:dyDescent="0.25">
      <c r="A19" s="583" t="s">
        <v>0</v>
      </c>
      <c r="B19" s="584"/>
      <c r="C19" s="293">
        <v>49.07</v>
      </c>
      <c r="D19" s="293">
        <f>(228.8+184+16+24+16+120)/12</f>
        <v>49.066666666666663</v>
      </c>
      <c r="E19" s="293">
        <f>(228.8+184+16+24+16+120)/12</f>
        <v>49.066666666666663</v>
      </c>
      <c r="F19" s="293">
        <f>(228.8+184+16+24+16+120)/12</f>
        <v>49.066666666666663</v>
      </c>
      <c r="G19" s="293">
        <f>(228.8+184+16+24+16+120)/12</f>
        <v>49.066666666666663</v>
      </c>
      <c r="H19" s="293">
        <f>(228.8+184+16+24+16+120)/12</f>
        <v>49.066666666666663</v>
      </c>
      <c r="I19" s="101">
        <v>53.76</v>
      </c>
      <c r="J19" s="101">
        <v>53.76</v>
      </c>
      <c r="K19" s="101">
        <f t="shared" ref="K19:P19" si="8">J19</f>
        <v>53.76</v>
      </c>
      <c r="L19" s="101">
        <f t="shared" si="8"/>
        <v>53.76</v>
      </c>
      <c r="M19" s="101">
        <f t="shared" si="8"/>
        <v>53.76</v>
      </c>
      <c r="N19" s="101">
        <f t="shared" si="8"/>
        <v>53.76</v>
      </c>
      <c r="O19" s="101">
        <f t="shared" si="8"/>
        <v>53.76</v>
      </c>
      <c r="P19" s="400">
        <f t="shared" si="8"/>
        <v>53.76</v>
      </c>
      <c r="Q19" s="101">
        <f>61.82</f>
        <v>61.82</v>
      </c>
      <c r="R19" s="101">
        <f>61.82</f>
        <v>61.82</v>
      </c>
      <c r="T19" s="331" t="s">
        <v>304</v>
      </c>
      <c r="U19" s="41"/>
    </row>
    <row r="20" spans="1:22" ht="15" customHeight="1" x14ac:dyDescent="0.25">
      <c r="A20" s="568" t="s">
        <v>54</v>
      </c>
      <c r="B20" s="568"/>
      <c r="C20" s="292">
        <v>49.07</v>
      </c>
      <c r="D20" s="292">
        <v>49.07</v>
      </c>
      <c r="E20" s="292">
        <v>49.07</v>
      </c>
      <c r="F20" s="292">
        <v>49.07</v>
      </c>
      <c r="G20" s="292">
        <v>49.07</v>
      </c>
      <c r="H20" s="292">
        <v>49.07</v>
      </c>
      <c r="I20" s="100">
        <f t="shared" ref="I20:R20" si="9">ROUND(SUM(I19),2)</f>
        <v>53.76</v>
      </c>
      <c r="J20" s="100">
        <f t="shared" si="9"/>
        <v>53.76</v>
      </c>
      <c r="K20" s="100">
        <f t="shared" si="9"/>
        <v>53.76</v>
      </c>
      <c r="L20" s="100">
        <f t="shared" si="9"/>
        <v>53.76</v>
      </c>
      <c r="M20" s="100">
        <f t="shared" si="9"/>
        <v>53.76</v>
      </c>
      <c r="N20" s="100">
        <f t="shared" si="9"/>
        <v>53.76</v>
      </c>
      <c r="O20" s="100">
        <f t="shared" si="9"/>
        <v>53.76</v>
      </c>
      <c r="P20" s="401">
        <f t="shared" si="9"/>
        <v>53.76</v>
      </c>
      <c r="Q20" s="100">
        <f t="shared" si="9"/>
        <v>61.82</v>
      </c>
      <c r="R20" s="100">
        <f t="shared" si="9"/>
        <v>61.82</v>
      </c>
      <c r="T20" s="47" t="s">
        <v>327</v>
      </c>
    </row>
    <row r="21" spans="1:22" ht="15" customHeight="1" x14ac:dyDescent="0.25">
      <c r="A21" s="591" t="s">
        <v>52</v>
      </c>
      <c r="B21" s="592"/>
      <c r="C21" s="111" t="s">
        <v>229</v>
      </c>
      <c r="D21" s="111" t="s">
        <v>229</v>
      </c>
      <c r="E21" s="111" t="s">
        <v>229</v>
      </c>
      <c r="F21" s="111" t="s">
        <v>229</v>
      </c>
      <c r="G21" s="111" t="s">
        <v>229</v>
      </c>
      <c r="H21" s="111" t="s">
        <v>229</v>
      </c>
      <c r="I21" s="111" t="s">
        <v>229</v>
      </c>
      <c r="J21" s="111" t="s">
        <v>229</v>
      </c>
      <c r="K21" s="111" t="s">
        <v>229</v>
      </c>
      <c r="L21" s="111" t="s">
        <v>229</v>
      </c>
      <c r="M21" s="111" t="s">
        <v>229</v>
      </c>
      <c r="N21" s="111" t="s">
        <v>229</v>
      </c>
      <c r="O21" s="111" t="s">
        <v>229</v>
      </c>
      <c r="P21" s="402" t="s">
        <v>229</v>
      </c>
      <c r="Q21" s="111" t="s">
        <v>229</v>
      </c>
      <c r="R21" s="111" t="s">
        <v>229</v>
      </c>
    </row>
    <row r="22" spans="1:22" s="44" customFormat="1" ht="15" customHeight="1" x14ac:dyDescent="0.25">
      <c r="A22" s="593"/>
      <c r="B22" s="594"/>
      <c r="C22" s="285">
        <v>0.71779999999999999</v>
      </c>
      <c r="D22" s="285">
        <v>0.71779999999999999</v>
      </c>
      <c r="E22" s="285">
        <v>0.71779999999999999</v>
      </c>
      <c r="F22" s="285">
        <v>0.71779999999999999</v>
      </c>
      <c r="G22" s="285">
        <v>0.71779999999999999</v>
      </c>
      <c r="H22" s="285">
        <v>0.7218</v>
      </c>
      <c r="I22" s="285">
        <v>0.7218</v>
      </c>
      <c r="J22" s="118">
        <v>0.72260000000000002</v>
      </c>
      <c r="K22" s="118">
        <v>0.72260000000000002</v>
      </c>
      <c r="L22" s="118">
        <v>0.71330000000000005</v>
      </c>
      <c r="M22" s="118">
        <v>0.71330000000000005</v>
      </c>
      <c r="N22" s="118">
        <v>0.69799999999999995</v>
      </c>
      <c r="O22" s="118">
        <v>0.71330000000000005</v>
      </c>
      <c r="P22" s="405">
        <v>0.71330000000000005</v>
      </c>
      <c r="Q22" s="118">
        <v>0.71330000000000005</v>
      </c>
      <c r="R22" s="340">
        <v>0.71530000000000005</v>
      </c>
      <c r="T22" s="332" t="s">
        <v>324</v>
      </c>
    </row>
    <row r="23" spans="1:22" ht="15" customHeight="1" x14ac:dyDescent="0.25">
      <c r="A23" s="595" t="s">
        <v>55</v>
      </c>
      <c r="B23" s="596"/>
      <c r="C23" s="295">
        <f t="shared" ref="C23:M23" si="10">ROUND((C10*C22),2)</f>
        <v>1928.99</v>
      </c>
      <c r="D23" s="295">
        <f t="shared" si="10"/>
        <v>2055.73</v>
      </c>
      <c r="E23" s="295">
        <f t="shared" si="10"/>
        <v>2055.73</v>
      </c>
      <c r="F23" s="295">
        <f t="shared" si="10"/>
        <v>2055.73</v>
      </c>
      <c r="G23" s="295">
        <f t="shared" si="10"/>
        <v>2055.73</v>
      </c>
      <c r="H23" s="295">
        <f t="shared" si="10"/>
        <v>2131.27</v>
      </c>
      <c r="I23" s="295">
        <f t="shared" si="10"/>
        <v>2131.27</v>
      </c>
      <c r="J23" s="100">
        <f t="shared" si="10"/>
        <v>2212.5700000000002</v>
      </c>
      <c r="K23" s="100">
        <f t="shared" si="10"/>
        <v>2212.5700000000002</v>
      </c>
      <c r="L23" s="100">
        <f t="shared" si="10"/>
        <v>2253.9899999999998</v>
      </c>
      <c r="M23" s="100">
        <f t="shared" si="10"/>
        <v>2253.9899999999998</v>
      </c>
      <c r="N23" s="100">
        <f t="shared" ref="N23:O23" si="11">ROUND((N10*N22),2)</f>
        <v>2205.65</v>
      </c>
      <c r="O23" s="100">
        <f t="shared" si="11"/>
        <v>2253.9899999999998</v>
      </c>
      <c r="P23" s="401">
        <f t="shared" ref="P23:R23" si="12">ROUND((P10*P22),2)</f>
        <v>2253.9899999999998</v>
      </c>
      <c r="Q23" s="100">
        <f t="shared" si="12"/>
        <v>2253.9899999999998</v>
      </c>
      <c r="R23" s="100">
        <f t="shared" si="12"/>
        <v>2352.98</v>
      </c>
      <c r="S23" s="131"/>
      <c r="T23" s="47" t="s">
        <v>328</v>
      </c>
    </row>
    <row r="24" spans="1:22" ht="15" customHeight="1" x14ac:dyDescent="0.25">
      <c r="A24" s="124" t="s">
        <v>58</v>
      </c>
      <c r="B24" s="117" t="s">
        <v>1</v>
      </c>
      <c r="C24" s="111" t="s">
        <v>158</v>
      </c>
      <c r="D24" s="111" t="s">
        <v>158</v>
      </c>
      <c r="E24" s="111" t="s">
        <v>158</v>
      </c>
      <c r="F24" s="111" t="s">
        <v>158</v>
      </c>
      <c r="G24" s="111" t="s">
        <v>158</v>
      </c>
      <c r="H24" s="111" t="s">
        <v>158</v>
      </c>
      <c r="I24" s="111" t="s">
        <v>158</v>
      </c>
      <c r="J24" s="111" t="s">
        <v>158</v>
      </c>
      <c r="K24" s="111" t="s">
        <v>158</v>
      </c>
      <c r="L24" s="111" t="s">
        <v>158</v>
      </c>
      <c r="M24" s="111" t="s">
        <v>158</v>
      </c>
      <c r="N24" s="111" t="s">
        <v>158</v>
      </c>
      <c r="O24" s="111" t="s">
        <v>158</v>
      </c>
      <c r="P24" s="402" t="s">
        <v>158</v>
      </c>
      <c r="Q24" s="111" t="s">
        <v>158</v>
      </c>
      <c r="R24" s="111" t="s">
        <v>158</v>
      </c>
      <c r="T24" s="323" t="s">
        <v>329</v>
      </c>
    </row>
    <row r="25" spans="1:22" ht="15" customHeight="1" x14ac:dyDescent="0.25">
      <c r="A25" s="114" t="s">
        <v>2</v>
      </c>
      <c r="B25" s="115">
        <v>1.2699999999999999E-2</v>
      </c>
      <c r="C25" s="119">
        <f>ROUND(((C9+C17+C20+C23)*B25),2)</f>
        <v>67.22</v>
      </c>
      <c r="D25" s="119">
        <f>ROUND(((D9+D17+D20+D23)*B25),2)</f>
        <v>71.48</v>
      </c>
      <c r="E25" s="119">
        <f>ROUND(((E9+E17+E20+E23)*B25),2)</f>
        <v>72.040000000000006</v>
      </c>
      <c r="F25" s="119">
        <f>ROUND(((F9+F17+F20+F23)*B25),2)</f>
        <v>72.040000000000006</v>
      </c>
      <c r="G25" s="119">
        <f>ROUND(((G9+G17+G20+G23)*B25),2)</f>
        <v>72.040000000000006</v>
      </c>
      <c r="H25" s="119">
        <f>ROUND(((H9+H17+H20+H23)*B25),2)</f>
        <v>74.680000000000007</v>
      </c>
      <c r="I25" s="119">
        <f>ROUND(((I9+I17+I20+I23)*B25),2)</f>
        <v>74.739999999999995</v>
      </c>
      <c r="J25" s="101">
        <f>ROUND(((J10+J17+J20+J23)*B25),2)</f>
        <v>77.400000000000006</v>
      </c>
      <c r="K25" s="101">
        <f>ROUND(((K10+K17+K20+K23)*B25),2)</f>
        <v>77.400000000000006</v>
      </c>
      <c r="L25" s="101">
        <f>ROUND(((L10+L17+L20+L23)*B25),2)</f>
        <v>79.349999999999994</v>
      </c>
      <c r="M25" s="101">
        <f>ROUND(((M10+M17+M20+M23)*B25),2)</f>
        <v>79.63</v>
      </c>
      <c r="N25" s="101">
        <f>ROUND(((N10+N17+N20+N23)*B25),2)</f>
        <v>79.02</v>
      </c>
      <c r="O25" s="101">
        <f>ROUND(((O10+O17+O20+O23)*B25),2)</f>
        <v>79.63</v>
      </c>
      <c r="P25" s="400">
        <f>ROUND(((P10+P17+P20+P23)*B25),2)</f>
        <v>79.63</v>
      </c>
      <c r="Q25" s="101">
        <f>ROUND(((Q10+Q17+Q20+Q23)*B25),2)</f>
        <v>79.739999999999995</v>
      </c>
      <c r="R25" s="101">
        <f>ROUND(((R10+R17+R20+R23)*B25),2)</f>
        <v>82.93</v>
      </c>
      <c r="T25" s="47" t="s">
        <v>310</v>
      </c>
    </row>
    <row r="26" spans="1:22" ht="15" customHeight="1" x14ac:dyDescent="0.25">
      <c r="A26" s="114" t="s">
        <v>3</v>
      </c>
      <c r="B26" s="115">
        <v>0.14249999999999999</v>
      </c>
      <c r="C26" s="119">
        <f t="shared" ref="C26:K26" si="13">ROUND(((C10+C17+C20+C23+C25+C27)*14.25/85.75),2)</f>
        <v>900.19</v>
      </c>
      <c r="D26" s="119">
        <f t="shared" si="13"/>
        <v>956.68</v>
      </c>
      <c r="E26" s="119">
        <f t="shared" si="13"/>
        <v>964.16</v>
      </c>
      <c r="F26" s="119">
        <f t="shared" si="13"/>
        <v>964.16</v>
      </c>
      <c r="G26" s="119">
        <f t="shared" si="13"/>
        <v>964.16</v>
      </c>
      <c r="H26" s="119">
        <f t="shared" si="13"/>
        <v>999.5</v>
      </c>
      <c r="I26" s="119">
        <v>1000.29</v>
      </c>
      <c r="J26" s="101">
        <f t="shared" si="13"/>
        <v>1035.8699999999999</v>
      </c>
      <c r="K26" s="101">
        <f t="shared" si="13"/>
        <v>1035.8699999999999</v>
      </c>
      <c r="L26" s="101">
        <f t="shared" ref="L26:R26" si="14">ROUND(((L10+L17+L20+L23+L25+L27)*14.25/85.75),2)</f>
        <v>1062.06</v>
      </c>
      <c r="M26" s="101">
        <f t="shared" si="14"/>
        <v>1065.8</v>
      </c>
      <c r="N26" s="101">
        <f t="shared" si="14"/>
        <v>1057.58</v>
      </c>
      <c r="O26" s="101">
        <f t="shared" si="14"/>
        <v>1065.8</v>
      </c>
      <c r="P26" s="400">
        <f t="shared" si="14"/>
        <v>1065.8</v>
      </c>
      <c r="Q26" s="101">
        <f t="shared" si="14"/>
        <v>1067.17</v>
      </c>
      <c r="R26" s="101">
        <f t="shared" si="14"/>
        <v>1109.8599999999999</v>
      </c>
      <c r="T26" s="47" t="s">
        <v>311</v>
      </c>
      <c r="V26" s="45"/>
    </row>
    <row r="27" spans="1:22" ht="15" customHeight="1" x14ac:dyDescent="0.25">
      <c r="A27" s="114" t="s">
        <v>4</v>
      </c>
      <c r="B27" s="115">
        <v>0.01</v>
      </c>
      <c r="C27" s="119">
        <f>ROUND(((D10+D17+D20+D23+D25)*B27),2)</f>
        <v>57</v>
      </c>
      <c r="D27" s="119">
        <f>ROUND(((D10+D17+D20+D23+D25)*B27),2)</f>
        <v>57</v>
      </c>
      <c r="E27" s="119">
        <f>ROUND(((E10+E17+E20+E23+E25)*B27),2)</f>
        <v>57.44</v>
      </c>
      <c r="F27" s="119">
        <f>ROUND(((F10+F17+F20+F23+F25)*B27),2)</f>
        <v>57.44</v>
      </c>
      <c r="G27" s="119">
        <f>ROUND(((G10+G17+G20+G23+G25)*B27),2)</f>
        <v>57.44</v>
      </c>
      <c r="H27" s="119">
        <f>ROUND(((H10+H17+H20+H23+H25)*B27),2)</f>
        <v>59.55</v>
      </c>
      <c r="I27" s="119">
        <f>ROUND(((I10+I17+I20+I23+I25)*B27),2)</f>
        <v>59.6</v>
      </c>
      <c r="J27" s="101">
        <f>ROUND(((J10+J17+J20+J23+J25)*B27),2)</f>
        <v>61.72</v>
      </c>
      <c r="K27" s="101">
        <f>ROUND(((K10+K17+K20+K23+K25)*B27),2)</f>
        <v>61.72</v>
      </c>
      <c r="L27" s="101">
        <f>ROUND(((L10+L17+L20+L23+L25)*B27),2)</f>
        <v>63.28</v>
      </c>
      <c r="M27" s="101">
        <f>ROUND(((M10+M17+M20+M23+M25)*B27),2)</f>
        <v>63.5</v>
      </c>
      <c r="N27" s="101">
        <f>ROUND(((N10+N17+N20+N23+N25)*B27),2)</f>
        <v>63.01</v>
      </c>
      <c r="O27" s="101">
        <f>ROUND(((O10+O17+O20+O23+O25)*B27),2)</f>
        <v>63.5</v>
      </c>
      <c r="P27" s="400">
        <f>ROUND(((P10+P17+P20+P23+P25)*B27),2)</f>
        <v>63.5</v>
      </c>
      <c r="Q27" s="101">
        <f>ROUND(((Q10+Q17+Q20+Q23+Q25)*B27),2)</f>
        <v>63.58</v>
      </c>
      <c r="R27" s="101">
        <f>ROUND(((R10+R17+R20+R23+R25)*B27),2)</f>
        <v>66.12</v>
      </c>
      <c r="T27" s="39"/>
    </row>
    <row r="28" spans="1:22" ht="15" customHeight="1" x14ac:dyDescent="0.25">
      <c r="A28" s="568" t="s">
        <v>56</v>
      </c>
      <c r="B28" s="568"/>
      <c r="C28" s="190">
        <f>SUM(C25:C27)</f>
        <v>1024.4100000000001</v>
      </c>
      <c r="D28" s="100">
        <f t="shared" ref="D28:M28" si="15">ROUND(SUM(D25:D27),2)</f>
        <v>1085.1600000000001</v>
      </c>
      <c r="E28" s="100">
        <f t="shared" si="15"/>
        <v>1093.6400000000001</v>
      </c>
      <c r="F28" s="100">
        <f t="shared" si="15"/>
        <v>1093.6400000000001</v>
      </c>
      <c r="G28" s="100">
        <f t="shared" si="15"/>
        <v>1093.6400000000001</v>
      </c>
      <c r="H28" s="100">
        <f t="shared" si="15"/>
        <v>1133.73</v>
      </c>
      <c r="I28" s="100">
        <f t="shared" si="15"/>
        <v>1134.6300000000001</v>
      </c>
      <c r="J28" s="100">
        <f t="shared" si="15"/>
        <v>1174.99</v>
      </c>
      <c r="K28" s="100">
        <f t="shared" si="15"/>
        <v>1174.99</v>
      </c>
      <c r="L28" s="100">
        <f t="shared" si="15"/>
        <v>1204.69</v>
      </c>
      <c r="M28" s="100">
        <f t="shared" si="15"/>
        <v>1208.93</v>
      </c>
      <c r="N28" s="100">
        <f t="shared" ref="N28:O28" si="16">ROUND(SUM(N25:N27),2)</f>
        <v>1199.6099999999999</v>
      </c>
      <c r="O28" s="100">
        <f t="shared" si="16"/>
        <v>1208.93</v>
      </c>
      <c r="P28" s="401">
        <f t="shared" ref="P28:R28" si="17">ROUND(SUM(P25:P27),2)</f>
        <v>1208.93</v>
      </c>
      <c r="Q28" s="100">
        <f t="shared" si="17"/>
        <v>1210.49</v>
      </c>
      <c r="R28" s="100">
        <f t="shared" si="17"/>
        <v>1258.9100000000001</v>
      </c>
      <c r="T28" s="332" t="s">
        <v>312</v>
      </c>
    </row>
    <row r="29" spans="1:22" ht="42.75" customHeight="1" x14ac:dyDescent="0.25">
      <c r="A29" s="595" t="s">
        <v>59</v>
      </c>
      <c r="B29" s="596"/>
      <c r="C29" s="123" t="s">
        <v>285</v>
      </c>
      <c r="D29" s="287" t="s">
        <v>288</v>
      </c>
      <c r="E29" s="123" t="s">
        <v>287</v>
      </c>
      <c r="F29" s="448" t="s">
        <v>290</v>
      </c>
      <c r="G29" s="439" t="s">
        <v>289</v>
      </c>
      <c r="H29" s="439" t="s">
        <v>292</v>
      </c>
      <c r="I29" s="123" t="s">
        <v>501</v>
      </c>
      <c r="J29" s="123" t="s">
        <v>502</v>
      </c>
      <c r="K29" s="123" t="s">
        <v>291</v>
      </c>
      <c r="L29" s="123" t="s">
        <v>380</v>
      </c>
      <c r="M29" s="123" t="s">
        <v>381</v>
      </c>
      <c r="N29" s="123" t="s">
        <v>384</v>
      </c>
      <c r="O29" s="123" t="s">
        <v>385</v>
      </c>
      <c r="P29" s="399" t="s">
        <v>386</v>
      </c>
      <c r="Q29" s="123" t="s">
        <v>404</v>
      </c>
      <c r="R29" s="450" t="s">
        <v>400</v>
      </c>
      <c r="T29" s="588" t="s">
        <v>335</v>
      </c>
    </row>
    <row r="30" spans="1:22" ht="15" customHeight="1" x14ac:dyDescent="0.25">
      <c r="A30" s="587" t="s">
        <v>57</v>
      </c>
      <c r="B30" s="569"/>
      <c r="C30" s="294">
        <f t="shared" ref="C30:M30" si="18">C10</f>
        <v>2687.37</v>
      </c>
      <c r="D30" s="294">
        <f t="shared" si="18"/>
        <v>2863.9302090000001</v>
      </c>
      <c r="E30" s="294">
        <f t="shared" si="18"/>
        <v>2863.9302090000001</v>
      </c>
      <c r="F30" s="294">
        <f t="shared" si="18"/>
        <v>2863.9302090000001</v>
      </c>
      <c r="G30" s="294">
        <f t="shared" si="18"/>
        <v>2863.9302090000001</v>
      </c>
      <c r="H30" s="294">
        <f t="shared" si="18"/>
        <v>2952.71</v>
      </c>
      <c r="I30" s="294">
        <f t="shared" si="18"/>
        <v>2952.71</v>
      </c>
      <c r="J30" s="119">
        <f t="shared" si="18"/>
        <v>3061.96</v>
      </c>
      <c r="K30" s="119">
        <f t="shared" si="18"/>
        <v>3061.96</v>
      </c>
      <c r="L30" s="119">
        <f t="shared" si="18"/>
        <v>3159.9500000000003</v>
      </c>
      <c r="M30" s="119">
        <f t="shared" si="18"/>
        <v>3159.9500000000003</v>
      </c>
      <c r="N30" s="119">
        <f t="shared" ref="N30:O30" si="19">N10</f>
        <v>3159.9500000000003</v>
      </c>
      <c r="O30" s="119">
        <f t="shared" si="19"/>
        <v>3159.9500000000003</v>
      </c>
      <c r="P30" s="406">
        <f t="shared" ref="P30:R30" si="20">P10</f>
        <v>3159.9500000000003</v>
      </c>
      <c r="Q30" s="119">
        <f t="shared" si="20"/>
        <v>3159.9500000000003</v>
      </c>
      <c r="R30" s="119">
        <f t="shared" si="20"/>
        <v>3289.5</v>
      </c>
      <c r="T30" s="589"/>
    </row>
    <row r="31" spans="1:22" ht="15" customHeight="1" x14ac:dyDescent="0.25">
      <c r="A31" s="569" t="s">
        <v>50</v>
      </c>
      <c r="B31" s="569"/>
      <c r="C31" s="294">
        <f t="shared" ref="C31:M31" si="21">C17</f>
        <v>627.26</v>
      </c>
      <c r="D31" s="294">
        <f t="shared" si="21"/>
        <v>659.66</v>
      </c>
      <c r="E31" s="294">
        <f t="shared" si="21"/>
        <v>703.66</v>
      </c>
      <c r="F31" s="294">
        <f t="shared" si="21"/>
        <v>703.66</v>
      </c>
      <c r="G31" s="294">
        <f t="shared" si="21"/>
        <v>703.66</v>
      </c>
      <c r="H31" s="294">
        <f t="shared" si="21"/>
        <v>747.24</v>
      </c>
      <c r="I31" s="294">
        <f t="shared" si="21"/>
        <v>747.24</v>
      </c>
      <c r="J31" s="119">
        <f t="shared" si="21"/>
        <v>765.98</v>
      </c>
      <c r="K31" s="119">
        <f t="shared" si="21"/>
        <v>765.98</v>
      </c>
      <c r="L31" s="119">
        <f t="shared" si="21"/>
        <v>780.67</v>
      </c>
      <c r="M31" s="119">
        <f t="shared" si="21"/>
        <v>802.67</v>
      </c>
      <c r="N31" s="119">
        <f t="shared" ref="N31:O31" si="22">N17</f>
        <v>802.67</v>
      </c>
      <c r="O31" s="119">
        <f t="shared" si="22"/>
        <v>802.67</v>
      </c>
      <c r="P31" s="406">
        <f t="shared" ref="P31:R31" si="23">P17</f>
        <v>802.67</v>
      </c>
      <c r="Q31" s="119">
        <f t="shared" si="23"/>
        <v>802.67</v>
      </c>
      <c r="R31" s="119">
        <f t="shared" si="23"/>
        <v>825.26</v>
      </c>
      <c r="T31" s="590"/>
    </row>
    <row r="32" spans="1:22" ht="15" customHeight="1" x14ac:dyDescent="0.25">
      <c r="A32" s="569" t="s">
        <v>51</v>
      </c>
      <c r="B32" s="569"/>
      <c r="C32" s="294">
        <f t="shared" ref="C32:M32" si="24">C20</f>
        <v>49.07</v>
      </c>
      <c r="D32" s="294">
        <f t="shared" si="24"/>
        <v>49.07</v>
      </c>
      <c r="E32" s="294">
        <f t="shared" si="24"/>
        <v>49.07</v>
      </c>
      <c r="F32" s="294">
        <f t="shared" si="24"/>
        <v>49.07</v>
      </c>
      <c r="G32" s="294">
        <f t="shared" si="24"/>
        <v>49.07</v>
      </c>
      <c r="H32" s="294">
        <f t="shared" si="24"/>
        <v>49.07</v>
      </c>
      <c r="I32" s="294">
        <f t="shared" si="24"/>
        <v>53.76</v>
      </c>
      <c r="J32" s="119">
        <f t="shared" si="24"/>
        <v>53.76</v>
      </c>
      <c r="K32" s="119">
        <f t="shared" si="24"/>
        <v>53.76</v>
      </c>
      <c r="L32" s="119">
        <f t="shared" si="24"/>
        <v>53.76</v>
      </c>
      <c r="M32" s="119">
        <f t="shared" si="24"/>
        <v>53.76</v>
      </c>
      <c r="N32" s="119">
        <f t="shared" ref="N32:O32" si="25">N20</f>
        <v>53.76</v>
      </c>
      <c r="O32" s="119">
        <f t="shared" si="25"/>
        <v>53.76</v>
      </c>
      <c r="P32" s="406">
        <f t="shared" ref="P32:R32" si="26">P20</f>
        <v>53.76</v>
      </c>
      <c r="Q32" s="119">
        <f t="shared" si="26"/>
        <v>61.82</v>
      </c>
      <c r="R32" s="119">
        <f t="shared" si="26"/>
        <v>61.82</v>
      </c>
      <c r="T32" s="330"/>
    </row>
    <row r="33" spans="1:20" ht="15" customHeight="1" x14ac:dyDescent="0.25">
      <c r="A33" s="569" t="s">
        <v>52</v>
      </c>
      <c r="B33" s="569"/>
      <c r="C33" s="302">
        <f t="shared" ref="C33:M33" si="27">C23</f>
        <v>1928.99</v>
      </c>
      <c r="D33" s="302">
        <f t="shared" si="27"/>
        <v>2055.73</v>
      </c>
      <c r="E33" s="302">
        <f t="shared" si="27"/>
        <v>2055.73</v>
      </c>
      <c r="F33" s="302">
        <f t="shared" si="27"/>
        <v>2055.73</v>
      </c>
      <c r="G33" s="302">
        <f t="shared" si="27"/>
        <v>2055.73</v>
      </c>
      <c r="H33" s="302">
        <f t="shared" si="27"/>
        <v>2131.27</v>
      </c>
      <c r="I33" s="302">
        <f t="shared" si="27"/>
        <v>2131.27</v>
      </c>
      <c r="J33" s="119">
        <f t="shared" si="27"/>
        <v>2212.5700000000002</v>
      </c>
      <c r="K33" s="119">
        <f t="shared" si="27"/>
        <v>2212.5700000000002</v>
      </c>
      <c r="L33" s="119">
        <f t="shared" si="27"/>
        <v>2253.9899999999998</v>
      </c>
      <c r="M33" s="119">
        <f t="shared" si="27"/>
        <v>2253.9899999999998</v>
      </c>
      <c r="N33" s="119">
        <f t="shared" ref="N33:O33" si="28">N23</f>
        <v>2205.65</v>
      </c>
      <c r="O33" s="119">
        <f t="shared" si="28"/>
        <v>2253.9899999999998</v>
      </c>
      <c r="P33" s="406">
        <f t="shared" ref="P33:R33" si="29">P23</f>
        <v>2253.9899999999998</v>
      </c>
      <c r="Q33" s="119">
        <f t="shared" si="29"/>
        <v>2253.9899999999998</v>
      </c>
      <c r="R33" s="119">
        <f t="shared" si="29"/>
        <v>2352.98</v>
      </c>
      <c r="T33" s="332" t="s">
        <v>317</v>
      </c>
    </row>
    <row r="34" spans="1:20" ht="15" customHeight="1" x14ac:dyDescent="0.25">
      <c r="A34" s="586" t="s">
        <v>74</v>
      </c>
      <c r="B34" s="586"/>
      <c r="C34" s="296">
        <f t="shared" ref="C34:I34" si="30">SUM(C30:C33)</f>
        <v>5292.6900000000005</v>
      </c>
      <c r="D34" s="296">
        <f t="shared" si="30"/>
        <v>5628.3902090000001</v>
      </c>
      <c r="E34" s="296">
        <f t="shared" si="30"/>
        <v>5672.3902090000001</v>
      </c>
      <c r="F34" s="296">
        <f t="shared" si="30"/>
        <v>5672.3902090000001</v>
      </c>
      <c r="G34" s="296">
        <f t="shared" si="30"/>
        <v>5672.3902090000001</v>
      </c>
      <c r="H34" s="296">
        <f t="shared" si="30"/>
        <v>5880.29</v>
      </c>
      <c r="I34" s="296">
        <f t="shared" si="30"/>
        <v>5884.98</v>
      </c>
      <c r="J34" s="104">
        <f t="shared" ref="J34:R34" si="31">ROUND(SUM(J30:J33),2)</f>
        <v>6094.27</v>
      </c>
      <c r="K34" s="104">
        <f t="shared" si="31"/>
        <v>6094.27</v>
      </c>
      <c r="L34" s="104">
        <f t="shared" si="31"/>
        <v>6248.37</v>
      </c>
      <c r="M34" s="104">
        <f t="shared" si="31"/>
        <v>6270.37</v>
      </c>
      <c r="N34" s="104">
        <f t="shared" si="31"/>
        <v>6222.03</v>
      </c>
      <c r="O34" s="104">
        <f t="shared" si="31"/>
        <v>6270.37</v>
      </c>
      <c r="P34" s="407">
        <f t="shared" si="31"/>
        <v>6270.37</v>
      </c>
      <c r="Q34" s="104">
        <f t="shared" si="31"/>
        <v>6278.43</v>
      </c>
      <c r="R34" s="104">
        <f t="shared" si="31"/>
        <v>6529.56</v>
      </c>
      <c r="T34" s="47" t="s">
        <v>318</v>
      </c>
    </row>
    <row r="35" spans="1:20" ht="15" customHeight="1" x14ac:dyDescent="0.25">
      <c r="A35" s="569" t="s">
        <v>58</v>
      </c>
      <c r="B35" s="569"/>
      <c r="C35" s="297">
        <f t="shared" ref="C35:M35" si="32">C28</f>
        <v>1024.4100000000001</v>
      </c>
      <c r="D35" s="297">
        <f t="shared" si="32"/>
        <v>1085.1600000000001</v>
      </c>
      <c r="E35" s="297">
        <f t="shared" si="32"/>
        <v>1093.6400000000001</v>
      </c>
      <c r="F35" s="297">
        <f t="shared" si="32"/>
        <v>1093.6400000000001</v>
      </c>
      <c r="G35" s="297">
        <f t="shared" si="32"/>
        <v>1093.6400000000001</v>
      </c>
      <c r="H35" s="297">
        <f t="shared" si="32"/>
        <v>1133.73</v>
      </c>
      <c r="I35" s="297">
        <f t="shared" si="32"/>
        <v>1134.6300000000001</v>
      </c>
      <c r="J35" s="119">
        <f t="shared" si="32"/>
        <v>1174.99</v>
      </c>
      <c r="K35" s="119">
        <f t="shared" si="32"/>
        <v>1174.99</v>
      </c>
      <c r="L35" s="119">
        <f t="shared" si="32"/>
        <v>1204.69</v>
      </c>
      <c r="M35" s="119">
        <f t="shared" si="32"/>
        <v>1208.93</v>
      </c>
      <c r="N35" s="119">
        <f t="shared" ref="N35:O35" si="33">N28</f>
        <v>1199.6099999999999</v>
      </c>
      <c r="O35" s="119">
        <f t="shared" si="33"/>
        <v>1208.93</v>
      </c>
      <c r="P35" s="406">
        <f t="shared" ref="P35:R35" si="34">P28</f>
        <v>1208.93</v>
      </c>
      <c r="Q35" s="119">
        <f t="shared" si="34"/>
        <v>1210.49</v>
      </c>
      <c r="R35" s="119">
        <f t="shared" si="34"/>
        <v>1258.9100000000001</v>
      </c>
      <c r="T35" s="47" t="s">
        <v>319</v>
      </c>
    </row>
    <row r="36" spans="1:20" ht="15" customHeight="1" x14ac:dyDescent="0.25">
      <c r="A36" s="586" t="s">
        <v>161</v>
      </c>
      <c r="B36" s="586"/>
      <c r="C36" s="296">
        <f t="shared" ref="C36:I36" si="35">C34+C35</f>
        <v>6317.1</v>
      </c>
      <c r="D36" s="296">
        <f t="shared" si="35"/>
        <v>6713.550209</v>
      </c>
      <c r="E36" s="296">
        <f t="shared" si="35"/>
        <v>6766.0302090000005</v>
      </c>
      <c r="F36" s="296">
        <f t="shared" si="35"/>
        <v>6766.0302090000005</v>
      </c>
      <c r="G36" s="296">
        <f t="shared" si="35"/>
        <v>6766.0302090000005</v>
      </c>
      <c r="H36" s="296">
        <f t="shared" si="35"/>
        <v>7014.02</v>
      </c>
      <c r="I36" s="296">
        <f t="shared" si="35"/>
        <v>7019.61</v>
      </c>
      <c r="J36" s="104">
        <f t="shared" ref="J36:R36" si="36">ROUND(SUM(J34:J35),2)</f>
        <v>7269.26</v>
      </c>
      <c r="K36" s="104">
        <f t="shared" si="36"/>
        <v>7269.26</v>
      </c>
      <c r="L36" s="104">
        <f t="shared" si="36"/>
        <v>7453.06</v>
      </c>
      <c r="M36" s="104">
        <f t="shared" si="36"/>
        <v>7479.3</v>
      </c>
      <c r="N36" s="104">
        <f t="shared" si="36"/>
        <v>7421.64</v>
      </c>
      <c r="O36" s="104">
        <f t="shared" si="36"/>
        <v>7479.3</v>
      </c>
      <c r="P36" s="407">
        <f t="shared" si="36"/>
        <v>7479.3</v>
      </c>
      <c r="Q36" s="104">
        <f t="shared" si="36"/>
        <v>7488.92</v>
      </c>
      <c r="R36" s="104">
        <f t="shared" si="36"/>
        <v>7788.47</v>
      </c>
      <c r="T36" s="323" t="s">
        <v>320</v>
      </c>
    </row>
    <row r="37" spans="1:20" s="44" customFormat="1" ht="15" customHeight="1" x14ac:dyDescent="0.25">
      <c r="A37" s="582" t="s">
        <v>48</v>
      </c>
      <c r="B37" s="582"/>
      <c r="C37" s="279">
        <v>3</v>
      </c>
      <c r="D37" s="440">
        <v>3</v>
      </c>
      <c r="E37" s="440">
        <v>3</v>
      </c>
      <c r="F37" s="440">
        <v>3</v>
      </c>
      <c r="G37" s="440">
        <v>3</v>
      </c>
      <c r="H37" s="440">
        <v>3</v>
      </c>
      <c r="I37" s="542">
        <v>3</v>
      </c>
      <c r="J37" s="120">
        <v>3</v>
      </c>
      <c r="K37" s="120">
        <v>2</v>
      </c>
      <c r="L37" s="120">
        <v>2</v>
      </c>
      <c r="M37" s="120">
        <v>2</v>
      </c>
      <c r="N37" s="120">
        <v>2</v>
      </c>
      <c r="O37" s="120">
        <v>2</v>
      </c>
      <c r="P37" s="408">
        <v>2</v>
      </c>
      <c r="Q37" s="120">
        <v>2</v>
      </c>
      <c r="R37" s="120">
        <v>2</v>
      </c>
      <c r="T37" s="323" t="s">
        <v>321</v>
      </c>
    </row>
    <row r="38" spans="1:20" ht="15" customHeight="1" x14ac:dyDescent="0.25">
      <c r="A38" s="585" t="s">
        <v>160</v>
      </c>
      <c r="B38" s="585"/>
      <c r="C38" s="298">
        <f t="shared" ref="C38:I38" si="37">C36*C37</f>
        <v>18951.300000000003</v>
      </c>
      <c r="D38" s="298">
        <f t="shared" si="37"/>
        <v>20140.650626999999</v>
      </c>
      <c r="E38" s="298">
        <f t="shared" si="37"/>
        <v>20298.090627000001</v>
      </c>
      <c r="F38" s="298">
        <f t="shared" si="37"/>
        <v>20298.090627000001</v>
      </c>
      <c r="G38" s="298">
        <f t="shared" si="37"/>
        <v>20298.090627000001</v>
      </c>
      <c r="H38" s="298">
        <f t="shared" si="37"/>
        <v>21042.06</v>
      </c>
      <c r="I38" s="298">
        <f t="shared" si="37"/>
        <v>21058.829999999998</v>
      </c>
      <c r="J38" s="104">
        <f t="shared" ref="J38:P38" si="38">ROUND((J36*J37),2)</f>
        <v>21807.78</v>
      </c>
      <c r="K38" s="104">
        <f t="shared" si="38"/>
        <v>14538.52</v>
      </c>
      <c r="L38" s="104">
        <f t="shared" si="38"/>
        <v>14906.12</v>
      </c>
      <c r="M38" s="104">
        <f t="shared" si="38"/>
        <v>14958.6</v>
      </c>
      <c r="N38" s="104">
        <f t="shared" si="38"/>
        <v>14843.28</v>
      </c>
      <c r="O38" s="104">
        <f t="shared" si="38"/>
        <v>14958.6</v>
      </c>
      <c r="P38" s="407">
        <f t="shared" si="38"/>
        <v>14958.6</v>
      </c>
      <c r="Q38" s="104">
        <f>ROUND((Q36*Q37),2)</f>
        <v>14977.84</v>
      </c>
      <c r="R38" s="104">
        <f>ROUND((R36*R37),2)</f>
        <v>15576.94</v>
      </c>
      <c r="T38" s="323" t="s">
        <v>322</v>
      </c>
    </row>
    <row r="39" spans="1:20" ht="15" customHeight="1" x14ac:dyDescent="0.25">
      <c r="A39" s="39"/>
      <c r="B39" s="39"/>
      <c r="C39" s="39"/>
      <c r="D39" s="39"/>
      <c r="E39" s="39"/>
      <c r="F39" s="39"/>
      <c r="G39" s="39"/>
      <c r="H39" s="39"/>
      <c r="I39" s="58"/>
    </row>
    <row r="40" spans="1:20" ht="15" customHeight="1" x14ac:dyDescent="0.25">
      <c r="A40" s="42"/>
      <c r="B40" s="39"/>
      <c r="C40" s="39"/>
      <c r="D40" s="39"/>
      <c r="E40" s="39"/>
      <c r="F40" s="39"/>
      <c r="G40" s="39"/>
      <c r="H40" s="39"/>
      <c r="I40" s="58"/>
      <c r="T40" s="332" t="s">
        <v>377</v>
      </c>
    </row>
    <row r="41" spans="1:20" ht="75" customHeight="1" x14ac:dyDescent="0.25">
      <c r="A41" s="39"/>
      <c r="B41" s="43"/>
      <c r="C41" s="43"/>
      <c r="D41" s="43"/>
      <c r="E41" s="43"/>
      <c r="F41" s="43"/>
      <c r="G41" s="43"/>
      <c r="H41" s="43"/>
      <c r="I41" s="545"/>
      <c r="M41" s="383">
        <f>M38-N38</f>
        <v>115.31999999999971</v>
      </c>
      <c r="T41" s="327" t="s">
        <v>343</v>
      </c>
    </row>
    <row r="53" spans="20:20" ht="15" customHeight="1" x14ac:dyDescent="0.25">
      <c r="T53" s="330"/>
    </row>
    <row r="54" spans="20:20" ht="15" customHeight="1" x14ac:dyDescent="0.25">
      <c r="T54" s="355"/>
    </row>
    <row r="57" spans="20:20" ht="15" customHeight="1" x14ac:dyDescent="0.25">
      <c r="T57" s="355"/>
    </row>
  </sheetData>
  <mergeCells count="34">
    <mergeCell ref="T29:T31"/>
    <mergeCell ref="A21:B22"/>
    <mergeCell ref="A23:B23"/>
    <mergeCell ref="A29:B29"/>
    <mergeCell ref="T11:T14"/>
    <mergeCell ref="A15:B15"/>
    <mergeCell ref="A16:B16"/>
    <mergeCell ref="A18:B18"/>
    <mergeCell ref="A31:B31"/>
    <mergeCell ref="A37:B37"/>
    <mergeCell ref="A19:B19"/>
    <mergeCell ref="A13:B13"/>
    <mergeCell ref="A38:B38"/>
    <mergeCell ref="A28:B28"/>
    <mergeCell ref="A20:B20"/>
    <mergeCell ref="A17:B17"/>
    <mergeCell ref="A34:B34"/>
    <mergeCell ref="A35:B35"/>
    <mergeCell ref="A36:B36"/>
    <mergeCell ref="A30:B30"/>
    <mergeCell ref="A32:B32"/>
    <mergeCell ref="A33:B33"/>
    <mergeCell ref="A4:K4"/>
    <mergeCell ref="A3:K3"/>
    <mergeCell ref="A1:K1"/>
    <mergeCell ref="A8:B8"/>
    <mergeCell ref="A14:B14"/>
    <mergeCell ref="A6:C6"/>
    <mergeCell ref="A7:M7"/>
    <mergeCell ref="A10:B10"/>
    <mergeCell ref="A12:B12"/>
    <mergeCell ref="A5:P5"/>
    <mergeCell ref="J6:P6"/>
    <mergeCell ref="D6:H6"/>
  </mergeCells>
  <pageMargins left="0.31496062992125984" right="0.11811023622047245" top="0.78740157480314965" bottom="0.78740157480314965" header="0.31496062992125984" footer="0.31496062992125984"/>
  <pageSetup paperSize="9" scale="95" orientation="portrait" verticalDpi="4" r:id="rId1"/>
  <headerFooter>
    <oddHeader>&amp;L&amp;9PODER JUDICIÁRIO
CONSELHO DA JUSTIÇA FEDERAL</oddHead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O83"/>
  <sheetViews>
    <sheetView showGridLines="0" topLeftCell="A55" zoomScaleNormal="100" workbookViewId="0">
      <selection activeCell="H77" sqref="H77"/>
    </sheetView>
  </sheetViews>
  <sheetFormatPr defaultColWidth="8.85546875" defaultRowHeight="15.75" x14ac:dyDescent="0.25"/>
  <cols>
    <col min="1" max="1" width="4.42578125" style="198" customWidth="1"/>
    <col min="2" max="2" width="17" style="198" customWidth="1"/>
    <col min="3" max="3" width="26.5703125" style="198" customWidth="1"/>
    <col min="4" max="4" width="11.42578125" style="198" customWidth="1"/>
    <col min="5" max="5" width="17.85546875" style="198" bestFit="1" customWidth="1"/>
    <col min="6" max="6" width="17.85546875" style="198" customWidth="1"/>
    <col min="7" max="7" width="23.42578125" style="260" customWidth="1"/>
    <col min="8" max="8" width="17" style="198" customWidth="1"/>
    <col min="9" max="9" width="18.5703125" style="198" customWidth="1"/>
    <col min="10" max="10" width="18" style="198" customWidth="1"/>
    <col min="11" max="11" width="17.5703125" style="198" bestFit="1" customWidth="1"/>
    <col min="12" max="12" width="9.28515625" style="198" bestFit="1" customWidth="1"/>
    <col min="13" max="13" width="8.85546875" style="198"/>
    <col min="14" max="14" width="17" style="198" customWidth="1"/>
    <col min="15" max="15" width="20.5703125" style="198" customWidth="1"/>
    <col min="16" max="16384" width="8.85546875" style="198"/>
  </cols>
  <sheetData>
    <row r="2" spans="2:15" x14ac:dyDescent="0.25">
      <c r="B2" s="213"/>
      <c r="N2" s="213"/>
    </row>
    <row r="4" spans="2:15" ht="27.75" customHeight="1" x14ac:dyDescent="0.25">
      <c r="B4" s="679" t="s">
        <v>255</v>
      </c>
      <c r="C4" s="679"/>
      <c r="H4" s="743" t="s">
        <v>193</v>
      </c>
      <c r="I4" s="743"/>
      <c r="J4" s="743"/>
      <c r="N4" s="739" t="s">
        <v>254</v>
      </c>
      <c r="O4" s="739"/>
    </row>
    <row r="5" spans="2:15" ht="32.25" customHeight="1" x14ac:dyDescent="0.25">
      <c r="B5" s="740" t="s">
        <v>189</v>
      </c>
      <c r="C5" s="740"/>
      <c r="H5" s="742" t="s">
        <v>239</v>
      </c>
      <c r="I5" s="736"/>
      <c r="J5" s="218">
        <v>190244.82</v>
      </c>
      <c r="N5" s="740" t="s">
        <v>189</v>
      </c>
      <c r="O5" s="740"/>
    </row>
    <row r="6" spans="2:15" ht="27" customHeight="1" x14ac:dyDescent="0.25">
      <c r="B6" s="214">
        <v>43405</v>
      </c>
      <c r="C6" s="215">
        <f>ROUND((D24/30*21),2)</f>
        <v>222109.57</v>
      </c>
      <c r="D6" s="216" t="s">
        <v>190</v>
      </c>
      <c r="E6" s="217"/>
      <c r="H6" s="736" t="s">
        <v>252</v>
      </c>
      <c r="I6" s="736"/>
      <c r="J6" s="241">
        <f>ROUND((C19*5%),2)</f>
        <v>193383.03</v>
      </c>
      <c r="N6" s="214">
        <v>43405</v>
      </c>
      <c r="O6" s="215">
        <v>222125.46</v>
      </c>
    </row>
    <row r="7" spans="2:15" ht="20.25" customHeight="1" x14ac:dyDescent="0.25">
      <c r="B7" s="214">
        <v>43435</v>
      </c>
      <c r="C7" s="247">
        <v>317299.39</v>
      </c>
      <c r="H7" s="737" t="s">
        <v>240</v>
      </c>
      <c r="I7" s="738"/>
      <c r="J7" s="221">
        <f>J6-J5</f>
        <v>3138.2099999999919</v>
      </c>
      <c r="N7" s="214">
        <v>43435</v>
      </c>
      <c r="O7" s="247">
        <v>317322.09000000003</v>
      </c>
    </row>
    <row r="8" spans="2:15" ht="15.75" customHeight="1" x14ac:dyDescent="0.25">
      <c r="B8" s="214">
        <v>43466</v>
      </c>
      <c r="C8" s="251">
        <v>328182.49</v>
      </c>
      <c r="D8" s="220"/>
      <c r="H8" s="222"/>
      <c r="I8" s="222"/>
      <c r="J8" s="223"/>
      <c r="N8" s="214">
        <v>43466</v>
      </c>
      <c r="O8" s="251">
        <v>328205.01</v>
      </c>
    </row>
    <row r="9" spans="2:15" ht="19.5" customHeight="1" x14ac:dyDescent="0.25">
      <c r="B9" s="214">
        <v>43497</v>
      </c>
      <c r="C9" s="251">
        <v>328182.49</v>
      </c>
      <c r="H9" s="741"/>
      <c r="I9" s="741"/>
      <c r="J9" s="240"/>
      <c r="N9" s="214">
        <v>43497</v>
      </c>
      <c r="O9" s="251">
        <v>328205.01</v>
      </c>
    </row>
    <row r="10" spans="2:15" ht="18.75" customHeight="1" x14ac:dyDescent="0.25">
      <c r="B10" s="214">
        <v>43525</v>
      </c>
      <c r="C10" s="251">
        <v>328182.49</v>
      </c>
      <c r="D10" s="224"/>
      <c r="G10" s="261"/>
      <c r="H10" s="225"/>
      <c r="I10" s="225"/>
      <c r="J10" s="225"/>
      <c r="N10" s="214">
        <v>43525</v>
      </c>
      <c r="O10" s="251">
        <v>328205.01</v>
      </c>
    </row>
    <row r="11" spans="2:15" ht="21" customHeight="1" x14ac:dyDescent="0.25">
      <c r="B11" s="214">
        <v>43556</v>
      </c>
      <c r="C11" s="251">
        <v>328182.49</v>
      </c>
      <c r="E11" s="226"/>
      <c r="G11" s="261"/>
      <c r="H11" s="225"/>
      <c r="I11" s="227"/>
      <c r="J11" s="228"/>
      <c r="N11" s="214">
        <v>43556</v>
      </c>
      <c r="O11" s="251">
        <v>328205.01</v>
      </c>
    </row>
    <row r="12" spans="2:15" ht="19.5" customHeight="1" x14ac:dyDescent="0.25">
      <c r="B12" s="214">
        <v>43586</v>
      </c>
      <c r="C12" s="251">
        <v>328182.49</v>
      </c>
      <c r="G12" s="261"/>
      <c r="H12" s="225"/>
      <c r="I12" s="225"/>
      <c r="J12" s="225"/>
      <c r="N12" s="214">
        <v>43586</v>
      </c>
      <c r="O12" s="251">
        <v>328205.01</v>
      </c>
    </row>
    <row r="13" spans="2:15" ht="18.75" customHeight="1" x14ac:dyDescent="0.25">
      <c r="B13" s="214">
        <v>43617</v>
      </c>
      <c r="C13" s="251">
        <v>318365.87</v>
      </c>
      <c r="E13" s="205"/>
      <c r="G13" s="261"/>
      <c r="H13" s="225"/>
      <c r="I13" s="225"/>
      <c r="J13" s="225"/>
      <c r="N13" s="214">
        <v>43617</v>
      </c>
      <c r="O13" s="251">
        <v>328205.01</v>
      </c>
    </row>
    <row r="14" spans="2:15" ht="20.25" customHeight="1" x14ac:dyDescent="0.25">
      <c r="B14" s="214">
        <v>43647</v>
      </c>
      <c r="C14" s="251">
        <v>318365.87</v>
      </c>
      <c r="G14" s="261"/>
      <c r="H14" s="225"/>
      <c r="I14" s="225"/>
      <c r="J14" s="225"/>
      <c r="N14" s="214">
        <v>43647</v>
      </c>
      <c r="O14" s="251">
        <v>328205.01</v>
      </c>
    </row>
    <row r="15" spans="2:15" ht="18.75" customHeight="1" x14ac:dyDescent="0.25">
      <c r="B15" s="214">
        <v>43678</v>
      </c>
      <c r="C15" s="251">
        <v>318365.87</v>
      </c>
      <c r="G15" s="261"/>
      <c r="H15" s="225"/>
      <c r="I15" s="258"/>
      <c r="J15" s="225"/>
      <c r="N15" s="214">
        <v>43678</v>
      </c>
      <c r="O15" s="251">
        <v>328205.01</v>
      </c>
    </row>
    <row r="16" spans="2:15" ht="18" customHeight="1" x14ac:dyDescent="0.25">
      <c r="B16" s="214">
        <v>43709</v>
      </c>
      <c r="C16" s="251">
        <v>318365.87</v>
      </c>
      <c r="G16" s="261"/>
      <c r="H16" s="225"/>
      <c r="I16" s="258"/>
      <c r="J16" s="225"/>
      <c r="N16" s="214">
        <v>43709</v>
      </c>
      <c r="O16" s="251">
        <v>328205.01</v>
      </c>
    </row>
    <row r="17" spans="2:15" ht="20.25" customHeight="1" x14ac:dyDescent="0.25">
      <c r="B17" s="214">
        <v>43739</v>
      </c>
      <c r="C17" s="251">
        <v>318365.87</v>
      </c>
      <c r="G17" s="261"/>
      <c r="H17" s="225"/>
      <c r="I17" s="229"/>
      <c r="J17" s="229"/>
      <c r="N17" s="214">
        <v>43739</v>
      </c>
      <c r="O17" s="251">
        <v>328205.01</v>
      </c>
    </row>
    <row r="18" spans="2:15" ht="16.149999999999999" customHeight="1" x14ac:dyDescent="0.25">
      <c r="B18" s="214">
        <v>43770</v>
      </c>
      <c r="C18" s="215">
        <f>ROUND((D26/30*9),2)</f>
        <v>95509.759999999995</v>
      </c>
      <c r="D18" s="216" t="s">
        <v>191</v>
      </c>
      <c r="E18" s="217"/>
      <c r="G18" s="261"/>
      <c r="H18" s="225"/>
      <c r="I18" s="233"/>
      <c r="J18" s="233"/>
      <c r="N18" s="214">
        <v>43770</v>
      </c>
      <c r="O18" s="215">
        <f>ROUND((O17/30*9),2)</f>
        <v>98461.5</v>
      </c>
    </row>
    <row r="19" spans="2:15" x14ac:dyDescent="0.25">
      <c r="B19" s="230" t="s">
        <v>192</v>
      </c>
      <c r="C19" s="231">
        <f>SUM(C6:C18)</f>
        <v>3867660.5200000005</v>
      </c>
      <c r="D19" s="232">
        <v>43778</v>
      </c>
      <c r="G19" s="261"/>
      <c r="H19" s="234"/>
      <c r="I19" s="257"/>
      <c r="J19" s="235"/>
      <c r="N19" s="230" t="s">
        <v>192</v>
      </c>
      <c r="O19" s="231">
        <f>SUM(O6:O18)</f>
        <v>3919959.1499999994</v>
      </c>
    </row>
    <row r="20" spans="2:15" x14ac:dyDescent="0.25">
      <c r="G20" s="261"/>
      <c r="H20" s="225"/>
      <c r="I20" s="229"/>
      <c r="J20" s="259"/>
    </row>
    <row r="21" spans="2:15" x14ac:dyDescent="0.25">
      <c r="C21" s="219"/>
      <c r="D21" s="238"/>
      <c r="E21" s="239"/>
      <c r="F21" s="238"/>
      <c r="G21" s="262"/>
      <c r="H21" s="225"/>
      <c r="I21" s="225"/>
      <c r="J21" s="225"/>
      <c r="O21" s="219"/>
    </row>
    <row r="22" spans="2:15" x14ac:dyDescent="0.25">
      <c r="G22" s="261"/>
    </row>
    <row r="23" spans="2:15" x14ac:dyDescent="0.25">
      <c r="J23" s="219"/>
    </row>
    <row r="24" spans="2:15" x14ac:dyDescent="0.25">
      <c r="C24" s="246" t="s">
        <v>245</v>
      </c>
      <c r="D24" s="205">
        <v>317299.39</v>
      </c>
      <c r="E24" s="237"/>
      <c r="F24" s="205"/>
      <c r="H24" s="205"/>
      <c r="I24" s="205"/>
      <c r="J24" s="205"/>
      <c r="O24" s="246" t="s">
        <v>245</v>
      </c>
    </row>
    <row r="25" spans="2:15" x14ac:dyDescent="0.25">
      <c r="C25" s="246" t="s">
        <v>246</v>
      </c>
      <c r="D25" s="205">
        <v>328205.01</v>
      </c>
      <c r="O25" s="246" t="s">
        <v>246</v>
      </c>
    </row>
    <row r="26" spans="2:15" x14ac:dyDescent="0.25">
      <c r="C26" s="246" t="s">
        <v>251</v>
      </c>
      <c r="D26" s="205">
        <v>318365.87</v>
      </c>
      <c r="J26" s="205">
        <v>9816.6200000000008</v>
      </c>
      <c r="K26" s="205">
        <f>J26*12</f>
        <v>117799.44</v>
      </c>
      <c r="L26" s="198">
        <f>K26*L27/K27</f>
        <v>3.0236044105481512</v>
      </c>
      <c r="O26" s="246" t="s">
        <v>251</v>
      </c>
    </row>
    <row r="27" spans="2:15" x14ac:dyDescent="0.25">
      <c r="D27" s="205"/>
      <c r="K27" s="205">
        <f>O17*12</f>
        <v>3938460.12</v>
      </c>
      <c r="L27" s="198">
        <v>101.09</v>
      </c>
    </row>
    <row r="28" spans="2:15" x14ac:dyDescent="0.25">
      <c r="C28" s="236"/>
      <c r="F28" s="218"/>
      <c r="G28" s="263"/>
      <c r="J28" s="219"/>
      <c r="O28" s="236"/>
    </row>
    <row r="30" spans="2:15" x14ac:dyDescent="0.25">
      <c r="B30" s="237"/>
      <c r="N30" s="237"/>
    </row>
    <row r="31" spans="2:15" x14ac:dyDescent="0.25">
      <c r="B31" s="237"/>
      <c r="G31" s="260" t="s">
        <v>256</v>
      </c>
      <c r="H31" s="205">
        <f>C12-C13</f>
        <v>9816.6199999999953</v>
      </c>
      <c r="I31" s="205">
        <f>H31/30</f>
        <v>327.22066666666649</v>
      </c>
      <c r="N31" s="237"/>
    </row>
    <row r="32" spans="2:15" x14ac:dyDescent="0.25">
      <c r="B32" s="237"/>
      <c r="G32" s="260" t="s">
        <v>258</v>
      </c>
      <c r="H32" s="205">
        <f>H31*4</f>
        <v>39266.479999999981</v>
      </c>
      <c r="N32" s="237"/>
    </row>
    <row r="33" spans="2:14" x14ac:dyDescent="0.25">
      <c r="B33" s="237"/>
      <c r="G33" s="260" t="s">
        <v>257</v>
      </c>
      <c r="H33" s="205">
        <f>I31*9</f>
        <v>2944.9859999999985</v>
      </c>
      <c r="K33" s="205">
        <f>O17-C17</f>
        <v>9839.140000000014</v>
      </c>
      <c r="L33" s="205">
        <f>K33*L34/K34</f>
        <v>2.9978640484494781</v>
      </c>
      <c r="N33" s="237"/>
    </row>
    <row r="34" spans="2:14" x14ac:dyDescent="0.25">
      <c r="B34" s="237"/>
      <c r="G34" s="260" t="s">
        <v>259</v>
      </c>
      <c r="H34" s="205">
        <f>H32+H33</f>
        <v>42211.465999999979</v>
      </c>
      <c r="J34" s="223"/>
      <c r="K34" s="198">
        <v>328205.01</v>
      </c>
      <c r="L34" s="198">
        <v>100</v>
      </c>
      <c r="N34" s="237"/>
    </row>
    <row r="35" spans="2:14" x14ac:dyDescent="0.25">
      <c r="B35" s="237"/>
      <c r="J35" s="205">
        <f>9817.02-H31</f>
        <v>0.40000000000509317</v>
      </c>
      <c r="N35" s="237"/>
    </row>
    <row r="36" spans="2:14" x14ac:dyDescent="0.25">
      <c r="B36" s="237"/>
      <c r="N36" s="237"/>
    </row>
    <row r="37" spans="2:14" x14ac:dyDescent="0.25">
      <c r="B37" s="237"/>
      <c r="N37" s="237"/>
    </row>
    <row r="38" spans="2:14" x14ac:dyDescent="0.25">
      <c r="B38" s="237"/>
      <c r="N38" s="237"/>
    </row>
    <row r="39" spans="2:14" x14ac:dyDescent="0.25">
      <c r="B39" s="237"/>
      <c r="N39" s="237"/>
    </row>
    <row r="40" spans="2:14" x14ac:dyDescent="0.25">
      <c r="B40" s="237"/>
      <c r="N40" s="237"/>
    </row>
    <row r="41" spans="2:14" x14ac:dyDescent="0.25">
      <c r="B41" s="740" t="s">
        <v>189</v>
      </c>
      <c r="C41" s="740"/>
      <c r="F41" s="743" t="s">
        <v>376</v>
      </c>
      <c r="G41" s="743"/>
      <c r="H41" s="743"/>
      <c r="N41" s="237"/>
    </row>
    <row r="42" spans="2:14" x14ac:dyDescent="0.25">
      <c r="B42" s="214">
        <v>43770</v>
      </c>
      <c r="C42" s="215">
        <f>(C60/30)*21</f>
        <v>229727.74299999999</v>
      </c>
      <c r="D42" s="198" t="s">
        <v>359</v>
      </c>
      <c r="F42" s="742" t="s">
        <v>364</v>
      </c>
      <c r="G42" s="736"/>
      <c r="H42" s="218">
        <v>134347.73000000001</v>
      </c>
      <c r="N42" s="237"/>
    </row>
    <row r="43" spans="2:14" ht="18" x14ac:dyDescent="0.25">
      <c r="B43" s="214">
        <v>43800</v>
      </c>
      <c r="C43" s="247">
        <v>223912.89</v>
      </c>
      <c r="F43" s="736" t="s">
        <v>376</v>
      </c>
      <c r="G43" s="736"/>
      <c r="H43" s="241">
        <f>0.05*2834993.27</f>
        <v>141749.6635</v>
      </c>
    </row>
    <row r="44" spans="2:14" x14ac:dyDescent="0.25">
      <c r="B44" s="214">
        <v>43831</v>
      </c>
      <c r="C44" s="251">
        <f>C61</f>
        <v>91779.972000000009</v>
      </c>
      <c r="D44" s="198" t="s">
        <v>365</v>
      </c>
      <c r="F44" s="737" t="s">
        <v>240</v>
      </c>
      <c r="G44" s="738"/>
      <c r="H44" s="221">
        <f>H43-H42</f>
        <v>7401.9334999999846</v>
      </c>
    </row>
    <row r="45" spans="2:14" x14ac:dyDescent="0.25">
      <c r="B45" s="214">
        <v>43831</v>
      </c>
      <c r="C45" s="251">
        <f>C62</f>
        <v>138536.07</v>
      </c>
      <c r="D45" s="198" t="s">
        <v>366</v>
      </c>
      <c r="F45" s="334"/>
      <c r="G45" s="335"/>
      <c r="H45" s="221"/>
    </row>
    <row r="46" spans="2:14" x14ac:dyDescent="0.25">
      <c r="B46" s="214">
        <v>43862</v>
      </c>
      <c r="C46" s="251">
        <v>230893.45</v>
      </c>
    </row>
    <row r="47" spans="2:14" x14ac:dyDescent="0.25">
      <c r="B47" s="214">
        <v>43891</v>
      </c>
      <c r="C47" s="251">
        <v>230893.45</v>
      </c>
    </row>
    <row r="48" spans="2:14" x14ac:dyDescent="0.25">
      <c r="B48" s="214">
        <v>43922</v>
      </c>
      <c r="C48" s="251">
        <v>230893.45</v>
      </c>
    </row>
    <row r="49" spans="2:9" x14ac:dyDescent="0.25">
      <c r="B49" s="214">
        <v>43952</v>
      </c>
      <c r="C49" s="251">
        <v>230893.45</v>
      </c>
    </row>
    <row r="50" spans="2:9" x14ac:dyDescent="0.25">
      <c r="B50" s="214">
        <v>43983</v>
      </c>
      <c r="C50" s="251">
        <v>245368.21</v>
      </c>
    </row>
    <row r="51" spans="2:9" x14ac:dyDescent="0.25">
      <c r="B51" s="214">
        <v>44013</v>
      </c>
      <c r="C51" s="251">
        <v>245368.21</v>
      </c>
    </row>
    <row r="52" spans="2:9" x14ac:dyDescent="0.25">
      <c r="B52" s="214">
        <v>44044</v>
      </c>
      <c r="C52" s="251">
        <v>245368.21</v>
      </c>
    </row>
    <row r="53" spans="2:9" x14ac:dyDescent="0.25">
      <c r="B53" s="214">
        <v>44075</v>
      </c>
      <c r="C53" s="251">
        <v>245368.21</v>
      </c>
    </row>
    <row r="54" spans="2:9" x14ac:dyDescent="0.25">
      <c r="B54" s="214">
        <v>44105</v>
      </c>
      <c r="C54" s="251">
        <v>245368.21</v>
      </c>
      <c r="I54" s="198">
        <f>245368/30</f>
        <v>8178.9333333333334</v>
      </c>
    </row>
    <row r="55" spans="2:9" x14ac:dyDescent="0.25">
      <c r="B55" s="214">
        <v>44136</v>
      </c>
      <c r="C55" s="251">
        <f>245368.21/30*9</f>
        <v>73610.463000000003</v>
      </c>
      <c r="D55" s="198" t="s">
        <v>363</v>
      </c>
      <c r="I55" s="198">
        <f>I54*9</f>
        <v>73610.399999999994</v>
      </c>
    </row>
    <row r="56" spans="2:9" x14ac:dyDescent="0.25">
      <c r="B56" s="230" t="s">
        <v>192</v>
      </c>
      <c r="C56" s="231">
        <f>SUM(C42:C55)</f>
        <v>2907981.9879999999</v>
      </c>
    </row>
    <row r="60" spans="2:9" x14ac:dyDescent="0.25">
      <c r="B60" s="237">
        <v>43770</v>
      </c>
      <c r="C60" s="205">
        <f>'Quadro Resumo '!F49</f>
        <v>328182.49</v>
      </c>
    </row>
    <row r="61" spans="2:9" x14ac:dyDescent="0.25">
      <c r="B61" s="237">
        <v>43831</v>
      </c>
      <c r="C61" s="198">
        <f>(229449.93/30)*12</f>
        <v>91779.972000000009</v>
      </c>
      <c r="D61" s="198" t="s">
        <v>360</v>
      </c>
    </row>
    <row r="62" spans="2:9" x14ac:dyDescent="0.25">
      <c r="B62" s="237">
        <v>43831</v>
      </c>
      <c r="C62" s="198">
        <f>230893.45/30*18</f>
        <v>138536.07</v>
      </c>
      <c r="D62" s="198" t="s">
        <v>361</v>
      </c>
    </row>
    <row r="63" spans="2:9" x14ac:dyDescent="0.25">
      <c r="B63" s="237">
        <v>43862</v>
      </c>
      <c r="C63" s="198">
        <v>230893.45</v>
      </c>
    </row>
    <row r="64" spans="2:9" x14ac:dyDescent="0.25">
      <c r="B64" s="198" t="s">
        <v>362</v>
      </c>
      <c r="C64" s="198">
        <v>245368.21</v>
      </c>
    </row>
    <row r="66" spans="2:8" x14ac:dyDescent="0.25">
      <c r="B66" s="740" t="s">
        <v>189</v>
      </c>
      <c r="C66" s="740"/>
    </row>
    <row r="67" spans="2:8" x14ac:dyDescent="0.25">
      <c r="B67" s="214">
        <v>44136</v>
      </c>
      <c r="C67" s="427">
        <v>171942.8</v>
      </c>
      <c r="D67" s="198" t="s">
        <v>359</v>
      </c>
    </row>
    <row r="68" spans="2:8" x14ac:dyDescent="0.25">
      <c r="B68" s="214">
        <v>44166</v>
      </c>
      <c r="C68" s="247">
        <v>245632.57</v>
      </c>
    </row>
    <row r="69" spans="2:8" x14ac:dyDescent="0.25">
      <c r="B69" s="214">
        <v>44197</v>
      </c>
      <c r="C69" s="251">
        <v>255113.93</v>
      </c>
      <c r="F69" s="743" t="s">
        <v>423</v>
      </c>
      <c r="G69" s="743"/>
      <c r="H69" s="743"/>
    </row>
    <row r="70" spans="2:8" x14ac:dyDescent="0.25">
      <c r="B70" s="214">
        <v>44228</v>
      </c>
      <c r="C70" s="251">
        <v>255113.93</v>
      </c>
      <c r="F70" s="742" t="s">
        <v>424</v>
      </c>
      <c r="G70" s="736"/>
      <c r="H70" s="218">
        <v>147220.93</v>
      </c>
    </row>
    <row r="71" spans="2:8" ht="18" x14ac:dyDescent="0.25">
      <c r="B71" s="214">
        <v>44256</v>
      </c>
      <c r="C71" s="251">
        <v>255113.93</v>
      </c>
      <c r="F71" s="736" t="s">
        <v>423</v>
      </c>
      <c r="G71" s="736"/>
      <c r="H71" s="241">
        <f>0.05*C80</f>
        <v>153039.34824999998</v>
      </c>
    </row>
    <row r="72" spans="2:8" x14ac:dyDescent="0.25">
      <c r="B72" s="214">
        <v>44287</v>
      </c>
      <c r="C72" s="251">
        <v>255113.93</v>
      </c>
      <c r="F72" s="737" t="s">
        <v>240</v>
      </c>
      <c r="G72" s="738"/>
      <c r="H72" s="221">
        <f>H71-H70</f>
        <v>5818.4182499999879</v>
      </c>
    </row>
    <row r="73" spans="2:8" x14ac:dyDescent="0.25">
      <c r="B73" s="214">
        <v>44317</v>
      </c>
      <c r="C73" s="251">
        <v>255113.93</v>
      </c>
      <c r="F73" s="416"/>
      <c r="G73" s="417"/>
      <c r="H73" s="221"/>
    </row>
    <row r="74" spans="2:8" x14ac:dyDescent="0.25">
      <c r="B74" s="214">
        <v>44348</v>
      </c>
      <c r="C74" s="251">
        <v>258045.65</v>
      </c>
    </row>
    <row r="75" spans="2:8" x14ac:dyDescent="0.25">
      <c r="B75" s="214">
        <v>44378</v>
      </c>
      <c r="C75" s="251">
        <v>258045.65</v>
      </c>
    </row>
    <row r="76" spans="2:8" x14ac:dyDescent="0.25">
      <c r="B76" s="214">
        <v>44409</v>
      </c>
      <c r="C76" s="251">
        <v>258045.65</v>
      </c>
    </row>
    <row r="77" spans="2:8" x14ac:dyDescent="0.25">
      <c r="B77" s="214">
        <v>44440</v>
      </c>
      <c r="C77" s="251">
        <v>258045.65</v>
      </c>
    </row>
    <row r="78" spans="2:8" x14ac:dyDescent="0.25">
      <c r="B78" s="214">
        <v>44470</v>
      </c>
      <c r="C78" s="251">
        <v>258045.65</v>
      </c>
    </row>
    <row r="79" spans="2:8" x14ac:dyDescent="0.25">
      <c r="B79" s="214">
        <v>44501</v>
      </c>
      <c r="C79" s="251">
        <f>258045.65/30*9</f>
        <v>77413.694999999992</v>
      </c>
      <c r="D79" s="198" t="s">
        <v>422</v>
      </c>
    </row>
    <row r="80" spans="2:8" x14ac:dyDescent="0.25">
      <c r="B80" s="230" t="s">
        <v>192</v>
      </c>
      <c r="C80" s="231">
        <f>SUM(C67:C79)</f>
        <v>3060786.9649999994</v>
      </c>
    </row>
    <row r="83" ht="15.75" customHeight="1" x14ac:dyDescent="0.25"/>
  </sheetData>
  <mergeCells count="19">
    <mergeCell ref="F69:H69"/>
    <mergeCell ref="F70:G70"/>
    <mergeCell ref="F71:G71"/>
    <mergeCell ref="F72:G72"/>
    <mergeCell ref="B66:C66"/>
    <mergeCell ref="B41:C41"/>
    <mergeCell ref="F41:H41"/>
    <mergeCell ref="B4:C4"/>
    <mergeCell ref="B5:C5"/>
    <mergeCell ref="F42:G42"/>
    <mergeCell ref="F43:G43"/>
    <mergeCell ref="F44:G44"/>
    <mergeCell ref="N4:O4"/>
    <mergeCell ref="N5:O5"/>
    <mergeCell ref="H9:I9"/>
    <mergeCell ref="H5:I5"/>
    <mergeCell ref="H6:I6"/>
    <mergeCell ref="H7:I7"/>
    <mergeCell ref="H4:J4"/>
  </mergeCells>
  <pageMargins left="0.511811024" right="0.511811024" top="0.78740157499999996" bottom="0.78740157499999996" header="0.31496062000000002" footer="0.31496062000000002"/>
  <pageSetup paperSize="9" orientation="portrait" verticalDpi="597"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H28"/>
  <sheetViews>
    <sheetView showGridLines="0" topLeftCell="A7" zoomScale="110" zoomScaleNormal="110" workbookViewId="0">
      <selection activeCell="H18" sqref="H18"/>
    </sheetView>
  </sheetViews>
  <sheetFormatPr defaultColWidth="9.140625" defaultRowHeight="15" x14ac:dyDescent="0.25"/>
  <cols>
    <col min="1" max="1" width="30.7109375" style="3" customWidth="1"/>
    <col min="2" max="2" width="4.5703125" style="1" bestFit="1" customWidth="1"/>
    <col min="3" max="3" width="8.140625" style="1" bestFit="1" customWidth="1"/>
    <col min="4" max="4" width="16.28515625" style="1" bestFit="1" customWidth="1"/>
    <col min="5" max="5" width="13.5703125" style="1" bestFit="1" customWidth="1"/>
    <col min="6" max="6" width="14.140625" style="1" bestFit="1" customWidth="1"/>
    <col min="7" max="7" width="10.5703125" style="1" bestFit="1" customWidth="1"/>
    <col min="8" max="16384" width="9.140625" style="1"/>
  </cols>
  <sheetData>
    <row r="2" spans="1:7" ht="15.75" thickBot="1" x14ac:dyDescent="0.3"/>
    <row r="3" spans="1:7" ht="29.25" thickBot="1" x14ac:dyDescent="0.3">
      <c r="A3" s="4" t="s">
        <v>30</v>
      </c>
      <c r="B3" s="4" t="s">
        <v>38</v>
      </c>
      <c r="C3" s="4" t="s">
        <v>39</v>
      </c>
      <c r="D3" s="4" t="s">
        <v>41</v>
      </c>
      <c r="E3" s="4" t="s">
        <v>42</v>
      </c>
      <c r="F3" s="4" t="s">
        <v>45</v>
      </c>
    </row>
    <row r="4" spans="1:7" ht="20.100000000000001" customHeight="1" x14ac:dyDescent="0.25">
      <c r="A4" s="9" t="s">
        <v>31</v>
      </c>
      <c r="B4" s="10">
        <v>2</v>
      </c>
      <c r="C4" s="10">
        <v>44</v>
      </c>
      <c r="D4" s="11">
        <v>4506.8999999999996</v>
      </c>
      <c r="E4" s="11">
        <v>9013.7999999999993</v>
      </c>
      <c r="F4" s="11">
        <f t="shared" ref="F4:F9" si="0">E4*12</f>
        <v>108165.59999999999</v>
      </c>
    </row>
    <row r="5" spans="1:7" ht="20.100000000000001" customHeight="1" x14ac:dyDescent="0.25">
      <c r="A5" s="12" t="s">
        <v>32</v>
      </c>
      <c r="B5" s="13">
        <v>3</v>
      </c>
      <c r="C5" s="13">
        <v>44</v>
      </c>
      <c r="D5" s="14">
        <v>3015.38</v>
      </c>
      <c r="E5" s="14">
        <v>9046.14</v>
      </c>
      <c r="F5" s="14">
        <f t="shared" si="0"/>
        <v>108553.68</v>
      </c>
    </row>
    <row r="6" spans="1:7" ht="20.100000000000001" customHeight="1" x14ac:dyDescent="0.25">
      <c r="A6" s="12" t="s">
        <v>33</v>
      </c>
      <c r="B6" s="13">
        <v>3</v>
      </c>
      <c r="C6" s="13">
        <v>44</v>
      </c>
      <c r="D6" s="14">
        <v>3262.7</v>
      </c>
      <c r="E6" s="14">
        <v>9788.0999999999985</v>
      </c>
      <c r="F6" s="14">
        <f t="shared" si="0"/>
        <v>117457.19999999998</v>
      </c>
      <c r="G6" s="3"/>
    </row>
    <row r="7" spans="1:7" ht="20.100000000000001" customHeight="1" x14ac:dyDescent="0.25">
      <c r="A7" s="12" t="s">
        <v>34</v>
      </c>
      <c r="B7" s="13">
        <v>6</v>
      </c>
      <c r="C7" s="13">
        <v>44</v>
      </c>
      <c r="D7" s="14">
        <v>2891.72</v>
      </c>
      <c r="E7" s="14">
        <v>17350.32</v>
      </c>
      <c r="F7" s="14">
        <f t="shared" si="0"/>
        <v>208203.84</v>
      </c>
      <c r="G7" s="3"/>
    </row>
    <row r="8" spans="1:7" ht="20.100000000000001" customHeight="1" x14ac:dyDescent="0.25">
      <c r="A8" s="12" t="s">
        <v>35</v>
      </c>
      <c r="B8" s="13">
        <v>30</v>
      </c>
      <c r="C8" s="13">
        <v>44</v>
      </c>
      <c r="D8" s="14">
        <v>3291.89</v>
      </c>
      <c r="E8" s="14">
        <v>98756.7</v>
      </c>
      <c r="F8" s="14">
        <f t="shared" si="0"/>
        <v>1185080.3999999999</v>
      </c>
      <c r="G8" s="3"/>
    </row>
    <row r="9" spans="1:7" ht="20.100000000000001" customHeight="1" thickBot="1" x14ac:dyDescent="0.3">
      <c r="A9" s="15" t="s">
        <v>36</v>
      </c>
      <c r="B9" s="16">
        <v>2</v>
      </c>
      <c r="C9" s="16">
        <v>30</v>
      </c>
      <c r="D9" s="17">
        <v>2701</v>
      </c>
      <c r="E9" s="17">
        <v>5402</v>
      </c>
      <c r="F9" s="17">
        <f t="shared" si="0"/>
        <v>64824</v>
      </c>
    </row>
    <row r="10" spans="1:7" ht="20.100000000000001" customHeight="1" thickBot="1" x14ac:dyDescent="0.3">
      <c r="A10" s="744" t="s">
        <v>40</v>
      </c>
      <c r="B10" s="745"/>
      <c r="C10" s="745"/>
      <c r="D10" s="746"/>
      <c r="E10" s="6">
        <v>149357.06</v>
      </c>
      <c r="F10" s="6">
        <f>SUM(F4:F9)</f>
        <v>1792284.7199999997</v>
      </c>
    </row>
    <row r="13" spans="1:7" ht="15.75" thickBot="1" x14ac:dyDescent="0.3">
      <c r="A13" s="2" t="s">
        <v>43</v>
      </c>
      <c r="B13" s="5"/>
      <c r="C13" s="5"/>
      <c r="D13" s="5"/>
    </row>
    <row r="14" spans="1:7" ht="43.5" thickBot="1" x14ac:dyDescent="0.3">
      <c r="A14" s="26" t="s">
        <v>30</v>
      </c>
      <c r="B14" s="27" t="s">
        <v>38</v>
      </c>
      <c r="C14" s="27" t="s">
        <v>39</v>
      </c>
      <c r="D14" s="27" t="s">
        <v>41</v>
      </c>
      <c r="E14" s="27" t="s">
        <v>44</v>
      </c>
      <c r="F14" s="28" t="s">
        <v>45</v>
      </c>
    </row>
    <row r="15" spans="1:7" ht="20.100000000000001" customHeight="1" x14ac:dyDescent="0.25">
      <c r="A15" s="22" t="s">
        <v>31</v>
      </c>
      <c r="B15" s="23">
        <v>2</v>
      </c>
      <c r="C15" s="23">
        <v>44</v>
      </c>
      <c r="D15" s="24">
        <v>4506.8999999999996</v>
      </c>
      <c r="E15" s="24">
        <f t="shared" ref="E15:E20" si="1">B15*D15</f>
        <v>9013.7999999999993</v>
      </c>
      <c r="F15" s="25">
        <f t="shared" ref="F15:F20" si="2">E15*12</f>
        <v>108165.59999999999</v>
      </c>
    </row>
    <row r="16" spans="1:7" ht="20.100000000000001" customHeight="1" x14ac:dyDescent="0.25">
      <c r="A16" s="18" t="s">
        <v>32</v>
      </c>
      <c r="B16" s="19">
        <v>3</v>
      </c>
      <c r="C16" s="19">
        <v>44</v>
      </c>
      <c r="D16" s="20">
        <v>3015.38</v>
      </c>
      <c r="E16" s="20">
        <f t="shared" si="1"/>
        <v>9046.14</v>
      </c>
      <c r="F16" s="21">
        <f t="shared" si="2"/>
        <v>108553.68</v>
      </c>
    </row>
    <row r="17" spans="1:8" ht="20.100000000000001" customHeight="1" x14ac:dyDescent="0.25">
      <c r="A17" s="18" t="s">
        <v>33</v>
      </c>
      <c r="B17" s="19">
        <v>4</v>
      </c>
      <c r="C17" s="19">
        <v>44</v>
      </c>
      <c r="D17" s="20">
        <v>3262.7</v>
      </c>
      <c r="E17" s="20">
        <f t="shared" si="1"/>
        <v>13050.8</v>
      </c>
      <c r="F17" s="21">
        <f t="shared" si="2"/>
        <v>156609.59999999998</v>
      </c>
      <c r="G17" s="3"/>
    </row>
    <row r="18" spans="1:8" ht="20.100000000000001" customHeight="1" x14ac:dyDescent="0.25">
      <c r="A18" s="18" t="s">
        <v>34</v>
      </c>
      <c r="B18" s="19">
        <v>7</v>
      </c>
      <c r="C18" s="19">
        <v>44</v>
      </c>
      <c r="D18" s="20">
        <v>2891.72</v>
      </c>
      <c r="E18" s="20">
        <f t="shared" si="1"/>
        <v>20242.039999999997</v>
      </c>
      <c r="F18" s="21">
        <f t="shared" si="2"/>
        <v>242904.47999999998</v>
      </c>
      <c r="G18" s="3"/>
    </row>
    <row r="19" spans="1:8" ht="20.100000000000001" customHeight="1" x14ac:dyDescent="0.25">
      <c r="A19" s="18" t="s">
        <v>35</v>
      </c>
      <c r="B19" s="19">
        <v>30</v>
      </c>
      <c r="C19" s="19">
        <v>44</v>
      </c>
      <c r="D19" s="20">
        <v>3291.89</v>
      </c>
      <c r="E19" s="20">
        <f t="shared" si="1"/>
        <v>98756.7</v>
      </c>
      <c r="F19" s="21">
        <f t="shared" si="2"/>
        <v>1185080.3999999999</v>
      </c>
      <c r="G19" s="3"/>
    </row>
    <row r="20" spans="1:8" ht="20.100000000000001" customHeight="1" thickBot="1" x14ac:dyDescent="0.3">
      <c r="A20" s="29" t="s">
        <v>36</v>
      </c>
      <c r="B20" s="30">
        <v>2</v>
      </c>
      <c r="C20" s="30">
        <v>30</v>
      </c>
      <c r="D20" s="31">
        <v>2701</v>
      </c>
      <c r="E20" s="31">
        <f t="shared" si="1"/>
        <v>5402</v>
      </c>
      <c r="F20" s="32">
        <f t="shared" si="2"/>
        <v>64824</v>
      </c>
    </row>
    <row r="21" spans="1:8" ht="20.100000000000001" customHeight="1" thickBot="1" x14ac:dyDescent="0.3">
      <c r="A21" s="747" t="s">
        <v>40</v>
      </c>
      <c r="B21" s="748"/>
      <c r="C21" s="748"/>
      <c r="D21" s="748"/>
      <c r="E21" s="33">
        <f>SUM(E15:E20)</f>
        <v>155511.47999999998</v>
      </c>
      <c r="F21" s="34">
        <f>SUM(F15:F20)</f>
        <v>1866137.7599999998</v>
      </c>
    </row>
    <row r="22" spans="1:8" ht="15.75" thickBot="1" x14ac:dyDescent="0.3">
      <c r="A22" s="749" t="s">
        <v>49</v>
      </c>
      <c r="B22" s="749"/>
      <c r="C22" s="749"/>
      <c r="D22" s="749"/>
      <c r="E22" s="35">
        <f>E21-E10</f>
        <v>6154.4199999999837</v>
      </c>
      <c r="F22" s="35">
        <f>F21-F10</f>
        <v>73853.040000000037</v>
      </c>
    </row>
    <row r="23" spans="1:8" ht="15.75" thickBot="1" x14ac:dyDescent="0.3">
      <c r="E23" s="36" t="s">
        <v>1</v>
      </c>
      <c r="F23" s="37">
        <f>F22*100/F10</f>
        <v>4.1206086943596798</v>
      </c>
      <c r="H23" s="7">
        <f>25-F23</f>
        <v>20.879391305640318</v>
      </c>
    </row>
    <row r="26" spans="1:8" x14ac:dyDescent="0.25">
      <c r="E26" s="1">
        <v>1792284.72</v>
      </c>
      <c r="F26" s="8">
        <v>100</v>
      </c>
    </row>
    <row r="27" spans="1:8" x14ac:dyDescent="0.25">
      <c r="E27" s="1">
        <v>73853.039999999994</v>
      </c>
      <c r="F27" s="8" t="s">
        <v>46</v>
      </c>
    </row>
    <row r="28" spans="1:8" x14ac:dyDescent="0.25">
      <c r="E28" s="7">
        <f>ROUND((E27*F26/E26),2)</f>
        <v>4.12</v>
      </c>
    </row>
  </sheetData>
  <mergeCells count="3">
    <mergeCell ref="A10:D10"/>
    <mergeCell ref="A21:D21"/>
    <mergeCell ref="A22:D22"/>
  </mergeCells>
  <pageMargins left="0.511811024" right="0.511811024" top="0.78740157499999996" bottom="0.78740157499999996" header="0.31496062000000002" footer="0.31496062000000002"/>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170"/>
  <sheetViews>
    <sheetView showGridLines="0" tabSelected="1" zoomScale="85" zoomScaleNormal="85" workbookViewId="0">
      <selection activeCell="Y12" sqref="Y12"/>
    </sheetView>
  </sheetViews>
  <sheetFormatPr defaultColWidth="9.140625" defaultRowHeight="15" customHeight="1" x14ac:dyDescent="0.25"/>
  <cols>
    <col min="1" max="1" width="50.7109375" style="44" customWidth="1"/>
    <col min="2" max="2" width="10.7109375" style="44" customWidth="1"/>
    <col min="3" max="3" width="17.5703125" style="44" customWidth="1"/>
    <col min="4" max="4" width="17.5703125" style="44" hidden="1" customWidth="1"/>
    <col min="5" max="5" width="18" style="44" hidden="1" customWidth="1"/>
    <col min="6" max="6" width="17.28515625" style="44" hidden="1" customWidth="1"/>
    <col min="7" max="8" width="17.5703125" style="44" hidden="1" customWidth="1"/>
    <col min="9" max="9" width="17.5703125" style="53" hidden="1" customWidth="1"/>
    <col min="10" max="10" width="18.7109375" style="52" hidden="1" customWidth="1"/>
    <col min="11" max="11" width="17.28515625" style="44" hidden="1" customWidth="1"/>
    <col min="12" max="12" width="18.42578125" style="44" hidden="1" customWidth="1"/>
    <col min="13" max="13" width="19.42578125" style="44" hidden="1" customWidth="1"/>
    <col min="14" max="14" width="19.5703125" style="44" hidden="1" customWidth="1"/>
    <col min="15" max="16" width="19.28515625" style="44" hidden="1" customWidth="1"/>
    <col min="17" max="17" width="19.42578125" style="44" hidden="1" customWidth="1"/>
    <col min="18" max="19" width="19" style="44" hidden="1" customWidth="1"/>
    <col min="20" max="20" width="20.28515625" style="44" customWidth="1"/>
    <col min="21" max="21" width="9.42578125" style="44" bestFit="1" customWidth="1"/>
    <col min="22" max="22" width="198.28515625" style="44" hidden="1" customWidth="1"/>
    <col min="23" max="28" width="9.140625" style="44"/>
    <col min="29" max="29" width="0" style="44" hidden="1" customWidth="1"/>
    <col min="30" max="16384" width="9.140625" style="44"/>
  </cols>
  <sheetData>
    <row r="1" spans="1:29" ht="15" customHeight="1" x14ac:dyDescent="0.25">
      <c r="A1" s="608"/>
      <c r="B1" s="608"/>
      <c r="C1" s="608"/>
      <c r="D1" s="608"/>
      <c r="E1" s="608"/>
      <c r="F1" s="608"/>
      <c r="G1" s="608"/>
      <c r="H1" s="608"/>
      <c r="I1" s="608"/>
      <c r="J1" s="609"/>
    </row>
    <row r="2" spans="1:29" ht="36.75" customHeight="1" x14ac:dyDescent="0.25">
      <c r="A2" s="565" t="s">
        <v>517</v>
      </c>
      <c r="B2" s="565"/>
      <c r="C2" s="565"/>
      <c r="D2" s="565"/>
      <c r="E2" s="565"/>
      <c r="F2" s="565"/>
      <c r="G2" s="565"/>
      <c r="H2" s="565"/>
      <c r="I2" s="565"/>
      <c r="J2" s="565"/>
    </row>
    <row r="3" spans="1:29" ht="15" customHeight="1" x14ac:dyDescent="0.25">
      <c r="A3" s="613" t="s">
        <v>173</v>
      </c>
      <c r="B3" s="613"/>
      <c r="C3" s="613"/>
      <c r="D3" s="613"/>
      <c r="E3" s="613"/>
      <c r="F3" s="613"/>
      <c r="G3" s="613"/>
      <c r="H3" s="613"/>
      <c r="I3" s="613"/>
      <c r="J3" s="613"/>
      <c r="K3" s="613"/>
      <c r="L3" s="613"/>
      <c r="M3" s="613"/>
      <c r="N3" s="613"/>
      <c r="O3" s="613"/>
      <c r="P3" s="613"/>
      <c r="Q3" s="613"/>
      <c r="R3" s="613"/>
      <c r="S3" s="613"/>
      <c r="T3" s="613"/>
    </row>
    <row r="4" spans="1:29" ht="39" customHeight="1" x14ac:dyDescent="0.25">
      <c r="A4" s="610" t="s">
        <v>171</v>
      </c>
      <c r="B4" s="610"/>
      <c r="C4" s="611" t="s">
        <v>172</v>
      </c>
      <c r="D4" s="611"/>
      <c r="E4" s="611"/>
      <c r="F4" s="611"/>
      <c r="G4" s="611"/>
      <c r="H4" s="612" t="s">
        <v>457</v>
      </c>
      <c r="I4" s="612"/>
      <c r="J4" s="612"/>
      <c r="K4" s="612"/>
      <c r="L4" s="612"/>
      <c r="M4" s="612"/>
      <c r="N4" s="612"/>
      <c r="O4" s="612"/>
      <c r="P4" s="612"/>
      <c r="Q4" s="345"/>
      <c r="R4" s="345"/>
      <c r="S4" s="345"/>
      <c r="T4" s="559" t="s">
        <v>457</v>
      </c>
    </row>
    <row r="5" spans="1:29" ht="15" customHeight="1" x14ac:dyDescent="0.25">
      <c r="A5" s="606"/>
      <c r="B5" s="607"/>
      <c r="C5" s="607"/>
      <c r="D5" s="607"/>
      <c r="E5" s="607"/>
      <c r="F5" s="607"/>
      <c r="G5" s="607"/>
      <c r="H5" s="607"/>
      <c r="I5" s="607"/>
      <c r="J5" s="607"/>
      <c r="K5" s="607"/>
      <c r="L5" s="607"/>
      <c r="M5" s="607"/>
      <c r="N5" s="382"/>
      <c r="O5" s="382"/>
      <c r="P5" s="382"/>
      <c r="Q5" s="382"/>
      <c r="R5" s="382"/>
      <c r="S5" s="382"/>
      <c r="T5" s="382"/>
    </row>
    <row r="6" spans="1:29" ht="69" customHeight="1" x14ac:dyDescent="0.25">
      <c r="A6" s="568" t="s">
        <v>69</v>
      </c>
      <c r="B6" s="568"/>
      <c r="C6" s="314" t="s">
        <v>285</v>
      </c>
      <c r="D6" s="448" t="s">
        <v>294</v>
      </c>
      <c r="E6" s="448" t="s">
        <v>295</v>
      </c>
      <c r="F6" s="448" t="s">
        <v>290</v>
      </c>
      <c r="G6" s="439" t="s">
        <v>289</v>
      </c>
      <c r="H6" s="439" t="s">
        <v>292</v>
      </c>
      <c r="I6" s="123" t="s">
        <v>501</v>
      </c>
      <c r="J6" s="123" t="s">
        <v>502</v>
      </c>
      <c r="K6" s="123" t="s">
        <v>511</v>
      </c>
      <c r="L6" s="123" t="s">
        <v>380</v>
      </c>
      <c r="M6" s="123" t="s">
        <v>381</v>
      </c>
      <c r="N6" s="123" t="s">
        <v>384</v>
      </c>
      <c r="O6" s="123" t="s">
        <v>385</v>
      </c>
      <c r="P6" s="123" t="s">
        <v>386</v>
      </c>
      <c r="Q6" s="123" t="s">
        <v>404</v>
      </c>
      <c r="R6" s="450" t="s">
        <v>400</v>
      </c>
      <c r="S6" s="123" t="s">
        <v>405</v>
      </c>
      <c r="T6" s="123" t="s">
        <v>510</v>
      </c>
      <c r="V6" s="331" t="s">
        <v>325</v>
      </c>
    </row>
    <row r="7" spans="1:29" ht="15" customHeight="1" x14ac:dyDescent="0.25">
      <c r="A7" s="49" t="s">
        <v>60</v>
      </c>
      <c r="B7" s="96"/>
      <c r="C7" s="304">
        <v>1052.2</v>
      </c>
      <c r="D7" s="304">
        <f>1052.2*1.0657</f>
        <v>1121.3295400000002</v>
      </c>
      <c r="E7" s="304">
        <f>1052.2*1.0657</f>
        <v>1121.3295400000002</v>
      </c>
      <c r="F7" s="304">
        <f>1052.2*1.0657</f>
        <v>1121.3295400000002</v>
      </c>
      <c r="G7" s="304">
        <f>1052.2*1.0657</f>
        <v>1121.3295400000002</v>
      </c>
      <c r="H7" s="304">
        <f>1121.33*1.031</f>
        <v>1156.0912299999998</v>
      </c>
      <c r="I7" s="304">
        <f>1121.33*1.031</f>
        <v>1156.0912299999998</v>
      </c>
      <c r="J7" s="101">
        <f>SALARIOS!G5</f>
        <v>1198.8699999999999</v>
      </c>
      <c r="K7" s="101">
        <v>1198.8699999999999</v>
      </c>
      <c r="L7" s="101">
        <f t="shared" ref="L7:Q7" si="0">ROUND(1198.87*1.032,2)</f>
        <v>1237.23</v>
      </c>
      <c r="M7" s="101">
        <f t="shared" si="0"/>
        <v>1237.23</v>
      </c>
      <c r="N7" s="101">
        <f t="shared" si="0"/>
        <v>1237.23</v>
      </c>
      <c r="O7" s="101">
        <f t="shared" si="0"/>
        <v>1237.23</v>
      </c>
      <c r="P7" s="101">
        <f t="shared" si="0"/>
        <v>1237.23</v>
      </c>
      <c r="Q7" s="101">
        <f t="shared" si="0"/>
        <v>1237.23</v>
      </c>
      <c r="R7" s="101">
        <f>ROUND(Q7*1.041,2)</f>
        <v>1287.96</v>
      </c>
      <c r="S7" s="101">
        <f>ROUND(Q7*1.041,2)</f>
        <v>1287.96</v>
      </c>
      <c r="T7" s="101">
        <f>ROUND(Q7*1.041,2)</f>
        <v>1287.96</v>
      </c>
      <c r="V7" s="324" t="s">
        <v>307</v>
      </c>
    </row>
    <row r="8" spans="1:29" ht="15" customHeight="1" x14ac:dyDescent="0.25">
      <c r="A8" s="598" t="s">
        <v>75</v>
      </c>
      <c r="B8" s="598"/>
      <c r="C8" s="100">
        <f t="shared" ref="C8:I8" si="1">SUM(C7:C7)</f>
        <v>1052.2</v>
      </c>
      <c r="D8" s="100">
        <f t="shared" si="1"/>
        <v>1121.3295400000002</v>
      </c>
      <c r="E8" s="100">
        <f t="shared" si="1"/>
        <v>1121.3295400000002</v>
      </c>
      <c r="F8" s="100">
        <f t="shared" si="1"/>
        <v>1121.3295400000002</v>
      </c>
      <c r="G8" s="100">
        <f t="shared" si="1"/>
        <v>1121.3295400000002</v>
      </c>
      <c r="H8" s="100">
        <f t="shared" si="1"/>
        <v>1156.0912299999998</v>
      </c>
      <c r="I8" s="100">
        <f t="shared" si="1"/>
        <v>1156.0912299999998</v>
      </c>
      <c r="J8" s="100">
        <f t="shared" ref="J8:S8" si="2">SUM(J7:J7)</f>
        <v>1198.8699999999999</v>
      </c>
      <c r="K8" s="100">
        <f t="shared" si="2"/>
        <v>1198.8699999999999</v>
      </c>
      <c r="L8" s="100">
        <f t="shared" si="2"/>
        <v>1237.23</v>
      </c>
      <c r="M8" s="100">
        <f t="shared" si="2"/>
        <v>1237.23</v>
      </c>
      <c r="N8" s="100">
        <f t="shared" si="2"/>
        <v>1237.23</v>
      </c>
      <c r="O8" s="100">
        <f t="shared" si="2"/>
        <v>1237.23</v>
      </c>
      <c r="P8" s="100">
        <f t="shared" si="2"/>
        <v>1237.23</v>
      </c>
      <c r="Q8" s="100">
        <f t="shared" si="2"/>
        <v>1237.23</v>
      </c>
      <c r="R8" s="100">
        <f t="shared" si="2"/>
        <v>1287.96</v>
      </c>
      <c r="S8" s="100">
        <f t="shared" si="2"/>
        <v>1287.96</v>
      </c>
      <c r="T8" s="100">
        <f>ROUND(Q8*1.041,2)</f>
        <v>1287.96</v>
      </c>
      <c r="V8" s="47" t="s">
        <v>308</v>
      </c>
    </row>
    <row r="9" spans="1:29" ht="15" customHeight="1" x14ac:dyDescent="0.25">
      <c r="A9" s="602" t="s">
        <v>50</v>
      </c>
      <c r="B9" s="603"/>
      <c r="C9" s="111" t="s">
        <v>158</v>
      </c>
      <c r="D9" s="111" t="s">
        <v>158</v>
      </c>
      <c r="E9" s="111" t="s">
        <v>158</v>
      </c>
      <c r="F9" s="111" t="s">
        <v>158</v>
      </c>
      <c r="G9" s="111" t="s">
        <v>158</v>
      </c>
      <c r="H9" s="111" t="s">
        <v>158</v>
      </c>
      <c r="I9" s="111" t="s">
        <v>158</v>
      </c>
      <c r="J9" s="111" t="s">
        <v>158</v>
      </c>
      <c r="K9" s="111" t="s">
        <v>158</v>
      </c>
      <c r="L9" s="111" t="s">
        <v>158</v>
      </c>
      <c r="M9" s="111" t="s">
        <v>158</v>
      </c>
      <c r="N9" s="111" t="s">
        <v>158</v>
      </c>
      <c r="O9" s="111" t="s">
        <v>158</v>
      </c>
      <c r="P9" s="111" t="s">
        <v>158</v>
      </c>
      <c r="Q9" s="111" t="s">
        <v>158</v>
      </c>
      <c r="R9" s="111" t="s">
        <v>158</v>
      </c>
      <c r="S9" s="111" t="s">
        <v>158</v>
      </c>
      <c r="T9" s="111" t="s">
        <v>158</v>
      </c>
      <c r="V9" s="588" t="s">
        <v>332</v>
      </c>
    </row>
    <row r="10" spans="1:29" ht="15" customHeight="1" x14ac:dyDescent="0.25">
      <c r="A10" s="599" t="s">
        <v>9</v>
      </c>
      <c r="B10" s="599"/>
      <c r="C10" s="305">
        <f>ROUND((22*8)-(6%*C7),2)</f>
        <v>112.87</v>
      </c>
      <c r="D10" s="302">
        <f>ROUND((22*8)-(6%*D7),2)</f>
        <v>108.72</v>
      </c>
      <c r="E10" s="302">
        <f t="shared" ref="E10:I10" si="3">ROUND((22*10)-(6%*E7),2)</f>
        <v>152.72</v>
      </c>
      <c r="F10" s="302">
        <f t="shared" si="3"/>
        <v>152.72</v>
      </c>
      <c r="G10" s="302">
        <f t="shared" si="3"/>
        <v>152.72</v>
      </c>
      <c r="H10" s="302">
        <f t="shared" si="3"/>
        <v>150.63</v>
      </c>
      <c r="I10" s="302">
        <f t="shared" si="3"/>
        <v>150.63</v>
      </c>
      <c r="J10" s="101">
        <f>ROUND((22*10)-(6%*J8),2)</f>
        <v>148.07</v>
      </c>
      <c r="K10" s="101">
        <f>ROUND((22*10)-(6%*K8),2)</f>
        <v>148.07</v>
      </c>
      <c r="L10" s="101">
        <f>ROUND((22*10)-(6%*L8),2)</f>
        <v>145.77000000000001</v>
      </c>
      <c r="M10" s="101">
        <f t="shared" ref="M10:T10" si="4">ROUND((22*11)-(6%*M8),2)</f>
        <v>167.77</v>
      </c>
      <c r="N10" s="101">
        <f t="shared" si="4"/>
        <v>167.77</v>
      </c>
      <c r="O10" s="101">
        <f t="shared" si="4"/>
        <v>167.77</v>
      </c>
      <c r="P10" s="101">
        <f t="shared" si="4"/>
        <v>167.77</v>
      </c>
      <c r="Q10" s="101">
        <f t="shared" si="4"/>
        <v>167.77</v>
      </c>
      <c r="R10" s="101">
        <f t="shared" si="4"/>
        <v>164.72</v>
      </c>
      <c r="S10" s="101">
        <f t="shared" si="4"/>
        <v>164.72</v>
      </c>
      <c r="T10" s="101">
        <f t="shared" si="4"/>
        <v>164.72</v>
      </c>
      <c r="V10" s="589"/>
    </row>
    <row r="11" spans="1:29" ht="15" customHeight="1" x14ac:dyDescent="0.25">
      <c r="A11" s="599" t="s">
        <v>70</v>
      </c>
      <c r="B11" s="599"/>
      <c r="C11" s="305">
        <f>ROUND((22*27.5),2)</f>
        <v>605</v>
      </c>
      <c r="D11" s="302">
        <f t="shared" ref="D11:H11" si="5">ROUND((22*29.5),2)</f>
        <v>649</v>
      </c>
      <c r="E11" s="302">
        <f t="shared" si="5"/>
        <v>649</v>
      </c>
      <c r="F11" s="302">
        <f t="shared" si="5"/>
        <v>649</v>
      </c>
      <c r="G11" s="538">
        <f t="shared" si="5"/>
        <v>649</v>
      </c>
      <c r="H11" s="538">
        <f t="shared" si="5"/>
        <v>649</v>
      </c>
      <c r="I11" s="302">
        <v>693</v>
      </c>
      <c r="J11" s="116">
        <f>'Anexo Transporte e Alimentacao'!E8</f>
        <v>719.4</v>
      </c>
      <c r="K11" s="116">
        <f>'Anexo Transporte e Alimentacao'!E8</f>
        <v>719.4</v>
      </c>
      <c r="L11" s="116">
        <f t="shared" ref="L11:Q11" si="6">ROUND((22*(33.62)),2)</f>
        <v>739.64</v>
      </c>
      <c r="M11" s="116">
        <f t="shared" si="6"/>
        <v>739.64</v>
      </c>
      <c r="N11" s="116">
        <f t="shared" si="6"/>
        <v>739.64</v>
      </c>
      <c r="O11" s="116">
        <f t="shared" si="6"/>
        <v>739.64</v>
      </c>
      <c r="P11" s="116">
        <f t="shared" si="6"/>
        <v>739.64</v>
      </c>
      <c r="Q11" s="116">
        <f t="shared" si="6"/>
        <v>739.64</v>
      </c>
      <c r="R11" s="116">
        <f>ROUND((22*(35)),2)</f>
        <v>770</v>
      </c>
      <c r="S11" s="116">
        <f>ROUND((22*(35)),2)</f>
        <v>770</v>
      </c>
      <c r="T11" s="116">
        <f>ROUND((22*(35)),2)</f>
        <v>770</v>
      </c>
      <c r="V11" s="589"/>
    </row>
    <row r="12" spans="1:29" ht="15" customHeight="1" x14ac:dyDescent="0.25">
      <c r="A12" s="601" t="s">
        <v>94</v>
      </c>
      <c r="B12" s="601"/>
      <c r="C12" s="306">
        <v>2.5</v>
      </c>
      <c r="D12" s="303">
        <v>1.5</v>
      </c>
      <c r="E12" s="303">
        <v>1.5</v>
      </c>
      <c r="F12" s="303">
        <v>1.5</v>
      </c>
      <c r="G12" s="303">
        <v>1.5</v>
      </c>
      <c r="H12" s="303">
        <v>1.5</v>
      </c>
      <c r="I12" s="303">
        <v>1.5</v>
      </c>
      <c r="J12" s="116">
        <v>0</v>
      </c>
      <c r="K12" s="116">
        <v>0</v>
      </c>
      <c r="L12" s="116">
        <v>0</v>
      </c>
      <c r="M12" s="116">
        <v>0</v>
      </c>
      <c r="N12" s="116">
        <v>0</v>
      </c>
      <c r="O12" s="116">
        <v>0</v>
      </c>
      <c r="P12" s="116">
        <v>0</v>
      </c>
      <c r="Q12" s="116">
        <v>0</v>
      </c>
      <c r="R12" s="116">
        <v>0</v>
      </c>
      <c r="S12" s="116">
        <v>0</v>
      </c>
      <c r="T12" s="116">
        <v>0</v>
      </c>
      <c r="V12" s="590"/>
    </row>
    <row r="13" spans="1:29" ht="15" customHeight="1" x14ac:dyDescent="0.25">
      <c r="A13" s="601" t="s">
        <v>95</v>
      </c>
      <c r="B13" s="601"/>
      <c r="C13" s="306">
        <v>5</v>
      </c>
      <c r="D13" s="303">
        <v>5</v>
      </c>
      <c r="E13" s="303">
        <v>5</v>
      </c>
      <c r="F13" s="303">
        <v>5</v>
      </c>
      <c r="G13" s="303">
        <v>5</v>
      </c>
      <c r="H13" s="303">
        <v>9.9</v>
      </c>
      <c r="I13" s="303">
        <v>9.9</v>
      </c>
      <c r="J13" s="116">
        <v>10.3</v>
      </c>
      <c r="K13" s="116">
        <v>10.3</v>
      </c>
      <c r="L13" s="116">
        <v>10.63</v>
      </c>
      <c r="M13" s="116">
        <v>10.63</v>
      </c>
      <c r="N13" s="116">
        <v>10.63</v>
      </c>
      <c r="O13" s="116">
        <v>10.63</v>
      </c>
      <c r="P13" s="116">
        <v>10.63</v>
      </c>
      <c r="Q13" s="116">
        <v>10.63</v>
      </c>
      <c r="R13" s="116">
        <v>10.63</v>
      </c>
      <c r="S13" s="116">
        <v>10.63</v>
      </c>
      <c r="T13" s="116">
        <v>10.63</v>
      </c>
      <c r="V13" s="357"/>
    </row>
    <row r="14" spans="1:29" ht="15" customHeight="1" x14ac:dyDescent="0.25">
      <c r="A14" s="598" t="s">
        <v>24</v>
      </c>
      <c r="B14" s="598"/>
      <c r="C14" s="100">
        <f t="shared" ref="C14:I14" si="7">ROUND(SUM(C10:C13),2)</f>
        <v>725.37</v>
      </c>
      <c r="D14" s="100">
        <f t="shared" si="7"/>
        <v>764.22</v>
      </c>
      <c r="E14" s="100">
        <f t="shared" si="7"/>
        <v>808.22</v>
      </c>
      <c r="F14" s="100">
        <f t="shared" si="7"/>
        <v>808.22</v>
      </c>
      <c r="G14" s="100">
        <f t="shared" si="7"/>
        <v>808.22</v>
      </c>
      <c r="H14" s="100">
        <f t="shared" si="7"/>
        <v>811.03</v>
      </c>
      <c r="I14" s="100">
        <f t="shared" si="7"/>
        <v>855.03</v>
      </c>
      <c r="J14" s="100">
        <f t="shared" ref="J14:T14" si="8">ROUND(SUM(J10:J13),2)</f>
        <v>877.77</v>
      </c>
      <c r="K14" s="100">
        <f t="shared" si="8"/>
        <v>877.77</v>
      </c>
      <c r="L14" s="100">
        <f t="shared" si="8"/>
        <v>896.04</v>
      </c>
      <c r="M14" s="100">
        <f t="shared" si="8"/>
        <v>918.04</v>
      </c>
      <c r="N14" s="100">
        <f t="shared" si="8"/>
        <v>918.04</v>
      </c>
      <c r="O14" s="100">
        <f t="shared" si="8"/>
        <v>918.04</v>
      </c>
      <c r="P14" s="100">
        <f t="shared" si="8"/>
        <v>918.04</v>
      </c>
      <c r="Q14" s="100">
        <f t="shared" si="8"/>
        <v>918.04</v>
      </c>
      <c r="R14" s="100">
        <f t="shared" si="8"/>
        <v>945.35</v>
      </c>
      <c r="S14" s="100">
        <f t="shared" si="8"/>
        <v>945.35</v>
      </c>
      <c r="T14" s="100">
        <f t="shared" si="8"/>
        <v>945.35</v>
      </c>
      <c r="V14" s="332" t="s">
        <v>301</v>
      </c>
    </row>
    <row r="15" spans="1:29" ht="15" customHeight="1" x14ac:dyDescent="0.25">
      <c r="A15" s="602" t="s">
        <v>51</v>
      </c>
      <c r="B15" s="603"/>
      <c r="C15" s="111" t="s">
        <v>158</v>
      </c>
      <c r="D15" s="111" t="s">
        <v>158</v>
      </c>
      <c r="E15" s="111" t="s">
        <v>158</v>
      </c>
      <c r="F15" s="111" t="s">
        <v>158</v>
      </c>
      <c r="G15" s="111" t="s">
        <v>158</v>
      </c>
      <c r="H15" s="111" t="s">
        <v>158</v>
      </c>
      <c r="I15" s="111" t="s">
        <v>158</v>
      </c>
      <c r="J15" s="111" t="s">
        <v>158</v>
      </c>
      <c r="K15" s="111" t="s">
        <v>158</v>
      </c>
      <c r="L15" s="111" t="s">
        <v>158</v>
      </c>
      <c r="M15" s="111" t="s">
        <v>158</v>
      </c>
      <c r="N15" s="111" t="s">
        <v>158</v>
      </c>
      <c r="O15" s="111" t="s">
        <v>158</v>
      </c>
      <c r="P15" s="111" t="s">
        <v>158</v>
      </c>
      <c r="Q15" s="111" t="s">
        <v>158</v>
      </c>
      <c r="R15" s="111" t="s">
        <v>158</v>
      </c>
      <c r="S15" s="111" t="s">
        <v>158</v>
      </c>
      <c r="T15" s="111" t="s">
        <v>158</v>
      </c>
      <c r="V15" s="47" t="s">
        <v>306</v>
      </c>
    </row>
    <row r="16" spans="1:29" ht="15" customHeight="1" x14ac:dyDescent="0.25">
      <c r="A16" s="604" t="s">
        <v>0</v>
      </c>
      <c r="B16" s="605"/>
      <c r="C16" s="307">
        <f t="shared" ref="C16:H16" si="9">(26+52+52+8)/12</f>
        <v>11.5</v>
      </c>
      <c r="D16" s="451">
        <f t="shared" si="9"/>
        <v>11.5</v>
      </c>
      <c r="E16" s="451">
        <f t="shared" si="9"/>
        <v>11.5</v>
      </c>
      <c r="F16" s="451">
        <f t="shared" si="9"/>
        <v>11.5</v>
      </c>
      <c r="G16" s="451">
        <f t="shared" si="9"/>
        <v>11.5</v>
      </c>
      <c r="H16" s="451">
        <f t="shared" si="9"/>
        <v>11.5</v>
      </c>
      <c r="I16" s="101">
        <v>12.6</v>
      </c>
      <c r="J16" s="101">
        <v>12.6</v>
      </c>
      <c r="K16" s="101">
        <f t="shared" ref="K16:P16" si="10">J16</f>
        <v>12.6</v>
      </c>
      <c r="L16" s="101">
        <f t="shared" si="10"/>
        <v>12.6</v>
      </c>
      <c r="M16" s="101">
        <f t="shared" si="10"/>
        <v>12.6</v>
      </c>
      <c r="N16" s="101">
        <f t="shared" si="10"/>
        <v>12.6</v>
      </c>
      <c r="O16" s="101">
        <f t="shared" si="10"/>
        <v>12.6</v>
      </c>
      <c r="P16" s="101">
        <f t="shared" si="10"/>
        <v>12.6</v>
      </c>
      <c r="Q16" s="101">
        <f>14.5</f>
        <v>14.5</v>
      </c>
      <c r="R16" s="101">
        <f t="shared" ref="R16:T16" si="11">14.5</f>
        <v>14.5</v>
      </c>
      <c r="S16" s="101">
        <f t="shared" si="11"/>
        <v>14.5</v>
      </c>
      <c r="T16" s="101">
        <f t="shared" si="11"/>
        <v>14.5</v>
      </c>
      <c r="V16" s="357"/>
      <c r="AC16" s="108"/>
    </row>
    <row r="17" spans="1:29" ht="15" customHeight="1" x14ac:dyDescent="0.25">
      <c r="A17" s="604" t="s">
        <v>87</v>
      </c>
      <c r="B17" s="605"/>
      <c r="C17" s="307">
        <f t="shared" ref="C17:I17" si="12">((1620+960+630)/12)/32</f>
        <v>8.359375</v>
      </c>
      <c r="D17" s="451">
        <f t="shared" si="12"/>
        <v>8.359375</v>
      </c>
      <c r="E17" s="451">
        <f t="shared" si="12"/>
        <v>8.359375</v>
      </c>
      <c r="F17" s="451">
        <f t="shared" si="12"/>
        <v>8.359375</v>
      </c>
      <c r="G17" s="451">
        <f t="shared" si="12"/>
        <v>8.359375</v>
      </c>
      <c r="H17" s="451">
        <f t="shared" si="12"/>
        <v>8.359375</v>
      </c>
      <c r="I17" s="451">
        <f t="shared" si="12"/>
        <v>8.359375</v>
      </c>
      <c r="J17" s="101">
        <v>8.36</v>
      </c>
      <c r="K17" s="101">
        <v>8.36</v>
      </c>
      <c r="L17" s="101">
        <v>8.36</v>
      </c>
      <c r="M17" s="101">
        <v>8.36</v>
      </c>
      <c r="N17" s="101">
        <v>8.36</v>
      </c>
      <c r="O17" s="101">
        <v>8.36</v>
      </c>
      <c r="P17" s="101">
        <v>8.36</v>
      </c>
      <c r="Q17" s="101">
        <v>8.36</v>
      </c>
      <c r="R17" s="101">
        <v>8.36</v>
      </c>
      <c r="S17" s="101">
        <v>8.36</v>
      </c>
      <c r="T17" s="101">
        <v>8.36</v>
      </c>
      <c r="V17" s="331" t="s">
        <v>304</v>
      </c>
    </row>
    <row r="18" spans="1:29" ht="15" customHeight="1" x14ac:dyDescent="0.25">
      <c r="A18" s="598" t="s">
        <v>24</v>
      </c>
      <c r="B18" s="598"/>
      <c r="C18" s="100">
        <f t="shared" ref="C18:I18" si="13">ROUND(SUM(C16:C17),2)</f>
        <v>19.86</v>
      </c>
      <c r="D18" s="100">
        <f t="shared" si="13"/>
        <v>19.86</v>
      </c>
      <c r="E18" s="100">
        <f t="shared" si="13"/>
        <v>19.86</v>
      </c>
      <c r="F18" s="100">
        <f t="shared" si="13"/>
        <v>19.86</v>
      </c>
      <c r="G18" s="100">
        <f t="shared" si="13"/>
        <v>19.86</v>
      </c>
      <c r="H18" s="100">
        <f t="shared" si="13"/>
        <v>19.86</v>
      </c>
      <c r="I18" s="100">
        <f t="shared" si="13"/>
        <v>20.96</v>
      </c>
      <c r="J18" s="100">
        <f t="shared" ref="J18:T18" si="14">ROUND(SUM(J16:J17),2)</f>
        <v>20.96</v>
      </c>
      <c r="K18" s="100">
        <f t="shared" si="14"/>
        <v>20.96</v>
      </c>
      <c r="L18" s="100">
        <f t="shared" si="14"/>
        <v>20.96</v>
      </c>
      <c r="M18" s="100">
        <f t="shared" si="14"/>
        <v>20.96</v>
      </c>
      <c r="N18" s="100">
        <f t="shared" si="14"/>
        <v>20.96</v>
      </c>
      <c r="O18" s="100">
        <f t="shared" si="14"/>
        <v>20.96</v>
      </c>
      <c r="P18" s="100">
        <f t="shared" si="14"/>
        <v>20.96</v>
      </c>
      <c r="Q18" s="100">
        <f t="shared" si="14"/>
        <v>22.86</v>
      </c>
      <c r="R18" s="100">
        <f t="shared" si="14"/>
        <v>22.86</v>
      </c>
      <c r="S18" s="100">
        <f t="shared" si="14"/>
        <v>22.86</v>
      </c>
      <c r="T18" s="100">
        <f t="shared" si="14"/>
        <v>22.86</v>
      </c>
      <c r="V18" s="47" t="s">
        <v>327</v>
      </c>
    </row>
    <row r="19" spans="1:29" ht="15" customHeight="1" x14ac:dyDescent="0.25">
      <c r="A19" s="591" t="s">
        <v>52</v>
      </c>
      <c r="B19" s="592"/>
      <c r="C19" s="111" t="s">
        <v>229</v>
      </c>
      <c r="D19" s="111" t="s">
        <v>229</v>
      </c>
      <c r="E19" s="111" t="s">
        <v>229</v>
      </c>
      <c r="F19" s="111" t="s">
        <v>229</v>
      </c>
      <c r="G19" s="111" t="s">
        <v>229</v>
      </c>
      <c r="H19" s="111" t="s">
        <v>229</v>
      </c>
      <c r="I19" s="111" t="s">
        <v>229</v>
      </c>
      <c r="J19" s="111" t="s">
        <v>229</v>
      </c>
      <c r="K19" s="111" t="s">
        <v>229</v>
      </c>
      <c r="L19" s="111" t="s">
        <v>229</v>
      </c>
      <c r="M19" s="111" t="s">
        <v>229</v>
      </c>
      <c r="N19" s="111" t="s">
        <v>229</v>
      </c>
      <c r="O19" s="111" t="s">
        <v>229</v>
      </c>
      <c r="P19" s="111" t="s">
        <v>229</v>
      </c>
      <c r="Q19" s="111" t="s">
        <v>229</v>
      </c>
      <c r="R19" s="111" t="s">
        <v>229</v>
      </c>
      <c r="S19" s="111" t="s">
        <v>229</v>
      </c>
      <c r="T19" s="111" t="s">
        <v>229</v>
      </c>
    </row>
    <row r="20" spans="1:29" ht="15" customHeight="1" x14ac:dyDescent="0.25">
      <c r="A20" s="593"/>
      <c r="B20" s="594"/>
      <c r="C20" s="118">
        <v>0.71779999999999999</v>
      </c>
      <c r="D20" s="118">
        <v>0.71779999999999999</v>
      </c>
      <c r="E20" s="118">
        <v>0.71779999999999999</v>
      </c>
      <c r="F20" s="118">
        <v>0.71779999999999999</v>
      </c>
      <c r="G20" s="118">
        <v>0.71779999999999999</v>
      </c>
      <c r="H20" s="118">
        <v>0.7218</v>
      </c>
      <c r="I20" s="118">
        <v>0.7218</v>
      </c>
      <c r="J20" s="118">
        <v>0.72260000000000002</v>
      </c>
      <c r="K20" s="118">
        <v>0.72260000000000002</v>
      </c>
      <c r="L20" s="118">
        <v>0.71330000000000005</v>
      </c>
      <c r="M20" s="118">
        <v>0.71330000000000005</v>
      </c>
      <c r="N20" s="118">
        <v>0.69799999999999995</v>
      </c>
      <c r="O20" s="118">
        <v>0.71330000000000005</v>
      </c>
      <c r="P20" s="118">
        <v>0.71330000000000005</v>
      </c>
      <c r="Q20" s="118">
        <v>0.71330000000000005</v>
      </c>
      <c r="R20" s="118">
        <v>0.71530000000000005</v>
      </c>
      <c r="S20" s="118">
        <v>0.71530000000000005</v>
      </c>
      <c r="T20" s="118">
        <v>0.71530000000000005</v>
      </c>
      <c r="V20" s="332" t="s">
        <v>324</v>
      </c>
    </row>
    <row r="21" spans="1:29" ht="15" customHeight="1" x14ac:dyDescent="0.25">
      <c r="A21" s="595" t="s">
        <v>55</v>
      </c>
      <c r="B21" s="596"/>
      <c r="C21" s="100">
        <f t="shared" ref="C21:I21" si="15">ROUND((C8*C20),2)</f>
        <v>755.27</v>
      </c>
      <c r="D21" s="100">
        <f t="shared" si="15"/>
        <v>804.89</v>
      </c>
      <c r="E21" s="100">
        <f t="shared" si="15"/>
        <v>804.89</v>
      </c>
      <c r="F21" s="100">
        <f t="shared" si="15"/>
        <v>804.89</v>
      </c>
      <c r="G21" s="100">
        <f t="shared" si="15"/>
        <v>804.89</v>
      </c>
      <c r="H21" s="100">
        <f t="shared" si="15"/>
        <v>834.47</v>
      </c>
      <c r="I21" s="100">
        <f t="shared" si="15"/>
        <v>834.47</v>
      </c>
      <c r="J21" s="100">
        <f t="shared" ref="J21:T21" si="16">ROUND((J8*J20),2)</f>
        <v>866.3</v>
      </c>
      <c r="K21" s="100">
        <f t="shared" si="16"/>
        <v>866.3</v>
      </c>
      <c r="L21" s="100">
        <f t="shared" si="16"/>
        <v>882.52</v>
      </c>
      <c r="M21" s="100">
        <f t="shared" si="16"/>
        <v>882.52</v>
      </c>
      <c r="N21" s="100">
        <f t="shared" si="16"/>
        <v>863.59</v>
      </c>
      <c r="O21" s="100">
        <f t="shared" si="16"/>
        <v>882.52</v>
      </c>
      <c r="P21" s="100">
        <f t="shared" si="16"/>
        <v>882.52</v>
      </c>
      <c r="Q21" s="100">
        <f t="shared" si="16"/>
        <v>882.52</v>
      </c>
      <c r="R21" s="100">
        <f t="shared" si="16"/>
        <v>921.28</v>
      </c>
      <c r="S21" s="100">
        <f t="shared" si="16"/>
        <v>921.28</v>
      </c>
      <c r="T21" s="100">
        <f t="shared" si="16"/>
        <v>921.28</v>
      </c>
      <c r="U21" s="131"/>
      <c r="V21" s="47" t="s">
        <v>328</v>
      </c>
    </row>
    <row r="22" spans="1:29" ht="15" customHeight="1" x14ac:dyDescent="0.25">
      <c r="A22" s="51" t="s">
        <v>58</v>
      </c>
      <c r="B22" s="51" t="s">
        <v>1</v>
      </c>
      <c r="C22" s="111" t="s">
        <v>158</v>
      </c>
      <c r="D22" s="111" t="s">
        <v>158</v>
      </c>
      <c r="E22" s="111" t="s">
        <v>158</v>
      </c>
      <c r="F22" s="111" t="s">
        <v>158</v>
      </c>
      <c r="G22" s="111" t="s">
        <v>158</v>
      </c>
      <c r="H22" s="111" t="s">
        <v>158</v>
      </c>
      <c r="I22" s="111" t="s">
        <v>158</v>
      </c>
      <c r="J22" s="111" t="s">
        <v>158</v>
      </c>
      <c r="K22" s="111" t="s">
        <v>158</v>
      </c>
      <c r="L22" s="111" t="s">
        <v>158</v>
      </c>
      <c r="M22" s="111" t="s">
        <v>158</v>
      </c>
      <c r="N22" s="111" t="s">
        <v>158</v>
      </c>
      <c r="O22" s="111" t="s">
        <v>158</v>
      </c>
      <c r="P22" s="111" t="s">
        <v>158</v>
      </c>
      <c r="Q22" s="111" t="s">
        <v>158</v>
      </c>
      <c r="R22" s="111" t="s">
        <v>158</v>
      </c>
      <c r="S22" s="111" t="s">
        <v>158</v>
      </c>
      <c r="T22" s="111" t="s">
        <v>158</v>
      </c>
      <c r="V22" s="323" t="s">
        <v>329</v>
      </c>
    </row>
    <row r="23" spans="1:29" ht="15" customHeight="1" x14ac:dyDescent="0.25">
      <c r="A23" s="47" t="s">
        <v>2</v>
      </c>
      <c r="B23" s="50">
        <v>1.2699999999999999E-2</v>
      </c>
      <c r="C23" s="308">
        <f>ROUND(((C8+C14+C18+C21)*B23),2)</f>
        <v>32.42</v>
      </c>
      <c r="D23" s="304">
        <f>ROUND(((D8+D14+D18+D21)*B23),2)</f>
        <v>34.42</v>
      </c>
      <c r="E23" s="304">
        <f>ROUND(((E8+E14+E18+E21)*B23),2)</f>
        <v>34.979999999999997</v>
      </c>
      <c r="F23" s="304">
        <f>ROUND(((F8+F14+F18+F21)*B23),2)</f>
        <v>34.979999999999997</v>
      </c>
      <c r="G23" s="304">
        <f>ROUND(((G8+G14+G18+G21)*B23),2)</f>
        <v>34.979999999999997</v>
      </c>
      <c r="H23" s="304">
        <f>ROUND(((H8+H14+H18+H21)*B23),2)</f>
        <v>35.83</v>
      </c>
      <c r="I23" s="304">
        <v>36.409999999999997</v>
      </c>
      <c r="J23" s="101">
        <f>ROUND((J8+J14+J18+J21)*B23,2)</f>
        <v>37.64</v>
      </c>
      <c r="K23" s="101">
        <f>ROUND((K8+K14+K18+K21)*B23,2)</f>
        <v>37.64</v>
      </c>
      <c r="L23" s="101">
        <f>ROUND((L8+L14+L18+L21)*B23,2)</f>
        <v>38.57</v>
      </c>
      <c r="M23" s="101">
        <f>ROUND((M8+M14+M18+M21)*B23,2)</f>
        <v>38.85</v>
      </c>
      <c r="N23" s="101">
        <f>ROUND((N8+N14+N18+N21)*B23,2)</f>
        <v>38.61</v>
      </c>
      <c r="O23" s="101">
        <f>ROUND((O8+O14+O18+O21)*B23,2)</f>
        <v>38.85</v>
      </c>
      <c r="P23" s="101">
        <f>ROUND((P8+P14+P18+P21)*B23,2)</f>
        <v>38.85</v>
      </c>
      <c r="Q23" s="101">
        <f>ROUND((Q8+Q14+Q18+Q21)*B23,2)</f>
        <v>38.869999999999997</v>
      </c>
      <c r="R23" s="101">
        <f>ROUND((R8+R14+R18+R21)*B23,2)</f>
        <v>40.35</v>
      </c>
      <c r="S23" s="101">
        <f>ROUND((S8+S14+S18+S21)*B23,2)</f>
        <v>40.35</v>
      </c>
      <c r="T23" s="101">
        <f>ROUND((T8+T14+T18+T21)*B23,2)</f>
        <v>40.35</v>
      </c>
      <c r="V23" s="47" t="s">
        <v>310</v>
      </c>
    </row>
    <row r="24" spans="1:29" ht="15" customHeight="1" x14ac:dyDescent="0.25">
      <c r="A24" s="47" t="s">
        <v>3</v>
      </c>
      <c r="B24" s="50">
        <v>0.14249999999999999</v>
      </c>
      <c r="C24" s="308">
        <f t="shared" ref="C24:J24" si="17">ROUND((C8+C14+C18+C21+C23+C25)*14.25/85.75,2)</f>
        <v>433.89</v>
      </c>
      <c r="D24" s="304">
        <f t="shared" si="17"/>
        <v>460.68</v>
      </c>
      <c r="E24" s="304">
        <f t="shared" si="17"/>
        <v>468.16</v>
      </c>
      <c r="F24" s="304">
        <f t="shared" si="17"/>
        <v>468.16</v>
      </c>
      <c r="G24" s="304">
        <f t="shared" si="17"/>
        <v>468.16</v>
      </c>
      <c r="H24" s="304">
        <f t="shared" si="17"/>
        <v>479.57</v>
      </c>
      <c r="I24" s="304">
        <v>487.24</v>
      </c>
      <c r="J24" s="101">
        <f t="shared" si="17"/>
        <v>503.79</v>
      </c>
      <c r="K24" s="101">
        <f t="shared" ref="K24:T24" si="18">ROUND((K8+K14+K18+K21+K23+K25)*14.25/85.75,2)</f>
        <v>503.79</v>
      </c>
      <c r="L24" s="101">
        <f t="shared" si="18"/>
        <v>516.16999999999996</v>
      </c>
      <c r="M24" s="101">
        <f t="shared" si="18"/>
        <v>519.91</v>
      </c>
      <c r="N24" s="101">
        <f t="shared" si="18"/>
        <v>516.69000000000005</v>
      </c>
      <c r="O24" s="101">
        <f t="shared" si="18"/>
        <v>519.91</v>
      </c>
      <c r="P24" s="101">
        <f t="shared" si="18"/>
        <v>519.91</v>
      </c>
      <c r="Q24" s="101">
        <f t="shared" si="18"/>
        <v>520.23</v>
      </c>
      <c r="R24" s="101">
        <f t="shared" si="18"/>
        <v>540.08000000000004</v>
      </c>
      <c r="S24" s="101">
        <f t="shared" si="18"/>
        <v>540.08000000000004</v>
      </c>
      <c r="T24" s="101">
        <f t="shared" si="18"/>
        <v>540.08000000000004</v>
      </c>
      <c r="V24" s="47" t="s">
        <v>311</v>
      </c>
    </row>
    <row r="25" spans="1:29" ht="15" customHeight="1" x14ac:dyDescent="0.25">
      <c r="A25" s="47" t="s">
        <v>4</v>
      </c>
      <c r="B25" s="50">
        <v>0.01</v>
      </c>
      <c r="C25" s="308">
        <f>ROUND((SUM(C8+C14+C18+C21+C23)*B25),2)</f>
        <v>25.85</v>
      </c>
      <c r="D25" s="304">
        <f>ROUND((SUM(D8+D14+D18+D21+D23)*B25),2)</f>
        <v>27.45</v>
      </c>
      <c r="E25" s="304">
        <f>ROUND((SUM(E8+E14+E18+E21+E23)*B25),2)</f>
        <v>27.89</v>
      </c>
      <c r="F25" s="304">
        <f>ROUND((SUM(F8+F14+F18+F21+F23)*B25),2)</f>
        <v>27.89</v>
      </c>
      <c r="G25" s="304">
        <f>ROUND((SUM(G8+G14+G18+G21+G23)*B25),2)</f>
        <v>27.89</v>
      </c>
      <c r="H25" s="304">
        <f>ROUND((SUM(H8+H14+H18+H21+H23)*B25),2)</f>
        <v>28.57</v>
      </c>
      <c r="I25" s="304">
        <v>29.03</v>
      </c>
      <c r="J25" s="101">
        <f>ROUND((J8+J14+J18+J21+J23)*B25,2)</f>
        <v>30.02</v>
      </c>
      <c r="K25" s="101">
        <f>ROUND((K8+K14+K18+K21+K23)*B25,2)</f>
        <v>30.02</v>
      </c>
      <c r="L25" s="101">
        <f>ROUND((L8+L14+L18+L21+L23)*B25,2)</f>
        <v>30.75</v>
      </c>
      <c r="M25" s="101">
        <f>ROUND((M8+M14+M18+M21+M23)*B25,2)</f>
        <v>30.98</v>
      </c>
      <c r="N25" s="101">
        <f>ROUND((N8+N14+N18+N21+N23)*B25,2)</f>
        <v>30.78</v>
      </c>
      <c r="O25" s="101">
        <f>ROUND((O8+O14+O18+O21+O23)*B25,2)</f>
        <v>30.98</v>
      </c>
      <c r="P25" s="101">
        <f>ROUND((P8+P14+P18+P21+P23)*B25,2)</f>
        <v>30.98</v>
      </c>
      <c r="Q25" s="101">
        <f>ROUND((Q8+Q14+Q18+Q21+Q23)*B25,2)</f>
        <v>31</v>
      </c>
      <c r="R25" s="101">
        <f>ROUND((R8+R14+R18+R21+R23)*B25,2)</f>
        <v>32.18</v>
      </c>
      <c r="S25" s="101">
        <f>ROUND((S8+S14+S18+S21+S23)*B25,2)</f>
        <v>32.18</v>
      </c>
      <c r="T25" s="101">
        <f>ROUND((T8+T14+T18+T21+T23)*B25,2)</f>
        <v>32.18</v>
      </c>
      <c r="V25" s="39"/>
    </row>
    <row r="26" spans="1:29" ht="15" customHeight="1" x14ac:dyDescent="0.25">
      <c r="A26" s="598" t="s">
        <v>24</v>
      </c>
      <c r="B26" s="598"/>
      <c r="C26" s="104">
        <f t="shared" ref="C26:I26" si="19">ROUND(SUM(C23:C25),2)</f>
        <v>492.16</v>
      </c>
      <c r="D26" s="104">
        <f t="shared" si="19"/>
        <v>522.54999999999995</v>
      </c>
      <c r="E26" s="104">
        <f t="shared" si="19"/>
        <v>531.03</v>
      </c>
      <c r="F26" s="104">
        <f t="shared" si="19"/>
        <v>531.03</v>
      </c>
      <c r="G26" s="104">
        <f t="shared" si="19"/>
        <v>531.03</v>
      </c>
      <c r="H26" s="104">
        <f t="shared" si="19"/>
        <v>543.97</v>
      </c>
      <c r="I26" s="104">
        <f t="shared" si="19"/>
        <v>552.67999999999995</v>
      </c>
      <c r="J26" s="104">
        <f t="shared" ref="J26:T26" si="20">ROUND(SUM(J23:J25),2)</f>
        <v>571.45000000000005</v>
      </c>
      <c r="K26" s="104">
        <f t="shared" si="20"/>
        <v>571.45000000000005</v>
      </c>
      <c r="L26" s="104">
        <f t="shared" si="20"/>
        <v>585.49</v>
      </c>
      <c r="M26" s="104">
        <f t="shared" si="20"/>
        <v>589.74</v>
      </c>
      <c r="N26" s="104">
        <f t="shared" si="20"/>
        <v>586.08000000000004</v>
      </c>
      <c r="O26" s="104">
        <f t="shared" si="20"/>
        <v>589.74</v>
      </c>
      <c r="P26" s="104">
        <f t="shared" si="20"/>
        <v>589.74</v>
      </c>
      <c r="Q26" s="104">
        <f t="shared" si="20"/>
        <v>590.1</v>
      </c>
      <c r="R26" s="104">
        <f t="shared" si="20"/>
        <v>612.61</v>
      </c>
      <c r="S26" s="104">
        <f t="shared" si="20"/>
        <v>612.61</v>
      </c>
      <c r="T26" s="104">
        <f t="shared" si="20"/>
        <v>612.61</v>
      </c>
      <c r="V26" s="332" t="s">
        <v>312</v>
      </c>
    </row>
    <row r="27" spans="1:29" ht="68.25" customHeight="1" x14ac:dyDescent="0.25">
      <c r="A27" s="595" t="s">
        <v>59</v>
      </c>
      <c r="B27" s="596"/>
      <c r="C27" s="314" t="s">
        <v>285</v>
      </c>
      <c r="D27" s="448" t="s">
        <v>294</v>
      </c>
      <c r="E27" s="448" t="s">
        <v>295</v>
      </c>
      <c r="F27" s="448" t="s">
        <v>290</v>
      </c>
      <c r="G27" s="439" t="s">
        <v>289</v>
      </c>
      <c r="H27" s="439" t="s">
        <v>292</v>
      </c>
      <c r="I27" s="123" t="s">
        <v>501</v>
      </c>
      <c r="J27" s="123" t="s">
        <v>502</v>
      </c>
      <c r="K27" s="123" t="s">
        <v>511</v>
      </c>
      <c r="L27" s="123" t="s">
        <v>380</v>
      </c>
      <c r="M27" s="123" t="s">
        <v>381</v>
      </c>
      <c r="N27" s="123" t="s">
        <v>384</v>
      </c>
      <c r="O27" s="123" t="s">
        <v>385</v>
      </c>
      <c r="P27" s="123" t="s">
        <v>386</v>
      </c>
      <c r="Q27" s="123" t="s">
        <v>404</v>
      </c>
      <c r="R27" s="450" t="s">
        <v>400</v>
      </c>
      <c r="S27" s="123" t="s">
        <v>405</v>
      </c>
      <c r="T27" s="123" t="s">
        <v>510</v>
      </c>
      <c r="V27" s="588" t="s">
        <v>337</v>
      </c>
      <c r="AC27" s="44" t="s">
        <v>336</v>
      </c>
    </row>
    <row r="28" spans="1:29" ht="15" customHeight="1" x14ac:dyDescent="0.25">
      <c r="A28" s="599" t="s">
        <v>69</v>
      </c>
      <c r="B28" s="599"/>
      <c r="C28" s="119">
        <f t="shared" ref="C28:M28" si="21">C8</f>
        <v>1052.2</v>
      </c>
      <c r="D28" s="119">
        <f t="shared" si="21"/>
        <v>1121.3295400000002</v>
      </c>
      <c r="E28" s="119">
        <f t="shared" si="21"/>
        <v>1121.3295400000002</v>
      </c>
      <c r="F28" s="119">
        <f t="shared" si="21"/>
        <v>1121.3295400000002</v>
      </c>
      <c r="G28" s="119">
        <f t="shared" si="21"/>
        <v>1121.3295400000002</v>
      </c>
      <c r="H28" s="119">
        <f t="shared" si="21"/>
        <v>1156.0912299999998</v>
      </c>
      <c r="I28" s="119">
        <f t="shared" si="21"/>
        <v>1156.0912299999998</v>
      </c>
      <c r="J28" s="119">
        <f t="shared" si="21"/>
        <v>1198.8699999999999</v>
      </c>
      <c r="K28" s="119">
        <f t="shared" si="21"/>
        <v>1198.8699999999999</v>
      </c>
      <c r="L28" s="119">
        <f t="shared" si="21"/>
        <v>1237.23</v>
      </c>
      <c r="M28" s="119">
        <f t="shared" si="21"/>
        <v>1237.23</v>
      </c>
      <c r="N28" s="119">
        <f t="shared" ref="N28:T28" si="22">N8</f>
        <v>1237.23</v>
      </c>
      <c r="O28" s="119">
        <f t="shared" si="22"/>
        <v>1237.23</v>
      </c>
      <c r="P28" s="119">
        <f t="shared" si="22"/>
        <v>1237.23</v>
      </c>
      <c r="Q28" s="119">
        <f t="shared" si="22"/>
        <v>1237.23</v>
      </c>
      <c r="R28" s="119">
        <f t="shared" si="22"/>
        <v>1287.96</v>
      </c>
      <c r="S28" s="119">
        <f t="shared" si="22"/>
        <v>1287.96</v>
      </c>
      <c r="T28" s="119">
        <f t="shared" si="22"/>
        <v>1287.96</v>
      </c>
      <c r="V28" s="589"/>
    </row>
    <row r="29" spans="1:29" ht="15" customHeight="1" x14ac:dyDescent="0.25">
      <c r="A29" s="599" t="s">
        <v>50</v>
      </c>
      <c r="B29" s="599"/>
      <c r="C29" s="119">
        <f t="shared" ref="C29:M29" si="23">C14</f>
        <v>725.37</v>
      </c>
      <c r="D29" s="119">
        <f t="shared" si="23"/>
        <v>764.22</v>
      </c>
      <c r="E29" s="119">
        <f t="shared" si="23"/>
        <v>808.22</v>
      </c>
      <c r="F29" s="119">
        <f t="shared" si="23"/>
        <v>808.22</v>
      </c>
      <c r="G29" s="119">
        <f t="shared" si="23"/>
        <v>808.22</v>
      </c>
      <c r="H29" s="119">
        <f t="shared" si="23"/>
        <v>811.03</v>
      </c>
      <c r="I29" s="119">
        <f t="shared" si="23"/>
        <v>855.03</v>
      </c>
      <c r="J29" s="119">
        <f t="shared" si="23"/>
        <v>877.77</v>
      </c>
      <c r="K29" s="119">
        <f t="shared" si="23"/>
        <v>877.77</v>
      </c>
      <c r="L29" s="119">
        <f t="shared" si="23"/>
        <v>896.04</v>
      </c>
      <c r="M29" s="119">
        <f t="shared" si="23"/>
        <v>918.04</v>
      </c>
      <c r="N29" s="119">
        <f t="shared" ref="N29:T29" si="24">N14</f>
        <v>918.04</v>
      </c>
      <c r="O29" s="119">
        <f t="shared" si="24"/>
        <v>918.04</v>
      </c>
      <c r="P29" s="119">
        <f t="shared" si="24"/>
        <v>918.04</v>
      </c>
      <c r="Q29" s="119">
        <f t="shared" si="24"/>
        <v>918.04</v>
      </c>
      <c r="R29" s="119">
        <f t="shared" si="24"/>
        <v>945.35</v>
      </c>
      <c r="S29" s="119">
        <f t="shared" si="24"/>
        <v>945.35</v>
      </c>
      <c r="T29" s="119">
        <f t="shared" si="24"/>
        <v>945.35</v>
      </c>
      <c r="V29" s="590"/>
    </row>
    <row r="30" spans="1:29" ht="15" customHeight="1" x14ac:dyDescent="0.25">
      <c r="A30" s="599" t="s">
        <v>51</v>
      </c>
      <c r="B30" s="599"/>
      <c r="C30" s="119">
        <f t="shared" ref="C30:M30" si="25">C18</f>
        <v>19.86</v>
      </c>
      <c r="D30" s="119">
        <f t="shared" si="25"/>
        <v>19.86</v>
      </c>
      <c r="E30" s="119">
        <f t="shared" si="25"/>
        <v>19.86</v>
      </c>
      <c r="F30" s="119">
        <f t="shared" si="25"/>
        <v>19.86</v>
      </c>
      <c r="G30" s="119">
        <f t="shared" si="25"/>
        <v>19.86</v>
      </c>
      <c r="H30" s="119">
        <f t="shared" si="25"/>
        <v>19.86</v>
      </c>
      <c r="I30" s="119">
        <f t="shared" si="25"/>
        <v>20.96</v>
      </c>
      <c r="J30" s="119">
        <f t="shared" si="25"/>
        <v>20.96</v>
      </c>
      <c r="K30" s="119">
        <f t="shared" si="25"/>
        <v>20.96</v>
      </c>
      <c r="L30" s="119">
        <f t="shared" si="25"/>
        <v>20.96</v>
      </c>
      <c r="M30" s="119">
        <f t="shared" si="25"/>
        <v>20.96</v>
      </c>
      <c r="N30" s="119">
        <f t="shared" ref="N30:T30" si="26">N18</f>
        <v>20.96</v>
      </c>
      <c r="O30" s="119">
        <f t="shared" si="26"/>
        <v>20.96</v>
      </c>
      <c r="P30" s="119">
        <f t="shared" si="26"/>
        <v>20.96</v>
      </c>
      <c r="Q30" s="119">
        <f t="shared" si="26"/>
        <v>22.86</v>
      </c>
      <c r="R30" s="119">
        <f t="shared" si="26"/>
        <v>22.86</v>
      </c>
      <c r="S30" s="119">
        <f t="shared" si="26"/>
        <v>22.86</v>
      </c>
      <c r="T30" s="119">
        <f t="shared" si="26"/>
        <v>22.86</v>
      </c>
      <c r="V30" s="330"/>
    </row>
    <row r="31" spans="1:29" ht="15" customHeight="1" x14ac:dyDescent="0.25">
      <c r="A31" s="599" t="s">
        <v>52</v>
      </c>
      <c r="B31" s="599"/>
      <c r="C31" s="119">
        <f t="shared" ref="C31:M31" si="27">C21</f>
        <v>755.27</v>
      </c>
      <c r="D31" s="119">
        <f t="shared" si="27"/>
        <v>804.89</v>
      </c>
      <c r="E31" s="119">
        <f t="shared" si="27"/>
        <v>804.89</v>
      </c>
      <c r="F31" s="119">
        <f t="shared" si="27"/>
        <v>804.89</v>
      </c>
      <c r="G31" s="119">
        <f t="shared" si="27"/>
        <v>804.89</v>
      </c>
      <c r="H31" s="119">
        <f t="shared" si="27"/>
        <v>834.47</v>
      </c>
      <c r="I31" s="119">
        <f t="shared" si="27"/>
        <v>834.47</v>
      </c>
      <c r="J31" s="119">
        <f t="shared" si="27"/>
        <v>866.3</v>
      </c>
      <c r="K31" s="119">
        <f t="shared" si="27"/>
        <v>866.3</v>
      </c>
      <c r="L31" s="119">
        <f t="shared" si="27"/>
        <v>882.52</v>
      </c>
      <c r="M31" s="119">
        <f t="shared" si="27"/>
        <v>882.52</v>
      </c>
      <c r="N31" s="119">
        <f t="shared" ref="N31:T31" si="28">N21</f>
        <v>863.59</v>
      </c>
      <c r="O31" s="119">
        <f t="shared" si="28"/>
        <v>882.52</v>
      </c>
      <c r="P31" s="119">
        <f t="shared" si="28"/>
        <v>882.52</v>
      </c>
      <c r="Q31" s="119">
        <f t="shared" si="28"/>
        <v>882.52</v>
      </c>
      <c r="R31" s="119">
        <f t="shared" si="28"/>
        <v>921.28</v>
      </c>
      <c r="S31" s="119">
        <f t="shared" si="28"/>
        <v>921.28</v>
      </c>
      <c r="T31" s="119">
        <f t="shared" si="28"/>
        <v>921.28</v>
      </c>
      <c r="V31" s="332" t="s">
        <v>317</v>
      </c>
    </row>
    <row r="32" spans="1:29" ht="15" customHeight="1" x14ac:dyDescent="0.25">
      <c r="A32" s="598" t="s">
        <v>77</v>
      </c>
      <c r="B32" s="598"/>
      <c r="C32" s="104">
        <f t="shared" ref="C32:I32" si="29">ROUND(SUM(C28:C31),2)</f>
        <v>2552.6999999999998</v>
      </c>
      <c r="D32" s="104">
        <f t="shared" si="29"/>
        <v>2710.3</v>
      </c>
      <c r="E32" s="104">
        <f t="shared" si="29"/>
        <v>2754.3</v>
      </c>
      <c r="F32" s="104">
        <f t="shared" si="29"/>
        <v>2754.3</v>
      </c>
      <c r="G32" s="104">
        <f t="shared" si="29"/>
        <v>2754.3</v>
      </c>
      <c r="H32" s="104">
        <f t="shared" si="29"/>
        <v>2821.45</v>
      </c>
      <c r="I32" s="104">
        <f t="shared" si="29"/>
        <v>2866.55</v>
      </c>
      <c r="J32" s="104">
        <f t="shared" ref="J32:T32" si="30">ROUND(SUM(J28:J31),2)</f>
        <v>2963.9</v>
      </c>
      <c r="K32" s="104">
        <f t="shared" si="30"/>
        <v>2963.9</v>
      </c>
      <c r="L32" s="104">
        <f t="shared" si="30"/>
        <v>3036.75</v>
      </c>
      <c r="M32" s="104">
        <f t="shared" si="30"/>
        <v>3058.75</v>
      </c>
      <c r="N32" s="104">
        <f t="shared" si="30"/>
        <v>3039.82</v>
      </c>
      <c r="O32" s="104">
        <f t="shared" si="30"/>
        <v>3058.75</v>
      </c>
      <c r="P32" s="104">
        <f t="shared" si="30"/>
        <v>3058.75</v>
      </c>
      <c r="Q32" s="104">
        <f t="shared" si="30"/>
        <v>3060.65</v>
      </c>
      <c r="R32" s="104">
        <f t="shared" si="30"/>
        <v>3177.45</v>
      </c>
      <c r="S32" s="104">
        <f t="shared" si="30"/>
        <v>3177.45</v>
      </c>
      <c r="T32" s="104">
        <f t="shared" si="30"/>
        <v>3177.45</v>
      </c>
      <c r="V32" s="47" t="s">
        <v>318</v>
      </c>
    </row>
    <row r="33" spans="1:22" ht="15" customHeight="1" x14ac:dyDescent="0.25">
      <c r="A33" s="599" t="s">
        <v>58</v>
      </c>
      <c r="B33" s="599"/>
      <c r="C33" s="119">
        <f t="shared" ref="C33:M33" si="31">C26</f>
        <v>492.16</v>
      </c>
      <c r="D33" s="119">
        <f t="shared" si="31"/>
        <v>522.54999999999995</v>
      </c>
      <c r="E33" s="119">
        <f t="shared" si="31"/>
        <v>531.03</v>
      </c>
      <c r="F33" s="119">
        <f t="shared" si="31"/>
        <v>531.03</v>
      </c>
      <c r="G33" s="119">
        <f t="shared" si="31"/>
        <v>531.03</v>
      </c>
      <c r="H33" s="119">
        <f t="shared" si="31"/>
        <v>543.97</v>
      </c>
      <c r="I33" s="119">
        <f t="shared" si="31"/>
        <v>552.67999999999995</v>
      </c>
      <c r="J33" s="119">
        <f t="shared" si="31"/>
        <v>571.45000000000005</v>
      </c>
      <c r="K33" s="119">
        <f t="shared" si="31"/>
        <v>571.45000000000005</v>
      </c>
      <c r="L33" s="119">
        <f t="shared" si="31"/>
        <v>585.49</v>
      </c>
      <c r="M33" s="119">
        <f t="shared" si="31"/>
        <v>589.74</v>
      </c>
      <c r="N33" s="119">
        <f t="shared" ref="N33:T33" si="32">N26</f>
        <v>586.08000000000004</v>
      </c>
      <c r="O33" s="119">
        <f t="shared" si="32"/>
        <v>589.74</v>
      </c>
      <c r="P33" s="119">
        <f t="shared" si="32"/>
        <v>589.74</v>
      </c>
      <c r="Q33" s="119">
        <f t="shared" si="32"/>
        <v>590.1</v>
      </c>
      <c r="R33" s="119">
        <f t="shared" si="32"/>
        <v>612.61</v>
      </c>
      <c r="S33" s="119">
        <f t="shared" si="32"/>
        <v>612.61</v>
      </c>
      <c r="T33" s="119">
        <f t="shared" si="32"/>
        <v>612.61</v>
      </c>
      <c r="V33" s="47" t="s">
        <v>319</v>
      </c>
    </row>
    <row r="34" spans="1:22" ht="15" customHeight="1" x14ac:dyDescent="0.25">
      <c r="A34" s="598" t="s">
        <v>162</v>
      </c>
      <c r="B34" s="598"/>
      <c r="C34" s="104">
        <f t="shared" ref="C34:I34" si="33">ROUND((C32+C33),2)</f>
        <v>3044.86</v>
      </c>
      <c r="D34" s="104">
        <f t="shared" si="33"/>
        <v>3232.85</v>
      </c>
      <c r="E34" s="104">
        <f t="shared" si="33"/>
        <v>3285.33</v>
      </c>
      <c r="F34" s="104">
        <f t="shared" si="33"/>
        <v>3285.33</v>
      </c>
      <c r="G34" s="104">
        <f t="shared" si="33"/>
        <v>3285.33</v>
      </c>
      <c r="H34" s="104">
        <f t="shared" si="33"/>
        <v>3365.42</v>
      </c>
      <c r="I34" s="104">
        <f t="shared" si="33"/>
        <v>3419.23</v>
      </c>
      <c r="J34" s="104">
        <f t="shared" ref="J34:T34" si="34">ROUND((J32+J33),2)</f>
        <v>3535.35</v>
      </c>
      <c r="K34" s="104">
        <f t="shared" si="34"/>
        <v>3535.35</v>
      </c>
      <c r="L34" s="104">
        <f t="shared" si="34"/>
        <v>3622.24</v>
      </c>
      <c r="M34" s="104">
        <f t="shared" si="34"/>
        <v>3648.49</v>
      </c>
      <c r="N34" s="104">
        <f t="shared" si="34"/>
        <v>3625.9</v>
      </c>
      <c r="O34" s="104">
        <f t="shared" si="34"/>
        <v>3648.49</v>
      </c>
      <c r="P34" s="104">
        <f t="shared" si="34"/>
        <v>3648.49</v>
      </c>
      <c r="Q34" s="104">
        <f t="shared" si="34"/>
        <v>3650.75</v>
      </c>
      <c r="R34" s="104">
        <f t="shared" si="34"/>
        <v>3790.06</v>
      </c>
      <c r="S34" s="104">
        <f t="shared" si="34"/>
        <v>3790.06</v>
      </c>
      <c r="T34" s="104">
        <f t="shared" si="34"/>
        <v>3790.06</v>
      </c>
      <c r="V34" s="323" t="s">
        <v>320</v>
      </c>
    </row>
    <row r="35" spans="1:22" ht="15" customHeight="1" x14ac:dyDescent="0.25">
      <c r="A35" s="600" t="s">
        <v>48</v>
      </c>
      <c r="B35" s="600"/>
      <c r="C35" s="120">
        <v>32</v>
      </c>
      <c r="D35" s="120">
        <v>32</v>
      </c>
      <c r="E35" s="120">
        <v>32</v>
      </c>
      <c r="F35" s="120">
        <v>32</v>
      </c>
      <c r="G35" s="120">
        <v>34</v>
      </c>
      <c r="H35" s="120">
        <v>34</v>
      </c>
      <c r="I35" s="544">
        <v>34</v>
      </c>
      <c r="J35" s="120">
        <v>34</v>
      </c>
      <c r="K35" s="120">
        <v>29</v>
      </c>
      <c r="L35" s="120">
        <v>29</v>
      </c>
      <c r="M35" s="120">
        <v>29</v>
      </c>
      <c r="N35" s="120">
        <v>29</v>
      </c>
      <c r="O35" s="120">
        <v>29</v>
      </c>
      <c r="P35" s="120">
        <v>29</v>
      </c>
      <c r="Q35" s="120">
        <v>29</v>
      </c>
      <c r="R35" s="120">
        <v>29</v>
      </c>
      <c r="S35" s="120">
        <v>27</v>
      </c>
      <c r="T35" s="120">
        <v>26</v>
      </c>
      <c r="V35" s="323" t="s">
        <v>321</v>
      </c>
    </row>
    <row r="36" spans="1:22" ht="15" customHeight="1" x14ac:dyDescent="0.25">
      <c r="A36" s="598" t="s">
        <v>159</v>
      </c>
      <c r="B36" s="598"/>
      <c r="C36" s="104">
        <f t="shared" ref="C36:I36" si="35">ROUND((C34*C35),2)</f>
        <v>97435.520000000004</v>
      </c>
      <c r="D36" s="104">
        <f t="shared" si="35"/>
        <v>103451.2</v>
      </c>
      <c r="E36" s="104">
        <f t="shared" si="35"/>
        <v>105130.56</v>
      </c>
      <c r="F36" s="104">
        <f t="shared" si="35"/>
        <v>105130.56</v>
      </c>
      <c r="G36" s="104">
        <f t="shared" si="35"/>
        <v>111701.22</v>
      </c>
      <c r="H36" s="104">
        <f t="shared" si="35"/>
        <v>114424.28</v>
      </c>
      <c r="I36" s="104">
        <f t="shared" si="35"/>
        <v>116253.82</v>
      </c>
      <c r="J36" s="104">
        <f t="shared" ref="J36:T36" si="36">ROUND((J34*J35),2)</f>
        <v>120201.9</v>
      </c>
      <c r="K36" s="104">
        <f t="shared" si="36"/>
        <v>102525.15</v>
      </c>
      <c r="L36" s="104">
        <f t="shared" si="36"/>
        <v>105044.96</v>
      </c>
      <c r="M36" s="104">
        <f t="shared" si="36"/>
        <v>105806.21</v>
      </c>
      <c r="N36" s="104">
        <f t="shared" si="36"/>
        <v>105151.1</v>
      </c>
      <c r="O36" s="104">
        <f t="shared" si="36"/>
        <v>105806.21</v>
      </c>
      <c r="P36" s="104">
        <f t="shared" si="36"/>
        <v>105806.21</v>
      </c>
      <c r="Q36" s="104">
        <f t="shared" si="36"/>
        <v>105871.75</v>
      </c>
      <c r="R36" s="104">
        <f t="shared" si="36"/>
        <v>109911.74</v>
      </c>
      <c r="S36" s="104">
        <f t="shared" si="36"/>
        <v>102331.62</v>
      </c>
      <c r="T36" s="104">
        <f t="shared" si="36"/>
        <v>98541.56</v>
      </c>
      <c r="V36" s="323" t="s">
        <v>322</v>
      </c>
    </row>
    <row r="37" spans="1:22" ht="15" customHeight="1" x14ac:dyDescent="0.25">
      <c r="A37" s="39"/>
      <c r="B37" s="39"/>
      <c r="C37" s="39"/>
      <c r="D37" s="39"/>
      <c r="E37" s="39"/>
      <c r="F37" s="39"/>
      <c r="G37" s="39"/>
      <c r="H37" s="39"/>
      <c r="I37" s="58"/>
    </row>
    <row r="38" spans="1:22" ht="15" customHeight="1" x14ac:dyDescent="0.25">
      <c r="A38" s="39"/>
      <c r="B38" s="39"/>
      <c r="C38" s="39"/>
      <c r="D38" s="39"/>
      <c r="E38" s="39"/>
      <c r="F38" s="39"/>
      <c r="G38" s="39"/>
      <c r="H38" s="39"/>
      <c r="I38" s="58"/>
      <c r="V38" s="332" t="s">
        <v>323</v>
      </c>
    </row>
    <row r="39" spans="1:22" ht="80.25" customHeight="1" x14ac:dyDescent="0.25">
      <c r="A39" s="39"/>
      <c r="B39" s="39"/>
      <c r="C39" s="39"/>
      <c r="D39" s="39"/>
      <c r="E39" s="39"/>
      <c r="F39" s="39"/>
      <c r="G39" s="39"/>
      <c r="H39" s="39"/>
      <c r="I39" s="58"/>
      <c r="M39" s="383">
        <f>M36-N36</f>
        <v>655.11000000000058</v>
      </c>
      <c r="V39" s="327" t="s">
        <v>340</v>
      </c>
    </row>
    <row r="40" spans="1:22" ht="15" customHeight="1" x14ac:dyDescent="0.25">
      <c r="A40" s="39"/>
      <c r="B40" s="39"/>
      <c r="C40" s="39"/>
      <c r="D40" s="39"/>
      <c r="E40" s="39"/>
      <c r="F40" s="39"/>
      <c r="G40" s="39"/>
      <c r="H40" s="39"/>
      <c r="I40" s="58"/>
    </row>
    <row r="41" spans="1:22" ht="15" customHeight="1" x14ac:dyDescent="0.25">
      <c r="A41" s="42"/>
      <c r="B41" s="39"/>
      <c r="C41" s="39"/>
      <c r="D41" s="39"/>
      <c r="E41" s="39"/>
      <c r="F41" s="39"/>
      <c r="G41" s="39"/>
      <c r="H41" s="39"/>
      <c r="I41" s="58"/>
    </row>
    <row r="42" spans="1:22" ht="15" customHeight="1" x14ac:dyDescent="0.25">
      <c r="A42" s="39"/>
      <c r="B42" s="39"/>
      <c r="C42" s="39"/>
      <c r="D42" s="39"/>
      <c r="E42" s="39"/>
      <c r="F42" s="39"/>
      <c r="G42" s="39"/>
      <c r="H42" s="39"/>
      <c r="I42" s="58"/>
    </row>
    <row r="43" spans="1:22" ht="15" customHeight="1" x14ac:dyDescent="0.25">
      <c r="A43" s="39"/>
      <c r="B43" s="39"/>
      <c r="C43" s="39"/>
      <c r="D43" s="39"/>
      <c r="E43" s="39"/>
      <c r="F43" s="39"/>
      <c r="G43" s="39"/>
      <c r="H43" s="39"/>
      <c r="I43" s="58"/>
    </row>
    <row r="44" spans="1:22" ht="15" customHeight="1" x14ac:dyDescent="0.25">
      <c r="A44" s="39"/>
      <c r="B44" s="39"/>
      <c r="C44" s="39"/>
      <c r="D44" s="39"/>
      <c r="E44" s="39"/>
      <c r="F44" s="39"/>
      <c r="G44" s="39"/>
      <c r="H44" s="39"/>
      <c r="I44" s="58"/>
    </row>
    <row r="45" spans="1:22" ht="15" customHeight="1" x14ac:dyDescent="0.25">
      <c r="A45" s="39"/>
      <c r="B45" s="39"/>
      <c r="C45" s="39"/>
      <c r="D45" s="39"/>
      <c r="E45" s="39"/>
      <c r="F45" s="39"/>
      <c r="G45" s="39"/>
      <c r="H45" s="39"/>
      <c r="I45" s="58"/>
    </row>
    <row r="46" spans="1:22" ht="15" customHeight="1" x14ac:dyDescent="0.25">
      <c r="A46" s="39"/>
      <c r="B46" s="39"/>
      <c r="C46" s="39"/>
      <c r="D46" s="39"/>
      <c r="E46" s="39"/>
      <c r="F46" s="39"/>
      <c r="G46" s="39"/>
      <c r="H46" s="39"/>
      <c r="I46" s="58"/>
    </row>
    <row r="48" spans="1:22" ht="15" customHeight="1" x14ac:dyDescent="0.25">
      <c r="A48" s="39"/>
      <c r="B48" s="39"/>
      <c r="C48" s="39"/>
      <c r="D48" s="39"/>
      <c r="E48" s="39"/>
      <c r="F48" s="39"/>
      <c r="G48" s="39"/>
      <c r="H48" s="39"/>
      <c r="I48" s="58"/>
    </row>
    <row r="49" spans="1:9" ht="15" customHeight="1" x14ac:dyDescent="0.25">
      <c r="A49" s="39"/>
      <c r="B49" s="39"/>
      <c r="C49" s="39"/>
      <c r="D49" s="39"/>
      <c r="E49" s="39"/>
      <c r="F49" s="39"/>
      <c r="G49" s="39"/>
      <c r="H49" s="39"/>
      <c r="I49" s="58"/>
    </row>
    <row r="50" spans="1:9" ht="15" customHeight="1" x14ac:dyDescent="0.25">
      <c r="A50" s="42"/>
      <c r="B50" s="39"/>
      <c r="C50" s="39"/>
      <c r="D50" s="39"/>
      <c r="E50" s="39"/>
      <c r="F50" s="39"/>
      <c r="G50" s="39"/>
      <c r="H50" s="39"/>
      <c r="I50" s="58"/>
    </row>
    <row r="51" spans="1:9" ht="15" customHeight="1" x14ac:dyDescent="0.25">
      <c r="A51" s="39"/>
      <c r="B51" s="43"/>
      <c r="C51" s="43"/>
      <c r="D51" s="43"/>
      <c r="E51" s="43"/>
      <c r="F51" s="43"/>
      <c r="G51" s="43"/>
      <c r="H51" s="43"/>
      <c r="I51" s="545"/>
    </row>
    <row r="52" spans="1:9" ht="15" customHeight="1" x14ac:dyDescent="0.25">
      <c r="A52" s="42"/>
      <c r="B52" s="39"/>
      <c r="C52" s="39"/>
      <c r="D52" s="39"/>
      <c r="E52" s="39"/>
      <c r="F52" s="39"/>
      <c r="G52" s="39"/>
      <c r="H52" s="39"/>
      <c r="I52" s="58"/>
    </row>
    <row r="53" spans="1:9" ht="15" customHeight="1" x14ac:dyDescent="0.25">
      <c r="A53" s="39"/>
      <c r="B53" s="39"/>
      <c r="C53" s="39"/>
      <c r="D53" s="39"/>
      <c r="E53" s="39"/>
      <c r="F53" s="39"/>
      <c r="G53" s="39"/>
      <c r="H53" s="39"/>
      <c r="I53" s="58"/>
    </row>
    <row r="54" spans="1:9" ht="15" customHeight="1" x14ac:dyDescent="0.25">
      <c r="A54" s="39"/>
      <c r="B54" s="39"/>
      <c r="C54" s="39"/>
      <c r="D54" s="39"/>
      <c r="E54" s="39"/>
      <c r="F54" s="39"/>
      <c r="G54" s="39"/>
      <c r="H54" s="39"/>
      <c r="I54" s="58"/>
    </row>
    <row r="55" spans="1:9" ht="15" customHeight="1" x14ac:dyDescent="0.25">
      <c r="A55" s="39"/>
      <c r="B55" s="39"/>
      <c r="C55" s="39"/>
      <c r="D55" s="39"/>
      <c r="E55" s="39"/>
      <c r="F55" s="39"/>
      <c r="G55" s="39"/>
      <c r="H55" s="39"/>
      <c r="I55" s="58"/>
    </row>
    <row r="56" spans="1:9" ht="15" customHeight="1" x14ac:dyDescent="0.25">
      <c r="A56" s="39"/>
      <c r="B56" s="39"/>
      <c r="C56" s="39"/>
      <c r="D56" s="39"/>
      <c r="E56" s="39"/>
      <c r="F56" s="39"/>
      <c r="G56" s="39"/>
      <c r="H56" s="39"/>
      <c r="I56" s="58"/>
    </row>
    <row r="57" spans="1:9" ht="15" customHeight="1" x14ac:dyDescent="0.25">
      <c r="A57" s="39"/>
      <c r="B57" s="39"/>
      <c r="C57" s="39"/>
      <c r="D57" s="39"/>
      <c r="E57" s="39"/>
      <c r="F57" s="39"/>
      <c r="G57" s="39"/>
      <c r="H57" s="39"/>
      <c r="I57" s="58"/>
    </row>
    <row r="58" spans="1:9" ht="15" customHeight="1" x14ac:dyDescent="0.25">
      <c r="A58" s="39"/>
      <c r="B58" s="39"/>
      <c r="C58" s="39"/>
      <c r="D58" s="39"/>
      <c r="E58" s="39"/>
      <c r="F58" s="39"/>
      <c r="G58" s="39"/>
      <c r="H58" s="39"/>
      <c r="I58" s="58"/>
    </row>
    <row r="59" spans="1:9" ht="15" customHeight="1" x14ac:dyDescent="0.25">
      <c r="A59" s="39"/>
      <c r="B59" s="39"/>
      <c r="C59" s="39"/>
      <c r="D59" s="39"/>
      <c r="E59" s="39"/>
      <c r="F59" s="39"/>
      <c r="G59" s="39"/>
      <c r="H59" s="39"/>
      <c r="I59" s="58"/>
    </row>
    <row r="60" spans="1:9" ht="15" customHeight="1" x14ac:dyDescent="0.25">
      <c r="A60" s="39"/>
      <c r="B60" s="39"/>
      <c r="C60" s="39"/>
      <c r="D60" s="39"/>
      <c r="E60" s="39"/>
      <c r="F60" s="39"/>
      <c r="G60" s="39"/>
      <c r="H60" s="39"/>
      <c r="I60" s="58"/>
    </row>
    <row r="61" spans="1:9" ht="15" customHeight="1" x14ac:dyDescent="0.25">
      <c r="A61" s="39"/>
      <c r="B61" s="39"/>
      <c r="C61" s="39"/>
      <c r="D61" s="39"/>
      <c r="E61" s="39"/>
      <c r="F61" s="39"/>
      <c r="G61" s="39"/>
      <c r="H61" s="39"/>
      <c r="I61" s="58"/>
    </row>
    <row r="62" spans="1:9" ht="15" customHeight="1" x14ac:dyDescent="0.25">
      <c r="A62" s="39"/>
      <c r="B62" s="39"/>
      <c r="C62" s="39"/>
      <c r="D62" s="39"/>
      <c r="E62" s="39"/>
      <c r="F62" s="39"/>
      <c r="G62" s="39"/>
      <c r="H62" s="39"/>
      <c r="I62" s="58"/>
    </row>
    <row r="63" spans="1:9" ht="15" customHeight="1" x14ac:dyDescent="0.25">
      <c r="A63" s="39"/>
      <c r="B63" s="39"/>
      <c r="C63" s="39"/>
      <c r="D63" s="39"/>
      <c r="E63" s="39"/>
      <c r="F63" s="39"/>
      <c r="G63" s="39"/>
      <c r="H63" s="39"/>
      <c r="I63" s="58"/>
    </row>
    <row r="64" spans="1:9" ht="15" customHeight="1" x14ac:dyDescent="0.25">
      <c r="A64" s="39"/>
      <c r="B64" s="39"/>
      <c r="C64" s="39"/>
      <c r="D64" s="39"/>
      <c r="E64" s="39"/>
      <c r="F64" s="39"/>
      <c r="G64" s="39"/>
      <c r="H64" s="39"/>
      <c r="I64" s="58"/>
    </row>
    <row r="65" spans="1:9" ht="15" customHeight="1" x14ac:dyDescent="0.25">
      <c r="A65" s="39"/>
      <c r="B65" s="39"/>
      <c r="C65" s="39"/>
      <c r="D65" s="39"/>
      <c r="E65" s="39"/>
      <c r="F65" s="39"/>
      <c r="G65" s="39"/>
      <c r="H65" s="39"/>
      <c r="I65" s="58"/>
    </row>
    <row r="66" spans="1:9" ht="15" customHeight="1" x14ac:dyDescent="0.25">
      <c r="A66" s="39"/>
      <c r="B66" s="39"/>
      <c r="C66" s="39"/>
      <c r="D66" s="39"/>
      <c r="E66" s="39"/>
      <c r="F66" s="39"/>
      <c r="G66" s="39"/>
      <c r="H66" s="39"/>
      <c r="I66" s="58"/>
    </row>
    <row r="67" spans="1:9" ht="15" customHeight="1" x14ac:dyDescent="0.25">
      <c r="A67" s="39"/>
      <c r="B67" s="39"/>
      <c r="C67" s="39"/>
      <c r="D67" s="39"/>
      <c r="E67" s="39"/>
      <c r="F67" s="39"/>
      <c r="G67" s="39"/>
      <c r="H67" s="39"/>
      <c r="I67" s="58"/>
    </row>
    <row r="68" spans="1:9" ht="15" customHeight="1" x14ac:dyDescent="0.25">
      <c r="A68" s="39"/>
      <c r="B68" s="39"/>
      <c r="C68" s="39"/>
      <c r="D68" s="39"/>
      <c r="E68" s="39"/>
      <c r="F68" s="39"/>
      <c r="G68" s="39"/>
      <c r="H68" s="39"/>
      <c r="I68" s="58"/>
    </row>
    <row r="69" spans="1:9" ht="15" customHeight="1" x14ac:dyDescent="0.25">
      <c r="A69" s="42"/>
      <c r="B69" s="39"/>
      <c r="C69" s="39"/>
      <c r="D69" s="39"/>
      <c r="E69" s="39"/>
      <c r="F69" s="39"/>
      <c r="G69" s="39"/>
      <c r="H69" s="39"/>
      <c r="I69" s="58"/>
    </row>
    <row r="70" spans="1:9" ht="15" customHeight="1" x14ac:dyDescent="0.25">
      <c r="A70" s="39"/>
      <c r="B70" s="39"/>
      <c r="C70" s="39"/>
      <c r="D70" s="39"/>
      <c r="E70" s="39"/>
      <c r="F70" s="39"/>
      <c r="G70" s="39"/>
      <c r="H70" s="39"/>
      <c r="I70" s="58"/>
    </row>
    <row r="71" spans="1:9" ht="15" customHeight="1" x14ac:dyDescent="0.25">
      <c r="A71" s="39"/>
      <c r="B71" s="39"/>
      <c r="C71" s="39"/>
      <c r="D71" s="39"/>
      <c r="E71" s="39"/>
      <c r="F71" s="39"/>
      <c r="G71" s="39"/>
      <c r="H71" s="39"/>
      <c r="I71" s="58"/>
    </row>
    <row r="72" spans="1:9" ht="15" customHeight="1" x14ac:dyDescent="0.25">
      <c r="A72" s="39"/>
      <c r="B72" s="39"/>
      <c r="C72" s="39"/>
      <c r="D72" s="39"/>
      <c r="E72" s="39"/>
      <c r="F72" s="39"/>
      <c r="G72" s="39"/>
      <c r="H72" s="39"/>
      <c r="I72" s="58"/>
    </row>
    <row r="73" spans="1:9" ht="15" customHeight="1" x14ac:dyDescent="0.25">
      <c r="A73" s="39"/>
      <c r="B73" s="39"/>
      <c r="C73" s="39"/>
      <c r="D73" s="39"/>
      <c r="E73" s="39"/>
      <c r="F73" s="39"/>
      <c r="G73" s="39"/>
      <c r="H73" s="39"/>
      <c r="I73" s="58"/>
    </row>
    <row r="74" spans="1:9" ht="15" customHeight="1" x14ac:dyDescent="0.25">
      <c r="A74" s="39"/>
      <c r="B74" s="39"/>
      <c r="C74" s="39"/>
      <c r="D74" s="39"/>
      <c r="E74" s="39"/>
      <c r="F74" s="39"/>
      <c r="G74" s="39"/>
      <c r="H74" s="39"/>
      <c r="I74" s="58"/>
    </row>
    <row r="75" spans="1:9" ht="15" customHeight="1" x14ac:dyDescent="0.25">
      <c r="A75" s="39"/>
      <c r="B75" s="39"/>
      <c r="C75" s="39"/>
      <c r="D75" s="39"/>
      <c r="E75" s="39"/>
      <c r="F75" s="39"/>
      <c r="G75" s="39"/>
      <c r="H75" s="39"/>
      <c r="I75" s="58"/>
    </row>
    <row r="76" spans="1:9" ht="15" customHeight="1" x14ac:dyDescent="0.25">
      <c r="A76" s="39"/>
      <c r="B76" s="39"/>
      <c r="C76" s="39"/>
      <c r="D76" s="39"/>
      <c r="E76" s="39"/>
      <c r="F76" s="39"/>
      <c r="G76" s="39"/>
      <c r="H76" s="39"/>
      <c r="I76" s="58"/>
    </row>
    <row r="77" spans="1:9" ht="15" customHeight="1" x14ac:dyDescent="0.25">
      <c r="A77" s="39"/>
      <c r="B77" s="39"/>
      <c r="C77" s="39"/>
      <c r="D77" s="39"/>
      <c r="E77" s="39"/>
      <c r="F77" s="39"/>
      <c r="G77" s="39"/>
      <c r="H77" s="39"/>
      <c r="I77" s="58"/>
    </row>
    <row r="78" spans="1:9" ht="15" customHeight="1" x14ac:dyDescent="0.25">
      <c r="A78" s="42"/>
      <c r="B78" s="39"/>
      <c r="C78" s="39"/>
      <c r="D78" s="39"/>
      <c r="E78" s="39"/>
      <c r="F78" s="39"/>
      <c r="G78" s="39"/>
      <c r="H78" s="39"/>
      <c r="I78" s="58"/>
    </row>
    <row r="79" spans="1:9" ht="15" customHeight="1" x14ac:dyDescent="0.25">
      <c r="A79" s="39"/>
      <c r="B79" s="43"/>
      <c r="C79" s="43"/>
      <c r="D79" s="43"/>
      <c r="E79" s="43"/>
      <c r="F79" s="43"/>
      <c r="G79" s="43"/>
      <c r="H79" s="43"/>
      <c r="I79" s="545"/>
    </row>
    <row r="80" spans="1:9" ht="15" customHeight="1" x14ac:dyDescent="0.25">
      <c r="A80" s="42"/>
      <c r="B80" s="39"/>
      <c r="C80" s="39"/>
      <c r="D80" s="39"/>
      <c r="E80" s="39"/>
      <c r="F80" s="39"/>
      <c r="G80" s="39"/>
      <c r="H80" s="39"/>
      <c r="I80" s="58"/>
    </row>
    <row r="81" spans="1:9" ht="15" customHeight="1" x14ac:dyDescent="0.25">
      <c r="A81" s="39"/>
      <c r="B81" s="39"/>
      <c r="C81" s="39"/>
      <c r="D81" s="39"/>
      <c r="E81" s="39"/>
      <c r="F81" s="39"/>
      <c r="G81" s="39"/>
      <c r="H81" s="39"/>
      <c r="I81" s="58"/>
    </row>
    <row r="82" spans="1:9" ht="15" customHeight="1" x14ac:dyDescent="0.25">
      <c r="A82" s="39"/>
      <c r="B82" s="39"/>
      <c r="C82" s="39"/>
      <c r="D82" s="39"/>
      <c r="E82" s="39"/>
      <c r="F82" s="39"/>
      <c r="G82" s="39"/>
      <c r="H82" s="39"/>
      <c r="I82" s="58"/>
    </row>
    <row r="83" spans="1:9" ht="15" customHeight="1" x14ac:dyDescent="0.25">
      <c r="A83" s="39"/>
      <c r="B83" s="39"/>
      <c r="C83" s="39"/>
      <c r="D83" s="39"/>
      <c r="E83" s="39"/>
      <c r="F83" s="39"/>
      <c r="G83" s="39"/>
      <c r="H83" s="39"/>
      <c r="I83" s="58"/>
    </row>
    <row r="84" spans="1:9" ht="15" customHeight="1" x14ac:dyDescent="0.25">
      <c r="A84" s="39"/>
      <c r="B84" s="39"/>
      <c r="C84" s="39"/>
      <c r="D84" s="39"/>
      <c r="E84" s="39"/>
      <c r="F84" s="39"/>
      <c r="G84" s="39"/>
      <c r="H84" s="39"/>
      <c r="I84" s="58"/>
    </row>
    <row r="85" spans="1:9" ht="15" customHeight="1" x14ac:dyDescent="0.25">
      <c r="A85" s="39"/>
      <c r="B85" s="39"/>
      <c r="C85" s="39"/>
      <c r="D85" s="39"/>
      <c r="E85" s="39"/>
      <c r="F85" s="39"/>
      <c r="G85" s="39"/>
      <c r="H85" s="39"/>
      <c r="I85" s="58"/>
    </row>
    <row r="86" spans="1:9" ht="15" customHeight="1" x14ac:dyDescent="0.25">
      <c r="A86" s="39"/>
      <c r="B86" s="39"/>
      <c r="C86" s="39"/>
      <c r="D86" s="39"/>
      <c r="E86" s="39"/>
      <c r="F86" s="39"/>
      <c r="G86" s="39"/>
      <c r="H86" s="39"/>
      <c r="I86" s="58"/>
    </row>
    <row r="87" spans="1:9" ht="15" customHeight="1" x14ac:dyDescent="0.25">
      <c r="A87" s="39"/>
      <c r="B87" s="39"/>
      <c r="C87" s="39"/>
      <c r="D87" s="39"/>
      <c r="E87" s="39"/>
      <c r="F87" s="39"/>
      <c r="G87" s="39"/>
      <c r="H87" s="39"/>
      <c r="I87" s="58"/>
    </row>
    <row r="88" spans="1:9" ht="15" customHeight="1" x14ac:dyDescent="0.25">
      <c r="A88" s="39"/>
      <c r="B88" s="39"/>
      <c r="C88" s="39"/>
      <c r="D88" s="39"/>
      <c r="E88" s="39"/>
      <c r="F88" s="39"/>
      <c r="G88" s="39"/>
      <c r="H88" s="39"/>
      <c r="I88" s="58"/>
    </row>
    <row r="89" spans="1:9" ht="15" customHeight="1" x14ac:dyDescent="0.25">
      <c r="A89" s="39"/>
      <c r="B89" s="39"/>
      <c r="C89" s="39"/>
      <c r="D89" s="39"/>
      <c r="E89" s="39"/>
      <c r="F89" s="39"/>
      <c r="G89" s="39"/>
      <c r="H89" s="39"/>
      <c r="I89" s="58"/>
    </row>
    <row r="90" spans="1:9" ht="15" customHeight="1" x14ac:dyDescent="0.25">
      <c r="A90" s="39"/>
      <c r="B90" s="39"/>
      <c r="C90" s="39"/>
      <c r="D90" s="39"/>
      <c r="E90" s="39"/>
      <c r="F90" s="39"/>
      <c r="G90" s="39"/>
      <c r="H90" s="39"/>
      <c r="I90" s="58"/>
    </row>
    <row r="91" spans="1:9" ht="15" customHeight="1" x14ac:dyDescent="0.25">
      <c r="A91" s="39"/>
      <c r="B91" s="39"/>
      <c r="C91" s="39"/>
      <c r="D91" s="39"/>
      <c r="E91" s="39"/>
      <c r="F91" s="39"/>
      <c r="G91" s="39"/>
      <c r="H91" s="39"/>
      <c r="I91" s="58"/>
    </row>
    <row r="92" spans="1:9" ht="15" customHeight="1" x14ac:dyDescent="0.25">
      <c r="A92" s="39"/>
      <c r="B92" s="39"/>
      <c r="C92" s="39"/>
      <c r="D92" s="39"/>
      <c r="E92" s="39"/>
      <c r="F92" s="39"/>
      <c r="G92" s="39"/>
      <c r="H92" s="39"/>
      <c r="I92" s="58"/>
    </row>
    <row r="93" spans="1:9" ht="15" customHeight="1" x14ac:dyDescent="0.25">
      <c r="A93" s="39"/>
      <c r="B93" s="39"/>
      <c r="C93" s="39"/>
      <c r="D93" s="39"/>
      <c r="E93" s="39"/>
      <c r="F93" s="39"/>
      <c r="G93" s="39"/>
      <c r="H93" s="39"/>
      <c r="I93" s="58"/>
    </row>
    <row r="94" spans="1:9" ht="15" customHeight="1" x14ac:dyDescent="0.25">
      <c r="A94" s="39"/>
      <c r="B94" s="39"/>
      <c r="C94" s="39"/>
      <c r="D94" s="39"/>
      <c r="E94" s="39"/>
      <c r="F94" s="39"/>
      <c r="G94" s="39"/>
      <c r="H94" s="39"/>
      <c r="I94" s="58"/>
    </row>
    <row r="95" spans="1:9" ht="15" customHeight="1" x14ac:dyDescent="0.25">
      <c r="A95" s="39"/>
      <c r="B95" s="39"/>
      <c r="C95" s="39"/>
      <c r="D95" s="39"/>
      <c r="E95" s="39"/>
      <c r="F95" s="39"/>
      <c r="G95" s="39"/>
      <c r="H95" s="39"/>
      <c r="I95" s="58"/>
    </row>
    <row r="96" spans="1:9" ht="15" customHeight="1" x14ac:dyDescent="0.25">
      <c r="A96" s="39"/>
      <c r="B96" s="39"/>
      <c r="C96" s="39"/>
      <c r="D96" s="39"/>
      <c r="E96" s="39"/>
      <c r="F96" s="39"/>
      <c r="G96" s="39"/>
      <c r="H96" s="39"/>
      <c r="I96" s="58"/>
    </row>
    <row r="97" spans="1:9" ht="15" customHeight="1" x14ac:dyDescent="0.25">
      <c r="A97" s="42"/>
      <c r="B97" s="39"/>
      <c r="C97" s="39"/>
      <c r="D97" s="39"/>
      <c r="E97" s="39"/>
      <c r="F97" s="39"/>
      <c r="G97" s="39"/>
      <c r="H97" s="39"/>
      <c r="I97" s="58"/>
    </row>
    <row r="98" spans="1:9" ht="15" customHeight="1" x14ac:dyDescent="0.25">
      <c r="A98" s="39"/>
      <c r="B98" s="39"/>
      <c r="C98" s="39"/>
      <c r="D98" s="39"/>
      <c r="E98" s="39"/>
      <c r="F98" s="39"/>
      <c r="G98" s="39"/>
      <c r="H98" s="39"/>
      <c r="I98" s="58"/>
    </row>
    <row r="99" spans="1:9" ht="15" customHeight="1" x14ac:dyDescent="0.25">
      <c r="A99" s="39"/>
      <c r="B99" s="39"/>
      <c r="C99" s="39"/>
      <c r="D99" s="39"/>
      <c r="E99" s="39"/>
      <c r="F99" s="39"/>
      <c r="G99" s="39"/>
      <c r="H99" s="39"/>
      <c r="I99" s="58"/>
    </row>
    <row r="100" spans="1:9" ht="15" customHeight="1" x14ac:dyDescent="0.25">
      <c r="A100" s="39"/>
      <c r="B100" s="39"/>
      <c r="C100" s="39"/>
      <c r="D100" s="39"/>
      <c r="E100" s="39"/>
      <c r="F100" s="39"/>
      <c r="G100" s="39"/>
      <c r="H100" s="39"/>
      <c r="I100" s="58"/>
    </row>
    <row r="101" spans="1:9" ht="15" customHeight="1" x14ac:dyDescent="0.25">
      <c r="A101" s="39"/>
      <c r="B101" s="39"/>
      <c r="C101" s="39"/>
      <c r="D101" s="39"/>
      <c r="E101" s="39"/>
      <c r="F101" s="39"/>
      <c r="G101" s="39"/>
      <c r="H101" s="39"/>
      <c r="I101" s="58"/>
    </row>
    <row r="102" spans="1:9" ht="15" customHeight="1" x14ac:dyDescent="0.25">
      <c r="A102" s="39"/>
      <c r="B102" s="39"/>
      <c r="C102" s="39"/>
      <c r="D102" s="39"/>
      <c r="E102" s="39"/>
      <c r="F102" s="39"/>
      <c r="G102" s="39"/>
      <c r="H102" s="39"/>
      <c r="I102" s="58"/>
    </row>
    <row r="103" spans="1:9" ht="15" customHeight="1" x14ac:dyDescent="0.25">
      <c r="A103" s="39"/>
      <c r="B103" s="39"/>
      <c r="C103" s="39"/>
      <c r="D103" s="39"/>
      <c r="E103" s="39"/>
      <c r="F103" s="39"/>
      <c r="G103" s="39"/>
      <c r="H103" s="39"/>
      <c r="I103" s="58"/>
    </row>
    <row r="104" spans="1:9" ht="15" customHeight="1" x14ac:dyDescent="0.25">
      <c r="A104" s="39"/>
      <c r="B104" s="39"/>
      <c r="C104" s="39"/>
      <c r="D104" s="39"/>
      <c r="E104" s="39"/>
      <c r="F104" s="39"/>
      <c r="G104" s="39"/>
      <c r="H104" s="39"/>
      <c r="I104" s="58"/>
    </row>
    <row r="105" spans="1:9" ht="15" customHeight="1" x14ac:dyDescent="0.25">
      <c r="A105" s="39"/>
      <c r="B105" s="39"/>
      <c r="C105" s="39"/>
      <c r="D105" s="39"/>
      <c r="E105" s="39"/>
      <c r="F105" s="39"/>
      <c r="G105" s="39"/>
      <c r="H105" s="39"/>
      <c r="I105" s="58"/>
    </row>
    <row r="106" spans="1:9" ht="15" customHeight="1" x14ac:dyDescent="0.25">
      <c r="A106" s="42"/>
      <c r="B106" s="39"/>
      <c r="C106" s="39"/>
      <c r="D106" s="39"/>
      <c r="E106" s="39"/>
      <c r="F106" s="39"/>
      <c r="G106" s="39"/>
      <c r="H106" s="39"/>
      <c r="I106" s="58"/>
    </row>
    <row r="107" spans="1:9" ht="15" customHeight="1" x14ac:dyDescent="0.25">
      <c r="A107" s="39"/>
      <c r="B107" s="43"/>
      <c r="C107" s="43"/>
      <c r="D107" s="43"/>
      <c r="E107" s="43"/>
      <c r="F107" s="43"/>
      <c r="G107" s="43"/>
      <c r="H107" s="43"/>
      <c r="I107" s="545"/>
    </row>
    <row r="108" spans="1:9" ht="15" customHeight="1" x14ac:dyDescent="0.25">
      <c r="A108" s="42"/>
      <c r="B108" s="39"/>
      <c r="C108" s="39"/>
      <c r="D108" s="39"/>
      <c r="E108" s="39"/>
      <c r="F108" s="39"/>
      <c r="G108" s="39"/>
      <c r="H108" s="39"/>
      <c r="I108" s="58"/>
    </row>
    <row r="109" spans="1:9" ht="15" customHeight="1" x14ac:dyDescent="0.25">
      <c r="A109" s="39"/>
      <c r="B109" s="39"/>
      <c r="C109" s="39"/>
      <c r="D109" s="39"/>
      <c r="E109" s="39"/>
      <c r="F109" s="39"/>
      <c r="G109" s="39"/>
      <c r="H109" s="39"/>
      <c r="I109" s="58"/>
    </row>
    <row r="110" spans="1:9" ht="15" customHeight="1" x14ac:dyDescent="0.25">
      <c r="A110" s="39"/>
      <c r="B110" s="39"/>
      <c r="C110" s="39"/>
      <c r="D110" s="39"/>
      <c r="E110" s="39"/>
      <c r="F110" s="39"/>
      <c r="G110" s="39"/>
      <c r="H110" s="39"/>
      <c r="I110" s="58"/>
    </row>
    <row r="111" spans="1:9" ht="15" customHeight="1" x14ac:dyDescent="0.25">
      <c r="A111" s="39"/>
      <c r="B111" s="39"/>
      <c r="C111" s="39"/>
      <c r="D111" s="39"/>
      <c r="E111" s="39"/>
      <c r="F111" s="39"/>
      <c r="G111" s="39"/>
      <c r="H111" s="39"/>
      <c r="I111" s="58"/>
    </row>
    <row r="112" spans="1:9" ht="15" customHeight="1" x14ac:dyDescent="0.25">
      <c r="A112" s="39"/>
      <c r="B112" s="39"/>
      <c r="C112" s="39"/>
      <c r="D112" s="39"/>
      <c r="E112" s="39"/>
      <c r="F112" s="39"/>
      <c r="G112" s="39"/>
      <c r="H112" s="39"/>
      <c r="I112" s="58"/>
    </row>
    <row r="113" spans="1:9" ht="15" customHeight="1" x14ac:dyDescent="0.25">
      <c r="A113" s="39"/>
      <c r="B113" s="39"/>
      <c r="C113" s="39"/>
      <c r="D113" s="39"/>
      <c r="E113" s="39"/>
      <c r="F113" s="39"/>
      <c r="G113" s="39"/>
      <c r="H113" s="39"/>
      <c r="I113" s="58"/>
    </row>
    <row r="114" spans="1:9" ht="15" customHeight="1" x14ac:dyDescent="0.25">
      <c r="A114" s="39"/>
      <c r="B114" s="39"/>
      <c r="C114" s="39"/>
      <c r="D114" s="39"/>
      <c r="E114" s="39"/>
      <c r="F114" s="39"/>
      <c r="G114" s="39"/>
      <c r="H114" s="39"/>
      <c r="I114" s="58"/>
    </row>
    <row r="115" spans="1:9" ht="15" customHeight="1" x14ac:dyDescent="0.25">
      <c r="A115" s="39"/>
      <c r="B115" s="39"/>
      <c r="C115" s="39"/>
      <c r="D115" s="39"/>
      <c r="E115" s="39"/>
      <c r="F115" s="39"/>
      <c r="G115" s="39"/>
      <c r="H115" s="39"/>
      <c r="I115" s="58"/>
    </row>
    <row r="116" spans="1:9" ht="15" customHeight="1" x14ac:dyDescent="0.25">
      <c r="A116" s="39"/>
      <c r="B116" s="39"/>
      <c r="C116" s="39"/>
      <c r="D116" s="39"/>
      <c r="E116" s="39"/>
      <c r="F116" s="39"/>
      <c r="G116" s="39"/>
      <c r="H116" s="39"/>
      <c r="I116" s="58"/>
    </row>
    <row r="117" spans="1:9" ht="15" customHeight="1" x14ac:dyDescent="0.25">
      <c r="A117" s="39"/>
      <c r="B117" s="39"/>
      <c r="C117" s="39"/>
      <c r="D117" s="39"/>
      <c r="E117" s="39"/>
      <c r="F117" s="39"/>
      <c r="G117" s="39"/>
      <c r="H117" s="39"/>
      <c r="I117" s="58"/>
    </row>
    <row r="118" spans="1:9" ht="15" customHeight="1" x14ac:dyDescent="0.25">
      <c r="A118" s="39"/>
      <c r="B118" s="39"/>
      <c r="C118" s="39"/>
      <c r="D118" s="39"/>
      <c r="E118" s="39"/>
      <c r="F118" s="39"/>
      <c r="G118" s="39"/>
      <c r="H118" s="39"/>
      <c r="I118" s="58"/>
    </row>
    <row r="119" spans="1:9" ht="15" customHeight="1" x14ac:dyDescent="0.25">
      <c r="A119" s="39"/>
      <c r="B119" s="39"/>
      <c r="C119" s="39"/>
      <c r="D119" s="39"/>
      <c r="E119" s="39"/>
      <c r="F119" s="39"/>
      <c r="G119" s="39"/>
      <c r="H119" s="39"/>
      <c r="I119" s="58"/>
    </row>
    <row r="120" spans="1:9" ht="15" customHeight="1" x14ac:dyDescent="0.25">
      <c r="A120" s="39"/>
      <c r="B120" s="39"/>
      <c r="C120" s="39"/>
      <c r="D120" s="39"/>
      <c r="E120" s="39"/>
      <c r="F120" s="39"/>
      <c r="G120" s="39"/>
      <c r="H120" s="39"/>
      <c r="I120" s="58"/>
    </row>
    <row r="121" spans="1:9" ht="15" customHeight="1" x14ac:dyDescent="0.25">
      <c r="A121" s="39"/>
      <c r="B121" s="39"/>
      <c r="C121" s="39"/>
      <c r="D121" s="39"/>
      <c r="E121" s="39"/>
      <c r="F121" s="39"/>
      <c r="G121" s="39"/>
      <c r="H121" s="39"/>
      <c r="I121" s="58"/>
    </row>
    <row r="122" spans="1:9" ht="15" customHeight="1" x14ac:dyDescent="0.25">
      <c r="A122" s="39"/>
      <c r="B122" s="39"/>
      <c r="C122" s="39"/>
      <c r="D122" s="39"/>
      <c r="E122" s="39"/>
      <c r="F122" s="39"/>
      <c r="G122" s="39"/>
      <c r="H122" s="39"/>
      <c r="I122" s="58"/>
    </row>
    <row r="123" spans="1:9" ht="15" customHeight="1" x14ac:dyDescent="0.25">
      <c r="A123" s="39"/>
      <c r="B123" s="39"/>
      <c r="C123" s="39"/>
      <c r="D123" s="39"/>
      <c r="E123" s="39"/>
      <c r="F123" s="39"/>
      <c r="G123" s="39"/>
      <c r="H123" s="39"/>
      <c r="I123" s="58"/>
    </row>
    <row r="124" spans="1:9" ht="15" customHeight="1" x14ac:dyDescent="0.25">
      <c r="A124" s="39"/>
      <c r="B124" s="39"/>
      <c r="C124" s="39"/>
      <c r="D124" s="39"/>
      <c r="E124" s="39"/>
      <c r="F124" s="39"/>
      <c r="G124" s="39"/>
      <c r="H124" s="39"/>
      <c r="I124" s="58"/>
    </row>
    <row r="125" spans="1:9" ht="15" customHeight="1" x14ac:dyDescent="0.25">
      <c r="A125" s="42"/>
      <c r="B125" s="39"/>
      <c r="C125" s="39"/>
      <c r="D125" s="39"/>
      <c r="E125" s="39"/>
      <c r="F125" s="39"/>
      <c r="G125" s="39"/>
      <c r="H125" s="39"/>
      <c r="I125" s="58"/>
    </row>
    <row r="126" spans="1:9" ht="15" customHeight="1" x14ac:dyDescent="0.25">
      <c r="A126" s="39"/>
      <c r="B126" s="39"/>
      <c r="C126" s="39"/>
      <c r="D126" s="39"/>
      <c r="E126" s="39"/>
      <c r="F126" s="39"/>
      <c r="G126" s="39"/>
      <c r="H126" s="39"/>
      <c r="I126" s="58"/>
    </row>
    <row r="127" spans="1:9" ht="15" customHeight="1" x14ac:dyDescent="0.25">
      <c r="A127" s="39"/>
      <c r="B127" s="39"/>
      <c r="C127" s="39"/>
      <c r="D127" s="39"/>
      <c r="E127" s="39"/>
      <c r="F127" s="39"/>
      <c r="G127" s="39"/>
      <c r="H127" s="39"/>
      <c r="I127" s="58"/>
    </row>
    <row r="128" spans="1:9" ht="15" customHeight="1" x14ac:dyDescent="0.25">
      <c r="A128" s="39"/>
      <c r="B128" s="39"/>
      <c r="C128" s="39"/>
      <c r="D128" s="39"/>
      <c r="E128" s="39"/>
      <c r="F128" s="39"/>
      <c r="G128" s="39"/>
      <c r="H128" s="39"/>
      <c r="I128" s="58"/>
    </row>
    <row r="129" spans="1:9" ht="15" customHeight="1" x14ac:dyDescent="0.25">
      <c r="A129" s="39"/>
      <c r="B129" s="39"/>
      <c r="C129" s="39"/>
      <c r="D129" s="39"/>
      <c r="E129" s="39"/>
      <c r="F129" s="39"/>
      <c r="G129" s="39"/>
      <c r="H129" s="39"/>
      <c r="I129" s="58"/>
    </row>
    <row r="130" spans="1:9" ht="15" customHeight="1" x14ac:dyDescent="0.25">
      <c r="A130" s="39"/>
      <c r="B130" s="39"/>
      <c r="C130" s="39"/>
      <c r="D130" s="39"/>
      <c r="E130" s="39"/>
      <c r="F130" s="39"/>
      <c r="G130" s="39"/>
      <c r="H130" s="39"/>
      <c r="I130" s="58"/>
    </row>
    <row r="131" spans="1:9" ht="15" customHeight="1" x14ac:dyDescent="0.25">
      <c r="A131" s="39"/>
      <c r="B131" s="39"/>
      <c r="C131" s="39"/>
      <c r="D131" s="39"/>
      <c r="E131" s="39"/>
      <c r="F131" s="39"/>
      <c r="G131" s="39"/>
      <c r="H131" s="39"/>
      <c r="I131" s="58"/>
    </row>
    <row r="132" spans="1:9" ht="15" customHeight="1" x14ac:dyDescent="0.25">
      <c r="A132" s="39"/>
      <c r="B132" s="39"/>
      <c r="C132" s="39"/>
      <c r="D132" s="39"/>
      <c r="E132" s="39"/>
      <c r="F132" s="39"/>
      <c r="G132" s="39"/>
      <c r="H132" s="39"/>
      <c r="I132" s="58"/>
    </row>
    <row r="133" spans="1:9" ht="15" customHeight="1" x14ac:dyDescent="0.25">
      <c r="A133" s="39"/>
      <c r="B133" s="39"/>
      <c r="C133" s="39"/>
      <c r="D133" s="39"/>
      <c r="E133" s="39"/>
      <c r="F133" s="39"/>
      <c r="G133" s="39"/>
      <c r="H133" s="39"/>
      <c r="I133" s="58"/>
    </row>
    <row r="134" spans="1:9" ht="15" customHeight="1" x14ac:dyDescent="0.25">
      <c r="A134" s="42"/>
      <c r="B134" s="39"/>
      <c r="C134" s="39"/>
      <c r="D134" s="39"/>
      <c r="E134" s="39"/>
      <c r="F134" s="39"/>
      <c r="G134" s="39"/>
      <c r="H134" s="39"/>
      <c r="I134" s="58"/>
    </row>
    <row r="135" spans="1:9" ht="15" customHeight="1" x14ac:dyDescent="0.25">
      <c r="A135" s="39"/>
      <c r="B135" s="43"/>
      <c r="C135" s="43"/>
      <c r="D135" s="43"/>
      <c r="E135" s="43"/>
      <c r="F135" s="43"/>
      <c r="G135" s="43"/>
      <c r="H135" s="43"/>
      <c r="I135" s="545"/>
    </row>
    <row r="136" spans="1:9" ht="15" customHeight="1" x14ac:dyDescent="0.25">
      <c r="A136" s="42"/>
      <c r="B136" s="39"/>
      <c r="C136" s="39"/>
      <c r="D136" s="39"/>
      <c r="E136" s="39"/>
      <c r="F136" s="39"/>
      <c r="G136" s="39"/>
      <c r="H136" s="39"/>
      <c r="I136" s="58"/>
    </row>
    <row r="137" spans="1:9" ht="15" customHeight="1" x14ac:dyDescent="0.25">
      <c r="A137" s="39"/>
      <c r="B137" s="39"/>
      <c r="C137" s="39"/>
      <c r="D137" s="39"/>
      <c r="E137" s="39"/>
      <c r="F137" s="39"/>
      <c r="G137" s="39"/>
      <c r="H137" s="39"/>
      <c r="I137" s="58"/>
    </row>
    <row r="138" spans="1:9" ht="15" customHeight="1" x14ac:dyDescent="0.25">
      <c r="A138" s="39"/>
      <c r="B138" s="39"/>
      <c r="C138" s="39"/>
      <c r="D138" s="39"/>
      <c r="E138" s="39"/>
      <c r="F138" s="39"/>
      <c r="G138" s="39"/>
      <c r="H138" s="39"/>
      <c r="I138" s="58"/>
    </row>
    <row r="139" spans="1:9" ht="15" customHeight="1" x14ac:dyDescent="0.25">
      <c r="A139" s="39"/>
      <c r="B139" s="39"/>
      <c r="C139" s="39"/>
      <c r="D139" s="39"/>
      <c r="E139" s="39"/>
      <c r="F139" s="39"/>
      <c r="G139" s="39"/>
      <c r="H139" s="39"/>
      <c r="I139" s="58"/>
    </row>
    <row r="140" spans="1:9" ht="15" customHeight="1" x14ac:dyDescent="0.25">
      <c r="A140" s="39"/>
      <c r="B140" s="39"/>
      <c r="C140" s="39"/>
      <c r="D140" s="39"/>
      <c r="E140" s="39"/>
      <c r="F140" s="39"/>
      <c r="G140" s="39"/>
      <c r="H140" s="39"/>
      <c r="I140" s="58"/>
    </row>
    <row r="141" spans="1:9" ht="15" customHeight="1" x14ac:dyDescent="0.25">
      <c r="A141" s="39"/>
      <c r="B141" s="39"/>
      <c r="C141" s="39"/>
      <c r="D141" s="39"/>
      <c r="E141" s="39"/>
      <c r="F141" s="39"/>
      <c r="G141" s="39"/>
      <c r="H141" s="39"/>
      <c r="I141" s="58"/>
    </row>
    <row r="142" spans="1:9" ht="15" customHeight="1" x14ac:dyDescent="0.25">
      <c r="A142" s="39"/>
      <c r="B142" s="39"/>
      <c r="C142" s="39"/>
      <c r="D142" s="39"/>
      <c r="E142" s="39"/>
      <c r="F142" s="39"/>
      <c r="G142" s="39"/>
      <c r="H142" s="39"/>
      <c r="I142" s="58"/>
    </row>
    <row r="143" spans="1:9" ht="15" customHeight="1" x14ac:dyDescent="0.25">
      <c r="A143" s="39"/>
      <c r="B143" s="39"/>
      <c r="C143" s="39"/>
      <c r="D143" s="39"/>
      <c r="E143" s="39"/>
      <c r="F143" s="39"/>
      <c r="G143" s="39"/>
      <c r="H143" s="39"/>
      <c r="I143" s="58"/>
    </row>
    <row r="144" spans="1:9" ht="15" customHeight="1" x14ac:dyDescent="0.25">
      <c r="A144" s="39"/>
      <c r="B144" s="39"/>
      <c r="C144" s="39"/>
      <c r="D144" s="39"/>
      <c r="E144" s="39"/>
      <c r="F144" s="39"/>
      <c r="G144" s="39"/>
      <c r="H144" s="39"/>
      <c r="I144" s="58"/>
    </row>
    <row r="145" spans="1:9" ht="15" customHeight="1" x14ac:dyDescent="0.25">
      <c r="A145" s="39"/>
      <c r="B145" s="39"/>
      <c r="C145" s="39"/>
      <c r="D145" s="39"/>
      <c r="E145" s="39"/>
      <c r="F145" s="39"/>
      <c r="G145" s="39"/>
      <c r="H145" s="39"/>
      <c r="I145" s="58"/>
    </row>
    <row r="146" spans="1:9" ht="15" customHeight="1" x14ac:dyDescent="0.25">
      <c r="A146" s="39"/>
      <c r="B146" s="39"/>
      <c r="C146" s="39"/>
      <c r="D146" s="39"/>
      <c r="E146" s="39"/>
      <c r="F146" s="39"/>
      <c r="G146" s="39"/>
      <c r="H146" s="39"/>
      <c r="I146" s="58"/>
    </row>
    <row r="147" spans="1:9" ht="15" customHeight="1" x14ac:dyDescent="0.25">
      <c r="A147" s="39"/>
      <c r="B147" s="39"/>
      <c r="C147" s="39"/>
      <c r="D147" s="39"/>
      <c r="E147" s="39"/>
      <c r="F147" s="39"/>
      <c r="G147" s="39"/>
      <c r="H147" s="39"/>
      <c r="I147" s="58"/>
    </row>
    <row r="148" spans="1:9" ht="15" customHeight="1" x14ac:dyDescent="0.25">
      <c r="A148" s="39"/>
      <c r="B148" s="39"/>
      <c r="C148" s="39"/>
      <c r="D148" s="39"/>
      <c r="E148" s="39"/>
      <c r="F148" s="39"/>
      <c r="G148" s="39"/>
      <c r="H148" s="39"/>
      <c r="I148" s="58"/>
    </row>
    <row r="149" spans="1:9" ht="15" customHeight="1" x14ac:dyDescent="0.25">
      <c r="A149" s="39"/>
      <c r="B149" s="39"/>
      <c r="C149" s="39"/>
      <c r="D149" s="39"/>
      <c r="E149" s="39"/>
      <c r="F149" s="39"/>
      <c r="G149" s="39"/>
      <c r="H149" s="39"/>
      <c r="I149" s="58"/>
    </row>
    <row r="150" spans="1:9" ht="15" customHeight="1" x14ac:dyDescent="0.25">
      <c r="A150" s="39"/>
      <c r="B150" s="39"/>
      <c r="C150" s="39"/>
      <c r="D150" s="39"/>
      <c r="E150" s="39"/>
      <c r="F150" s="39"/>
      <c r="G150" s="39"/>
      <c r="H150" s="39"/>
      <c r="I150" s="58"/>
    </row>
    <row r="151" spans="1:9" ht="15" customHeight="1" x14ac:dyDescent="0.25">
      <c r="A151" s="39"/>
      <c r="B151" s="39"/>
      <c r="C151" s="39"/>
      <c r="D151" s="39"/>
      <c r="E151" s="39"/>
      <c r="F151" s="39"/>
      <c r="G151" s="39"/>
      <c r="H151" s="39"/>
      <c r="I151" s="58"/>
    </row>
    <row r="152" spans="1:9" ht="15" customHeight="1" x14ac:dyDescent="0.25">
      <c r="A152" s="39"/>
      <c r="B152" s="39"/>
      <c r="C152" s="39"/>
      <c r="D152" s="39"/>
      <c r="E152" s="39"/>
      <c r="F152" s="39"/>
      <c r="G152" s="39"/>
      <c r="H152" s="39"/>
      <c r="I152" s="58"/>
    </row>
    <row r="153" spans="1:9" ht="15" customHeight="1" x14ac:dyDescent="0.25">
      <c r="A153" s="42"/>
      <c r="B153" s="39"/>
      <c r="C153" s="39"/>
      <c r="D153" s="39"/>
      <c r="E153" s="39"/>
      <c r="F153" s="39"/>
      <c r="G153" s="39"/>
      <c r="H153" s="39"/>
      <c r="I153" s="58"/>
    </row>
    <row r="154" spans="1:9" ht="15" customHeight="1" x14ac:dyDescent="0.25">
      <c r="A154" s="39"/>
      <c r="B154" s="39"/>
      <c r="C154" s="39"/>
      <c r="D154" s="39"/>
      <c r="E154" s="39"/>
      <c r="F154" s="39"/>
      <c r="G154" s="39"/>
      <c r="H154" s="39"/>
      <c r="I154" s="58"/>
    </row>
    <row r="155" spans="1:9" ht="15" customHeight="1" x14ac:dyDescent="0.25">
      <c r="A155" s="39"/>
      <c r="B155" s="39"/>
      <c r="C155" s="39"/>
      <c r="D155" s="39"/>
      <c r="E155" s="39"/>
      <c r="F155" s="39"/>
      <c r="G155" s="39"/>
      <c r="H155" s="39"/>
      <c r="I155" s="58"/>
    </row>
    <row r="156" spans="1:9" ht="15" customHeight="1" x14ac:dyDescent="0.25">
      <c r="A156" s="39"/>
      <c r="B156" s="39"/>
      <c r="C156" s="39"/>
      <c r="D156" s="39"/>
      <c r="E156" s="39"/>
      <c r="F156" s="39"/>
      <c r="G156" s="39"/>
      <c r="H156" s="39"/>
      <c r="I156" s="58"/>
    </row>
    <row r="157" spans="1:9" ht="15" customHeight="1" x14ac:dyDescent="0.25">
      <c r="A157" s="39"/>
      <c r="B157" s="39"/>
      <c r="C157" s="39"/>
      <c r="D157" s="39"/>
      <c r="E157" s="39"/>
      <c r="F157" s="39"/>
      <c r="G157" s="39"/>
      <c r="H157" s="39"/>
      <c r="I157" s="58"/>
    </row>
    <row r="158" spans="1:9" ht="15" customHeight="1" x14ac:dyDescent="0.25">
      <c r="A158" s="39"/>
      <c r="B158" s="39"/>
      <c r="C158" s="39"/>
      <c r="D158" s="39"/>
      <c r="E158" s="39"/>
      <c r="F158" s="39"/>
      <c r="G158" s="39"/>
      <c r="H158" s="39"/>
      <c r="I158" s="58"/>
    </row>
    <row r="159" spans="1:9" ht="15" customHeight="1" x14ac:dyDescent="0.25">
      <c r="A159" s="39"/>
      <c r="B159" s="39"/>
      <c r="C159" s="39"/>
      <c r="D159" s="39"/>
      <c r="E159" s="39"/>
      <c r="F159" s="39"/>
      <c r="G159" s="39"/>
      <c r="H159" s="39"/>
      <c r="I159" s="58"/>
    </row>
    <row r="160" spans="1:9" ht="15" customHeight="1" x14ac:dyDescent="0.25">
      <c r="A160" s="39"/>
      <c r="B160" s="39"/>
      <c r="C160" s="39"/>
      <c r="D160" s="39"/>
      <c r="E160" s="39"/>
      <c r="F160" s="39"/>
      <c r="G160" s="39"/>
      <c r="H160" s="39"/>
      <c r="I160" s="58"/>
    </row>
    <row r="161" spans="1:9" ht="15" customHeight="1" x14ac:dyDescent="0.25">
      <c r="A161" s="39"/>
      <c r="B161" s="39"/>
      <c r="C161" s="39"/>
      <c r="D161" s="39"/>
      <c r="E161" s="39"/>
      <c r="F161" s="39"/>
      <c r="G161" s="39"/>
      <c r="H161" s="39"/>
      <c r="I161" s="58"/>
    </row>
    <row r="162" spans="1:9" ht="15" customHeight="1" x14ac:dyDescent="0.25">
      <c r="A162" s="39"/>
      <c r="B162" s="39"/>
      <c r="C162" s="39"/>
      <c r="D162" s="39"/>
      <c r="E162" s="39"/>
      <c r="F162" s="39"/>
      <c r="G162" s="39"/>
      <c r="H162" s="39"/>
      <c r="I162" s="58"/>
    </row>
    <row r="163" spans="1:9" ht="15" customHeight="1" x14ac:dyDescent="0.25">
      <c r="A163" s="39"/>
      <c r="B163" s="39"/>
      <c r="C163" s="39"/>
      <c r="D163" s="39"/>
      <c r="E163" s="39"/>
      <c r="F163" s="39"/>
      <c r="G163" s="39"/>
      <c r="H163" s="39"/>
      <c r="I163" s="58"/>
    </row>
    <row r="164" spans="1:9" ht="15" customHeight="1" x14ac:dyDescent="0.25">
      <c r="A164" s="39"/>
      <c r="B164" s="39"/>
      <c r="C164" s="39"/>
      <c r="D164" s="39"/>
      <c r="E164" s="39"/>
      <c r="F164" s="39"/>
      <c r="G164" s="39"/>
      <c r="H164" s="39"/>
      <c r="I164" s="58"/>
    </row>
    <row r="165" spans="1:9" ht="15" customHeight="1" x14ac:dyDescent="0.25">
      <c r="A165" s="39"/>
      <c r="B165" s="39"/>
      <c r="C165" s="39"/>
      <c r="D165" s="39"/>
      <c r="E165" s="39"/>
      <c r="F165" s="39"/>
      <c r="G165" s="39"/>
      <c r="H165" s="39"/>
      <c r="I165" s="58"/>
    </row>
    <row r="166" spans="1:9" ht="15" customHeight="1" x14ac:dyDescent="0.25">
      <c r="A166" s="39"/>
      <c r="B166" s="39"/>
      <c r="C166" s="39"/>
      <c r="D166" s="39"/>
      <c r="E166" s="39"/>
      <c r="F166" s="39"/>
      <c r="G166" s="39"/>
      <c r="H166" s="39"/>
      <c r="I166" s="58"/>
    </row>
    <row r="167" spans="1:9" ht="15" customHeight="1" x14ac:dyDescent="0.25">
      <c r="A167" s="39"/>
      <c r="B167" s="39"/>
      <c r="C167" s="39"/>
      <c r="D167" s="39"/>
      <c r="E167" s="39"/>
      <c r="F167" s="39"/>
      <c r="G167" s="39"/>
      <c r="H167" s="39"/>
      <c r="I167" s="58"/>
    </row>
    <row r="168" spans="1:9" ht="15" customHeight="1" x14ac:dyDescent="0.25">
      <c r="A168" s="39"/>
      <c r="B168" s="39"/>
      <c r="C168" s="39"/>
      <c r="D168" s="39"/>
      <c r="E168" s="39"/>
      <c r="F168" s="39"/>
      <c r="G168" s="39"/>
      <c r="H168" s="39"/>
      <c r="I168" s="58"/>
    </row>
    <row r="169" spans="1:9" ht="15" customHeight="1" x14ac:dyDescent="0.25">
      <c r="A169" s="39"/>
      <c r="B169" s="39"/>
      <c r="C169" s="39"/>
      <c r="D169" s="39"/>
      <c r="E169" s="39"/>
      <c r="F169" s="39"/>
      <c r="G169" s="39"/>
      <c r="H169" s="39"/>
      <c r="I169" s="58"/>
    </row>
    <row r="170" spans="1:9" ht="15" customHeight="1" x14ac:dyDescent="0.25">
      <c r="A170" s="39"/>
      <c r="B170" s="39"/>
      <c r="C170" s="39"/>
      <c r="D170" s="39"/>
      <c r="E170" s="39"/>
      <c r="F170" s="39"/>
      <c r="G170" s="39"/>
      <c r="H170" s="39"/>
      <c r="I170" s="58"/>
    </row>
  </sheetData>
  <mergeCells count="34">
    <mergeCell ref="A5:M5"/>
    <mergeCell ref="A1:J1"/>
    <mergeCell ref="A2:J2"/>
    <mergeCell ref="A4:B4"/>
    <mergeCell ref="C4:G4"/>
    <mergeCell ref="H4:P4"/>
    <mergeCell ref="A3:T3"/>
    <mergeCell ref="A10:B10"/>
    <mergeCell ref="A6:B6"/>
    <mergeCell ref="A8:B8"/>
    <mergeCell ref="A9:B9"/>
    <mergeCell ref="A16:B16"/>
    <mergeCell ref="V9:V12"/>
    <mergeCell ref="V27:V29"/>
    <mergeCell ref="A29:B29"/>
    <mergeCell ref="A35:B35"/>
    <mergeCell ref="A11:B11"/>
    <mergeCell ref="A12:B12"/>
    <mergeCell ref="A13:B13"/>
    <mergeCell ref="A14:B14"/>
    <mergeCell ref="A15:B15"/>
    <mergeCell ref="A17:B17"/>
    <mergeCell ref="A18:B18"/>
    <mergeCell ref="A26:B26"/>
    <mergeCell ref="A28:B28"/>
    <mergeCell ref="A19:B20"/>
    <mergeCell ref="A21:B21"/>
    <mergeCell ref="A27:B27"/>
    <mergeCell ref="A36:B36"/>
    <mergeCell ref="A30:B30"/>
    <mergeCell ref="A31:B31"/>
    <mergeCell ref="A32:B32"/>
    <mergeCell ref="A33:B33"/>
    <mergeCell ref="A34:B34"/>
  </mergeCells>
  <phoneticPr fontId="49" type="noConversion"/>
  <pageMargins left="0.31496062992125984" right="0.11811023622047245" top="0.78740157480314965" bottom="0.78740157480314965" header="0.31496062992125984" footer="0.31496062992125984"/>
  <pageSetup paperSize="9" scale="95" orientation="portrait" verticalDpi="4" r:id="rId1"/>
  <rowBreaks count="3" manualBreakCount="3">
    <brk id="46" max="16383" man="1"/>
    <brk id="72" max="16383" man="1"/>
    <brk id="1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73"/>
  <sheetViews>
    <sheetView showGridLines="0" zoomScale="85" zoomScaleNormal="85" workbookViewId="0">
      <selection activeCell="A2" sqref="A2:C2"/>
    </sheetView>
  </sheetViews>
  <sheetFormatPr defaultColWidth="9.140625" defaultRowHeight="15" customHeight="1" x14ac:dyDescent="0.25"/>
  <cols>
    <col min="1" max="1" width="50.7109375" style="44" customWidth="1"/>
    <col min="2" max="2" width="10.7109375" style="44" customWidth="1"/>
    <col min="3" max="3" width="17" style="44" customWidth="1"/>
    <col min="4" max="4" width="19.140625" style="44" customWidth="1"/>
    <col min="5" max="5" width="9.42578125" style="44" bestFit="1" customWidth="1"/>
    <col min="6" max="6" width="198.28515625" style="44" hidden="1" customWidth="1"/>
    <col min="7" max="12" width="9.140625" style="44"/>
    <col min="13" max="13" width="0" style="44" hidden="1" customWidth="1"/>
    <col min="14" max="16384" width="9.140625" style="44"/>
  </cols>
  <sheetData>
    <row r="1" spans="1:6" ht="15" customHeight="1" x14ac:dyDescent="0.25">
      <c r="A1" s="608"/>
      <c r="B1" s="608"/>
      <c r="C1" s="608"/>
    </row>
    <row r="2" spans="1:6" ht="36.75" customHeight="1" x14ac:dyDescent="0.25">
      <c r="A2" s="565" t="s">
        <v>517</v>
      </c>
      <c r="B2" s="565"/>
      <c r="C2" s="565"/>
    </row>
    <row r="3" spans="1:6" ht="15" customHeight="1" x14ac:dyDescent="0.25">
      <c r="A3" s="614" t="s">
        <v>173</v>
      </c>
      <c r="B3" s="614"/>
      <c r="C3" s="615"/>
      <c r="D3" s="554"/>
    </row>
    <row r="4" spans="1:6" ht="41.25" customHeight="1" x14ac:dyDescent="0.25">
      <c r="A4" s="610" t="s">
        <v>171</v>
      </c>
      <c r="B4" s="610"/>
      <c r="C4" s="560" t="s">
        <v>172</v>
      </c>
      <c r="D4" s="559" t="s">
        <v>457</v>
      </c>
    </row>
    <row r="5" spans="1:6" ht="15" customHeight="1" x14ac:dyDescent="0.25">
      <c r="A5" s="606"/>
      <c r="B5" s="607"/>
      <c r="C5" s="607"/>
      <c r="D5" s="382"/>
    </row>
    <row r="6" spans="1:6" ht="69" customHeight="1" x14ac:dyDescent="0.25">
      <c r="A6" s="568" t="s">
        <v>69</v>
      </c>
      <c r="B6" s="568"/>
      <c r="C6" s="372" t="s">
        <v>285</v>
      </c>
      <c r="D6" s="123" t="s">
        <v>510</v>
      </c>
      <c r="F6" s="446" t="s">
        <v>325</v>
      </c>
    </row>
    <row r="7" spans="1:6" ht="15" customHeight="1" x14ac:dyDescent="0.25">
      <c r="A7" s="49" t="s">
        <v>60</v>
      </c>
      <c r="B7" s="96"/>
      <c r="C7" s="304">
        <v>1052.2</v>
      </c>
      <c r="D7" s="101">
        <v>1287.96</v>
      </c>
      <c r="F7" s="324" t="s">
        <v>307</v>
      </c>
    </row>
    <row r="8" spans="1:6" ht="15" customHeight="1" x14ac:dyDescent="0.25">
      <c r="A8" s="49" t="s">
        <v>461</v>
      </c>
      <c r="B8" s="96"/>
      <c r="C8" s="304"/>
      <c r="D8" s="101">
        <f t="shared" ref="D8" si="0">1100*20%</f>
        <v>220</v>
      </c>
      <c r="F8" s="324"/>
    </row>
    <row r="9" spans="1:6" ht="15" customHeight="1" x14ac:dyDescent="0.25">
      <c r="A9" s="598" t="s">
        <v>75</v>
      </c>
      <c r="B9" s="598"/>
      <c r="C9" s="100">
        <f t="shared" ref="C9" si="1">SUM(C7:C7)</f>
        <v>1052.2</v>
      </c>
      <c r="D9" s="100">
        <f t="shared" ref="D9" si="2">SUM(D7:D8)</f>
        <v>1507.96</v>
      </c>
      <c r="F9" s="47" t="s">
        <v>308</v>
      </c>
    </row>
    <row r="10" spans="1:6" ht="15" customHeight="1" x14ac:dyDescent="0.25">
      <c r="A10" s="602" t="s">
        <v>50</v>
      </c>
      <c r="B10" s="603"/>
      <c r="C10" s="111" t="s">
        <v>158</v>
      </c>
      <c r="D10" s="111" t="s">
        <v>158</v>
      </c>
      <c r="F10" s="588" t="s">
        <v>332</v>
      </c>
    </row>
    <row r="11" spans="1:6" ht="15" customHeight="1" x14ac:dyDescent="0.25">
      <c r="A11" s="599" t="s">
        <v>9</v>
      </c>
      <c r="B11" s="599"/>
      <c r="C11" s="305">
        <f>ROUND((22*8)-(6%*C7),2)</f>
        <v>112.87</v>
      </c>
      <c r="D11" s="101">
        <f t="shared" ref="D11" si="3">ROUND((22*11)-(6%*D7),2)</f>
        <v>164.72</v>
      </c>
      <c r="F11" s="589"/>
    </row>
    <row r="12" spans="1:6" ht="15" customHeight="1" x14ac:dyDescent="0.25">
      <c r="A12" s="599" t="s">
        <v>70</v>
      </c>
      <c r="B12" s="599"/>
      <c r="C12" s="305">
        <f>ROUND((22*27.5),2)</f>
        <v>605</v>
      </c>
      <c r="D12" s="116">
        <f t="shared" ref="D12" si="4">ROUND((22*(35)),2)</f>
        <v>770</v>
      </c>
      <c r="F12" s="589"/>
    </row>
    <row r="13" spans="1:6" ht="15" customHeight="1" x14ac:dyDescent="0.25">
      <c r="A13" s="601" t="s">
        <v>94</v>
      </c>
      <c r="B13" s="601"/>
      <c r="C13" s="306">
        <v>2.5</v>
      </c>
      <c r="D13" s="116">
        <v>0</v>
      </c>
      <c r="F13" s="590"/>
    </row>
    <row r="14" spans="1:6" ht="15" customHeight="1" x14ac:dyDescent="0.25">
      <c r="A14" s="601" t="s">
        <v>95</v>
      </c>
      <c r="B14" s="601"/>
      <c r="C14" s="306">
        <v>5</v>
      </c>
      <c r="D14" s="116">
        <v>10.63</v>
      </c>
      <c r="F14" s="357"/>
    </row>
    <row r="15" spans="1:6" ht="15" customHeight="1" x14ac:dyDescent="0.25">
      <c r="A15" s="598" t="s">
        <v>24</v>
      </c>
      <c r="B15" s="598"/>
      <c r="C15" s="100">
        <f t="shared" ref="C15" si="5">ROUND(SUM(C11:C14),2)</f>
        <v>725.37</v>
      </c>
      <c r="D15" s="100">
        <f t="shared" ref="D15" si="6">ROUND(SUM(D11:D14),2)</f>
        <v>945.35</v>
      </c>
      <c r="F15" s="445" t="s">
        <v>301</v>
      </c>
    </row>
    <row r="16" spans="1:6" ht="15" customHeight="1" x14ac:dyDescent="0.25">
      <c r="A16" s="602" t="s">
        <v>51</v>
      </c>
      <c r="B16" s="603"/>
      <c r="C16" s="111" t="s">
        <v>158</v>
      </c>
      <c r="D16" s="111" t="s">
        <v>158</v>
      </c>
      <c r="F16" s="47" t="s">
        <v>306</v>
      </c>
    </row>
    <row r="17" spans="1:13" ht="15" customHeight="1" x14ac:dyDescent="0.25">
      <c r="A17" s="604" t="s">
        <v>0</v>
      </c>
      <c r="B17" s="605"/>
      <c r="C17" s="307">
        <f t="shared" ref="C17" si="7">(26+52+52+8)/12</f>
        <v>11.5</v>
      </c>
      <c r="D17" s="101">
        <f t="shared" ref="D17" si="8">14.5</f>
        <v>14.5</v>
      </c>
      <c r="F17" s="357"/>
      <c r="M17" s="108"/>
    </row>
    <row r="18" spans="1:13" ht="15" customHeight="1" x14ac:dyDescent="0.25">
      <c r="A18" s="604" t="s">
        <v>87</v>
      </c>
      <c r="B18" s="605"/>
      <c r="C18" s="307">
        <f t="shared" ref="C18" si="9">((1620+960+630)/12)/32</f>
        <v>8.359375</v>
      </c>
      <c r="D18" s="101">
        <v>8.36</v>
      </c>
      <c r="F18" s="446" t="s">
        <v>304</v>
      </c>
    </row>
    <row r="19" spans="1:13" ht="15" customHeight="1" x14ac:dyDescent="0.25">
      <c r="A19" s="598" t="s">
        <v>24</v>
      </c>
      <c r="B19" s="598"/>
      <c r="C19" s="100">
        <f t="shared" ref="C19" si="10">ROUND(SUM(C17:C18),2)</f>
        <v>19.86</v>
      </c>
      <c r="D19" s="100">
        <f t="shared" ref="D19" si="11">ROUND(SUM(D17:D18),2)</f>
        <v>22.86</v>
      </c>
      <c r="F19" s="47" t="s">
        <v>327</v>
      </c>
    </row>
    <row r="20" spans="1:13" ht="15" customHeight="1" x14ac:dyDescent="0.25">
      <c r="A20" s="591" t="s">
        <v>52</v>
      </c>
      <c r="B20" s="592"/>
      <c r="C20" s="111" t="s">
        <v>229</v>
      </c>
      <c r="D20" s="111" t="s">
        <v>229</v>
      </c>
    </row>
    <row r="21" spans="1:13" ht="15" customHeight="1" x14ac:dyDescent="0.25">
      <c r="A21" s="593"/>
      <c r="B21" s="594"/>
      <c r="C21" s="118">
        <v>0.71779999999999999</v>
      </c>
      <c r="D21" s="118">
        <v>0.71530000000000005</v>
      </c>
      <c r="F21" s="445" t="s">
        <v>324</v>
      </c>
    </row>
    <row r="22" spans="1:13" ht="15" customHeight="1" x14ac:dyDescent="0.25">
      <c r="A22" s="595" t="s">
        <v>55</v>
      </c>
      <c r="B22" s="596"/>
      <c r="C22" s="100">
        <f t="shared" ref="C22:D22" si="12">ROUND((C9*C21),2)</f>
        <v>755.27</v>
      </c>
      <c r="D22" s="100">
        <f t="shared" si="12"/>
        <v>1078.6400000000001</v>
      </c>
      <c r="E22" s="131"/>
      <c r="F22" s="47" t="s">
        <v>328</v>
      </c>
    </row>
    <row r="23" spans="1:13" ht="15" customHeight="1" x14ac:dyDescent="0.25">
      <c r="A23" s="444" t="s">
        <v>58</v>
      </c>
      <c r="B23" s="444" t="s">
        <v>1</v>
      </c>
      <c r="C23" s="111" t="s">
        <v>158</v>
      </c>
      <c r="D23" s="111" t="s">
        <v>158</v>
      </c>
      <c r="F23" s="323" t="s">
        <v>329</v>
      </c>
    </row>
    <row r="24" spans="1:13" ht="15" customHeight="1" x14ac:dyDescent="0.25">
      <c r="A24" s="47" t="s">
        <v>2</v>
      </c>
      <c r="B24" s="50">
        <v>1.2699999999999999E-2</v>
      </c>
      <c r="C24" s="308">
        <f>ROUND(((C9+C15+C19+C22)*B24),2)</f>
        <v>32.42</v>
      </c>
      <c r="D24" s="101">
        <f>ROUND((D9+D15+D19+D22)*B24,2)</f>
        <v>45.15</v>
      </c>
      <c r="F24" s="47" t="s">
        <v>310</v>
      </c>
    </row>
    <row r="25" spans="1:13" ht="15" customHeight="1" x14ac:dyDescent="0.25">
      <c r="A25" s="47" t="s">
        <v>3</v>
      </c>
      <c r="B25" s="50">
        <v>0.14249999999999999</v>
      </c>
      <c r="C25" s="308">
        <f t="shared" ref="C25:D25" si="13">ROUND((C9+C15+C19+C22+C24+C26)*14.25/85.75,2)</f>
        <v>433.89</v>
      </c>
      <c r="D25" s="101">
        <f t="shared" si="13"/>
        <v>604.23</v>
      </c>
      <c r="F25" s="47" t="s">
        <v>311</v>
      </c>
    </row>
    <row r="26" spans="1:13" ht="15" customHeight="1" x14ac:dyDescent="0.25">
      <c r="A26" s="47" t="s">
        <v>4</v>
      </c>
      <c r="B26" s="50">
        <v>0.01</v>
      </c>
      <c r="C26" s="308">
        <f>ROUND((SUM(C9+C15+C19+C22+C24)*B26),2)</f>
        <v>25.85</v>
      </c>
      <c r="D26" s="101">
        <f>ROUND((D9+D15+D19+D22+D24)*B26,2)</f>
        <v>36</v>
      </c>
      <c r="F26" s="39"/>
    </row>
    <row r="27" spans="1:13" ht="15" customHeight="1" x14ac:dyDescent="0.25">
      <c r="A27" s="598" t="s">
        <v>24</v>
      </c>
      <c r="B27" s="598"/>
      <c r="C27" s="104">
        <f t="shared" ref="C27" si="14">ROUND(SUM(C24:C26),2)</f>
        <v>492.16</v>
      </c>
      <c r="D27" s="104">
        <f t="shared" ref="D27" si="15">ROUND(SUM(D24:D26),2)</f>
        <v>685.38</v>
      </c>
      <c r="F27" s="445" t="s">
        <v>312</v>
      </c>
    </row>
    <row r="28" spans="1:13" ht="55.5" customHeight="1" x14ac:dyDescent="0.25">
      <c r="A28" s="595" t="s">
        <v>59</v>
      </c>
      <c r="B28" s="596"/>
      <c r="C28" s="372" t="s">
        <v>285</v>
      </c>
      <c r="D28" s="123" t="s">
        <v>510</v>
      </c>
      <c r="F28" s="588" t="s">
        <v>337</v>
      </c>
      <c r="M28" s="44" t="s">
        <v>336</v>
      </c>
    </row>
    <row r="29" spans="1:13" ht="15" customHeight="1" x14ac:dyDescent="0.25">
      <c r="A29" s="599" t="s">
        <v>69</v>
      </c>
      <c r="B29" s="599"/>
      <c r="C29" s="119">
        <f t="shared" ref="C29:D29" si="16">C9</f>
        <v>1052.2</v>
      </c>
      <c r="D29" s="119">
        <f t="shared" si="16"/>
        <v>1507.96</v>
      </c>
      <c r="F29" s="589"/>
    </row>
    <row r="30" spans="1:13" ht="15" customHeight="1" x14ac:dyDescent="0.25">
      <c r="A30" s="599" t="s">
        <v>50</v>
      </c>
      <c r="B30" s="599"/>
      <c r="C30" s="119">
        <f t="shared" ref="C30:D30" si="17">C15</f>
        <v>725.37</v>
      </c>
      <c r="D30" s="119">
        <f t="shared" si="17"/>
        <v>945.35</v>
      </c>
      <c r="F30" s="590"/>
    </row>
    <row r="31" spans="1:13" ht="15" customHeight="1" x14ac:dyDescent="0.25">
      <c r="A31" s="599" t="s">
        <v>51</v>
      </c>
      <c r="B31" s="599"/>
      <c r="C31" s="119">
        <f t="shared" ref="C31:D31" si="18">C19</f>
        <v>19.86</v>
      </c>
      <c r="D31" s="119">
        <f t="shared" si="18"/>
        <v>22.86</v>
      </c>
      <c r="F31" s="330"/>
    </row>
    <row r="32" spans="1:13" ht="15" customHeight="1" x14ac:dyDescent="0.25">
      <c r="A32" s="599" t="s">
        <v>52</v>
      </c>
      <c r="B32" s="599"/>
      <c r="C32" s="119">
        <f t="shared" ref="C32:D32" si="19">C22</f>
        <v>755.27</v>
      </c>
      <c r="D32" s="119">
        <f t="shared" si="19"/>
        <v>1078.6400000000001</v>
      </c>
      <c r="F32" s="445" t="s">
        <v>317</v>
      </c>
    </row>
    <row r="33" spans="1:6" ht="15" customHeight="1" x14ac:dyDescent="0.25">
      <c r="A33" s="598" t="s">
        <v>77</v>
      </c>
      <c r="B33" s="598"/>
      <c r="C33" s="104">
        <f t="shared" ref="C33:D33" si="20">ROUND(SUM(C29:C32),2)</f>
        <v>2552.6999999999998</v>
      </c>
      <c r="D33" s="104">
        <f t="shared" si="20"/>
        <v>3554.81</v>
      </c>
      <c r="F33" s="47" t="s">
        <v>318</v>
      </c>
    </row>
    <row r="34" spans="1:6" ht="15" customHeight="1" x14ac:dyDescent="0.25">
      <c r="A34" s="599" t="s">
        <v>58</v>
      </c>
      <c r="B34" s="599"/>
      <c r="C34" s="119">
        <f t="shared" ref="C34:D34" si="21">C27</f>
        <v>492.16</v>
      </c>
      <c r="D34" s="119">
        <f t="shared" si="21"/>
        <v>685.38</v>
      </c>
      <c r="F34" s="47" t="s">
        <v>319</v>
      </c>
    </row>
    <row r="35" spans="1:6" ht="15" customHeight="1" x14ac:dyDescent="0.25">
      <c r="A35" s="598" t="s">
        <v>162</v>
      </c>
      <c r="B35" s="598"/>
      <c r="C35" s="104">
        <f t="shared" ref="C35:D35" si="22">ROUND((C33+C34),2)</f>
        <v>3044.86</v>
      </c>
      <c r="D35" s="104">
        <f t="shared" si="22"/>
        <v>4240.1899999999996</v>
      </c>
      <c r="F35" s="323" t="s">
        <v>320</v>
      </c>
    </row>
    <row r="36" spans="1:6" ht="15" customHeight="1" x14ac:dyDescent="0.25">
      <c r="A36" s="600" t="s">
        <v>48</v>
      </c>
      <c r="B36" s="600"/>
      <c r="C36" s="120">
        <v>0</v>
      </c>
      <c r="D36" s="120">
        <v>1</v>
      </c>
      <c r="F36" s="323" t="s">
        <v>321</v>
      </c>
    </row>
    <row r="37" spans="1:6" ht="15" customHeight="1" x14ac:dyDescent="0.25">
      <c r="A37" s="598" t="s">
        <v>159</v>
      </c>
      <c r="B37" s="598"/>
      <c r="C37" s="104">
        <f t="shared" ref="C37:D37" si="23">ROUND((C35*C36),2)</f>
        <v>0</v>
      </c>
      <c r="D37" s="104">
        <f t="shared" si="23"/>
        <v>4240.1899999999996</v>
      </c>
      <c r="F37" s="323" t="s">
        <v>322</v>
      </c>
    </row>
    <row r="38" spans="1:6" ht="15" customHeight="1" x14ac:dyDescent="0.25">
      <c r="A38" s="39"/>
      <c r="B38" s="39"/>
      <c r="C38" s="39"/>
    </row>
    <row r="39" spans="1:6" ht="15" customHeight="1" x14ac:dyDescent="0.25">
      <c r="A39" s="39"/>
      <c r="B39" s="39"/>
      <c r="C39" s="39"/>
      <c r="F39" s="445" t="s">
        <v>323</v>
      </c>
    </row>
    <row r="40" spans="1:6" ht="80.25" customHeight="1" x14ac:dyDescent="0.25">
      <c r="A40" s="39"/>
      <c r="B40" s="39"/>
      <c r="C40" s="39"/>
      <c r="F40" s="442" t="s">
        <v>340</v>
      </c>
    </row>
    <row r="41" spans="1:6" ht="15" customHeight="1" x14ac:dyDescent="0.25">
      <c r="A41" s="39"/>
      <c r="B41" s="39"/>
      <c r="C41" s="39"/>
    </row>
    <row r="42" spans="1:6" ht="15" customHeight="1" x14ac:dyDescent="0.25">
      <c r="A42" s="39"/>
      <c r="B42" s="39"/>
      <c r="C42" s="39"/>
    </row>
    <row r="43" spans="1:6" ht="15" customHeight="1" x14ac:dyDescent="0.25">
      <c r="A43" s="39"/>
      <c r="B43" s="39"/>
      <c r="C43" s="39"/>
    </row>
    <row r="44" spans="1:6" ht="15" customHeight="1" x14ac:dyDescent="0.25">
      <c r="A44" s="42"/>
      <c r="B44" s="39"/>
      <c r="C44" s="39"/>
    </row>
    <row r="45" spans="1:6" ht="15" customHeight="1" x14ac:dyDescent="0.25">
      <c r="A45" s="39"/>
      <c r="B45" s="39"/>
      <c r="C45" s="39"/>
    </row>
    <row r="46" spans="1:6" ht="15" customHeight="1" x14ac:dyDescent="0.25">
      <c r="A46" s="39"/>
      <c r="B46" s="39"/>
      <c r="C46" s="39"/>
    </row>
    <row r="47" spans="1:6" ht="15" customHeight="1" x14ac:dyDescent="0.25">
      <c r="A47" s="39"/>
      <c r="B47" s="39"/>
      <c r="C47" s="39"/>
    </row>
    <row r="48" spans="1:6" ht="15" customHeight="1" x14ac:dyDescent="0.25">
      <c r="A48" s="39"/>
      <c r="B48" s="39"/>
      <c r="C48" s="39"/>
    </row>
    <row r="49" spans="1:13" ht="15" customHeight="1" x14ac:dyDescent="0.25">
      <c r="A49" s="39"/>
      <c r="B49" s="39"/>
      <c r="C49" s="39"/>
    </row>
    <row r="51" spans="1:13" s="52" customFormat="1" ht="15" customHeight="1" x14ac:dyDescent="0.25">
      <c r="A51" s="39"/>
      <c r="B51" s="39"/>
      <c r="C51" s="39"/>
      <c r="D51" s="44"/>
      <c r="E51" s="44"/>
      <c r="F51" s="44"/>
      <c r="G51" s="44"/>
      <c r="H51" s="44"/>
      <c r="I51" s="44"/>
      <c r="J51" s="44"/>
      <c r="K51" s="44"/>
      <c r="L51" s="44"/>
      <c r="M51" s="44"/>
    </row>
    <row r="52" spans="1:13" s="52" customFormat="1" ht="15" customHeight="1" x14ac:dyDescent="0.25">
      <c r="A52" s="39"/>
      <c r="B52" s="39"/>
      <c r="C52" s="39"/>
      <c r="D52" s="44"/>
      <c r="E52" s="44"/>
      <c r="F52" s="44"/>
      <c r="G52" s="44"/>
      <c r="H52" s="44"/>
      <c r="I52" s="44"/>
      <c r="J52" s="44"/>
      <c r="K52" s="44"/>
      <c r="L52" s="44"/>
      <c r="M52" s="44"/>
    </row>
    <row r="53" spans="1:13" s="52" customFormat="1" ht="15" customHeight="1" x14ac:dyDescent="0.25">
      <c r="A53" s="42"/>
      <c r="B53" s="39"/>
      <c r="C53" s="39"/>
      <c r="D53" s="44"/>
      <c r="E53" s="44"/>
      <c r="F53" s="44"/>
      <c r="G53" s="44"/>
      <c r="H53" s="44"/>
      <c r="I53" s="44"/>
      <c r="J53" s="44"/>
      <c r="K53" s="44"/>
      <c r="L53" s="44"/>
      <c r="M53" s="44"/>
    </row>
    <row r="54" spans="1:13" s="52" customFormat="1" ht="15" customHeight="1" x14ac:dyDescent="0.25">
      <c r="A54" s="39"/>
      <c r="B54" s="43"/>
      <c r="C54" s="43"/>
      <c r="D54" s="44"/>
      <c r="E54" s="44"/>
      <c r="F54" s="44"/>
      <c r="G54" s="44"/>
      <c r="H54" s="44"/>
      <c r="I54" s="44"/>
      <c r="J54" s="44"/>
      <c r="K54" s="44"/>
      <c r="L54" s="44"/>
      <c r="M54" s="44"/>
    </row>
    <row r="55" spans="1:13" s="52" customFormat="1" ht="15" customHeight="1" x14ac:dyDescent="0.25">
      <c r="A55" s="42"/>
      <c r="B55" s="39"/>
      <c r="C55" s="39"/>
      <c r="D55" s="44"/>
      <c r="E55" s="44"/>
      <c r="F55" s="44"/>
      <c r="G55" s="44"/>
      <c r="H55" s="44"/>
      <c r="I55" s="44"/>
      <c r="J55" s="44"/>
      <c r="K55" s="44"/>
      <c r="L55" s="44"/>
      <c r="M55" s="44"/>
    </row>
    <row r="56" spans="1:13" s="52" customFormat="1" ht="15" customHeight="1" x14ac:dyDescent="0.25">
      <c r="A56" s="39"/>
      <c r="B56" s="39"/>
      <c r="C56" s="39"/>
      <c r="D56" s="44"/>
      <c r="E56" s="44"/>
      <c r="F56" s="44"/>
      <c r="G56" s="44"/>
      <c r="H56" s="44"/>
      <c r="I56" s="44"/>
      <c r="J56" s="44"/>
      <c r="K56" s="44"/>
      <c r="L56" s="44"/>
      <c r="M56" s="44"/>
    </row>
    <row r="57" spans="1:13" s="52" customFormat="1" ht="15" customHeight="1" x14ac:dyDescent="0.25">
      <c r="A57" s="39"/>
      <c r="B57" s="39"/>
      <c r="C57" s="39"/>
      <c r="D57" s="44"/>
      <c r="E57" s="44"/>
      <c r="F57" s="44"/>
      <c r="G57" s="44"/>
      <c r="H57" s="44"/>
      <c r="I57" s="44"/>
      <c r="J57" s="44"/>
      <c r="K57" s="44"/>
      <c r="L57" s="44"/>
      <c r="M57" s="44"/>
    </row>
    <row r="58" spans="1:13" s="52" customFormat="1" ht="15" customHeight="1" x14ac:dyDescent="0.25">
      <c r="A58" s="39"/>
      <c r="B58" s="39"/>
      <c r="C58" s="39"/>
      <c r="D58" s="44"/>
      <c r="E58" s="44"/>
      <c r="F58" s="44"/>
      <c r="G58" s="44"/>
      <c r="H58" s="44"/>
      <c r="I58" s="44"/>
      <c r="J58" s="44"/>
      <c r="K58" s="44"/>
      <c r="L58" s="44"/>
      <c r="M58" s="44"/>
    </row>
    <row r="59" spans="1:13" s="52" customFormat="1" ht="15" customHeight="1" x14ac:dyDescent="0.25">
      <c r="A59" s="39"/>
      <c r="B59" s="39"/>
      <c r="C59" s="39"/>
      <c r="D59" s="44"/>
      <c r="E59" s="44"/>
      <c r="F59" s="44"/>
      <c r="G59" s="44"/>
      <c r="H59" s="44"/>
      <c r="I59" s="44"/>
      <c r="J59" s="44"/>
      <c r="K59" s="44"/>
      <c r="L59" s="44"/>
      <c r="M59" s="44"/>
    </row>
    <row r="60" spans="1:13" s="52" customFormat="1" ht="15" customHeight="1" x14ac:dyDescent="0.25">
      <c r="A60" s="39"/>
      <c r="B60" s="39"/>
      <c r="C60" s="39"/>
      <c r="D60" s="44"/>
      <c r="E60" s="44"/>
      <c r="F60" s="44"/>
      <c r="G60" s="44"/>
      <c r="H60" s="44"/>
      <c r="I60" s="44"/>
      <c r="J60" s="44"/>
      <c r="K60" s="44"/>
      <c r="L60" s="44"/>
      <c r="M60" s="44"/>
    </row>
    <row r="61" spans="1:13" s="52" customFormat="1" ht="15" customHeight="1" x14ac:dyDescent="0.25">
      <c r="A61" s="39"/>
      <c r="B61" s="39"/>
      <c r="C61" s="39"/>
      <c r="D61" s="44"/>
      <c r="E61" s="44"/>
      <c r="F61" s="44"/>
      <c r="G61" s="44"/>
      <c r="H61" s="44"/>
      <c r="I61" s="44"/>
      <c r="J61" s="44"/>
      <c r="K61" s="44"/>
      <c r="L61" s="44"/>
      <c r="M61" s="44"/>
    </row>
    <row r="62" spans="1:13" s="52" customFormat="1" ht="15" customHeight="1" x14ac:dyDescent="0.25">
      <c r="A62" s="39"/>
      <c r="B62" s="39"/>
      <c r="C62" s="39"/>
      <c r="D62" s="44"/>
      <c r="E62" s="44"/>
      <c r="F62" s="44"/>
      <c r="G62" s="44"/>
      <c r="H62" s="44"/>
      <c r="I62" s="44"/>
      <c r="J62" s="44"/>
      <c r="K62" s="44"/>
      <c r="L62" s="44"/>
      <c r="M62" s="44"/>
    </row>
    <row r="63" spans="1:13" s="52" customFormat="1" ht="15" customHeight="1" x14ac:dyDescent="0.25">
      <c r="A63" s="39"/>
      <c r="B63" s="39"/>
      <c r="C63" s="39"/>
      <c r="D63" s="44"/>
      <c r="E63" s="44"/>
      <c r="F63" s="44"/>
      <c r="G63" s="44"/>
      <c r="H63" s="44"/>
      <c r="I63" s="44"/>
      <c r="J63" s="44"/>
      <c r="K63" s="44"/>
      <c r="L63" s="44"/>
      <c r="M63" s="44"/>
    </row>
    <row r="64" spans="1:13" s="52" customFormat="1" ht="15" customHeight="1" x14ac:dyDescent="0.25">
      <c r="A64" s="39"/>
      <c r="B64" s="39"/>
      <c r="C64" s="39"/>
      <c r="D64" s="44"/>
      <c r="E64" s="44"/>
      <c r="F64" s="44"/>
      <c r="G64" s="44"/>
      <c r="H64" s="44"/>
      <c r="I64" s="44"/>
      <c r="J64" s="44"/>
      <c r="K64" s="44"/>
      <c r="L64" s="44"/>
      <c r="M64" s="44"/>
    </row>
    <row r="65" spans="1:13" s="52" customFormat="1" ht="15" customHeight="1" x14ac:dyDescent="0.25">
      <c r="A65" s="39"/>
      <c r="B65" s="39"/>
      <c r="C65" s="39"/>
      <c r="D65" s="44"/>
      <c r="E65" s="44"/>
      <c r="F65" s="44"/>
      <c r="G65" s="44"/>
      <c r="H65" s="44"/>
      <c r="I65" s="44"/>
      <c r="J65" s="44"/>
      <c r="K65" s="44"/>
      <c r="L65" s="44"/>
      <c r="M65" s="44"/>
    </row>
    <row r="66" spans="1:13" s="52" customFormat="1" ht="15" customHeight="1" x14ac:dyDescent="0.25">
      <c r="A66" s="39"/>
      <c r="B66" s="39"/>
      <c r="C66" s="39"/>
      <c r="D66" s="44"/>
      <c r="E66" s="44"/>
      <c r="F66" s="44"/>
      <c r="G66" s="44"/>
      <c r="H66" s="44"/>
      <c r="I66" s="44"/>
      <c r="J66" s="44"/>
      <c r="K66" s="44"/>
      <c r="L66" s="44"/>
      <c r="M66" s="44"/>
    </row>
    <row r="67" spans="1:13" s="52" customFormat="1" ht="15" customHeight="1" x14ac:dyDescent="0.25">
      <c r="A67" s="39"/>
      <c r="B67" s="39"/>
      <c r="C67" s="39"/>
      <c r="D67" s="44"/>
      <c r="E67" s="44"/>
      <c r="F67" s="44"/>
      <c r="G67" s="44"/>
      <c r="H67" s="44"/>
      <c r="I67" s="44"/>
      <c r="J67" s="44"/>
      <c r="K67" s="44"/>
      <c r="L67" s="44"/>
      <c r="M67" s="44"/>
    </row>
    <row r="68" spans="1:13" s="52" customFormat="1" ht="15" customHeight="1" x14ac:dyDescent="0.25">
      <c r="A68" s="39"/>
      <c r="B68" s="39"/>
      <c r="C68" s="39"/>
      <c r="D68" s="44"/>
      <c r="E68" s="44"/>
      <c r="F68" s="44"/>
      <c r="G68" s="44"/>
      <c r="H68" s="44"/>
      <c r="I68" s="44"/>
      <c r="J68" s="44"/>
      <c r="K68" s="44"/>
      <c r="L68" s="44"/>
      <c r="M68" s="44"/>
    </row>
    <row r="69" spans="1:13" s="52" customFormat="1" ht="15" customHeight="1" x14ac:dyDescent="0.25">
      <c r="A69" s="39"/>
      <c r="B69" s="39"/>
      <c r="C69" s="39"/>
      <c r="D69" s="44"/>
      <c r="E69" s="44"/>
      <c r="F69" s="44"/>
      <c r="G69" s="44"/>
      <c r="H69" s="44"/>
      <c r="I69" s="44"/>
      <c r="J69" s="44"/>
      <c r="K69" s="44"/>
      <c r="L69" s="44"/>
      <c r="M69" s="44"/>
    </row>
    <row r="70" spans="1:13" s="52" customFormat="1" ht="15" customHeight="1" x14ac:dyDescent="0.25">
      <c r="A70" s="39"/>
      <c r="B70" s="39"/>
      <c r="C70" s="39"/>
      <c r="D70" s="44"/>
      <c r="E70" s="44"/>
      <c r="F70" s="44"/>
      <c r="G70" s="44"/>
      <c r="H70" s="44"/>
      <c r="I70" s="44"/>
      <c r="J70" s="44"/>
      <c r="K70" s="44"/>
      <c r="L70" s="44"/>
      <c r="M70" s="44"/>
    </row>
    <row r="71" spans="1:13" s="52" customFormat="1" ht="15" customHeight="1" x14ac:dyDescent="0.25">
      <c r="A71" s="39"/>
      <c r="B71" s="39"/>
      <c r="C71" s="39"/>
      <c r="D71" s="44"/>
      <c r="E71" s="44"/>
      <c r="F71" s="44"/>
      <c r="G71" s="44"/>
      <c r="H71" s="44"/>
      <c r="I71" s="44"/>
      <c r="J71" s="44"/>
      <c r="K71" s="44"/>
      <c r="L71" s="44"/>
      <c r="M71" s="44"/>
    </row>
    <row r="72" spans="1:13" s="52" customFormat="1" ht="15" customHeight="1" x14ac:dyDescent="0.25">
      <c r="A72" s="42"/>
      <c r="B72" s="39"/>
      <c r="C72" s="39"/>
      <c r="D72" s="44"/>
      <c r="E72" s="44"/>
      <c r="F72" s="44"/>
      <c r="G72" s="44"/>
      <c r="H72" s="44"/>
      <c r="I72" s="44"/>
      <c r="J72" s="44"/>
      <c r="K72" s="44"/>
      <c r="L72" s="44"/>
      <c r="M72" s="44"/>
    </row>
    <row r="73" spans="1:13" s="52" customFormat="1" ht="15" customHeight="1" x14ac:dyDescent="0.25">
      <c r="A73" s="39"/>
      <c r="B73" s="39"/>
      <c r="C73" s="39"/>
      <c r="D73" s="44"/>
      <c r="E73" s="44"/>
      <c r="F73" s="44"/>
      <c r="G73" s="44"/>
      <c r="H73" s="44"/>
      <c r="I73" s="44"/>
      <c r="J73" s="44"/>
      <c r="K73" s="44"/>
      <c r="L73" s="44"/>
      <c r="M73" s="44"/>
    </row>
    <row r="74" spans="1:13" s="52" customFormat="1" ht="15" customHeight="1" x14ac:dyDescent="0.25">
      <c r="A74" s="39"/>
      <c r="B74" s="39"/>
      <c r="C74" s="39"/>
      <c r="D74" s="44"/>
      <c r="E74" s="44"/>
      <c r="F74" s="44"/>
      <c r="G74" s="44"/>
      <c r="H74" s="44"/>
      <c r="I74" s="44"/>
      <c r="J74" s="44"/>
      <c r="K74" s="44"/>
      <c r="L74" s="44"/>
      <c r="M74" s="44"/>
    </row>
    <row r="75" spans="1:13" s="52" customFormat="1" ht="15" customHeight="1" x14ac:dyDescent="0.25">
      <c r="A75" s="39"/>
      <c r="B75" s="39"/>
      <c r="C75" s="39"/>
      <c r="D75" s="44"/>
      <c r="E75" s="44"/>
      <c r="F75" s="44"/>
      <c r="G75" s="44"/>
      <c r="H75" s="44"/>
      <c r="I75" s="44"/>
      <c r="J75" s="44"/>
      <c r="K75" s="44"/>
      <c r="L75" s="44"/>
      <c r="M75" s="44"/>
    </row>
    <row r="76" spans="1:13" s="52" customFormat="1" ht="15" customHeight="1" x14ac:dyDescent="0.25">
      <c r="A76" s="39"/>
      <c r="B76" s="39"/>
      <c r="C76" s="39"/>
      <c r="D76" s="44"/>
      <c r="E76" s="44"/>
      <c r="F76" s="44"/>
      <c r="G76" s="44"/>
      <c r="H76" s="44"/>
      <c r="I76" s="44"/>
      <c r="J76" s="44"/>
      <c r="K76" s="44"/>
      <c r="L76" s="44"/>
      <c r="M76" s="44"/>
    </row>
    <row r="77" spans="1:13" s="52" customFormat="1" ht="15" customHeight="1" x14ac:dyDescent="0.25">
      <c r="A77" s="39"/>
      <c r="B77" s="39"/>
      <c r="C77" s="39"/>
      <c r="D77" s="44"/>
      <c r="E77" s="44"/>
      <c r="F77" s="44"/>
      <c r="G77" s="44"/>
      <c r="H77" s="44"/>
      <c r="I77" s="44"/>
      <c r="J77" s="44"/>
      <c r="K77" s="44"/>
      <c r="L77" s="44"/>
      <c r="M77" s="44"/>
    </row>
    <row r="78" spans="1:13" s="52" customFormat="1" ht="15" customHeight="1" x14ac:dyDescent="0.25">
      <c r="A78" s="39"/>
      <c r="B78" s="39"/>
      <c r="C78" s="39"/>
      <c r="D78" s="44"/>
      <c r="E78" s="44"/>
      <c r="F78" s="44"/>
      <c r="G78" s="44"/>
      <c r="H78" s="44"/>
      <c r="I78" s="44"/>
      <c r="J78" s="44"/>
      <c r="K78" s="44"/>
      <c r="L78" s="44"/>
      <c r="M78" s="44"/>
    </row>
    <row r="79" spans="1:13" s="52" customFormat="1" ht="15" customHeight="1" x14ac:dyDescent="0.25">
      <c r="A79" s="39"/>
      <c r="B79" s="39"/>
      <c r="C79" s="39"/>
      <c r="D79" s="44"/>
      <c r="E79" s="44"/>
      <c r="F79" s="44"/>
      <c r="G79" s="44"/>
      <c r="H79" s="44"/>
      <c r="I79" s="44"/>
      <c r="J79" s="44"/>
      <c r="K79" s="44"/>
      <c r="L79" s="44"/>
      <c r="M79" s="44"/>
    </row>
    <row r="80" spans="1:13" s="52" customFormat="1" ht="15" customHeight="1" x14ac:dyDescent="0.25">
      <c r="A80" s="39"/>
      <c r="B80" s="39"/>
      <c r="C80" s="39"/>
      <c r="D80" s="44"/>
      <c r="E80" s="44"/>
      <c r="F80" s="44"/>
      <c r="G80" s="44"/>
      <c r="H80" s="44"/>
      <c r="I80" s="44"/>
      <c r="J80" s="44"/>
      <c r="K80" s="44"/>
      <c r="L80" s="44"/>
      <c r="M80" s="44"/>
    </row>
    <row r="81" spans="1:13" s="52" customFormat="1" ht="15" customHeight="1" x14ac:dyDescent="0.25">
      <c r="A81" s="42"/>
      <c r="B81" s="39"/>
      <c r="C81" s="39"/>
      <c r="D81" s="44"/>
      <c r="E81" s="44"/>
      <c r="F81" s="44"/>
      <c r="G81" s="44"/>
      <c r="H81" s="44"/>
      <c r="I81" s="44"/>
      <c r="J81" s="44"/>
      <c r="K81" s="44"/>
      <c r="L81" s="44"/>
      <c r="M81" s="44"/>
    </row>
    <row r="82" spans="1:13" s="52" customFormat="1" ht="15" customHeight="1" x14ac:dyDescent="0.25">
      <c r="A82" s="39"/>
      <c r="B82" s="43"/>
      <c r="C82" s="43"/>
      <c r="D82" s="44"/>
      <c r="E82" s="44"/>
      <c r="F82" s="44"/>
      <c r="G82" s="44"/>
      <c r="H82" s="44"/>
      <c r="I82" s="44"/>
      <c r="J82" s="44"/>
      <c r="K82" s="44"/>
      <c r="L82" s="44"/>
      <c r="M82" s="44"/>
    </row>
    <row r="83" spans="1:13" s="52" customFormat="1" ht="15" customHeight="1" x14ac:dyDescent="0.25">
      <c r="A83" s="42"/>
      <c r="B83" s="39"/>
      <c r="C83" s="39"/>
      <c r="D83" s="44"/>
      <c r="E83" s="44"/>
      <c r="F83" s="44"/>
      <c r="G83" s="44"/>
      <c r="H83" s="44"/>
      <c r="I83" s="44"/>
      <c r="J83" s="44"/>
      <c r="K83" s="44"/>
      <c r="L83" s="44"/>
      <c r="M83" s="44"/>
    </row>
    <row r="84" spans="1:13" s="52" customFormat="1" ht="15" customHeight="1" x14ac:dyDescent="0.25">
      <c r="A84" s="39"/>
      <c r="B84" s="39"/>
      <c r="C84" s="39"/>
      <c r="D84" s="44"/>
      <c r="E84" s="44"/>
      <c r="F84" s="44"/>
      <c r="G84" s="44"/>
      <c r="H84" s="44"/>
      <c r="I84" s="44"/>
      <c r="J84" s="44"/>
      <c r="K84" s="44"/>
      <c r="L84" s="44"/>
      <c r="M84" s="44"/>
    </row>
    <row r="85" spans="1:13" s="52" customFormat="1" ht="15" customHeight="1" x14ac:dyDescent="0.25">
      <c r="A85" s="39"/>
      <c r="B85" s="39"/>
      <c r="C85" s="39"/>
      <c r="D85" s="44"/>
      <c r="E85" s="44"/>
      <c r="F85" s="44"/>
      <c r="G85" s="44"/>
      <c r="H85" s="44"/>
      <c r="I85" s="44"/>
      <c r="J85" s="44"/>
      <c r="K85" s="44"/>
      <c r="L85" s="44"/>
      <c r="M85" s="44"/>
    </row>
    <row r="86" spans="1:13" s="52" customFormat="1" ht="15" customHeight="1" x14ac:dyDescent="0.25">
      <c r="A86" s="39"/>
      <c r="B86" s="39"/>
      <c r="C86" s="39"/>
      <c r="D86" s="44"/>
      <c r="E86" s="44"/>
      <c r="F86" s="44"/>
      <c r="G86" s="44"/>
      <c r="H86" s="44"/>
      <c r="I86" s="44"/>
      <c r="J86" s="44"/>
      <c r="K86" s="44"/>
      <c r="L86" s="44"/>
      <c r="M86" s="44"/>
    </row>
    <row r="87" spans="1:13" s="52" customFormat="1" ht="15" customHeight="1" x14ac:dyDescent="0.25">
      <c r="A87" s="39"/>
      <c r="B87" s="39"/>
      <c r="C87" s="39"/>
      <c r="D87" s="44"/>
      <c r="E87" s="44"/>
      <c r="F87" s="44"/>
      <c r="G87" s="44"/>
      <c r="H87" s="44"/>
      <c r="I87" s="44"/>
      <c r="J87" s="44"/>
      <c r="K87" s="44"/>
      <c r="L87" s="44"/>
      <c r="M87" s="44"/>
    </row>
    <row r="88" spans="1:13" s="52" customFormat="1" ht="15" customHeight="1" x14ac:dyDescent="0.25">
      <c r="A88" s="39"/>
      <c r="B88" s="39"/>
      <c r="C88" s="39"/>
      <c r="D88" s="44"/>
      <c r="E88" s="44"/>
      <c r="F88" s="44"/>
      <c r="G88" s="44"/>
      <c r="H88" s="44"/>
      <c r="I88" s="44"/>
      <c r="J88" s="44"/>
      <c r="K88" s="44"/>
      <c r="L88" s="44"/>
      <c r="M88" s="44"/>
    </row>
    <row r="89" spans="1:13" s="52" customFormat="1" ht="15" customHeight="1" x14ac:dyDescent="0.25">
      <c r="A89" s="39"/>
      <c r="B89" s="39"/>
      <c r="C89" s="39"/>
      <c r="D89" s="44"/>
      <c r="E89" s="44"/>
      <c r="F89" s="44"/>
      <c r="G89" s="44"/>
      <c r="H89" s="44"/>
      <c r="I89" s="44"/>
      <c r="J89" s="44"/>
      <c r="K89" s="44"/>
      <c r="L89" s="44"/>
      <c r="M89" s="44"/>
    </row>
    <row r="90" spans="1:13" s="52" customFormat="1" ht="15" customHeight="1" x14ac:dyDescent="0.25">
      <c r="A90" s="39"/>
      <c r="B90" s="39"/>
      <c r="C90" s="39"/>
      <c r="D90" s="44"/>
      <c r="E90" s="44"/>
      <c r="F90" s="44"/>
      <c r="G90" s="44"/>
      <c r="H90" s="44"/>
      <c r="I90" s="44"/>
      <c r="J90" s="44"/>
      <c r="K90" s="44"/>
      <c r="L90" s="44"/>
      <c r="M90" s="44"/>
    </row>
    <row r="91" spans="1:13" s="52" customFormat="1" ht="15" customHeight="1" x14ac:dyDescent="0.25">
      <c r="A91" s="39"/>
      <c r="B91" s="39"/>
      <c r="C91" s="39"/>
      <c r="D91" s="44"/>
      <c r="E91" s="44"/>
      <c r="F91" s="44"/>
      <c r="G91" s="44"/>
      <c r="H91" s="44"/>
      <c r="I91" s="44"/>
      <c r="J91" s="44"/>
      <c r="K91" s="44"/>
      <c r="L91" s="44"/>
      <c r="M91" s="44"/>
    </row>
    <row r="92" spans="1:13" s="52" customFormat="1" ht="15" customHeight="1" x14ac:dyDescent="0.25">
      <c r="A92" s="39"/>
      <c r="B92" s="39"/>
      <c r="C92" s="39"/>
      <c r="D92" s="44"/>
      <c r="E92" s="44"/>
      <c r="F92" s="44"/>
      <c r="G92" s="44"/>
      <c r="H92" s="44"/>
      <c r="I92" s="44"/>
      <c r="J92" s="44"/>
      <c r="K92" s="44"/>
      <c r="L92" s="44"/>
      <c r="M92" s="44"/>
    </row>
    <row r="93" spans="1:13" s="52" customFormat="1" ht="15" customHeight="1" x14ac:dyDescent="0.25">
      <c r="A93" s="39"/>
      <c r="B93" s="39"/>
      <c r="C93" s="39"/>
      <c r="D93" s="44"/>
      <c r="E93" s="44"/>
      <c r="F93" s="44"/>
      <c r="G93" s="44"/>
      <c r="H93" s="44"/>
      <c r="I93" s="44"/>
      <c r="J93" s="44"/>
      <c r="K93" s="44"/>
      <c r="L93" s="44"/>
      <c r="M93" s="44"/>
    </row>
    <row r="94" spans="1:13" s="52" customFormat="1" ht="15" customHeight="1" x14ac:dyDescent="0.25">
      <c r="A94" s="39"/>
      <c r="B94" s="39"/>
      <c r="C94" s="39"/>
      <c r="D94" s="44"/>
      <c r="E94" s="44"/>
      <c r="F94" s="44"/>
      <c r="G94" s="44"/>
      <c r="H94" s="44"/>
      <c r="I94" s="44"/>
      <c r="J94" s="44"/>
      <c r="K94" s="44"/>
      <c r="L94" s="44"/>
      <c r="M94" s="44"/>
    </row>
    <row r="95" spans="1:13" s="52" customFormat="1" ht="15" customHeight="1" x14ac:dyDescent="0.25">
      <c r="A95" s="39"/>
      <c r="B95" s="39"/>
      <c r="C95" s="39"/>
      <c r="D95" s="44"/>
      <c r="E95" s="44"/>
      <c r="F95" s="44"/>
      <c r="G95" s="44"/>
      <c r="H95" s="44"/>
      <c r="I95" s="44"/>
      <c r="J95" s="44"/>
      <c r="K95" s="44"/>
      <c r="L95" s="44"/>
      <c r="M95" s="44"/>
    </row>
    <row r="96" spans="1:13" s="52" customFormat="1" ht="15" customHeight="1" x14ac:dyDescent="0.25">
      <c r="A96" s="39"/>
      <c r="B96" s="39"/>
      <c r="C96" s="39"/>
      <c r="D96" s="44"/>
      <c r="E96" s="44"/>
      <c r="F96" s="44"/>
      <c r="G96" s="44"/>
      <c r="H96" s="44"/>
      <c r="I96" s="44"/>
      <c r="J96" s="44"/>
      <c r="K96" s="44"/>
      <c r="L96" s="44"/>
      <c r="M96" s="44"/>
    </row>
    <row r="97" spans="1:13" s="52" customFormat="1" ht="15" customHeight="1" x14ac:dyDescent="0.25">
      <c r="A97" s="39"/>
      <c r="B97" s="39"/>
      <c r="C97" s="39"/>
      <c r="D97" s="44"/>
      <c r="E97" s="44"/>
      <c r="F97" s="44"/>
      <c r="G97" s="44"/>
      <c r="H97" s="44"/>
      <c r="I97" s="44"/>
      <c r="J97" s="44"/>
      <c r="K97" s="44"/>
      <c r="L97" s="44"/>
      <c r="M97" s="44"/>
    </row>
    <row r="98" spans="1:13" s="52" customFormat="1" ht="15" customHeight="1" x14ac:dyDescent="0.25">
      <c r="A98" s="39"/>
      <c r="B98" s="39"/>
      <c r="C98" s="39"/>
      <c r="D98" s="44"/>
      <c r="E98" s="44"/>
      <c r="F98" s="44"/>
      <c r="G98" s="44"/>
      <c r="H98" s="44"/>
      <c r="I98" s="44"/>
      <c r="J98" s="44"/>
      <c r="K98" s="44"/>
      <c r="L98" s="44"/>
      <c r="M98" s="44"/>
    </row>
    <row r="99" spans="1:13" s="52" customFormat="1" ht="15" customHeight="1" x14ac:dyDescent="0.25">
      <c r="A99" s="39"/>
      <c r="B99" s="39"/>
      <c r="C99" s="39"/>
      <c r="D99" s="44"/>
      <c r="E99" s="44"/>
      <c r="F99" s="44"/>
      <c r="G99" s="44"/>
      <c r="H99" s="44"/>
      <c r="I99" s="44"/>
      <c r="J99" s="44"/>
      <c r="K99" s="44"/>
      <c r="L99" s="44"/>
      <c r="M99" s="44"/>
    </row>
    <row r="100" spans="1:13" s="52" customFormat="1" ht="15" customHeight="1" x14ac:dyDescent="0.25">
      <c r="A100" s="42"/>
      <c r="B100" s="39"/>
      <c r="C100" s="39"/>
      <c r="D100" s="44"/>
      <c r="E100" s="44"/>
      <c r="F100" s="44"/>
      <c r="G100" s="44"/>
      <c r="H100" s="44"/>
      <c r="I100" s="44"/>
      <c r="J100" s="44"/>
      <c r="K100" s="44"/>
      <c r="L100" s="44"/>
      <c r="M100" s="44"/>
    </row>
    <row r="101" spans="1:13" s="52" customFormat="1" ht="15" customHeight="1" x14ac:dyDescent="0.25">
      <c r="A101" s="39"/>
      <c r="B101" s="39"/>
      <c r="C101" s="39"/>
      <c r="D101" s="44"/>
      <c r="E101" s="44"/>
      <c r="F101" s="44"/>
      <c r="G101" s="44"/>
      <c r="H101" s="44"/>
      <c r="I101" s="44"/>
      <c r="J101" s="44"/>
      <c r="K101" s="44"/>
      <c r="L101" s="44"/>
      <c r="M101" s="44"/>
    </row>
    <row r="102" spans="1:13" s="52" customFormat="1" ht="15" customHeight="1" x14ac:dyDescent="0.25">
      <c r="A102" s="39"/>
      <c r="B102" s="39"/>
      <c r="C102" s="39"/>
      <c r="D102" s="44"/>
      <c r="E102" s="44"/>
      <c r="F102" s="44"/>
      <c r="G102" s="44"/>
      <c r="H102" s="44"/>
      <c r="I102" s="44"/>
      <c r="J102" s="44"/>
      <c r="K102" s="44"/>
      <c r="L102" s="44"/>
      <c r="M102" s="44"/>
    </row>
    <row r="103" spans="1:13" s="52" customFormat="1" ht="15" customHeight="1" x14ac:dyDescent="0.25">
      <c r="A103" s="39"/>
      <c r="B103" s="39"/>
      <c r="C103" s="39"/>
      <c r="D103" s="44"/>
      <c r="E103" s="44"/>
      <c r="F103" s="44"/>
      <c r="G103" s="44"/>
      <c r="H103" s="44"/>
      <c r="I103" s="44"/>
      <c r="J103" s="44"/>
      <c r="K103" s="44"/>
      <c r="L103" s="44"/>
      <c r="M103" s="44"/>
    </row>
    <row r="104" spans="1:13" s="52" customFormat="1" ht="15" customHeight="1" x14ac:dyDescent="0.25">
      <c r="A104" s="39"/>
      <c r="B104" s="39"/>
      <c r="C104" s="39"/>
      <c r="D104" s="44"/>
      <c r="E104" s="44"/>
      <c r="F104" s="44"/>
      <c r="G104" s="44"/>
      <c r="H104" s="44"/>
      <c r="I104" s="44"/>
      <c r="J104" s="44"/>
      <c r="K104" s="44"/>
      <c r="L104" s="44"/>
      <c r="M104" s="44"/>
    </row>
    <row r="105" spans="1:13" s="52" customFormat="1" ht="15" customHeight="1" x14ac:dyDescent="0.25">
      <c r="A105" s="39"/>
      <c r="B105" s="39"/>
      <c r="C105" s="39"/>
      <c r="D105" s="44"/>
      <c r="E105" s="44"/>
      <c r="F105" s="44"/>
      <c r="G105" s="44"/>
      <c r="H105" s="44"/>
      <c r="I105" s="44"/>
      <c r="J105" s="44"/>
      <c r="K105" s="44"/>
      <c r="L105" s="44"/>
      <c r="M105" s="44"/>
    </row>
    <row r="106" spans="1:13" s="52" customFormat="1" ht="15" customHeight="1" x14ac:dyDescent="0.25">
      <c r="A106" s="39"/>
      <c r="B106" s="39"/>
      <c r="C106" s="39"/>
      <c r="D106" s="44"/>
      <c r="E106" s="44"/>
      <c r="F106" s="44"/>
      <c r="G106" s="44"/>
      <c r="H106" s="44"/>
      <c r="I106" s="44"/>
      <c r="J106" s="44"/>
      <c r="K106" s="44"/>
      <c r="L106" s="44"/>
      <c r="M106" s="44"/>
    </row>
    <row r="107" spans="1:13" s="52" customFormat="1" ht="15" customHeight="1" x14ac:dyDescent="0.25">
      <c r="A107" s="39"/>
      <c r="B107" s="39"/>
      <c r="C107" s="39"/>
      <c r="D107" s="44"/>
      <c r="E107" s="44"/>
      <c r="F107" s="44"/>
      <c r="G107" s="44"/>
      <c r="H107" s="44"/>
      <c r="I107" s="44"/>
      <c r="J107" s="44"/>
      <c r="K107" s="44"/>
      <c r="L107" s="44"/>
      <c r="M107" s="44"/>
    </row>
    <row r="108" spans="1:13" s="52" customFormat="1" ht="15" customHeight="1" x14ac:dyDescent="0.25">
      <c r="A108" s="39"/>
      <c r="B108" s="39"/>
      <c r="C108" s="39"/>
      <c r="D108" s="44"/>
      <c r="E108" s="44"/>
      <c r="F108" s="44"/>
      <c r="G108" s="44"/>
      <c r="H108" s="44"/>
      <c r="I108" s="44"/>
      <c r="J108" s="44"/>
      <c r="K108" s="44"/>
      <c r="L108" s="44"/>
      <c r="M108" s="44"/>
    </row>
    <row r="109" spans="1:13" s="52" customFormat="1" ht="15" customHeight="1" x14ac:dyDescent="0.25">
      <c r="A109" s="42"/>
      <c r="B109" s="39"/>
      <c r="C109" s="39"/>
      <c r="D109" s="44"/>
      <c r="E109" s="44"/>
      <c r="F109" s="44"/>
      <c r="G109" s="44"/>
      <c r="H109" s="44"/>
      <c r="I109" s="44"/>
      <c r="J109" s="44"/>
      <c r="K109" s="44"/>
      <c r="L109" s="44"/>
      <c r="M109" s="44"/>
    </row>
    <row r="110" spans="1:13" s="52" customFormat="1" ht="15" customHeight="1" x14ac:dyDescent="0.25">
      <c r="A110" s="39"/>
      <c r="B110" s="43"/>
      <c r="C110" s="43"/>
      <c r="D110" s="44"/>
      <c r="E110" s="44"/>
      <c r="F110" s="44"/>
      <c r="G110" s="44"/>
      <c r="H110" s="44"/>
      <c r="I110" s="44"/>
      <c r="J110" s="44"/>
      <c r="K110" s="44"/>
      <c r="L110" s="44"/>
      <c r="M110" s="44"/>
    </row>
    <row r="111" spans="1:13" s="52" customFormat="1" ht="15" customHeight="1" x14ac:dyDescent="0.25">
      <c r="A111" s="42"/>
      <c r="B111" s="39"/>
      <c r="C111" s="39"/>
      <c r="D111" s="44"/>
      <c r="E111" s="44"/>
      <c r="F111" s="44"/>
      <c r="G111" s="44"/>
      <c r="H111" s="44"/>
      <c r="I111" s="44"/>
      <c r="J111" s="44"/>
      <c r="K111" s="44"/>
      <c r="L111" s="44"/>
      <c r="M111" s="44"/>
    </row>
    <row r="112" spans="1:13" s="52" customFormat="1" ht="15" customHeight="1" x14ac:dyDescent="0.25">
      <c r="A112" s="39"/>
      <c r="B112" s="39"/>
      <c r="C112" s="39"/>
      <c r="D112" s="44"/>
      <c r="E112" s="44"/>
      <c r="F112" s="44"/>
      <c r="G112" s="44"/>
      <c r="H112" s="44"/>
      <c r="I112" s="44"/>
      <c r="J112" s="44"/>
      <c r="K112" s="44"/>
      <c r="L112" s="44"/>
      <c r="M112" s="44"/>
    </row>
    <row r="113" spans="1:13" s="52" customFormat="1" ht="15" customHeight="1" x14ac:dyDescent="0.25">
      <c r="A113" s="39"/>
      <c r="B113" s="39"/>
      <c r="C113" s="39"/>
      <c r="D113" s="44"/>
      <c r="E113" s="44"/>
      <c r="F113" s="44"/>
      <c r="G113" s="44"/>
      <c r="H113" s="44"/>
      <c r="I113" s="44"/>
      <c r="J113" s="44"/>
      <c r="K113" s="44"/>
      <c r="L113" s="44"/>
      <c r="M113" s="44"/>
    </row>
    <row r="114" spans="1:13" s="52" customFormat="1" ht="15" customHeight="1" x14ac:dyDescent="0.25">
      <c r="A114" s="39"/>
      <c r="B114" s="39"/>
      <c r="C114" s="39"/>
      <c r="D114" s="44"/>
      <c r="E114" s="44"/>
      <c r="F114" s="44"/>
      <c r="G114" s="44"/>
      <c r="H114" s="44"/>
      <c r="I114" s="44"/>
      <c r="J114" s="44"/>
      <c r="K114" s="44"/>
      <c r="L114" s="44"/>
      <c r="M114" s="44"/>
    </row>
    <row r="115" spans="1:13" s="52" customFormat="1" ht="15" customHeight="1" x14ac:dyDescent="0.25">
      <c r="A115" s="39"/>
      <c r="B115" s="39"/>
      <c r="C115" s="39"/>
      <c r="D115" s="44"/>
      <c r="E115" s="44"/>
      <c r="F115" s="44"/>
      <c r="G115" s="44"/>
      <c r="H115" s="44"/>
      <c r="I115" s="44"/>
      <c r="J115" s="44"/>
      <c r="K115" s="44"/>
      <c r="L115" s="44"/>
      <c r="M115" s="44"/>
    </row>
    <row r="116" spans="1:13" s="52" customFormat="1" ht="15" customHeight="1" x14ac:dyDescent="0.25">
      <c r="A116" s="39"/>
      <c r="B116" s="39"/>
      <c r="C116" s="39"/>
      <c r="D116" s="44"/>
      <c r="E116" s="44"/>
      <c r="F116" s="44"/>
      <c r="G116" s="44"/>
      <c r="H116" s="44"/>
      <c r="I116" s="44"/>
      <c r="J116" s="44"/>
      <c r="K116" s="44"/>
      <c r="L116" s="44"/>
      <c r="M116" s="44"/>
    </row>
    <row r="117" spans="1:13" s="52" customFormat="1" ht="15" customHeight="1" x14ac:dyDescent="0.25">
      <c r="A117" s="39"/>
      <c r="B117" s="39"/>
      <c r="C117" s="39"/>
      <c r="D117" s="44"/>
      <c r="E117" s="44"/>
      <c r="F117" s="44"/>
      <c r="G117" s="44"/>
      <c r="H117" s="44"/>
      <c r="I117" s="44"/>
      <c r="J117" s="44"/>
      <c r="K117" s="44"/>
      <c r="L117" s="44"/>
      <c r="M117" s="44"/>
    </row>
    <row r="118" spans="1:13" s="52" customFormat="1" ht="15" customHeight="1" x14ac:dyDescent="0.25">
      <c r="A118" s="39"/>
      <c r="B118" s="39"/>
      <c r="C118" s="39"/>
      <c r="D118" s="44"/>
      <c r="E118" s="44"/>
      <c r="F118" s="44"/>
      <c r="G118" s="44"/>
      <c r="H118" s="44"/>
      <c r="I118" s="44"/>
      <c r="J118" s="44"/>
      <c r="K118" s="44"/>
      <c r="L118" s="44"/>
      <c r="M118" s="44"/>
    </row>
    <row r="119" spans="1:13" s="52" customFormat="1" ht="15" customHeight="1" x14ac:dyDescent="0.25">
      <c r="A119" s="39"/>
      <c r="B119" s="39"/>
      <c r="C119" s="39"/>
      <c r="D119" s="44"/>
      <c r="E119" s="44"/>
      <c r="F119" s="44"/>
      <c r="G119" s="44"/>
      <c r="H119" s="44"/>
      <c r="I119" s="44"/>
      <c r="J119" s="44"/>
      <c r="K119" s="44"/>
      <c r="L119" s="44"/>
      <c r="M119" s="44"/>
    </row>
    <row r="120" spans="1:13" s="52" customFormat="1" ht="15" customHeight="1" x14ac:dyDescent="0.25">
      <c r="A120" s="39"/>
      <c r="B120" s="39"/>
      <c r="C120" s="39"/>
      <c r="D120" s="44"/>
      <c r="E120" s="44"/>
      <c r="F120" s="44"/>
      <c r="G120" s="44"/>
      <c r="H120" s="44"/>
      <c r="I120" s="44"/>
      <c r="J120" s="44"/>
      <c r="K120" s="44"/>
      <c r="L120" s="44"/>
      <c r="M120" s="44"/>
    </row>
    <row r="121" spans="1:13" s="52" customFormat="1" ht="15" customHeight="1" x14ac:dyDescent="0.25">
      <c r="A121" s="39"/>
      <c r="B121" s="39"/>
      <c r="C121" s="39"/>
      <c r="D121" s="44"/>
      <c r="E121" s="44"/>
      <c r="F121" s="44"/>
      <c r="G121" s="44"/>
      <c r="H121" s="44"/>
      <c r="I121" s="44"/>
      <c r="J121" s="44"/>
      <c r="K121" s="44"/>
      <c r="L121" s="44"/>
      <c r="M121" s="44"/>
    </row>
    <row r="122" spans="1:13" s="52" customFormat="1" ht="15" customHeight="1" x14ac:dyDescent="0.25">
      <c r="A122" s="39"/>
      <c r="B122" s="39"/>
      <c r="C122" s="39"/>
      <c r="D122" s="44"/>
      <c r="E122" s="44"/>
      <c r="F122" s="44"/>
      <c r="G122" s="44"/>
      <c r="H122" s="44"/>
      <c r="I122" s="44"/>
      <c r="J122" s="44"/>
      <c r="K122" s="44"/>
      <c r="L122" s="44"/>
      <c r="M122" s="44"/>
    </row>
    <row r="123" spans="1:13" s="52" customFormat="1" ht="15" customHeight="1" x14ac:dyDescent="0.25">
      <c r="A123" s="39"/>
      <c r="B123" s="39"/>
      <c r="C123" s="39"/>
      <c r="D123" s="44"/>
      <c r="E123" s="44"/>
      <c r="F123" s="44"/>
      <c r="G123" s="44"/>
      <c r="H123" s="44"/>
      <c r="I123" s="44"/>
      <c r="J123" s="44"/>
      <c r="K123" s="44"/>
      <c r="L123" s="44"/>
      <c r="M123" s="44"/>
    </row>
    <row r="124" spans="1:13" s="52" customFormat="1" ht="15" customHeight="1" x14ac:dyDescent="0.25">
      <c r="A124" s="39"/>
      <c r="B124" s="39"/>
      <c r="C124" s="39"/>
      <c r="D124" s="44"/>
      <c r="E124" s="44"/>
      <c r="F124" s="44"/>
      <c r="G124" s="44"/>
      <c r="H124" s="44"/>
      <c r="I124" s="44"/>
      <c r="J124" s="44"/>
      <c r="K124" s="44"/>
      <c r="L124" s="44"/>
      <c r="M124" s="44"/>
    </row>
    <row r="125" spans="1:13" s="52" customFormat="1" ht="15" customHeight="1" x14ac:dyDescent="0.25">
      <c r="A125" s="39"/>
      <c r="B125" s="39"/>
      <c r="C125" s="39"/>
      <c r="D125" s="44"/>
      <c r="E125" s="44"/>
      <c r="F125" s="44"/>
      <c r="G125" s="44"/>
      <c r="H125" s="44"/>
      <c r="I125" s="44"/>
      <c r="J125" s="44"/>
      <c r="K125" s="44"/>
      <c r="L125" s="44"/>
      <c r="M125" s="44"/>
    </row>
    <row r="126" spans="1:13" s="52" customFormat="1" ht="15" customHeight="1" x14ac:dyDescent="0.25">
      <c r="A126" s="39"/>
      <c r="B126" s="39"/>
      <c r="C126" s="39"/>
      <c r="D126" s="44"/>
      <c r="E126" s="44"/>
      <c r="F126" s="44"/>
      <c r="G126" s="44"/>
      <c r="H126" s="44"/>
      <c r="I126" s="44"/>
      <c r="J126" s="44"/>
      <c r="K126" s="44"/>
      <c r="L126" s="44"/>
      <c r="M126" s="44"/>
    </row>
    <row r="127" spans="1:13" s="52" customFormat="1" ht="15" customHeight="1" x14ac:dyDescent="0.25">
      <c r="A127" s="39"/>
      <c r="B127" s="39"/>
      <c r="C127" s="39"/>
      <c r="D127" s="44"/>
      <c r="E127" s="44"/>
      <c r="F127" s="44"/>
      <c r="G127" s="44"/>
      <c r="H127" s="44"/>
      <c r="I127" s="44"/>
      <c r="J127" s="44"/>
      <c r="K127" s="44"/>
      <c r="L127" s="44"/>
      <c r="M127" s="44"/>
    </row>
    <row r="128" spans="1:13" s="52" customFormat="1" ht="15" customHeight="1" x14ac:dyDescent="0.25">
      <c r="A128" s="42"/>
      <c r="B128" s="39"/>
      <c r="C128" s="39"/>
      <c r="D128" s="44"/>
      <c r="E128" s="44"/>
      <c r="F128" s="44"/>
      <c r="G128" s="44"/>
      <c r="H128" s="44"/>
      <c r="I128" s="44"/>
      <c r="J128" s="44"/>
      <c r="K128" s="44"/>
      <c r="L128" s="44"/>
      <c r="M128" s="44"/>
    </row>
    <row r="129" spans="1:13" s="52" customFormat="1" ht="15" customHeight="1" x14ac:dyDescent="0.25">
      <c r="A129" s="39"/>
      <c r="B129" s="39"/>
      <c r="C129" s="39"/>
      <c r="D129" s="44"/>
      <c r="E129" s="44"/>
      <c r="F129" s="44"/>
      <c r="G129" s="44"/>
      <c r="H129" s="44"/>
      <c r="I129" s="44"/>
      <c r="J129" s="44"/>
      <c r="K129" s="44"/>
      <c r="L129" s="44"/>
      <c r="M129" s="44"/>
    </row>
    <row r="130" spans="1:13" s="52" customFormat="1" ht="15" customHeight="1" x14ac:dyDescent="0.25">
      <c r="A130" s="39"/>
      <c r="B130" s="39"/>
      <c r="C130" s="39"/>
      <c r="D130" s="44"/>
      <c r="E130" s="44"/>
      <c r="F130" s="44"/>
      <c r="G130" s="44"/>
      <c r="H130" s="44"/>
      <c r="I130" s="44"/>
      <c r="J130" s="44"/>
      <c r="K130" s="44"/>
      <c r="L130" s="44"/>
      <c r="M130" s="44"/>
    </row>
    <row r="131" spans="1:13" s="52" customFormat="1" ht="15" customHeight="1" x14ac:dyDescent="0.25">
      <c r="A131" s="39"/>
      <c r="B131" s="39"/>
      <c r="C131" s="39"/>
      <c r="D131" s="44"/>
      <c r="E131" s="44"/>
      <c r="F131" s="44"/>
      <c r="G131" s="44"/>
      <c r="H131" s="44"/>
      <c r="I131" s="44"/>
      <c r="J131" s="44"/>
      <c r="K131" s="44"/>
      <c r="L131" s="44"/>
      <c r="M131" s="44"/>
    </row>
    <row r="132" spans="1:13" s="52" customFormat="1" ht="15" customHeight="1" x14ac:dyDescent="0.25">
      <c r="A132" s="39"/>
      <c r="B132" s="39"/>
      <c r="C132" s="39"/>
      <c r="D132" s="44"/>
      <c r="E132" s="44"/>
      <c r="F132" s="44"/>
      <c r="G132" s="44"/>
      <c r="H132" s="44"/>
      <c r="I132" s="44"/>
      <c r="J132" s="44"/>
      <c r="K132" s="44"/>
      <c r="L132" s="44"/>
      <c r="M132" s="44"/>
    </row>
    <row r="133" spans="1:13" s="52" customFormat="1" ht="15" customHeight="1" x14ac:dyDescent="0.25">
      <c r="A133" s="39"/>
      <c r="B133" s="39"/>
      <c r="C133" s="39"/>
      <c r="D133" s="44"/>
      <c r="E133" s="44"/>
      <c r="F133" s="44"/>
      <c r="G133" s="44"/>
      <c r="H133" s="44"/>
      <c r="I133" s="44"/>
      <c r="J133" s="44"/>
      <c r="K133" s="44"/>
      <c r="L133" s="44"/>
      <c r="M133" s="44"/>
    </row>
    <row r="134" spans="1:13" s="52" customFormat="1" ht="15" customHeight="1" x14ac:dyDescent="0.25">
      <c r="A134" s="39"/>
      <c r="B134" s="39"/>
      <c r="C134" s="39"/>
      <c r="D134" s="44"/>
      <c r="E134" s="44"/>
      <c r="F134" s="44"/>
      <c r="G134" s="44"/>
      <c r="H134" s="44"/>
      <c r="I134" s="44"/>
      <c r="J134" s="44"/>
      <c r="K134" s="44"/>
      <c r="L134" s="44"/>
      <c r="M134" s="44"/>
    </row>
    <row r="135" spans="1:13" s="52" customFormat="1" ht="15" customHeight="1" x14ac:dyDescent="0.25">
      <c r="A135" s="39"/>
      <c r="B135" s="39"/>
      <c r="C135" s="39"/>
      <c r="D135" s="44"/>
      <c r="E135" s="44"/>
      <c r="F135" s="44"/>
      <c r="G135" s="44"/>
      <c r="H135" s="44"/>
      <c r="I135" s="44"/>
      <c r="J135" s="44"/>
      <c r="K135" s="44"/>
      <c r="L135" s="44"/>
      <c r="M135" s="44"/>
    </row>
    <row r="136" spans="1:13" s="52" customFormat="1" ht="15" customHeight="1" x14ac:dyDescent="0.25">
      <c r="A136" s="39"/>
      <c r="B136" s="39"/>
      <c r="C136" s="39"/>
      <c r="D136" s="44"/>
      <c r="E136" s="44"/>
      <c r="F136" s="44"/>
      <c r="G136" s="44"/>
      <c r="H136" s="44"/>
      <c r="I136" s="44"/>
      <c r="J136" s="44"/>
      <c r="K136" s="44"/>
      <c r="L136" s="44"/>
      <c r="M136" s="44"/>
    </row>
    <row r="137" spans="1:13" s="52" customFormat="1" ht="15" customHeight="1" x14ac:dyDescent="0.25">
      <c r="A137" s="42"/>
      <c r="B137" s="39"/>
      <c r="C137" s="39"/>
      <c r="D137" s="44"/>
      <c r="E137" s="44"/>
      <c r="F137" s="44"/>
      <c r="G137" s="44"/>
      <c r="H137" s="44"/>
      <c r="I137" s="44"/>
      <c r="J137" s="44"/>
      <c r="K137" s="44"/>
      <c r="L137" s="44"/>
      <c r="M137" s="44"/>
    </row>
    <row r="138" spans="1:13" s="52" customFormat="1" ht="15" customHeight="1" x14ac:dyDescent="0.25">
      <c r="A138" s="39"/>
      <c r="B138" s="43"/>
      <c r="C138" s="43"/>
      <c r="D138" s="44"/>
      <c r="E138" s="44"/>
      <c r="F138" s="44"/>
      <c r="G138" s="44"/>
      <c r="H138" s="44"/>
      <c r="I138" s="44"/>
      <c r="J138" s="44"/>
      <c r="K138" s="44"/>
      <c r="L138" s="44"/>
      <c r="M138" s="44"/>
    </row>
    <row r="139" spans="1:13" s="52" customFormat="1" ht="15" customHeight="1" x14ac:dyDescent="0.25">
      <c r="A139" s="42"/>
      <c r="B139" s="39"/>
      <c r="C139" s="39"/>
      <c r="D139" s="44"/>
      <c r="E139" s="44"/>
      <c r="F139" s="44"/>
      <c r="G139" s="44"/>
      <c r="H139" s="44"/>
      <c r="I139" s="44"/>
      <c r="J139" s="44"/>
      <c r="K139" s="44"/>
      <c r="L139" s="44"/>
      <c r="M139" s="44"/>
    </row>
    <row r="140" spans="1:13" s="52" customFormat="1" ht="15" customHeight="1" x14ac:dyDescent="0.25">
      <c r="A140" s="39"/>
      <c r="B140" s="39"/>
      <c r="C140" s="39"/>
      <c r="D140" s="44"/>
      <c r="E140" s="44"/>
      <c r="F140" s="44"/>
      <c r="G140" s="44"/>
      <c r="H140" s="44"/>
      <c r="I140" s="44"/>
      <c r="J140" s="44"/>
      <c r="K140" s="44"/>
      <c r="L140" s="44"/>
      <c r="M140" s="44"/>
    </row>
    <row r="141" spans="1:13" s="52" customFormat="1" ht="15" customHeight="1" x14ac:dyDescent="0.25">
      <c r="A141" s="39"/>
      <c r="B141" s="39"/>
      <c r="C141" s="39"/>
      <c r="D141" s="44"/>
      <c r="E141" s="44"/>
      <c r="F141" s="44"/>
      <c r="G141" s="44"/>
      <c r="H141" s="44"/>
      <c r="I141" s="44"/>
      <c r="J141" s="44"/>
      <c r="K141" s="44"/>
      <c r="L141" s="44"/>
      <c r="M141" s="44"/>
    </row>
    <row r="142" spans="1:13" s="52" customFormat="1" ht="15" customHeight="1" x14ac:dyDescent="0.25">
      <c r="A142" s="39"/>
      <c r="B142" s="39"/>
      <c r="C142" s="39"/>
      <c r="D142" s="44"/>
      <c r="E142" s="44"/>
      <c r="F142" s="44"/>
      <c r="G142" s="44"/>
      <c r="H142" s="44"/>
      <c r="I142" s="44"/>
      <c r="J142" s="44"/>
      <c r="K142" s="44"/>
      <c r="L142" s="44"/>
      <c r="M142" s="44"/>
    </row>
    <row r="143" spans="1:13" s="52" customFormat="1" ht="15" customHeight="1" x14ac:dyDescent="0.25">
      <c r="A143" s="39"/>
      <c r="B143" s="39"/>
      <c r="C143" s="39"/>
      <c r="D143" s="44"/>
      <c r="E143" s="44"/>
      <c r="F143" s="44"/>
      <c r="G143" s="44"/>
      <c r="H143" s="44"/>
      <c r="I143" s="44"/>
      <c r="J143" s="44"/>
      <c r="K143" s="44"/>
      <c r="L143" s="44"/>
      <c r="M143" s="44"/>
    </row>
    <row r="144" spans="1:13" s="52" customFormat="1" ht="15" customHeight="1" x14ac:dyDescent="0.25">
      <c r="A144" s="39"/>
      <c r="B144" s="39"/>
      <c r="C144" s="39"/>
      <c r="D144" s="44"/>
      <c r="E144" s="44"/>
      <c r="F144" s="44"/>
      <c r="G144" s="44"/>
      <c r="H144" s="44"/>
      <c r="I144" s="44"/>
      <c r="J144" s="44"/>
      <c r="K144" s="44"/>
      <c r="L144" s="44"/>
      <c r="M144" s="44"/>
    </row>
    <row r="145" spans="1:13" s="52" customFormat="1" ht="15" customHeight="1" x14ac:dyDescent="0.25">
      <c r="A145" s="39"/>
      <c r="B145" s="39"/>
      <c r="C145" s="39"/>
      <c r="D145" s="44"/>
      <c r="E145" s="44"/>
      <c r="F145" s="44"/>
      <c r="G145" s="44"/>
      <c r="H145" s="44"/>
      <c r="I145" s="44"/>
      <c r="J145" s="44"/>
      <c r="K145" s="44"/>
      <c r="L145" s="44"/>
      <c r="M145" s="44"/>
    </row>
    <row r="146" spans="1:13" s="52" customFormat="1" ht="15" customHeight="1" x14ac:dyDescent="0.25">
      <c r="A146" s="39"/>
      <c r="B146" s="39"/>
      <c r="C146" s="39"/>
      <c r="D146" s="44"/>
      <c r="E146" s="44"/>
      <c r="F146" s="44"/>
      <c r="G146" s="44"/>
      <c r="H146" s="44"/>
      <c r="I146" s="44"/>
      <c r="J146" s="44"/>
      <c r="K146" s="44"/>
      <c r="L146" s="44"/>
      <c r="M146" s="44"/>
    </row>
    <row r="147" spans="1:13" s="52" customFormat="1" ht="15" customHeight="1" x14ac:dyDescent="0.25">
      <c r="A147" s="39"/>
      <c r="B147" s="39"/>
      <c r="C147" s="39"/>
      <c r="D147" s="44"/>
      <c r="E147" s="44"/>
      <c r="F147" s="44"/>
      <c r="G147" s="44"/>
      <c r="H147" s="44"/>
      <c r="I147" s="44"/>
      <c r="J147" s="44"/>
      <c r="K147" s="44"/>
      <c r="L147" s="44"/>
      <c r="M147" s="44"/>
    </row>
    <row r="148" spans="1:13" s="52" customFormat="1" ht="15" customHeight="1" x14ac:dyDescent="0.25">
      <c r="A148" s="39"/>
      <c r="B148" s="39"/>
      <c r="C148" s="39"/>
      <c r="D148" s="44"/>
      <c r="E148" s="44"/>
      <c r="F148" s="44"/>
      <c r="G148" s="44"/>
      <c r="H148" s="44"/>
      <c r="I148" s="44"/>
      <c r="J148" s="44"/>
      <c r="K148" s="44"/>
      <c r="L148" s="44"/>
      <c r="M148" s="44"/>
    </row>
    <row r="149" spans="1:13" s="52" customFormat="1" ht="15" customHeight="1" x14ac:dyDescent="0.25">
      <c r="A149" s="39"/>
      <c r="B149" s="39"/>
      <c r="C149" s="39"/>
      <c r="D149" s="44"/>
      <c r="E149" s="44"/>
      <c r="F149" s="44"/>
      <c r="G149" s="44"/>
      <c r="H149" s="44"/>
      <c r="I149" s="44"/>
      <c r="J149" s="44"/>
      <c r="K149" s="44"/>
      <c r="L149" s="44"/>
      <c r="M149" s="44"/>
    </row>
    <row r="150" spans="1:13" s="52" customFormat="1" ht="15" customHeight="1" x14ac:dyDescent="0.25">
      <c r="A150" s="39"/>
      <c r="B150" s="39"/>
      <c r="C150" s="39"/>
      <c r="D150" s="44"/>
      <c r="E150" s="44"/>
      <c r="F150" s="44"/>
      <c r="G150" s="44"/>
      <c r="H150" s="44"/>
      <c r="I150" s="44"/>
      <c r="J150" s="44"/>
      <c r="K150" s="44"/>
      <c r="L150" s="44"/>
      <c r="M150" s="44"/>
    </row>
    <row r="151" spans="1:13" s="52" customFormat="1" ht="15" customHeight="1" x14ac:dyDescent="0.25">
      <c r="A151" s="39"/>
      <c r="B151" s="39"/>
      <c r="C151" s="39"/>
      <c r="D151" s="44"/>
      <c r="E151" s="44"/>
      <c r="F151" s="44"/>
      <c r="G151" s="44"/>
      <c r="H151" s="44"/>
      <c r="I151" s="44"/>
      <c r="J151" s="44"/>
      <c r="K151" s="44"/>
      <c r="L151" s="44"/>
      <c r="M151" s="44"/>
    </row>
    <row r="152" spans="1:13" s="52" customFormat="1" ht="15" customHeight="1" x14ac:dyDescent="0.25">
      <c r="A152" s="39"/>
      <c r="B152" s="39"/>
      <c r="C152" s="39"/>
      <c r="D152" s="44"/>
      <c r="E152" s="44"/>
      <c r="F152" s="44"/>
      <c r="G152" s="44"/>
      <c r="H152" s="44"/>
      <c r="I152" s="44"/>
      <c r="J152" s="44"/>
      <c r="K152" s="44"/>
      <c r="L152" s="44"/>
      <c r="M152" s="44"/>
    </row>
    <row r="153" spans="1:13" s="52" customFormat="1" ht="15" customHeight="1" x14ac:dyDescent="0.25">
      <c r="A153" s="39"/>
      <c r="B153" s="39"/>
      <c r="C153" s="39"/>
      <c r="D153" s="44"/>
      <c r="E153" s="44"/>
      <c r="F153" s="44"/>
      <c r="G153" s="44"/>
      <c r="H153" s="44"/>
      <c r="I153" s="44"/>
      <c r="J153" s="44"/>
      <c r="K153" s="44"/>
      <c r="L153" s="44"/>
      <c r="M153" s="44"/>
    </row>
    <row r="154" spans="1:13" s="52" customFormat="1" ht="15" customHeight="1" x14ac:dyDescent="0.25">
      <c r="A154" s="39"/>
      <c r="B154" s="39"/>
      <c r="C154" s="39"/>
      <c r="D154" s="44"/>
      <c r="E154" s="44"/>
      <c r="F154" s="44"/>
      <c r="G154" s="44"/>
      <c r="H154" s="44"/>
      <c r="I154" s="44"/>
      <c r="J154" s="44"/>
      <c r="K154" s="44"/>
      <c r="L154" s="44"/>
      <c r="M154" s="44"/>
    </row>
    <row r="155" spans="1:13" s="52" customFormat="1" ht="15" customHeight="1" x14ac:dyDescent="0.25">
      <c r="A155" s="39"/>
      <c r="B155" s="39"/>
      <c r="C155" s="39"/>
      <c r="D155" s="44"/>
      <c r="E155" s="44"/>
      <c r="F155" s="44"/>
      <c r="G155" s="44"/>
      <c r="H155" s="44"/>
      <c r="I155" s="44"/>
      <c r="J155" s="44"/>
      <c r="K155" s="44"/>
      <c r="L155" s="44"/>
      <c r="M155" s="44"/>
    </row>
    <row r="156" spans="1:13" s="52" customFormat="1" ht="15" customHeight="1" x14ac:dyDescent="0.25">
      <c r="A156" s="42"/>
      <c r="B156" s="39"/>
      <c r="C156" s="39"/>
      <c r="D156" s="44"/>
      <c r="E156" s="44"/>
      <c r="F156" s="44"/>
      <c r="G156" s="44"/>
      <c r="H156" s="44"/>
      <c r="I156" s="44"/>
      <c r="J156" s="44"/>
      <c r="K156" s="44"/>
      <c r="L156" s="44"/>
      <c r="M156" s="44"/>
    </row>
    <row r="157" spans="1:13" s="52" customFormat="1" ht="15" customHeight="1" x14ac:dyDescent="0.25">
      <c r="A157" s="39"/>
      <c r="B157" s="39"/>
      <c r="C157" s="39"/>
      <c r="D157" s="44"/>
      <c r="E157" s="44"/>
      <c r="F157" s="44"/>
      <c r="G157" s="44"/>
      <c r="H157" s="44"/>
      <c r="I157" s="44"/>
      <c r="J157" s="44"/>
      <c r="K157" s="44"/>
      <c r="L157" s="44"/>
      <c r="M157" s="44"/>
    </row>
    <row r="158" spans="1:13" s="52" customFormat="1" ht="15" customHeight="1" x14ac:dyDescent="0.25">
      <c r="A158" s="39"/>
      <c r="B158" s="39"/>
      <c r="C158" s="39"/>
      <c r="D158" s="44"/>
      <c r="E158" s="44"/>
      <c r="F158" s="44"/>
      <c r="G158" s="44"/>
      <c r="H158" s="44"/>
      <c r="I158" s="44"/>
      <c r="J158" s="44"/>
      <c r="K158" s="44"/>
      <c r="L158" s="44"/>
      <c r="M158" s="44"/>
    </row>
    <row r="159" spans="1:13" s="52" customFormat="1" ht="15" customHeight="1" x14ac:dyDescent="0.25">
      <c r="A159" s="39"/>
      <c r="B159" s="39"/>
      <c r="C159" s="39"/>
      <c r="D159" s="44"/>
      <c r="E159" s="44"/>
      <c r="F159" s="44"/>
      <c r="G159" s="44"/>
      <c r="H159" s="44"/>
      <c r="I159" s="44"/>
      <c r="J159" s="44"/>
      <c r="K159" s="44"/>
      <c r="L159" s="44"/>
      <c r="M159" s="44"/>
    </row>
    <row r="160" spans="1:13" s="52" customFormat="1" ht="15" customHeight="1" x14ac:dyDescent="0.25">
      <c r="A160" s="39"/>
      <c r="B160" s="39"/>
      <c r="C160" s="39"/>
      <c r="D160" s="44"/>
      <c r="E160" s="44"/>
      <c r="F160" s="44"/>
      <c r="G160" s="44"/>
      <c r="H160" s="44"/>
      <c r="I160" s="44"/>
      <c r="J160" s="44"/>
      <c r="K160" s="44"/>
      <c r="L160" s="44"/>
      <c r="M160" s="44"/>
    </row>
    <row r="161" spans="1:13" s="52" customFormat="1" ht="15" customHeight="1" x14ac:dyDescent="0.25">
      <c r="A161" s="39"/>
      <c r="B161" s="39"/>
      <c r="C161" s="39"/>
      <c r="D161" s="44"/>
      <c r="E161" s="44"/>
      <c r="F161" s="44"/>
      <c r="G161" s="44"/>
      <c r="H161" s="44"/>
      <c r="I161" s="44"/>
      <c r="J161" s="44"/>
      <c r="K161" s="44"/>
      <c r="L161" s="44"/>
      <c r="M161" s="44"/>
    </row>
    <row r="162" spans="1:13" s="52" customFormat="1" ht="15" customHeight="1" x14ac:dyDescent="0.25">
      <c r="A162" s="39"/>
      <c r="B162" s="39"/>
      <c r="C162" s="39"/>
      <c r="D162" s="44"/>
      <c r="E162" s="44"/>
      <c r="F162" s="44"/>
      <c r="G162" s="44"/>
      <c r="H162" s="44"/>
      <c r="I162" s="44"/>
      <c r="J162" s="44"/>
      <c r="K162" s="44"/>
      <c r="L162" s="44"/>
      <c r="M162" s="44"/>
    </row>
    <row r="163" spans="1:13" s="52" customFormat="1" ht="15" customHeight="1" x14ac:dyDescent="0.25">
      <c r="A163" s="39"/>
      <c r="B163" s="39"/>
      <c r="C163" s="39"/>
      <c r="D163" s="44"/>
      <c r="E163" s="44"/>
      <c r="F163" s="44"/>
      <c r="G163" s="44"/>
      <c r="H163" s="44"/>
      <c r="I163" s="44"/>
      <c r="J163" s="44"/>
      <c r="K163" s="44"/>
      <c r="L163" s="44"/>
      <c r="M163" s="44"/>
    </row>
    <row r="164" spans="1:13" s="52" customFormat="1" ht="15" customHeight="1" x14ac:dyDescent="0.25">
      <c r="A164" s="39"/>
      <c r="B164" s="39"/>
      <c r="C164" s="39"/>
      <c r="D164" s="44"/>
      <c r="E164" s="44"/>
      <c r="F164" s="44"/>
      <c r="G164" s="44"/>
      <c r="H164" s="44"/>
      <c r="I164" s="44"/>
      <c r="J164" s="44"/>
      <c r="K164" s="44"/>
      <c r="L164" s="44"/>
      <c r="M164" s="44"/>
    </row>
    <row r="165" spans="1:13" s="52" customFormat="1" ht="15" customHeight="1" x14ac:dyDescent="0.25">
      <c r="A165" s="39"/>
      <c r="B165" s="39"/>
      <c r="C165" s="39"/>
      <c r="D165" s="44"/>
      <c r="E165" s="44"/>
      <c r="F165" s="44"/>
      <c r="G165" s="44"/>
      <c r="H165" s="44"/>
      <c r="I165" s="44"/>
      <c r="J165" s="44"/>
      <c r="K165" s="44"/>
      <c r="L165" s="44"/>
      <c r="M165" s="44"/>
    </row>
    <row r="166" spans="1:13" s="52" customFormat="1" ht="15" customHeight="1" x14ac:dyDescent="0.25">
      <c r="A166" s="39"/>
      <c r="B166" s="39"/>
      <c r="C166" s="39"/>
      <c r="D166" s="44"/>
      <c r="E166" s="44"/>
      <c r="F166" s="44"/>
      <c r="G166" s="44"/>
      <c r="H166" s="44"/>
      <c r="I166" s="44"/>
      <c r="J166" s="44"/>
      <c r="K166" s="44"/>
      <c r="L166" s="44"/>
      <c r="M166" s="44"/>
    </row>
    <row r="167" spans="1:13" s="52" customFormat="1" ht="15" customHeight="1" x14ac:dyDescent="0.25">
      <c r="A167" s="39"/>
      <c r="B167" s="39"/>
      <c r="C167" s="39"/>
      <c r="D167" s="44"/>
      <c r="E167" s="44"/>
      <c r="F167" s="44"/>
      <c r="G167" s="44"/>
      <c r="H167" s="44"/>
      <c r="I167" s="44"/>
      <c r="J167" s="44"/>
      <c r="K167" s="44"/>
      <c r="L167" s="44"/>
      <c r="M167" s="44"/>
    </row>
    <row r="168" spans="1:13" s="52" customFormat="1" ht="15" customHeight="1" x14ac:dyDescent="0.25">
      <c r="A168" s="39"/>
      <c r="B168" s="39"/>
      <c r="C168" s="39"/>
      <c r="D168" s="44"/>
      <c r="E168" s="44"/>
      <c r="F168" s="44"/>
      <c r="G168" s="44"/>
      <c r="H168" s="44"/>
      <c r="I168" s="44"/>
      <c r="J168" s="44"/>
      <c r="K168" s="44"/>
      <c r="L168" s="44"/>
      <c r="M168" s="44"/>
    </row>
    <row r="169" spans="1:13" s="52" customFormat="1" ht="15" customHeight="1" x14ac:dyDescent="0.25">
      <c r="A169" s="39"/>
      <c r="B169" s="39"/>
      <c r="C169" s="39"/>
      <c r="D169" s="44"/>
      <c r="E169" s="44"/>
      <c r="F169" s="44"/>
      <c r="G169" s="44"/>
      <c r="H169" s="44"/>
      <c r="I169" s="44"/>
      <c r="J169" s="44"/>
      <c r="K169" s="44"/>
      <c r="L169" s="44"/>
      <c r="M169" s="44"/>
    </row>
    <row r="170" spans="1:13" s="52" customFormat="1" ht="15" customHeight="1" x14ac:dyDescent="0.25">
      <c r="A170" s="39"/>
      <c r="B170" s="39"/>
      <c r="C170" s="39"/>
      <c r="D170" s="44"/>
      <c r="E170" s="44"/>
      <c r="F170" s="44"/>
      <c r="G170" s="44"/>
      <c r="H170" s="44"/>
      <c r="I170" s="44"/>
      <c r="J170" s="44"/>
      <c r="K170" s="44"/>
      <c r="L170" s="44"/>
      <c r="M170" s="44"/>
    </row>
    <row r="171" spans="1:13" s="52" customFormat="1" ht="15" customHeight="1" x14ac:dyDescent="0.25">
      <c r="A171" s="39"/>
      <c r="B171" s="39"/>
      <c r="C171" s="39"/>
      <c r="D171" s="44"/>
      <c r="E171" s="44"/>
      <c r="F171" s="44"/>
      <c r="G171" s="44"/>
      <c r="H171" s="44"/>
      <c r="I171" s="44"/>
      <c r="J171" s="44"/>
      <c r="K171" s="44"/>
      <c r="L171" s="44"/>
      <c r="M171" s="44"/>
    </row>
    <row r="172" spans="1:13" s="52" customFormat="1" ht="15" customHeight="1" x14ac:dyDescent="0.25">
      <c r="A172" s="39"/>
      <c r="B172" s="39"/>
      <c r="C172" s="39"/>
      <c r="D172" s="44"/>
      <c r="E172" s="44"/>
      <c r="F172" s="44"/>
      <c r="G172" s="44"/>
      <c r="H172" s="44"/>
      <c r="I172" s="44"/>
      <c r="J172" s="44"/>
      <c r="K172" s="44"/>
      <c r="L172" s="44"/>
      <c r="M172" s="44"/>
    </row>
    <row r="173" spans="1:13" s="52" customFormat="1" ht="15" customHeight="1" x14ac:dyDescent="0.25">
      <c r="A173" s="39"/>
      <c r="B173" s="39"/>
      <c r="C173" s="39"/>
      <c r="D173" s="44"/>
      <c r="E173" s="44"/>
      <c r="F173" s="44"/>
      <c r="G173" s="44"/>
      <c r="H173" s="44"/>
      <c r="I173" s="44"/>
      <c r="J173" s="44"/>
      <c r="K173" s="44"/>
      <c r="L173" s="44"/>
      <c r="M173" s="44"/>
    </row>
  </sheetData>
  <mergeCells count="32">
    <mergeCell ref="F10:F13"/>
    <mergeCell ref="A11:B11"/>
    <mergeCell ref="A12:B12"/>
    <mergeCell ref="A13:B13"/>
    <mergeCell ref="A1:C1"/>
    <mergeCell ref="A2:C2"/>
    <mergeCell ref="A3:C3"/>
    <mergeCell ref="A4:B4"/>
    <mergeCell ref="A19:B19"/>
    <mergeCell ref="A5:C5"/>
    <mergeCell ref="A6:B6"/>
    <mergeCell ref="A9:B9"/>
    <mergeCell ref="A10:B10"/>
    <mergeCell ref="A14:B14"/>
    <mergeCell ref="A15:B15"/>
    <mergeCell ref="A16:B16"/>
    <mergeCell ref="A17:B17"/>
    <mergeCell ref="A18:B18"/>
    <mergeCell ref="A20:B21"/>
    <mergeCell ref="A22:B22"/>
    <mergeCell ref="A27:B27"/>
    <mergeCell ref="A28:B28"/>
    <mergeCell ref="F28:F30"/>
    <mergeCell ref="A29:B29"/>
    <mergeCell ref="A30:B30"/>
    <mergeCell ref="A37:B37"/>
    <mergeCell ref="A31:B31"/>
    <mergeCell ref="A32:B32"/>
    <mergeCell ref="A33:B33"/>
    <mergeCell ref="A34:B34"/>
    <mergeCell ref="A35:B35"/>
    <mergeCell ref="A36:B36"/>
  </mergeCells>
  <phoneticPr fontId="49" type="noConversion"/>
  <pageMargins left="0.31496062992125984" right="0.11811023622047245" top="0.78740157480314965" bottom="0.78740157480314965" header="0.31496062992125984" footer="0.31496062992125984"/>
  <pageSetup paperSize="9" scale="95" orientation="portrait" verticalDpi="4" r:id="rId1"/>
  <rowBreaks count="3" manualBreakCount="3">
    <brk id="49" max="16383" man="1"/>
    <brk id="75" max="16383" man="1"/>
    <brk id="13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73"/>
  <sheetViews>
    <sheetView showGridLines="0" topLeftCell="F1" zoomScaleNormal="100" workbookViewId="0">
      <selection activeCell="P40" sqref="P40"/>
    </sheetView>
  </sheetViews>
  <sheetFormatPr defaultColWidth="9.140625" defaultRowHeight="15" customHeight="1" x14ac:dyDescent="0.25"/>
  <cols>
    <col min="1" max="1" width="44.140625" style="44" customWidth="1"/>
    <col min="2" max="2" width="10.7109375" style="44" customWidth="1"/>
    <col min="3" max="3" width="14" style="44" customWidth="1"/>
    <col min="4" max="4" width="18.42578125" style="44" customWidth="1"/>
    <col min="5" max="6" width="16.85546875" style="44" customWidth="1"/>
    <col min="7" max="7" width="18" style="44" customWidth="1"/>
    <col min="8" max="8" width="17" style="44" customWidth="1"/>
    <col min="9" max="9" width="17" style="53" customWidth="1"/>
    <col min="10" max="10" width="18.7109375" style="56" customWidth="1"/>
    <col min="11" max="11" width="18.28515625" style="53" customWidth="1"/>
    <col min="12" max="18" width="19.5703125" style="53" customWidth="1"/>
    <col min="19" max="19" width="12.28515625" style="53" bestFit="1" customWidth="1"/>
    <col min="20" max="20" width="196.85546875" style="44" customWidth="1"/>
    <col min="21" max="16384" width="9.140625" style="44"/>
  </cols>
  <sheetData>
    <row r="1" spans="1:20" ht="15" customHeight="1" x14ac:dyDescent="0.25">
      <c r="A1" s="608"/>
      <c r="B1" s="608"/>
      <c r="C1" s="608"/>
      <c r="D1" s="608"/>
      <c r="E1" s="608"/>
      <c r="F1" s="608"/>
      <c r="G1" s="608"/>
      <c r="H1" s="608"/>
      <c r="I1" s="608"/>
      <c r="J1" s="609"/>
    </row>
    <row r="2" spans="1:20" ht="25.5" customHeight="1" x14ac:dyDescent="0.25">
      <c r="A2" s="565" t="s">
        <v>459</v>
      </c>
      <c r="B2" s="565"/>
      <c r="C2" s="565"/>
      <c r="D2" s="565"/>
      <c r="E2" s="565"/>
      <c r="F2" s="565"/>
      <c r="G2" s="565"/>
      <c r="H2" s="565"/>
      <c r="I2" s="565"/>
      <c r="J2" s="565"/>
      <c r="K2" s="44"/>
      <c r="L2" s="44"/>
      <c r="M2" s="44"/>
      <c r="N2" s="44"/>
      <c r="O2" s="44"/>
      <c r="P2" s="44"/>
      <c r="Q2" s="44"/>
      <c r="R2" s="44"/>
      <c r="S2" s="44"/>
    </row>
    <row r="3" spans="1:20" ht="15" customHeight="1" x14ac:dyDescent="0.25">
      <c r="A3" s="576" t="s">
        <v>176</v>
      </c>
      <c r="B3" s="576"/>
      <c r="C3" s="576"/>
      <c r="D3" s="576"/>
      <c r="E3" s="576"/>
      <c r="F3" s="576"/>
      <c r="G3" s="576"/>
      <c r="H3" s="576"/>
      <c r="I3" s="576"/>
      <c r="J3" s="576"/>
      <c r="K3" s="576"/>
      <c r="L3" s="576"/>
      <c r="M3" s="576"/>
      <c r="N3" s="576"/>
      <c r="O3" s="576"/>
      <c r="P3" s="576"/>
      <c r="Q3" s="411"/>
      <c r="R3" s="411"/>
      <c r="S3" s="44"/>
    </row>
    <row r="4" spans="1:20" ht="15" customHeight="1" x14ac:dyDescent="0.25">
      <c r="A4" s="610" t="s">
        <v>171</v>
      </c>
      <c r="B4" s="610"/>
      <c r="C4" s="579" t="s">
        <v>172</v>
      </c>
      <c r="D4" s="580"/>
      <c r="E4" s="580"/>
      <c r="F4" s="580"/>
      <c r="G4" s="581"/>
      <c r="H4" s="578" t="s">
        <v>457</v>
      </c>
      <c r="I4" s="578"/>
      <c r="J4" s="578"/>
      <c r="K4" s="578"/>
      <c r="L4" s="578"/>
      <c r="M4" s="578"/>
      <c r="N4" s="578"/>
      <c r="O4" s="578"/>
      <c r="P4" s="578"/>
      <c r="Q4" s="55"/>
      <c r="R4" s="55"/>
      <c r="S4" s="44"/>
    </row>
    <row r="5" spans="1:20" ht="15" customHeight="1" x14ac:dyDescent="0.25">
      <c r="A5" s="618"/>
      <c r="B5" s="618"/>
      <c r="C5" s="618"/>
      <c r="D5" s="618"/>
      <c r="E5" s="618"/>
      <c r="F5" s="618"/>
      <c r="G5" s="618"/>
      <c r="H5" s="618"/>
      <c r="I5" s="618"/>
      <c r="J5" s="618"/>
      <c r="K5" s="618"/>
      <c r="L5" s="44"/>
      <c r="M5" s="44"/>
      <c r="N5" s="44"/>
      <c r="O5" s="44"/>
      <c r="P5" s="44"/>
      <c r="Q5" s="44"/>
      <c r="R5" s="44"/>
      <c r="S5" s="44"/>
      <c r="T5" s="331" t="s">
        <v>325</v>
      </c>
    </row>
    <row r="6" spans="1:20" ht="39" customHeight="1" x14ac:dyDescent="0.25">
      <c r="A6" s="568" t="s">
        <v>69</v>
      </c>
      <c r="B6" s="568"/>
      <c r="C6" s="123" t="s">
        <v>285</v>
      </c>
      <c r="D6" s="287" t="s">
        <v>286</v>
      </c>
      <c r="E6" s="123" t="s">
        <v>287</v>
      </c>
      <c r="F6" s="448" t="s">
        <v>290</v>
      </c>
      <c r="G6" s="439" t="s">
        <v>289</v>
      </c>
      <c r="H6" s="439" t="s">
        <v>292</v>
      </c>
      <c r="I6" s="123" t="s">
        <v>501</v>
      </c>
      <c r="J6" s="123" t="s">
        <v>502</v>
      </c>
      <c r="K6" s="123" t="s">
        <v>296</v>
      </c>
      <c r="L6" s="123" t="s">
        <v>379</v>
      </c>
      <c r="M6" s="123" t="s">
        <v>378</v>
      </c>
      <c r="N6" s="123" t="s">
        <v>384</v>
      </c>
      <c r="O6" s="123" t="s">
        <v>385</v>
      </c>
      <c r="P6" s="123" t="s">
        <v>386</v>
      </c>
      <c r="Q6" s="123" t="s">
        <v>404</v>
      </c>
      <c r="R6" s="123" t="s">
        <v>400</v>
      </c>
      <c r="S6" s="44"/>
      <c r="T6" s="356" t="s">
        <v>331</v>
      </c>
    </row>
    <row r="7" spans="1:20" ht="19.5" customHeight="1" x14ac:dyDescent="0.25">
      <c r="A7" s="49" t="s">
        <v>78</v>
      </c>
      <c r="B7" s="96"/>
      <c r="C7" s="308">
        <v>2687.37</v>
      </c>
      <c r="D7" s="101">
        <f>ROUND((1052.2*1.0657),2)</f>
        <v>1121.33</v>
      </c>
      <c r="E7" s="101">
        <f>ROUND((1052.2*1.0657),2)</f>
        <v>1121.33</v>
      </c>
      <c r="F7" s="101">
        <f>ROUND((1052.2*1.0657),2)</f>
        <v>1121.33</v>
      </c>
      <c r="G7" s="101">
        <f>ROUND((1052.2*1.0657),2)</f>
        <v>1121.33</v>
      </c>
      <c r="H7" s="101">
        <f>ROUND((1121.33*1.031),2)</f>
        <v>1156.0899999999999</v>
      </c>
      <c r="I7" s="101">
        <f>ROUND((1121.33*1.031),2)</f>
        <v>1156.0899999999999</v>
      </c>
      <c r="J7" s="101">
        <f>SALARIOS!G7</f>
        <v>1198.8699999999999</v>
      </c>
      <c r="K7" s="101">
        <f>'Quadro Resumo '!D43</f>
        <v>1198.8699999999999</v>
      </c>
      <c r="L7" s="101">
        <f t="shared" ref="L7:Q7" si="0">ROUND(1198.87*1.032,2)</f>
        <v>1237.23</v>
      </c>
      <c r="M7" s="101">
        <f t="shared" si="0"/>
        <v>1237.23</v>
      </c>
      <c r="N7" s="101">
        <f t="shared" si="0"/>
        <v>1237.23</v>
      </c>
      <c r="O7" s="101">
        <f t="shared" si="0"/>
        <v>1237.23</v>
      </c>
      <c r="P7" s="101">
        <f t="shared" si="0"/>
        <v>1237.23</v>
      </c>
      <c r="Q7" s="101">
        <f t="shared" si="0"/>
        <v>1237.23</v>
      </c>
      <c r="R7" s="101">
        <f>ROUND(Q7*1.041,2)</f>
        <v>1287.96</v>
      </c>
      <c r="T7" s="588" t="s">
        <v>332</v>
      </c>
    </row>
    <row r="8" spans="1:20" ht="3.75" hidden="1" customHeight="1" x14ac:dyDescent="0.25">
      <c r="A8" s="47" t="s">
        <v>6</v>
      </c>
      <c r="B8" s="50">
        <v>0</v>
      </c>
      <c r="C8" s="50"/>
      <c r="D8" s="115"/>
      <c r="E8" s="115"/>
      <c r="F8" s="115"/>
      <c r="G8" s="115"/>
      <c r="H8" s="115"/>
      <c r="I8" s="115"/>
      <c r="J8" s="101">
        <v>0</v>
      </c>
      <c r="K8" s="101">
        <v>0</v>
      </c>
      <c r="L8" s="101">
        <v>0</v>
      </c>
      <c r="M8" s="101">
        <v>0</v>
      </c>
      <c r="N8" s="101">
        <v>0</v>
      </c>
      <c r="O8" s="101">
        <v>0</v>
      </c>
      <c r="P8" s="101">
        <v>0</v>
      </c>
      <c r="Q8" s="101"/>
      <c r="R8" s="101"/>
      <c r="T8" s="589"/>
    </row>
    <row r="9" spans="1:20" ht="12.75" hidden="1" customHeight="1" x14ac:dyDescent="0.25">
      <c r="A9" s="47" t="s">
        <v>7</v>
      </c>
      <c r="B9" s="50"/>
      <c r="C9" s="50"/>
      <c r="D9" s="115"/>
      <c r="E9" s="115"/>
      <c r="F9" s="115"/>
      <c r="G9" s="115"/>
      <c r="H9" s="115"/>
      <c r="I9" s="115"/>
      <c r="J9" s="101">
        <v>0</v>
      </c>
      <c r="K9" s="101">
        <v>0</v>
      </c>
      <c r="L9" s="101">
        <v>0</v>
      </c>
      <c r="M9" s="101">
        <v>0</v>
      </c>
      <c r="N9" s="101">
        <v>0</v>
      </c>
      <c r="O9" s="101">
        <v>0</v>
      </c>
      <c r="P9" s="101">
        <v>0</v>
      </c>
      <c r="Q9" s="101"/>
      <c r="R9" s="101"/>
      <c r="T9" s="589"/>
    </row>
    <row r="10" spans="1:20" ht="6" hidden="1" customHeight="1" x14ac:dyDescent="0.25">
      <c r="A10" s="47" t="s">
        <v>8</v>
      </c>
      <c r="B10" s="50"/>
      <c r="C10" s="50"/>
      <c r="D10" s="115"/>
      <c r="E10" s="115"/>
      <c r="F10" s="115"/>
      <c r="G10" s="115"/>
      <c r="H10" s="115"/>
      <c r="I10" s="115"/>
      <c r="J10" s="101">
        <v>0</v>
      </c>
      <c r="K10" s="101">
        <v>0</v>
      </c>
      <c r="L10" s="101">
        <v>0</v>
      </c>
      <c r="M10" s="101">
        <v>0</v>
      </c>
      <c r="N10" s="101">
        <v>0</v>
      </c>
      <c r="O10" s="101">
        <v>0</v>
      </c>
      <c r="P10" s="101">
        <v>0</v>
      </c>
      <c r="Q10" s="101"/>
      <c r="R10" s="101"/>
      <c r="T10" s="589"/>
    </row>
    <row r="11" spans="1:20" ht="15" customHeight="1" x14ac:dyDescent="0.25">
      <c r="A11" s="598" t="s">
        <v>75</v>
      </c>
      <c r="B11" s="598"/>
      <c r="C11" s="315">
        <f t="shared" ref="C11:I11" si="1">C7</f>
        <v>2687.37</v>
      </c>
      <c r="D11" s="453">
        <f t="shared" si="1"/>
        <v>1121.33</v>
      </c>
      <c r="E11" s="453">
        <f t="shared" si="1"/>
        <v>1121.33</v>
      </c>
      <c r="F11" s="453">
        <f t="shared" si="1"/>
        <v>1121.33</v>
      </c>
      <c r="G11" s="453">
        <f t="shared" si="1"/>
        <v>1121.33</v>
      </c>
      <c r="H11" s="453">
        <f t="shared" si="1"/>
        <v>1156.0899999999999</v>
      </c>
      <c r="I11" s="453">
        <f t="shared" si="1"/>
        <v>1156.0899999999999</v>
      </c>
      <c r="J11" s="100">
        <f t="shared" ref="J11:R11" si="2">SUM(J7:J10)</f>
        <v>1198.8699999999999</v>
      </c>
      <c r="K11" s="100">
        <f t="shared" si="2"/>
        <v>1198.8699999999999</v>
      </c>
      <c r="L11" s="100">
        <f t="shared" si="2"/>
        <v>1237.23</v>
      </c>
      <c r="M11" s="100">
        <f t="shared" si="2"/>
        <v>1237.23</v>
      </c>
      <c r="N11" s="100">
        <f t="shared" si="2"/>
        <v>1237.23</v>
      </c>
      <c r="O11" s="100">
        <f t="shared" si="2"/>
        <v>1237.23</v>
      </c>
      <c r="P11" s="100">
        <f t="shared" si="2"/>
        <v>1237.23</v>
      </c>
      <c r="Q11" s="100">
        <f t="shared" si="2"/>
        <v>1237.23</v>
      </c>
      <c r="R11" s="100">
        <f t="shared" si="2"/>
        <v>1287.96</v>
      </c>
      <c r="T11" s="589"/>
    </row>
    <row r="12" spans="1:20" ht="15" customHeight="1" x14ac:dyDescent="0.25">
      <c r="A12" s="602" t="s">
        <v>50</v>
      </c>
      <c r="B12" s="603"/>
      <c r="C12" s="111" t="s">
        <v>158</v>
      </c>
      <c r="D12" s="111" t="s">
        <v>158</v>
      </c>
      <c r="E12" s="111" t="s">
        <v>158</v>
      </c>
      <c r="F12" s="111" t="s">
        <v>158</v>
      </c>
      <c r="G12" s="111" t="s">
        <v>158</v>
      </c>
      <c r="H12" s="111" t="s">
        <v>158</v>
      </c>
      <c r="I12" s="111" t="s">
        <v>158</v>
      </c>
      <c r="J12" s="111" t="s">
        <v>158</v>
      </c>
      <c r="K12" s="111" t="s">
        <v>158</v>
      </c>
      <c r="L12" s="111" t="s">
        <v>158</v>
      </c>
      <c r="M12" s="111" t="s">
        <v>158</v>
      </c>
      <c r="N12" s="111" t="s">
        <v>158</v>
      </c>
      <c r="O12" s="111" t="s">
        <v>158</v>
      </c>
      <c r="P12" s="111" t="s">
        <v>158</v>
      </c>
      <c r="Q12" s="111" t="s">
        <v>158</v>
      </c>
      <c r="R12" s="111" t="s">
        <v>158</v>
      </c>
      <c r="T12" s="590"/>
    </row>
    <row r="13" spans="1:20" ht="15" customHeight="1" x14ac:dyDescent="0.25">
      <c r="A13" s="599" t="s">
        <v>9</v>
      </c>
      <c r="B13" s="599"/>
      <c r="C13" s="308">
        <f>ROUND((176-C7*6%),2)</f>
        <v>14.76</v>
      </c>
      <c r="D13" s="101">
        <f>ROUND((22*8-D7*6%),2)</f>
        <v>108.72</v>
      </c>
      <c r="E13" s="101">
        <f t="shared" ref="E13:K13" si="3">ROUND((22*10-E7*6%),2)</f>
        <v>152.72</v>
      </c>
      <c r="F13" s="101">
        <f t="shared" si="3"/>
        <v>152.72</v>
      </c>
      <c r="G13" s="101">
        <f t="shared" si="3"/>
        <v>152.72</v>
      </c>
      <c r="H13" s="101">
        <f t="shared" si="3"/>
        <v>150.63</v>
      </c>
      <c r="I13" s="101">
        <f t="shared" si="3"/>
        <v>150.63</v>
      </c>
      <c r="J13" s="101">
        <f t="shared" si="3"/>
        <v>148.07</v>
      </c>
      <c r="K13" s="101">
        <f t="shared" si="3"/>
        <v>148.07</v>
      </c>
      <c r="L13" s="101">
        <f>ROUND((22*10-L7*6%),2)</f>
        <v>145.77000000000001</v>
      </c>
      <c r="M13" s="101">
        <f t="shared" ref="M13:R13" si="4">ROUND((22*11-M7*6%),2)</f>
        <v>167.77</v>
      </c>
      <c r="N13" s="101">
        <f t="shared" si="4"/>
        <v>167.77</v>
      </c>
      <c r="O13" s="101">
        <f t="shared" si="4"/>
        <v>167.77</v>
      </c>
      <c r="P13" s="101">
        <f t="shared" si="4"/>
        <v>167.77</v>
      </c>
      <c r="Q13" s="101">
        <f t="shared" si="4"/>
        <v>167.77</v>
      </c>
      <c r="R13" s="101">
        <f t="shared" si="4"/>
        <v>164.72</v>
      </c>
      <c r="T13" s="357"/>
    </row>
    <row r="14" spans="1:20" ht="15" customHeight="1" x14ac:dyDescent="0.25">
      <c r="A14" s="599" t="s">
        <v>70</v>
      </c>
      <c r="B14" s="599"/>
      <c r="C14" s="310">
        <f>ROUND((22*27.5),2)</f>
        <v>605</v>
      </c>
      <c r="D14" s="116">
        <f>ROUND((22*29.5),2)</f>
        <v>649</v>
      </c>
      <c r="E14" s="116">
        <f>ROUND((22*29.5),2)</f>
        <v>649</v>
      </c>
      <c r="F14" s="116">
        <f>ROUND((22*29.5),2)</f>
        <v>649</v>
      </c>
      <c r="G14" s="116">
        <f>ROUND((22*29.5),2)</f>
        <v>649</v>
      </c>
      <c r="H14" s="116">
        <f>ROUND((22*31.5),2)</f>
        <v>693</v>
      </c>
      <c r="I14" s="116">
        <f>ROUND((22*31.5),2)</f>
        <v>693</v>
      </c>
      <c r="J14" s="116">
        <f>'Anexo Transporte e Alimentacao'!E9</f>
        <v>719.4</v>
      </c>
      <c r="K14" s="116">
        <f>'Anexo Transporte e Alimentacao'!E9</f>
        <v>719.4</v>
      </c>
      <c r="L14" s="116">
        <f t="shared" ref="L14:Q14" si="5">ROUND((22*33.62),2)</f>
        <v>739.64</v>
      </c>
      <c r="M14" s="116">
        <f t="shared" si="5"/>
        <v>739.64</v>
      </c>
      <c r="N14" s="116">
        <f t="shared" si="5"/>
        <v>739.64</v>
      </c>
      <c r="O14" s="116">
        <f t="shared" si="5"/>
        <v>739.64</v>
      </c>
      <c r="P14" s="116">
        <f t="shared" si="5"/>
        <v>739.64</v>
      </c>
      <c r="Q14" s="116">
        <f t="shared" si="5"/>
        <v>739.64</v>
      </c>
      <c r="R14" s="116">
        <f>ROUND((22*35),2)</f>
        <v>770</v>
      </c>
      <c r="T14" s="332" t="s">
        <v>301</v>
      </c>
    </row>
    <row r="15" spans="1:20" ht="15" customHeight="1" x14ac:dyDescent="0.25">
      <c r="A15" s="601" t="s">
        <v>94</v>
      </c>
      <c r="B15" s="601"/>
      <c r="C15" s="310">
        <v>2.5</v>
      </c>
      <c r="D15" s="116">
        <v>1.5</v>
      </c>
      <c r="E15" s="116">
        <v>1.5</v>
      </c>
      <c r="F15" s="116">
        <v>1.5</v>
      </c>
      <c r="G15" s="116">
        <v>1.5</v>
      </c>
      <c r="H15" s="116">
        <v>1.5</v>
      </c>
      <c r="I15" s="116">
        <v>1.5</v>
      </c>
      <c r="J15" s="116">
        <v>0</v>
      </c>
      <c r="K15" s="116">
        <v>0</v>
      </c>
      <c r="L15" s="116">
        <v>0</v>
      </c>
      <c r="M15" s="116">
        <v>0</v>
      </c>
      <c r="N15" s="116">
        <v>0</v>
      </c>
      <c r="O15" s="116">
        <v>0</v>
      </c>
      <c r="P15" s="116">
        <v>0</v>
      </c>
      <c r="Q15" s="116">
        <v>0</v>
      </c>
      <c r="R15" s="116">
        <v>0</v>
      </c>
      <c r="T15" s="47" t="s">
        <v>306</v>
      </c>
    </row>
    <row r="16" spans="1:20" ht="15" customHeight="1" x14ac:dyDescent="0.25">
      <c r="A16" s="616" t="s">
        <v>95</v>
      </c>
      <c r="B16" s="617"/>
      <c r="C16" s="310">
        <v>5</v>
      </c>
      <c r="D16" s="116">
        <v>5</v>
      </c>
      <c r="E16" s="116">
        <v>5</v>
      </c>
      <c r="F16" s="116">
        <v>5</v>
      </c>
      <c r="G16" s="116">
        <v>5</v>
      </c>
      <c r="H16" s="116">
        <v>9.9</v>
      </c>
      <c r="I16" s="116">
        <v>9.9</v>
      </c>
      <c r="J16" s="116">
        <v>10.3</v>
      </c>
      <c r="K16" s="116">
        <v>10.3</v>
      </c>
      <c r="L16" s="116">
        <v>10.63</v>
      </c>
      <c r="M16" s="116">
        <v>10.63</v>
      </c>
      <c r="N16" s="116">
        <v>10.63</v>
      </c>
      <c r="O16" s="116">
        <v>10.63</v>
      </c>
      <c r="P16" s="116">
        <v>10.63</v>
      </c>
      <c r="Q16" s="116">
        <v>10.63</v>
      </c>
      <c r="R16" s="116">
        <v>10.63</v>
      </c>
      <c r="T16" s="357"/>
    </row>
    <row r="17" spans="1:20" ht="15" customHeight="1" x14ac:dyDescent="0.25">
      <c r="A17" s="598" t="s">
        <v>24</v>
      </c>
      <c r="B17" s="598"/>
      <c r="C17" s="315">
        <f>SUM(C13:C16)</f>
        <v>627.26</v>
      </c>
      <c r="D17" s="100">
        <f t="shared" ref="D17:M17" si="6">ROUND(SUM(D13:D16),2)</f>
        <v>764.22</v>
      </c>
      <c r="E17" s="100">
        <f t="shared" si="6"/>
        <v>808.22</v>
      </c>
      <c r="F17" s="100">
        <f t="shared" si="6"/>
        <v>808.22</v>
      </c>
      <c r="G17" s="100">
        <f t="shared" si="6"/>
        <v>808.22</v>
      </c>
      <c r="H17" s="100">
        <f t="shared" si="6"/>
        <v>855.03</v>
      </c>
      <c r="I17" s="100">
        <f t="shared" si="6"/>
        <v>855.03</v>
      </c>
      <c r="J17" s="100">
        <f t="shared" si="6"/>
        <v>877.77</v>
      </c>
      <c r="K17" s="100">
        <f t="shared" si="6"/>
        <v>877.77</v>
      </c>
      <c r="L17" s="100">
        <f t="shared" si="6"/>
        <v>896.04</v>
      </c>
      <c r="M17" s="100">
        <f t="shared" si="6"/>
        <v>918.04</v>
      </c>
      <c r="N17" s="100">
        <f t="shared" ref="N17:R17" si="7">ROUND(SUM(N13:N16),2)</f>
        <v>918.04</v>
      </c>
      <c r="O17" s="100">
        <f t="shared" si="7"/>
        <v>918.04</v>
      </c>
      <c r="P17" s="100">
        <f t="shared" si="7"/>
        <v>918.04</v>
      </c>
      <c r="Q17" s="100">
        <f t="shared" si="7"/>
        <v>918.04</v>
      </c>
      <c r="R17" s="100">
        <f t="shared" si="7"/>
        <v>945.35</v>
      </c>
      <c r="T17" s="331" t="s">
        <v>304</v>
      </c>
    </row>
    <row r="18" spans="1:20" ht="15" customHeight="1" x14ac:dyDescent="0.25">
      <c r="A18" s="602" t="s">
        <v>51</v>
      </c>
      <c r="B18" s="603"/>
      <c r="C18" s="111" t="s">
        <v>158</v>
      </c>
      <c r="D18" s="111" t="s">
        <v>158</v>
      </c>
      <c r="E18" s="111" t="s">
        <v>158</v>
      </c>
      <c r="F18" s="111" t="s">
        <v>158</v>
      </c>
      <c r="G18" s="111" t="s">
        <v>158</v>
      </c>
      <c r="H18" s="111" t="s">
        <v>158</v>
      </c>
      <c r="I18" s="111" t="s">
        <v>158</v>
      </c>
      <c r="J18" s="111" t="s">
        <v>158</v>
      </c>
      <c r="K18" s="111" t="s">
        <v>158</v>
      </c>
      <c r="L18" s="111" t="s">
        <v>158</v>
      </c>
      <c r="M18" s="111" t="s">
        <v>158</v>
      </c>
      <c r="N18" s="111" t="s">
        <v>158</v>
      </c>
      <c r="O18" s="111" t="s">
        <v>158</v>
      </c>
      <c r="P18" s="111" t="s">
        <v>158</v>
      </c>
      <c r="Q18" s="111" t="s">
        <v>158</v>
      </c>
      <c r="R18" s="111" t="s">
        <v>158</v>
      </c>
      <c r="T18" s="47" t="s">
        <v>327</v>
      </c>
    </row>
    <row r="19" spans="1:20" ht="15" customHeight="1" x14ac:dyDescent="0.25">
      <c r="A19" s="599" t="s">
        <v>0</v>
      </c>
      <c r="B19" s="599"/>
      <c r="C19" s="310">
        <v>49.07</v>
      </c>
      <c r="D19" s="454">
        <v>49.07</v>
      </c>
      <c r="E19" s="454">
        <v>49.07</v>
      </c>
      <c r="F19" s="454">
        <v>49.07</v>
      </c>
      <c r="G19" s="454">
        <v>49.07</v>
      </c>
      <c r="H19" s="101">
        <f>49.07</f>
        <v>49.07</v>
      </c>
      <c r="I19" s="101">
        <v>53.76</v>
      </c>
      <c r="J19" s="101">
        <v>53.76</v>
      </c>
      <c r="K19" s="101">
        <f>'Anexo Uniformes'!E26</f>
        <v>53.756666666666668</v>
      </c>
      <c r="L19" s="101">
        <v>53.76</v>
      </c>
      <c r="M19" s="101">
        <v>53.76</v>
      </c>
      <c r="N19" s="101">
        <v>53.76</v>
      </c>
      <c r="O19" s="101">
        <v>53.76</v>
      </c>
      <c r="P19" s="101">
        <v>53.76</v>
      </c>
      <c r="Q19" s="101">
        <f>53.76*1.15</f>
        <v>61.823999999999991</v>
      </c>
      <c r="R19" s="101">
        <f>53.76*1.15</f>
        <v>61.823999999999991</v>
      </c>
    </row>
    <row r="20" spans="1:20" ht="15" customHeight="1" x14ac:dyDescent="0.25">
      <c r="A20" s="598" t="s">
        <v>24</v>
      </c>
      <c r="B20" s="598"/>
      <c r="C20" s="315">
        <v>49.07</v>
      </c>
      <c r="D20" s="100">
        <f t="shared" ref="D20:M20" si="8">ROUND(SUM(D19),2)</f>
        <v>49.07</v>
      </c>
      <c r="E20" s="100">
        <f t="shared" si="8"/>
        <v>49.07</v>
      </c>
      <c r="F20" s="100">
        <f t="shared" si="8"/>
        <v>49.07</v>
      </c>
      <c r="G20" s="100">
        <f t="shared" si="8"/>
        <v>49.07</v>
      </c>
      <c r="H20" s="100">
        <f t="shared" si="8"/>
        <v>49.07</v>
      </c>
      <c r="I20" s="100">
        <f t="shared" si="8"/>
        <v>53.76</v>
      </c>
      <c r="J20" s="100">
        <f t="shared" si="8"/>
        <v>53.76</v>
      </c>
      <c r="K20" s="100">
        <f t="shared" si="8"/>
        <v>53.76</v>
      </c>
      <c r="L20" s="100">
        <f t="shared" si="8"/>
        <v>53.76</v>
      </c>
      <c r="M20" s="100">
        <f t="shared" si="8"/>
        <v>53.76</v>
      </c>
      <c r="N20" s="100">
        <f t="shared" ref="N20:R20" si="9">ROUND(SUM(N19),2)</f>
        <v>53.76</v>
      </c>
      <c r="O20" s="100">
        <f t="shared" si="9"/>
        <v>53.76</v>
      </c>
      <c r="P20" s="100">
        <f t="shared" si="9"/>
        <v>53.76</v>
      </c>
      <c r="Q20" s="100">
        <f t="shared" si="9"/>
        <v>61.82</v>
      </c>
      <c r="R20" s="100">
        <f t="shared" si="9"/>
        <v>61.82</v>
      </c>
      <c r="T20" s="332" t="s">
        <v>324</v>
      </c>
    </row>
    <row r="21" spans="1:20" ht="15.75" customHeight="1" x14ac:dyDescent="0.25">
      <c r="A21" s="591" t="s">
        <v>52</v>
      </c>
      <c r="B21" s="592"/>
      <c r="C21" s="280" t="s">
        <v>229</v>
      </c>
      <c r="D21" s="111" t="s">
        <v>229</v>
      </c>
      <c r="E21" s="111" t="s">
        <v>229</v>
      </c>
      <c r="F21" s="111" t="s">
        <v>229</v>
      </c>
      <c r="G21" s="111" t="s">
        <v>229</v>
      </c>
      <c r="H21" s="111" t="s">
        <v>229</v>
      </c>
      <c r="I21" s="111" t="s">
        <v>229</v>
      </c>
      <c r="J21" s="111" t="s">
        <v>229</v>
      </c>
      <c r="K21" s="111" t="s">
        <v>229</v>
      </c>
      <c r="L21" s="111" t="s">
        <v>229</v>
      </c>
      <c r="M21" s="111" t="s">
        <v>229</v>
      </c>
      <c r="N21" s="111" t="s">
        <v>229</v>
      </c>
      <c r="O21" s="111" t="s">
        <v>229</v>
      </c>
      <c r="P21" s="111" t="s">
        <v>229</v>
      </c>
      <c r="Q21" s="111" t="s">
        <v>229</v>
      </c>
      <c r="R21" s="111" t="s">
        <v>229</v>
      </c>
      <c r="S21" s="44"/>
      <c r="T21" s="47" t="s">
        <v>328</v>
      </c>
    </row>
    <row r="22" spans="1:20" ht="14.25" customHeight="1" x14ac:dyDescent="0.25">
      <c r="A22" s="593"/>
      <c r="B22" s="594"/>
      <c r="C22" s="118">
        <v>0.71779999999999999</v>
      </c>
      <c r="D22" s="118">
        <v>0.71779999999999999</v>
      </c>
      <c r="E22" s="118">
        <v>0.71779999999999999</v>
      </c>
      <c r="F22" s="118">
        <v>0.71779999999999999</v>
      </c>
      <c r="G22" s="118">
        <v>0.71779999999999999</v>
      </c>
      <c r="H22" s="118">
        <v>0.7218</v>
      </c>
      <c r="I22" s="118">
        <v>0.7218</v>
      </c>
      <c r="J22" s="118">
        <v>0.72260000000000002</v>
      </c>
      <c r="K22" s="118">
        <v>0.72260000000000002</v>
      </c>
      <c r="L22" s="118">
        <v>0.71330000000000005</v>
      </c>
      <c r="M22" s="118">
        <v>0.71330000000000005</v>
      </c>
      <c r="N22" s="118">
        <v>0.69799999999999995</v>
      </c>
      <c r="O22" s="118">
        <v>0.71330000000000005</v>
      </c>
      <c r="P22" s="118">
        <v>0.71330000000000005</v>
      </c>
      <c r="Q22" s="118">
        <v>0.71330000000000005</v>
      </c>
      <c r="R22" s="118">
        <v>0.71530000000000005</v>
      </c>
      <c r="S22" s="44"/>
      <c r="T22" s="323" t="s">
        <v>329</v>
      </c>
    </row>
    <row r="23" spans="1:20" ht="21.95" customHeight="1" x14ac:dyDescent="0.25">
      <c r="A23" s="595" t="s">
        <v>55</v>
      </c>
      <c r="B23" s="596"/>
      <c r="C23" s="312">
        <f t="shared" ref="C23:M23" si="10">ROUND((C11*C22),2)</f>
        <v>1928.99</v>
      </c>
      <c r="D23" s="100">
        <f t="shared" si="10"/>
        <v>804.89</v>
      </c>
      <c r="E23" s="100">
        <f t="shared" si="10"/>
        <v>804.89</v>
      </c>
      <c r="F23" s="100">
        <f t="shared" si="10"/>
        <v>804.89</v>
      </c>
      <c r="G23" s="100">
        <f t="shared" si="10"/>
        <v>804.89</v>
      </c>
      <c r="H23" s="100">
        <f t="shared" si="10"/>
        <v>834.47</v>
      </c>
      <c r="I23" s="100">
        <f t="shared" si="10"/>
        <v>834.47</v>
      </c>
      <c r="J23" s="100">
        <f t="shared" si="10"/>
        <v>866.3</v>
      </c>
      <c r="K23" s="100">
        <f t="shared" si="10"/>
        <v>866.3</v>
      </c>
      <c r="L23" s="100">
        <f t="shared" si="10"/>
        <v>882.52</v>
      </c>
      <c r="M23" s="100">
        <f t="shared" si="10"/>
        <v>882.52</v>
      </c>
      <c r="N23" s="100">
        <f t="shared" ref="N23:R23" si="11">ROUND((N11*N22),2)</f>
        <v>863.59</v>
      </c>
      <c r="O23" s="100">
        <f t="shared" si="11"/>
        <v>882.52</v>
      </c>
      <c r="P23" s="100">
        <f t="shared" si="11"/>
        <v>882.52</v>
      </c>
      <c r="Q23" s="100">
        <f t="shared" si="11"/>
        <v>882.52</v>
      </c>
      <c r="R23" s="100">
        <f t="shared" si="11"/>
        <v>921.28</v>
      </c>
      <c r="S23" s="131"/>
      <c r="T23" s="47" t="s">
        <v>310</v>
      </c>
    </row>
    <row r="24" spans="1:20" ht="15" customHeight="1" x14ac:dyDescent="0.25">
      <c r="A24" s="283" t="s">
        <v>58</v>
      </c>
      <c r="B24" s="284" t="s">
        <v>1</v>
      </c>
      <c r="C24" s="111" t="s">
        <v>5</v>
      </c>
      <c r="D24" s="111" t="s">
        <v>5</v>
      </c>
      <c r="E24" s="111" t="s">
        <v>5</v>
      </c>
      <c r="F24" s="111" t="s">
        <v>5</v>
      </c>
      <c r="G24" s="111" t="s">
        <v>5</v>
      </c>
      <c r="H24" s="111" t="s">
        <v>5</v>
      </c>
      <c r="I24" s="111" t="s">
        <v>5</v>
      </c>
      <c r="J24" s="111" t="s">
        <v>5</v>
      </c>
      <c r="K24" s="111" t="s">
        <v>5</v>
      </c>
      <c r="L24" s="111" t="s">
        <v>5</v>
      </c>
      <c r="M24" s="111" t="s">
        <v>5</v>
      </c>
      <c r="N24" s="111" t="s">
        <v>5</v>
      </c>
      <c r="O24" s="111" t="s">
        <v>5</v>
      </c>
      <c r="P24" s="111" t="s">
        <v>5</v>
      </c>
      <c r="Q24" s="111" t="s">
        <v>5</v>
      </c>
      <c r="R24" s="111" t="s">
        <v>5</v>
      </c>
      <c r="T24" s="47" t="s">
        <v>311</v>
      </c>
    </row>
    <row r="25" spans="1:20" ht="15" customHeight="1" x14ac:dyDescent="0.25">
      <c r="A25" s="47" t="s">
        <v>2</v>
      </c>
      <c r="B25" s="50">
        <v>1.2699999999999999E-2</v>
      </c>
      <c r="C25" s="304">
        <f>ROUND(((C7+C17+C20+C23)*B25),2)</f>
        <v>67.22</v>
      </c>
      <c r="D25" s="304">
        <f>ROUND(((D7+D17+D20+D23)*B25),2)</f>
        <v>34.79</v>
      </c>
      <c r="E25" s="304">
        <f>ROUND(((E7+E17+E20+E23)*B25),2)</f>
        <v>35.35</v>
      </c>
      <c r="F25" s="304">
        <f>ROUND(((F7+F17+F20+F23)*B25),2)</f>
        <v>35.35</v>
      </c>
      <c r="G25" s="304">
        <f>ROUND(((G7+G17+G20+G23)*B25),2)</f>
        <v>35.35</v>
      </c>
      <c r="H25" s="304">
        <f>ROUND(((H7+H17+H20+H23)*B25),2)</f>
        <v>36.76</v>
      </c>
      <c r="I25" s="304">
        <f>ROUND(((I7+I17+I20+I23)*B25),2)</f>
        <v>36.82</v>
      </c>
      <c r="J25" s="101">
        <f>ROUND((J11+J17+J20+J23)*B25,2)</f>
        <v>38.06</v>
      </c>
      <c r="K25" s="101">
        <f>ROUND((K11+K17+K20+K23)*B25,2)</f>
        <v>38.06</v>
      </c>
      <c r="L25" s="101">
        <f>ROUND((L11+L17+L20+L23)*B25,2)</f>
        <v>38.979999999999997</v>
      </c>
      <c r="M25" s="101">
        <f>ROUND((M11+M17+M20+M23)*B25,2)</f>
        <v>39.26</v>
      </c>
      <c r="N25" s="101">
        <f>ROUND((N11+N17+N20+N23)*B25,2)</f>
        <v>39.020000000000003</v>
      </c>
      <c r="O25" s="101">
        <f>ROUND((O11+O17+O20+O23)*B25,2)</f>
        <v>39.26</v>
      </c>
      <c r="P25" s="101">
        <f>ROUND((P11+P17+P20+P23)*B25,2)</f>
        <v>39.26</v>
      </c>
      <c r="Q25" s="101">
        <f>ROUND((Q11+Q17+Q20+Q23)*B25,2)</f>
        <v>39.369999999999997</v>
      </c>
      <c r="R25" s="101">
        <f>ROUND((R11+R17+R20+R23)*B25,2)</f>
        <v>40.85</v>
      </c>
      <c r="T25" s="39"/>
    </row>
    <row r="26" spans="1:20" ht="15" customHeight="1" x14ac:dyDescent="0.25">
      <c r="A26" s="47" t="s">
        <v>3</v>
      </c>
      <c r="B26" s="50">
        <v>0.14249999999999999</v>
      </c>
      <c r="C26" s="119">
        <f t="shared" ref="C26:I26" si="12">ROUND(((C11+C17+C20+C23+C25+C27)*14.25/85.75),2)</f>
        <v>899.62</v>
      </c>
      <c r="D26" s="119">
        <f t="shared" si="12"/>
        <v>465.65</v>
      </c>
      <c r="E26" s="119">
        <f t="shared" si="12"/>
        <v>473.12</v>
      </c>
      <c r="F26" s="119">
        <f t="shared" si="12"/>
        <v>473.12</v>
      </c>
      <c r="G26" s="119">
        <f t="shared" si="12"/>
        <v>473.12</v>
      </c>
      <c r="H26" s="119">
        <f t="shared" si="12"/>
        <v>492.02</v>
      </c>
      <c r="I26" s="119">
        <f t="shared" si="12"/>
        <v>492.81</v>
      </c>
      <c r="J26" s="101">
        <f t="shared" ref="J26:R26" si="13">ROUND((J11+J17+J20+J23+J25+J27)*14.25/85.75,2)</f>
        <v>509.36</v>
      </c>
      <c r="K26" s="101">
        <f t="shared" si="13"/>
        <v>509.36</v>
      </c>
      <c r="L26" s="101">
        <f t="shared" si="13"/>
        <v>521.74</v>
      </c>
      <c r="M26" s="101">
        <f t="shared" si="13"/>
        <v>525.48</v>
      </c>
      <c r="N26" s="101">
        <f t="shared" si="13"/>
        <v>522.27</v>
      </c>
      <c r="O26" s="101">
        <f t="shared" si="13"/>
        <v>525.48</v>
      </c>
      <c r="P26" s="101">
        <f t="shared" si="13"/>
        <v>525.48</v>
      </c>
      <c r="Q26" s="101">
        <f t="shared" si="13"/>
        <v>526.85</v>
      </c>
      <c r="R26" s="101">
        <f t="shared" si="13"/>
        <v>546.71</v>
      </c>
      <c r="T26" s="332" t="s">
        <v>312</v>
      </c>
    </row>
    <row r="27" spans="1:20" ht="15" customHeight="1" x14ac:dyDescent="0.25">
      <c r="A27" s="47" t="s">
        <v>4</v>
      </c>
      <c r="B27" s="50">
        <v>0.01</v>
      </c>
      <c r="C27" s="119">
        <f>ROUND(((C11+C17+C20+C23+C25)*B27),2)</f>
        <v>53.6</v>
      </c>
      <c r="D27" s="119">
        <f>ROUND(((D11+D17+D20+D23+D25)*B27),2)</f>
        <v>27.74</v>
      </c>
      <c r="E27" s="119">
        <f>ROUND(((E11+E17+E20+E23+E25)*B27),2)</f>
        <v>28.19</v>
      </c>
      <c r="F27" s="119">
        <f>ROUND(((F11+F17+F20+F23+F25)*B27),2)</f>
        <v>28.19</v>
      </c>
      <c r="G27" s="119">
        <f>ROUND(((G11+G17+G20+G23+G25)*B27),2)</f>
        <v>28.19</v>
      </c>
      <c r="H27" s="119">
        <f>ROUND(((H11+H17+H20+H23+H25)*B27),2)</f>
        <v>29.31</v>
      </c>
      <c r="I27" s="119">
        <f>ROUND(((I11+I17+I20+I23+I25)*B27),2)</f>
        <v>29.36</v>
      </c>
      <c r="J27" s="101">
        <f>ROUND((J11+J17+J20+J23+J25)*B27,2)</f>
        <v>30.35</v>
      </c>
      <c r="K27" s="101">
        <f>ROUND((K11+K17+K20+K23+K25)*B27,2)</f>
        <v>30.35</v>
      </c>
      <c r="L27" s="101">
        <f>ROUND((L11+L17+L20+L23+L25)*B27,2)</f>
        <v>31.09</v>
      </c>
      <c r="M27" s="101">
        <f>ROUND((M11+M17+M20+M23+M25)*B27,2)</f>
        <v>31.31</v>
      </c>
      <c r="N27" s="101">
        <f>ROUND((N11+N17+N20+N23+N25)*B27,2)</f>
        <v>31.12</v>
      </c>
      <c r="O27" s="101">
        <f>ROUND((O11+O17+O20+O23+O25)*B27,2)</f>
        <v>31.31</v>
      </c>
      <c r="P27" s="101">
        <f>ROUND((P11+P17+P20+P23+P25)*B27,2)</f>
        <v>31.31</v>
      </c>
      <c r="Q27" s="101">
        <f>ROUND((Q11+Q17+Q20+Q23+Q25)*B27,2)</f>
        <v>31.39</v>
      </c>
      <c r="R27" s="101">
        <f>ROUND((R11+R17+R20+R23+R25)*B27,2)</f>
        <v>32.57</v>
      </c>
      <c r="T27" s="588" t="s">
        <v>330</v>
      </c>
    </row>
    <row r="28" spans="1:20" ht="15" customHeight="1" x14ac:dyDescent="0.25">
      <c r="A28" s="598" t="s">
        <v>24</v>
      </c>
      <c r="B28" s="598"/>
      <c r="C28" s="190">
        <f>SUM(C25:C27)</f>
        <v>1020.44</v>
      </c>
      <c r="D28" s="104">
        <f t="shared" ref="D28:M28" si="14">ROUND(SUM(D25:D27),2)</f>
        <v>528.17999999999995</v>
      </c>
      <c r="E28" s="104">
        <f t="shared" si="14"/>
        <v>536.66</v>
      </c>
      <c r="F28" s="104">
        <f t="shared" si="14"/>
        <v>536.66</v>
      </c>
      <c r="G28" s="104">
        <f t="shared" si="14"/>
        <v>536.66</v>
      </c>
      <c r="H28" s="104">
        <f t="shared" si="14"/>
        <v>558.09</v>
      </c>
      <c r="I28" s="104">
        <f t="shared" si="14"/>
        <v>558.99</v>
      </c>
      <c r="J28" s="104">
        <f t="shared" si="14"/>
        <v>577.77</v>
      </c>
      <c r="K28" s="104">
        <f t="shared" si="14"/>
        <v>577.77</v>
      </c>
      <c r="L28" s="104">
        <f t="shared" si="14"/>
        <v>591.80999999999995</v>
      </c>
      <c r="M28" s="104">
        <f t="shared" si="14"/>
        <v>596.04999999999995</v>
      </c>
      <c r="N28" s="104">
        <f t="shared" ref="N28:R28" si="15">ROUND(SUM(N25:N27),2)</f>
        <v>592.41</v>
      </c>
      <c r="O28" s="104">
        <f t="shared" si="15"/>
        <v>596.04999999999995</v>
      </c>
      <c r="P28" s="104">
        <f t="shared" si="15"/>
        <v>596.04999999999995</v>
      </c>
      <c r="Q28" s="104">
        <f t="shared" si="15"/>
        <v>597.61</v>
      </c>
      <c r="R28" s="104">
        <f t="shared" si="15"/>
        <v>620.13</v>
      </c>
      <c r="T28" s="589"/>
    </row>
    <row r="29" spans="1:20" ht="42.75" customHeight="1" x14ac:dyDescent="0.25">
      <c r="A29" s="595" t="s">
        <v>59</v>
      </c>
      <c r="B29" s="596"/>
      <c r="C29" s="314" t="s">
        <v>285</v>
      </c>
      <c r="D29" s="287" t="s">
        <v>286</v>
      </c>
      <c r="E29" s="123" t="s">
        <v>287</v>
      </c>
      <c r="F29" s="448" t="s">
        <v>290</v>
      </c>
      <c r="G29" s="439" t="s">
        <v>289</v>
      </c>
      <c r="H29" s="439" t="s">
        <v>292</v>
      </c>
      <c r="I29" s="123" t="s">
        <v>501</v>
      </c>
      <c r="J29" s="123" t="s">
        <v>502</v>
      </c>
      <c r="K29" s="123" t="s">
        <v>266</v>
      </c>
      <c r="L29" s="123" t="s">
        <v>380</v>
      </c>
      <c r="M29" s="123" t="s">
        <v>381</v>
      </c>
      <c r="N29" s="123" t="s">
        <v>384</v>
      </c>
      <c r="O29" s="123" t="s">
        <v>385</v>
      </c>
      <c r="P29" s="123" t="s">
        <v>386</v>
      </c>
      <c r="Q29" s="123" t="s">
        <v>404</v>
      </c>
      <c r="R29" s="123" t="s">
        <v>400</v>
      </c>
      <c r="S29" s="44"/>
      <c r="T29" s="589"/>
    </row>
    <row r="30" spans="1:20" ht="15" customHeight="1" x14ac:dyDescent="0.25">
      <c r="A30" s="599" t="s">
        <v>69</v>
      </c>
      <c r="B30" s="599"/>
      <c r="C30" s="305">
        <f t="shared" ref="C30:M30" si="16">C11</f>
        <v>2687.37</v>
      </c>
      <c r="D30" s="302">
        <f t="shared" si="16"/>
        <v>1121.33</v>
      </c>
      <c r="E30" s="302">
        <f t="shared" si="16"/>
        <v>1121.33</v>
      </c>
      <c r="F30" s="302">
        <f t="shared" si="16"/>
        <v>1121.33</v>
      </c>
      <c r="G30" s="302">
        <f t="shared" si="16"/>
        <v>1121.33</v>
      </c>
      <c r="H30" s="302">
        <f t="shared" si="16"/>
        <v>1156.0899999999999</v>
      </c>
      <c r="I30" s="302">
        <f t="shared" si="16"/>
        <v>1156.0899999999999</v>
      </c>
      <c r="J30" s="119">
        <f t="shared" si="16"/>
        <v>1198.8699999999999</v>
      </c>
      <c r="K30" s="119">
        <f t="shared" si="16"/>
        <v>1198.8699999999999</v>
      </c>
      <c r="L30" s="119">
        <f t="shared" si="16"/>
        <v>1237.23</v>
      </c>
      <c r="M30" s="119">
        <f t="shared" si="16"/>
        <v>1237.23</v>
      </c>
      <c r="N30" s="119">
        <f t="shared" ref="N30:R30" si="17">N11</f>
        <v>1237.23</v>
      </c>
      <c r="O30" s="119">
        <f t="shared" si="17"/>
        <v>1237.23</v>
      </c>
      <c r="P30" s="119">
        <f t="shared" si="17"/>
        <v>1237.23</v>
      </c>
      <c r="Q30" s="119">
        <f t="shared" si="17"/>
        <v>1237.23</v>
      </c>
      <c r="R30" s="119">
        <f t="shared" si="17"/>
        <v>1287.96</v>
      </c>
      <c r="T30" s="589"/>
    </row>
    <row r="31" spans="1:20" ht="15" customHeight="1" x14ac:dyDescent="0.25">
      <c r="A31" s="599" t="s">
        <v>50</v>
      </c>
      <c r="B31" s="599"/>
      <c r="C31" s="305">
        <f t="shared" ref="C31:M31" si="18">C17</f>
        <v>627.26</v>
      </c>
      <c r="D31" s="302">
        <f t="shared" si="18"/>
        <v>764.22</v>
      </c>
      <c r="E31" s="302">
        <f t="shared" si="18"/>
        <v>808.22</v>
      </c>
      <c r="F31" s="302">
        <f t="shared" si="18"/>
        <v>808.22</v>
      </c>
      <c r="G31" s="302">
        <f t="shared" si="18"/>
        <v>808.22</v>
      </c>
      <c r="H31" s="302">
        <f t="shared" si="18"/>
        <v>855.03</v>
      </c>
      <c r="I31" s="302">
        <f t="shared" si="18"/>
        <v>855.03</v>
      </c>
      <c r="J31" s="119">
        <f t="shared" si="18"/>
        <v>877.77</v>
      </c>
      <c r="K31" s="119">
        <f t="shared" si="18"/>
        <v>877.77</v>
      </c>
      <c r="L31" s="119">
        <f t="shared" si="18"/>
        <v>896.04</v>
      </c>
      <c r="M31" s="119">
        <f t="shared" si="18"/>
        <v>918.04</v>
      </c>
      <c r="N31" s="119">
        <f t="shared" ref="N31:R31" si="19">N17</f>
        <v>918.04</v>
      </c>
      <c r="O31" s="119">
        <f t="shared" si="19"/>
        <v>918.04</v>
      </c>
      <c r="P31" s="119">
        <f t="shared" si="19"/>
        <v>918.04</v>
      </c>
      <c r="Q31" s="119">
        <f t="shared" si="19"/>
        <v>918.04</v>
      </c>
      <c r="R31" s="119">
        <f t="shared" si="19"/>
        <v>945.35</v>
      </c>
      <c r="T31" s="590"/>
    </row>
    <row r="32" spans="1:20" ht="15" customHeight="1" x14ac:dyDescent="0.25">
      <c r="A32" s="599" t="s">
        <v>51</v>
      </c>
      <c r="B32" s="599"/>
      <c r="C32" s="310">
        <f t="shared" ref="C32:M32" si="20">C20</f>
        <v>49.07</v>
      </c>
      <c r="D32" s="454">
        <f t="shared" si="20"/>
        <v>49.07</v>
      </c>
      <c r="E32" s="454">
        <f t="shared" si="20"/>
        <v>49.07</v>
      </c>
      <c r="F32" s="454">
        <f t="shared" si="20"/>
        <v>49.07</v>
      </c>
      <c r="G32" s="454">
        <f t="shared" si="20"/>
        <v>49.07</v>
      </c>
      <c r="H32" s="454">
        <f t="shared" si="20"/>
        <v>49.07</v>
      </c>
      <c r="I32" s="454">
        <f t="shared" si="20"/>
        <v>53.76</v>
      </c>
      <c r="J32" s="119">
        <f t="shared" si="20"/>
        <v>53.76</v>
      </c>
      <c r="K32" s="119">
        <f t="shared" si="20"/>
        <v>53.76</v>
      </c>
      <c r="L32" s="119">
        <f t="shared" si="20"/>
        <v>53.76</v>
      </c>
      <c r="M32" s="119">
        <f t="shared" si="20"/>
        <v>53.76</v>
      </c>
      <c r="N32" s="119">
        <f t="shared" ref="N32:O32" si="21">N20</f>
        <v>53.76</v>
      </c>
      <c r="O32" s="119">
        <f t="shared" si="21"/>
        <v>53.76</v>
      </c>
      <c r="P32" s="119">
        <f>P20</f>
        <v>53.76</v>
      </c>
      <c r="Q32" s="119">
        <f>Q20</f>
        <v>61.82</v>
      </c>
      <c r="R32" s="119">
        <f>R20</f>
        <v>61.82</v>
      </c>
    </row>
    <row r="33" spans="1:20" ht="15" customHeight="1" x14ac:dyDescent="0.25">
      <c r="A33" s="599" t="s">
        <v>52</v>
      </c>
      <c r="B33" s="599"/>
      <c r="C33" s="305">
        <f t="shared" ref="C33:M33" si="22">C23</f>
        <v>1928.99</v>
      </c>
      <c r="D33" s="302">
        <f t="shared" si="22"/>
        <v>804.89</v>
      </c>
      <c r="E33" s="302">
        <f t="shared" si="22"/>
        <v>804.89</v>
      </c>
      <c r="F33" s="302">
        <f t="shared" si="22"/>
        <v>804.89</v>
      </c>
      <c r="G33" s="302">
        <f t="shared" si="22"/>
        <v>804.89</v>
      </c>
      <c r="H33" s="302">
        <f t="shared" si="22"/>
        <v>834.47</v>
      </c>
      <c r="I33" s="302">
        <f t="shared" si="22"/>
        <v>834.47</v>
      </c>
      <c r="J33" s="119">
        <f t="shared" si="22"/>
        <v>866.3</v>
      </c>
      <c r="K33" s="119">
        <f t="shared" si="22"/>
        <v>866.3</v>
      </c>
      <c r="L33" s="119">
        <f t="shared" si="22"/>
        <v>882.52</v>
      </c>
      <c r="M33" s="119">
        <f t="shared" si="22"/>
        <v>882.52</v>
      </c>
      <c r="N33" s="119">
        <f t="shared" ref="N33:R33" si="23">N23</f>
        <v>863.59</v>
      </c>
      <c r="O33" s="119">
        <f t="shared" si="23"/>
        <v>882.52</v>
      </c>
      <c r="P33" s="119">
        <f t="shared" si="23"/>
        <v>882.52</v>
      </c>
      <c r="Q33" s="119">
        <f t="shared" si="23"/>
        <v>882.52</v>
      </c>
      <c r="R33" s="119">
        <f t="shared" si="23"/>
        <v>921.28</v>
      </c>
      <c r="T33" s="332" t="s">
        <v>317</v>
      </c>
    </row>
    <row r="34" spans="1:20" ht="15" customHeight="1" x14ac:dyDescent="0.25">
      <c r="A34" s="598" t="s">
        <v>77</v>
      </c>
      <c r="B34" s="598"/>
      <c r="C34" s="315">
        <f t="shared" ref="C34:I34" si="24">SUM(C30:C33)</f>
        <v>5292.6900000000005</v>
      </c>
      <c r="D34" s="453">
        <f t="shared" si="24"/>
        <v>2739.5099999999998</v>
      </c>
      <c r="E34" s="453">
        <f t="shared" si="24"/>
        <v>2783.5099999999998</v>
      </c>
      <c r="F34" s="453">
        <f t="shared" si="24"/>
        <v>2783.5099999999998</v>
      </c>
      <c r="G34" s="453">
        <f t="shared" si="24"/>
        <v>2783.5099999999998</v>
      </c>
      <c r="H34" s="453">
        <f t="shared" si="24"/>
        <v>2894.66</v>
      </c>
      <c r="I34" s="453">
        <f t="shared" si="24"/>
        <v>2899.3500000000004</v>
      </c>
      <c r="J34" s="104">
        <f t="shared" ref="J34:R34" si="25">ROUND(SUM(J30:J33),2)</f>
        <v>2996.7</v>
      </c>
      <c r="K34" s="104">
        <f t="shared" si="25"/>
        <v>2996.7</v>
      </c>
      <c r="L34" s="104">
        <f t="shared" si="25"/>
        <v>3069.55</v>
      </c>
      <c r="M34" s="104">
        <f t="shared" si="25"/>
        <v>3091.55</v>
      </c>
      <c r="N34" s="104">
        <f t="shared" si="25"/>
        <v>3072.62</v>
      </c>
      <c r="O34" s="104">
        <f t="shared" si="25"/>
        <v>3091.55</v>
      </c>
      <c r="P34" s="104">
        <f t="shared" si="25"/>
        <v>3091.55</v>
      </c>
      <c r="Q34" s="104">
        <f t="shared" si="25"/>
        <v>3099.61</v>
      </c>
      <c r="R34" s="104">
        <f t="shared" si="25"/>
        <v>3216.41</v>
      </c>
      <c r="T34" s="47" t="s">
        <v>333</v>
      </c>
    </row>
    <row r="35" spans="1:20" ht="15" customHeight="1" x14ac:dyDescent="0.25">
      <c r="A35" s="599" t="s">
        <v>58</v>
      </c>
      <c r="B35" s="599"/>
      <c r="C35" s="286">
        <f t="shared" ref="C35:M35" si="26">C28</f>
        <v>1020.44</v>
      </c>
      <c r="D35" s="455">
        <f t="shared" si="26"/>
        <v>528.17999999999995</v>
      </c>
      <c r="E35" s="455">
        <f t="shared" si="26"/>
        <v>536.66</v>
      </c>
      <c r="F35" s="455">
        <f t="shared" si="26"/>
        <v>536.66</v>
      </c>
      <c r="G35" s="455">
        <f t="shared" si="26"/>
        <v>536.66</v>
      </c>
      <c r="H35" s="455">
        <f t="shared" si="26"/>
        <v>558.09</v>
      </c>
      <c r="I35" s="455">
        <f t="shared" si="26"/>
        <v>558.99</v>
      </c>
      <c r="J35" s="119">
        <f t="shared" si="26"/>
        <v>577.77</v>
      </c>
      <c r="K35" s="119">
        <f t="shared" si="26"/>
        <v>577.77</v>
      </c>
      <c r="L35" s="119">
        <f t="shared" si="26"/>
        <v>591.80999999999995</v>
      </c>
      <c r="M35" s="119">
        <f t="shared" si="26"/>
        <v>596.04999999999995</v>
      </c>
      <c r="N35" s="119">
        <f t="shared" ref="N35:R35" si="27">N28</f>
        <v>592.41</v>
      </c>
      <c r="O35" s="119">
        <f t="shared" si="27"/>
        <v>596.04999999999995</v>
      </c>
      <c r="P35" s="119">
        <f t="shared" si="27"/>
        <v>596.04999999999995</v>
      </c>
      <c r="Q35" s="119">
        <f t="shared" si="27"/>
        <v>597.61</v>
      </c>
      <c r="R35" s="119">
        <f t="shared" si="27"/>
        <v>620.13</v>
      </c>
      <c r="T35" s="47" t="s">
        <v>319</v>
      </c>
    </row>
    <row r="36" spans="1:20" ht="15" customHeight="1" x14ac:dyDescent="0.25">
      <c r="A36" s="598" t="s">
        <v>162</v>
      </c>
      <c r="B36" s="598"/>
      <c r="C36" s="315">
        <f t="shared" ref="C36:I36" si="28">C34+C35</f>
        <v>6313.130000000001</v>
      </c>
      <c r="D36" s="453">
        <f t="shared" si="28"/>
        <v>3267.6899999999996</v>
      </c>
      <c r="E36" s="453">
        <f t="shared" si="28"/>
        <v>3320.1699999999996</v>
      </c>
      <c r="F36" s="453">
        <f t="shared" si="28"/>
        <v>3320.1699999999996</v>
      </c>
      <c r="G36" s="453">
        <f t="shared" si="28"/>
        <v>3320.1699999999996</v>
      </c>
      <c r="H36" s="453">
        <f t="shared" si="28"/>
        <v>3452.75</v>
      </c>
      <c r="I36" s="453">
        <f t="shared" si="28"/>
        <v>3458.34</v>
      </c>
      <c r="J36" s="104">
        <f t="shared" ref="J36:R36" si="29">ROUND((J34+J35),2)</f>
        <v>3574.47</v>
      </c>
      <c r="K36" s="104">
        <f t="shared" si="29"/>
        <v>3574.47</v>
      </c>
      <c r="L36" s="104">
        <f t="shared" si="29"/>
        <v>3661.36</v>
      </c>
      <c r="M36" s="104">
        <f t="shared" si="29"/>
        <v>3687.6</v>
      </c>
      <c r="N36" s="104">
        <f t="shared" si="29"/>
        <v>3665.03</v>
      </c>
      <c r="O36" s="104">
        <f t="shared" si="29"/>
        <v>3687.6</v>
      </c>
      <c r="P36" s="104">
        <f t="shared" si="29"/>
        <v>3687.6</v>
      </c>
      <c r="Q36" s="104">
        <f t="shared" si="29"/>
        <v>3697.22</v>
      </c>
      <c r="R36" s="104">
        <f t="shared" si="29"/>
        <v>3836.54</v>
      </c>
      <c r="S36" s="56"/>
      <c r="T36" s="323" t="s">
        <v>320</v>
      </c>
    </row>
    <row r="37" spans="1:20" ht="15" customHeight="1" x14ac:dyDescent="0.25">
      <c r="A37" s="600" t="s">
        <v>48</v>
      </c>
      <c r="B37" s="600"/>
      <c r="C37" s="281">
        <v>3</v>
      </c>
      <c r="D37" s="440">
        <v>3</v>
      </c>
      <c r="E37" s="440">
        <v>3</v>
      </c>
      <c r="F37" s="440">
        <v>3</v>
      </c>
      <c r="G37" s="440">
        <v>3</v>
      </c>
      <c r="H37" s="440">
        <v>3</v>
      </c>
      <c r="I37" s="542">
        <v>3</v>
      </c>
      <c r="J37" s="120">
        <v>3</v>
      </c>
      <c r="K37" s="120">
        <v>1</v>
      </c>
      <c r="L37" s="120">
        <v>1</v>
      </c>
      <c r="M37" s="120">
        <v>1</v>
      </c>
      <c r="N37" s="120">
        <v>1</v>
      </c>
      <c r="O37" s="120">
        <v>1</v>
      </c>
      <c r="P37" s="120">
        <v>1</v>
      </c>
      <c r="Q37" s="120">
        <v>1</v>
      </c>
      <c r="R37" s="120">
        <v>1</v>
      </c>
      <c r="S37" s="56"/>
      <c r="T37" s="323" t="s">
        <v>321</v>
      </c>
    </row>
    <row r="38" spans="1:20" ht="15" customHeight="1" x14ac:dyDescent="0.25">
      <c r="A38" s="598" t="s">
        <v>164</v>
      </c>
      <c r="B38" s="598"/>
      <c r="C38" s="315">
        <f t="shared" ref="C38:I38" si="30">C37*C36</f>
        <v>18939.390000000003</v>
      </c>
      <c r="D38" s="453">
        <f t="shared" si="30"/>
        <v>9803.07</v>
      </c>
      <c r="E38" s="453">
        <f t="shared" si="30"/>
        <v>9960.5099999999984</v>
      </c>
      <c r="F38" s="453">
        <f t="shared" si="30"/>
        <v>9960.5099999999984</v>
      </c>
      <c r="G38" s="453">
        <f t="shared" si="30"/>
        <v>9960.5099999999984</v>
      </c>
      <c r="H38" s="453">
        <f t="shared" si="30"/>
        <v>10358.25</v>
      </c>
      <c r="I38" s="453">
        <f t="shared" si="30"/>
        <v>10375.02</v>
      </c>
      <c r="J38" s="104">
        <f t="shared" ref="J38:R38" si="31">ROUND((J36*J37),2)</f>
        <v>10723.41</v>
      </c>
      <c r="K38" s="104">
        <f t="shared" si="31"/>
        <v>3574.47</v>
      </c>
      <c r="L38" s="104">
        <f t="shared" si="31"/>
        <v>3661.36</v>
      </c>
      <c r="M38" s="104">
        <f t="shared" si="31"/>
        <v>3687.6</v>
      </c>
      <c r="N38" s="104">
        <f t="shared" si="31"/>
        <v>3665.03</v>
      </c>
      <c r="O38" s="104">
        <f t="shared" si="31"/>
        <v>3687.6</v>
      </c>
      <c r="P38" s="104">
        <f t="shared" si="31"/>
        <v>3687.6</v>
      </c>
      <c r="Q38" s="104">
        <f t="shared" si="31"/>
        <v>3697.22</v>
      </c>
      <c r="R38" s="104">
        <f t="shared" si="31"/>
        <v>3836.54</v>
      </c>
      <c r="T38" s="323" t="s">
        <v>322</v>
      </c>
    </row>
    <row r="39" spans="1:20" ht="21" customHeight="1" x14ac:dyDescent="0.25">
      <c r="A39" s="55"/>
      <c r="B39" s="55"/>
      <c r="C39" s="55"/>
      <c r="D39" s="55"/>
      <c r="E39" s="55"/>
      <c r="F39" s="55"/>
      <c r="G39" s="55"/>
      <c r="H39" s="55"/>
      <c r="I39" s="548"/>
    </row>
    <row r="40" spans="1:20" ht="29.25" customHeight="1" x14ac:dyDescent="0.25">
      <c r="A40" s="39"/>
      <c r="B40" s="39"/>
      <c r="C40" s="39"/>
      <c r="D40" s="39"/>
      <c r="E40" s="39"/>
      <c r="F40" s="39"/>
      <c r="G40" s="39"/>
      <c r="H40" s="39"/>
      <c r="I40" s="58"/>
      <c r="T40" s="332" t="s">
        <v>323</v>
      </c>
    </row>
    <row r="41" spans="1:20" ht="74.25" customHeight="1" x14ac:dyDescent="0.25">
      <c r="A41" s="39"/>
      <c r="B41" s="39"/>
      <c r="C41" s="39"/>
      <c r="D41" s="39"/>
      <c r="E41" s="39"/>
      <c r="F41" s="39"/>
      <c r="G41" s="39"/>
      <c r="H41" s="39"/>
      <c r="I41" s="58"/>
      <c r="T41" s="327" t="s">
        <v>342</v>
      </c>
    </row>
    <row r="42" spans="1:20" ht="15" customHeight="1" x14ac:dyDescent="0.25">
      <c r="A42" s="39"/>
      <c r="B42" s="39"/>
      <c r="C42" s="39"/>
      <c r="D42" s="39"/>
      <c r="E42" s="39"/>
      <c r="F42" s="39"/>
      <c r="G42" s="39"/>
      <c r="H42" s="39"/>
      <c r="I42" s="58"/>
    </row>
    <row r="43" spans="1:20" ht="15" customHeight="1" x14ac:dyDescent="0.25">
      <c r="A43" s="39"/>
      <c r="B43" s="39"/>
      <c r="C43" s="39"/>
      <c r="D43" s="39"/>
      <c r="E43" s="39"/>
      <c r="F43" s="39"/>
      <c r="G43" s="39"/>
      <c r="H43" s="39"/>
      <c r="I43" s="58"/>
    </row>
    <row r="44" spans="1:20" ht="15" customHeight="1" x14ac:dyDescent="0.25">
      <c r="A44" s="42"/>
      <c r="B44" s="39"/>
      <c r="C44" s="39"/>
      <c r="D44" s="39"/>
      <c r="E44" s="39"/>
      <c r="F44" s="39"/>
      <c r="G44" s="39"/>
      <c r="H44" s="39"/>
      <c r="I44" s="58"/>
    </row>
    <row r="45" spans="1:20" ht="15" customHeight="1" x14ac:dyDescent="0.25">
      <c r="A45" s="39"/>
      <c r="B45" s="39"/>
      <c r="C45" s="39"/>
      <c r="D45" s="39"/>
      <c r="E45" s="39"/>
      <c r="F45" s="39"/>
      <c r="G45" s="39"/>
      <c r="H45" s="39"/>
      <c r="I45" s="58"/>
    </row>
    <row r="46" spans="1:20" ht="15" customHeight="1" x14ac:dyDescent="0.25">
      <c r="A46" s="39"/>
      <c r="B46" s="39"/>
      <c r="C46" s="39"/>
      <c r="D46" s="39"/>
      <c r="E46" s="39"/>
      <c r="F46" s="39"/>
      <c r="G46" s="39"/>
      <c r="H46" s="39"/>
      <c r="I46" s="58"/>
    </row>
    <row r="47" spans="1:20" ht="15" customHeight="1" x14ac:dyDescent="0.25">
      <c r="A47" s="39"/>
      <c r="B47" s="39"/>
      <c r="C47" s="39"/>
      <c r="D47" s="39"/>
      <c r="E47" s="39"/>
      <c r="F47" s="39"/>
      <c r="G47" s="39"/>
      <c r="H47" s="39"/>
      <c r="I47" s="58"/>
    </row>
    <row r="48" spans="1:20" ht="15" customHeight="1" x14ac:dyDescent="0.25">
      <c r="A48" s="39"/>
      <c r="B48" s="39"/>
      <c r="C48" s="39"/>
      <c r="D48" s="39"/>
      <c r="E48" s="39"/>
      <c r="F48" s="39"/>
      <c r="G48" s="39"/>
      <c r="H48" s="39"/>
      <c r="I48" s="58"/>
    </row>
    <row r="49" spans="1:10" ht="15" customHeight="1" x14ac:dyDescent="0.25">
      <c r="A49" s="39"/>
      <c r="B49" s="39"/>
      <c r="C49" s="39"/>
      <c r="D49" s="39"/>
      <c r="E49" s="39"/>
      <c r="F49" s="39"/>
      <c r="G49" s="39"/>
      <c r="H49" s="39"/>
      <c r="I49" s="58"/>
    </row>
    <row r="51" spans="1:10" ht="15" customHeight="1" x14ac:dyDescent="0.25">
      <c r="A51" s="39"/>
      <c r="B51" s="39"/>
      <c r="C51" s="39"/>
      <c r="D51" s="39"/>
      <c r="E51" s="39"/>
      <c r="F51" s="39"/>
      <c r="G51" s="39"/>
      <c r="H51" s="39"/>
      <c r="I51" s="58"/>
    </row>
    <row r="52" spans="1:10" ht="15" customHeight="1" x14ac:dyDescent="0.25">
      <c r="A52" s="39"/>
      <c r="B52" s="39"/>
      <c r="C52" s="39"/>
      <c r="D52" s="39"/>
      <c r="E52" s="39"/>
      <c r="F52" s="39"/>
      <c r="G52" s="39"/>
      <c r="H52" s="39"/>
      <c r="I52" s="58"/>
    </row>
    <row r="53" spans="1:10" ht="15" customHeight="1" x14ac:dyDescent="0.25">
      <c r="A53" s="42"/>
      <c r="B53" s="39"/>
      <c r="C53" s="39"/>
      <c r="D53" s="39"/>
      <c r="E53" s="39"/>
      <c r="F53" s="39"/>
      <c r="G53" s="39"/>
      <c r="H53" s="39"/>
      <c r="I53" s="58"/>
    </row>
    <row r="54" spans="1:10" ht="15" customHeight="1" x14ac:dyDescent="0.25">
      <c r="A54" s="39"/>
      <c r="B54" s="43"/>
      <c r="C54" s="43"/>
      <c r="D54" s="43"/>
      <c r="E54" s="43"/>
      <c r="F54" s="43"/>
      <c r="G54" s="43"/>
      <c r="H54" s="43"/>
      <c r="I54" s="545"/>
    </row>
    <row r="55" spans="1:10" ht="15" customHeight="1" x14ac:dyDescent="0.25">
      <c r="A55" s="42"/>
      <c r="B55" s="39"/>
      <c r="C55" s="39"/>
      <c r="D55" s="39"/>
      <c r="E55" s="39"/>
      <c r="F55" s="39"/>
      <c r="G55" s="39"/>
      <c r="H55" s="39"/>
      <c r="I55" s="58"/>
      <c r="J55" s="60"/>
    </row>
    <row r="56" spans="1:10" ht="15" customHeight="1" x14ac:dyDescent="0.25">
      <c r="A56" s="39"/>
      <c r="B56" s="39"/>
      <c r="C56" s="39"/>
      <c r="D56" s="39"/>
      <c r="E56" s="39"/>
      <c r="F56" s="39"/>
      <c r="G56" s="39"/>
      <c r="H56" s="39"/>
      <c r="I56" s="58"/>
    </row>
    <row r="57" spans="1:10" ht="15" customHeight="1" x14ac:dyDescent="0.25">
      <c r="A57" s="39"/>
      <c r="B57" s="39"/>
      <c r="C57" s="39"/>
      <c r="D57" s="39"/>
      <c r="E57" s="39"/>
      <c r="F57" s="39"/>
      <c r="G57" s="39"/>
      <c r="H57" s="39"/>
      <c r="I57" s="58"/>
    </row>
    <row r="58" spans="1:10" ht="15" customHeight="1" x14ac:dyDescent="0.25">
      <c r="A58" s="39"/>
      <c r="B58" s="39"/>
      <c r="C58" s="39"/>
      <c r="D58" s="39"/>
      <c r="E58" s="39"/>
      <c r="F58" s="39"/>
      <c r="G58" s="39"/>
      <c r="H58" s="39"/>
      <c r="I58" s="58"/>
    </row>
    <row r="59" spans="1:10" ht="15" customHeight="1" x14ac:dyDescent="0.25">
      <c r="A59" s="39"/>
      <c r="B59" s="39"/>
      <c r="C59" s="39"/>
      <c r="D59" s="39"/>
      <c r="E59" s="39"/>
      <c r="F59" s="39"/>
      <c r="G59" s="39"/>
      <c r="H59" s="39"/>
      <c r="I59" s="58"/>
    </row>
    <row r="60" spans="1:10" ht="15" customHeight="1" x14ac:dyDescent="0.25">
      <c r="A60" s="39"/>
      <c r="B60" s="39"/>
      <c r="C60" s="39"/>
      <c r="D60" s="39"/>
      <c r="E60" s="39"/>
      <c r="F60" s="39"/>
      <c r="G60" s="39"/>
      <c r="H60" s="39"/>
      <c r="I60" s="58"/>
    </row>
    <row r="61" spans="1:10" ht="15" customHeight="1" x14ac:dyDescent="0.25">
      <c r="A61" s="39"/>
      <c r="B61" s="39"/>
      <c r="C61" s="39"/>
      <c r="D61" s="39"/>
      <c r="E61" s="39"/>
      <c r="F61" s="39"/>
      <c r="G61" s="39"/>
      <c r="H61" s="39"/>
      <c r="I61" s="58"/>
    </row>
    <row r="62" spans="1:10" ht="15" customHeight="1" x14ac:dyDescent="0.25">
      <c r="A62" s="39"/>
      <c r="B62" s="39"/>
      <c r="C62" s="39"/>
      <c r="D62" s="39"/>
      <c r="E62" s="39"/>
      <c r="F62" s="39"/>
      <c r="G62" s="39"/>
      <c r="H62" s="39"/>
      <c r="I62" s="58"/>
    </row>
    <row r="63" spans="1:10" ht="15" customHeight="1" x14ac:dyDescent="0.25">
      <c r="A63" s="39"/>
      <c r="B63" s="39"/>
      <c r="C63" s="39"/>
      <c r="D63" s="39"/>
      <c r="E63" s="39"/>
      <c r="F63" s="39"/>
      <c r="G63" s="39"/>
      <c r="H63" s="39"/>
      <c r="I63" s="58"/>
    </row>
    <row r="64" spans="1:10" ht="15" customHeight="1" x14ac:dyDescent="0.25">
      <c r="A64" s="39"/>
      <c r="B64" s="39"/>
      <c r="C64" s="39"/>
      <c r="D64" s="39"/>
      <c r="E64" s="39"/>
      <c r="F64" s="39"/>
      <c r="G64" s="39"/>
      <c r="H64" s="39"/>
      <c r="I64" s="58"/>
    </row>
    <row r="65" spans="1:9" ht="15" customHeight="1" x14ac:dyDescent="0.25">
      <c r="A65" s="39"/>
      <c r="B65" s="39"/>
      <c r="C65" s="39"/>
      <c r="D65" s="39"/>
      <c r="E65" s="39"/>
      <c r="F65" s="39"/>
      <c r="G65" s="39"/>
      <c r="H65" s="39"/>
      <c r="I65" s="58"/>
    </row>
    <row r="66" spans="1:9" ht="15" customHeight="1" x14ac:dyDescent="0.25">
      <c r="A66" s="39"/>
      <c r="B66" s="39"/>
      <c r="C66" s="39"/>
      <c r="D66" s="39"/>
      <c r="E66" s="39"/>
      <c r="F66" s="39"/>
      <c r="G66" s="39"/>
      <c r="H66" s="39"/>
      <c r="I66" s="58"/>
    </row>
    <row r="67" spans="1:9" ht="15" customHeight="1" x14ac:dyDescent="0.25">
      <c r="A67" s="39"/>
      <c r="B67" s="39"/>
      <c r="C67" s="39"/>
      <c r="D67" s="39"/>
      <c r="E67" s="39"/>
      <c r="F67" s="39"/>
      <c r="G67" s="39"/>
      <c r="H67" s="39"/>
      <c r="I67" s="58"/>
    </row>
    <row r="68" spans="1:9" ht="15" customHeight="1" x14ac:dyDescent="0.25">
      <c r="A68" s="39"/>
      <c r="B68" s="39"/>
      <c r="C68" s="39"/>
      <c r="D68" s="39"/>
      <c r="E68" s="39"/>
      <c r="F68" s="39"/>
      <c r="G68" s="39"/>
      <c r="H68" s="39"/>
      <c r="I68" s="58"/>
    </row>
    <row r="69" spans="1:9" ht="15" customHeight="1" x14ac:dyDescent="0.25">
      <c r="A69" s="39"/>
      <c r="B69" s="39"/>
      <c r="C69" s="39"/>
      <c r="D69" s="39"/>
      <c r="E69" s="39"/>
      <c r="F69" s="39"/>
      <c r="G69" s="39"/>
      <c r="H69" s="39"/>
      <c r="I69" s="58"/>
    </row>
    <row r="70" spans="1:9" ht="15" customHeight="1" x14ac:dyDescent="0.25">
      <c r="A70" s="39"/>
      <c r="B70" s="39"/>
      <c r="C70" s="39"/>
      <c r="D70" s="39"/>
      <c r="E70" s="39"/>
      <c r="F70" s="39"/>
      <c r="G70" s="39"/>
      <c r="H70" s="39"/>
      <c r="I70" s="58"/>
    </row>
    <row r="71" spans="1:9" ht="15" customHeight="1" x14ac:dyDescent="0.25">
      <c r="A71" s="39"/>
      <c r="B71" s="39"/>
      <c r="C71" s="39"/>
      <c r="D71" s="39"/>
      <c r="E71" s="39"/>
      <c r="F71" s="39"/>
      <c r="G71" s="39"/>
      <c r="H71" s="39"/>
      <c r="I71" s="58"/>
    </row>
    <row r="72" spans="1:9" ht="15" customHeight="1" x14ac:dyDescent="0.25">
      <c r="A72" s="42"/>
      <c r="B72" s="39"/>
      <c r="C72" s="39"/>
      <c r="D72" s="39"/>
      <c r="E72" s="39"/>
      <c r="F72" s="39"/>
      <c r="G72" s="39"/>
      <c r="H72" s="39"/>
      <c r="I72" s="58"/>
    </row>
    <row r="73" spans="1:9" ht="15" customHeight="1" x14ac:dyDescent="0.25">
      <c r="A73" s="39"/>
      <c r="B73" s="39"/>
      <c r="C73" s="39"/>
      <c r="D73" s="39"/>
      <c r="E73" s="39"/>
      <c r="F73" s="39"/>
      <c r="G73" s="39"/>
      <c r="H73" s="39"/>
      <c r="I73" s="58"/>
    </row>
    <row r="74" spans="1:9" ht="15" customHeight="1" x14ac:dyDescent="0.25">
      <c r="A74" s="39"/>
      <c r="B74" s="39"/>
      <c r="C74" s="39"/>
      <c r="D74" s="39"/>
      <c r="E74" s="39"/>
      <c r="F74" s="39"/>
      <c r="G74" s="39"/>
      <c r="H74" s="39"/>
      <c r="I74" s="58"/>
    </row>
    <row r="75" spans="1:9" ht="15" customHeight="1" x14ac:dyDescent="0.25">
      <c r="A75" s="39"/>
      <c r="B75" s="39"/>
      <c r="C75" s="39"/>
      <c r="D75" s="39"/>
      <c r="E75" s="39"/>
      <c r="F75" s="39"/>
      <c r="G75" s="39"/>
      <c r="H75" s="39"/>
      <c r="I75" s="58"/>
    </row>
    <row r="76" spans="1:9" ht="15" customHeight="1" x14ac:dyDescent="0.25">
      <c r="A76" s="39"/>
      <c r="B76" s="39"/>
      <c r="C76" s="39"/>
      <c r="D76" s="39"/>
      <c r="E76" s="39"/>
      <c r="F76" s="39"/>
      <c r="G76" s="39"/>
      <c r="H76" s="39"/>
      <c r="I76" s="58"/>
    </row>
    <row r="77" spans="1:9" ht="15" customHeight="1" x14ac:dyDescent="0.25">
      <c r="A77" s="39"/>
      <c r="B77" s="39"/>
      <c r="C77" s="39"/>
      <c r="D77" s="39"/>
      <c r="E77" s="39"/>
      <c r="F77" s="39"/>
      <c r="G77" s="39"/>
      <c r="H77" s="39"/>
      <c r="I77" s="58"/>
    </row>
    <row r="78" spans="1:9" ht="15" customHeight="1" x14ac:dyDescent="0.25">
      <c r="A78" s="39"/>
      <c r="B78" s="39"/>
      <c r="C78" s="39"/>
      <c r="D78" s="39"/>
      <c r="E78" s="39"/>
      <c r="F78" s="39"/>
      <c r="G78" s="39"/>
      <c r="H78" s="39"/>
      <c r="I78" s="58"/>
    </row>
    <row r="79" spans="1:9" ht="15" customHeight="1" x14ac:dyDescent="0.25">
      <c r="A79" s="39"/>
      <c r="B79" s="39"/>
      <c r="C79" s="39"/>
      <c r="D79" s="39"/>
      <c r="E79" s="39"/>
      <c r="F79" s="39"/>
      <c r="G79" s="39"/>
      <c r="H79" s="39"/>
      <c r="I79" s="58"/>
    </row>
    <row r="80" spans="1:9" ht="15" customHeight="1" x14ac:dyDescent="0.25">
      <c r="A80" s="39"/>
      <c r="B80" s="39"/>
      <c r="C80" s="39"/>
      <c r="D80" s="39"/>
      <c r="E80" s="39"/>
      <c r="F80" s="39"/>
      <c r="G80" s="39"/>
      <c r="H80" s="39"/>
      <c r="I80" s="58"/>
    </row>
    <row r="81" spans="1:9" ht="15" customHeight="1" x14ac:dyDescent="0.25">
      <c r="A81" s="42"/>
      <c r="B81" s="39"/>
      <c r="C81" s="39"/>
      <c r="D81" s="39"/>
      <c r="E81" s="39"/>
      <c r="F81" s="39"/>
      <c r="G81" s="39"/>
      <c r="H81" s="39"/>
      <c r="I81" s="58"/>
    </row>
    <row r="82" spans="1:9" ht="15" customHeight="1" x14ac:dyDescent="0.25">
      <c r="A82" s="39"/>
      <c r="B82" s="43"/>
      <c r="C82" s="43"/>
      <c r="D82" s="43"/>
      <c r="E82" s="43"/>
      <c r="F82" s="43"/>
      <c r="G82" s="43"/>
      <c r="H82" s="43"/>
      <c r="I82" s="545"/>
    </row>
    <row r="83" spans="1:9" ht="15" customHeight="1" x14ac:dyDescent="0.25">
      <c r="A83" s="42"/>
      <c r="B83" s="39"/>
      <c r="C83" s="39"/>
      <c r="D83" s="39"/>
      <c r="E83" s="39"/>
      <c r="F83" s="39"/>
      <c r="G83" s="39"/>
      <c r="H83" s="39"/>
      <c r="I83" s="58"/>
    </row>
    <row r="84" spans="1:9" ht="15" customHeight="1" x14ac:dyDescent="0.25">
      <c r="A84" s="39"/>
      <c r="B84" s="39"/>
      <c r="C84" s="39"/>
      <c r="D84" s="39"/>
      <c r="E84" s="39"/>
      <c r="F84" s="39"/>
      <c r="G84" s="39"/>
      <c r="H84" s="39"/>
      <c r="I84" s="58"/>
    </row>
    <row r="85" spans="1:9" ht="15" customHeight="1" x14ac:dyDescent="0.25">
      <c r="A85" s="39"/>
      <c r="B85" s="39"/>
      <c r="C85" s="39"/>
      <c r="D85" s="39"/>
      <c r="E85" s="39"/>
      <c r="F85" s="39"/>
      <c r="G85" s="39"/>
      <c r="H85" s="39"/>
      <c r="I85" s="58"/>
    </row>
    <row r="86" spans="1:9" ht="15" customHeight="1" x14ac:dyDescent="0.25">
      <c r="A86" s="39"/>
      <c r="B86" s="39"/>
      <c r="C86" s="39"/>
      <c r="D86" s="39"/>
      <c r="E86" s="39"/>
      <c r="F86" s="39"/>
      <c r="G86" s="39"/>
      <c r="H86" s="39"/>
      <c r="I86" s="58"/>
    </row>
    <row r="87" spans="1:9" ht="15" customHeight="1" x14ac:dyDescent="0.25">
      <c r="A87" s="39"/>
      <c r="B87" s="39"/>
      <c r="C87" s="39"/>
      <c r="D87" s="39"/>
      <c r="E87" s="39"/>
      <c r="F87" s="39"/>
      <c r="G87" s="39"/>
      <c r="H87" s="39"/>
      <c r="I87" s="58"/>
    </row>
    <row r="88" spans="1:9" ht="15" customHeight="1" x14ac:dyDescent="0.25">
      <c r="A88" s="39"/>
      <c r="B88" s="39"/>
      <c r="C88" s="39"/>
      <c r="D88" s="39"/>
      <c r="E88" s="39"/>
      <c r="F88" s="39"/>
      <c r="G88" s="39"/>
      <c r="H88" s="39"/>
      <c r="I88" s="58"/>
    </row>
    <row r="89" spans="1:9" ht="15" customHeight="1" x14ac:dyDescent="0.25">
      <c r="A89" s="39"/>
      <c r="B89" s="39"/>
      <c r="C89" s="39"/>
      <c r="D89" s="39"/>
      <c r="E89" s="39"/>
      <c r="F89" s="39"/>
      <c r="G89" s="39"/>
      <c r="H89" s="39"/>
      <c r="I89" s="58"/>
    </row>
    <row r="90" spans="1:9" ht="15" customHeight="1" x14ac:dyDescent="0.25">
      <c r="A90" s="39"/>
      <c r="B90" s="39"/>
      <c r="C90" s="39"/>
      <c r="D90" s="39"/>
      <c r="E90" s="39"/>
      <c r="F90" s="39"/>
      <c r="G90" s="39"/>
      <c r="H90" s="39"/>
      <c r="I90" s="58"/>
    </row>
    <row r="91" spans="1:9" ht="15" customHeight="1" x14ac:dyDescent="0.25">
      <c r="A91" s="39"/>
      <c r="B91" s="39"/>
      <c r="C91" s="39"/>
      <c r="D91" s="39"/>
      <c r="E91" s="39"/>
      <c r="F91" s="39"/>
      <c r="G91" s="39"/>
      <c r="H91" s="39"/>
      <c r="I91" s="58"/>
    </row>
    <row r="92" spans="1:9" ht="15" customHeight="1" x14ac:dyDescent="0.25">
      <c r="A92" s="39"/>
      <c r="B92" s="39"/>
      <c r="C92" s="39"/>
      <c r="D92" s="39"/>
      <c r="E92" s="39"/>
      <c r="F92" s="39"/>
      <c r="G92" s="39"/>
      <c r="H92" s="39"/>
      <c r="I92" s="58"/>
    </row>
    <row r="93" spans="1:9" ht="15" customHeight="1" x14ac:dyDescent="0.25">
      <c r="A93" s="39"/>
      <c r="B93" s="39"/>
      <c r="C93" s="39"/>
      <c r="D93" s="39"/>
      <c r="E93" s="39"/>
      <c r="F93" s="39"/>
      <c r="G93" s="39"/>
      <c r="H93" s="39"/>
      <c r="I93" s="58"/>
    </row>
    <row r="94" spans="1:9" ht="15" customHeight="1" x14ac:dyDescent="0.25">
      <c r="A94" s="39"/>
      <c r="B94" s="39"/>
      <c r="C94" s="39"/>
      <c r="D94" s="39"/>
      <c r="E94" s="39"/>
      <c r="F94" s="39"/>
      <c r="G94" s="39"/>
      <c r="H94" s="39"/>
      <c r="I94" s="58"/>
    </row>
    <row r="95" spans="1:9" ht="15" customHeight="1" x14ac:dyDescent="0.25">
      <c r="A95" s="39"/>
      <c r="B95" s="39"/>
      <c r="C95" s="39"/>
      <c r="D95" s="39"/>
      <c r="E95" s="39"/>
      <c r="F95" s="39"/>
      <c r="G95" s="39"/>
      <c r="H95" s="39"/>
      <c r="I95" s="58"/>
    </row>
    <row r="96" spans="1:9" ht="15" customHeight="1" x14ac:dyDescent="0.25">
      <c r="A96" s="39"/>
      <c r="B96" s="39"/>
      <c r="C96" s="39"/>
      <c r="D96" s="39"/>
      <c r="E96" s="39"/>
      <c r="F96" s="39"/>
      <c r="G96" s="39"/>
      <c r="H96" s="39"/>
      <c r="I96" s="58"/>
    </row>
    <row r="97" spans="1:9" ht="15" customHeight="1" x14ac:dyDescent="0.25">
      <c r="A97" s="39"/>
      <c r="B97" s="39"/>
      <c r="C97" s="39"/>
      <c r="D97" s="39"/>
      <c r="E97" s="39"/>
      <c r="F97" s="39"/>
      <c r="G97" s="39"/>
      <c r="H97" s="39"/>
      <c r="I97" s="58"/>
    </row>
    <row r="98" spans="1:9" ht="15" customHeight="1" x14ac:dyDescent="0.25">
      <c r="A98" s="39"/>
      <c r="B98" s="39"/>
      <c r="C98" s="39"/>
      <c r="D98" s="39"/>
      <c r="E98" s="39"/>
      <c r="F98" s="39"/>
      <c r="G98" s="39"/>
      <c r="H98" s="39"/>
      <c r="I98" s="58"/>
    </row>
    <row r="99" spans="1:9" ht="15" customHeight="1" x14ac:dyDescent="0.25">
      <c r="A99" s="39"/>
      <c r="B99" s="39"/>
      <c r="C99" s="39"/>
      <c r="D99" s="39"/>
      <c r="E99" s="39"/>
      <c r="F99" s="39"/>
      <c r="G99" s="39"/>
      <c r="H99" s="39"/>
      <c r="I99" s="58"/>
    </row>
    <row r="100" spans="1:9" ht="15" customHeight="1" x14ac:dyDescent="0.25">
      <c r="A100" s="42"/>
      <c r="B100" s="39"/>
      <c r="C100" s="39"/>
      <c r="D100" s="39"/>
      <c r="E100" s="39"/>
      <c r="F100" s="39"/>
      <c r="G100" s="39"/>
      <c r="H100" s="39"/>
      <c r="I100" s="58"/>
    </row>
    <row r="101" spans="1:9" ht="15" customHeight="1" x14ac:dyDescent="0.25">
      <c r="A101" s="39"/>
      <c r="B101" s="39"/>
      <c r="C101" s="39"/>
      <c r="D101" s="39"/>
      <c r="E101" s="39"/>
      <c r="F101" s="39"/>
      <c r="G101" s="39"/>
      <c r="H101" s="39"/>
      <c r="I101" s="58"/>
    </row>
    <row r="102" spans="1:9" ht="15" customHeight="1" x14ac:dyDescent="0.25">
      <c r="A102" s="39"/>
      <c r="B102" s="39"/>
      <c r="C102" s="39"/>
      <c r="D102" s="39"/>
      <c r="E102" s="39"/>
      <c r="F102" s="39"/>
      <c r="G102" s="39"/>
      <c r="H102" s="39"/>
      <c r="I102" s="58"/>
    </row>
    <row r="103" spans="1:9" ht="15" customHeight="1" x14ac:dyDescent="0.25">
      <c r="A103" s="39"/>
      <c r="B103" s="39"/>
      <c r="C103" s="39"/>
      <c r="D103" s="39"/>
      <c r="E103" s="39"/>
      <c r="F103" s="39"/>
      <c r="G103" s="39"/>
      <c r="H103" s="39"/>
      <c r="I103" s="58"/>
    </row>
    <row r="104" spans="1:9" ht="15" customHeight="1" x14ac:dyDescent="0.25">
      <c r="A104" s="39"/>
      <c r="B104" s="39"/>
      <c r="C104" s="39"/>
      <c r="D104" s="39"/>
      <c r="E104" s="39"/>
      <c r="F104" s="39"/>
      <c r="G104" s="39"/>
      <c r="H104" s="39"/>
      <c r="I104" s="58"/>
    </row>
    <row r="105" spans="1:9" ht="15" customHeight="1" x14ac:dyDescent="0.25">
      <c r="A105" s="39"/>
      <c r="B105" s="39"/>
      <c r="C105" s="39"/>
      <c r="D105" s="39"/>
      <c r="E105" s="39"/>
      <c r="F105" s="39"/>
      <c r="G105" s="39"/>
      <c r="H105" s="39"/>
      <c r="I105" s="58"/>
    </row>
    <row r="106" spans="1:9" ht="15" customHeight="1" x14ac:dyDescent="0.25">
      <c r="A106" s="39"/>
      <c r="B106" s="39"/>
      <c r="C106" s="39"/>
      <c r="D106" s="39"/>
      <c r="E106" s="39"/>
      <c r="F106" s="39"/>
      <c r="G106" s="39"/>
      <c r="H106" s="39"/>
      <c r="I106" s="58"/>
    </row>
    <row r="107" spans="1:9" ht="15" customHeight="1" x14ac:dyDescent="0.25">
      <c r="A107" s="39"/>
      <c r="B107" s="39"/>
      <c r="C107" s="39"/>
      <c r="D107" s="39"/>
      <c r="E107" s="39"/>
      <c r="F107" s="39"/>
      <c r="G107" s="39"/>
      <c r="H107" s="39"/>
      <c r="I107" s="58"/>
    </row>
    <row r="108" spans="1:9" ht="15" customHeight="1" x14ac:dyDescent="0.25">
      <c r="A108" s="39"/>
      <c r="B108" s="39"/>
      <c r="C108" s="39"/>
      <c r="D108" s="39"/>
      <c r="E108" s="39"/>
      <c r="F108" s="39"/>
      <c r="G108" s="39"/>
      <c r="H108" s="39"/>
      <c r="I108" s="58"/>
    </row>
    <row r="109" spans="1:9" ht="15" customHeight="1" x14ac:dyDescent="0.25">
      <c r="A109" s="42"/>
      <c r="B109" s="39"/>
      <c r="C109" s="39"/>
      <c r="D109" s="39"/>
      <c r="E109" s="39"/>
      <c r="F109" s="39"/>
      <c r="G109" s="39"/>
      <c r="H109" s="39"/>
      <c r="I109" s="58"/>
    </row>
    <row r="110" spans="1:9" ht="15" customHeight="1" x14ac:dyDescent="0.25">
      <c r="A110" s="39"/>
      <c r="B110" s="43"/>
      <c r="C110" s="43"/>
      <c r="D110" s="43"/>
      <c r="E110" s="43"/>
      <c r="F110" s="43"/>
      <c r="G110" s="43"/>
      <c r="H110" s="43"/>
      <c r="I110" s="545"/>
    </row>
    <row r="111" spans="1:9" ht="15" customHeight="1" x14ac:dyDescent="0.25">
      <c r="A111" s="42"/>
      <c r="B111" s="39"/>
      <c r="C111" s="39"/>
      <c r="D111" s="39"/>
      <c r="E111" s="39"/>
      <c r="F111" s="39"/>
      <c r="G111" s="39"/>
      <c r="H111" s="39"/>
      <c r="I111" s="58"/>
    </row>
    <row r="112" spans="1:9" ht="15" customHeight="1" x14ac:dyDescent="0.25">
      <c r="A112" s="39"/>
      <c r="B112" s="39"/>
      <c r="C112" s="39"/>
      <c r="D112" s="39"/>
      <c r="E112" s="39"/>
      <c r="F112" s="39"/>
      <c r="G112" s="39"/>
      <c r="H112" s="39"/>
      <c r="I112" s="58"/>
    </row>
    <row r="113" spans="1:9" ht="15" customHeight="1" x14ac:dyDescent="0.25">
      <c r="A113" s="39"/>
      <c r="B113" s="39"/>
      <c r="C113" s="39"/>
      <c r="D113" s="39"/>
      <c r="E113" s="39"/>
      <c r="F113" s="39"/>
      <c r="G113" s="39"/>
      <c r="H113" s="39"/>
      <c r="I113" s="58"/>
    </row>
    <row r="114" spans="1:9" ht="15" customHeight="1" x14ac:dyDescent="0.25">
      <c r="A114" s="39"/>
      <c r="B114" s="39"/>
      <c r="C114" s="39"/>
      <c r="D114" s="39"/>
      <c r="E114" s="39"/>
      <c r="F114" s="39"/>
      <c r="G114" s="39"/>
      <c r="H114" s="39"/>
      <c r="I114" s="58"/>
    </row>
    <row r="115" spans="1:9" ht="15" customHeight="1" x14ac:dyDescent="0.25">
      <c r="A115" s="39"/>
      <c r="B115" s="39"/>
      <c r="C115" s="39"/>
      <c r="D115" s="39"/>
      <c r="E115" s="39"/>
      <c r="F115" s="39"/>
      <c r="G115" s="39"/>
      <c r="H115" s="39"/>
      <c r="I115" s="58"/>
    </row>
    <row r="116" spans="1:9" ht="15" customHeight="1" x14ac:dyDescent="0.25">
      <c r="A116" s="39"/>
      <c r="B116" s="39"/>
      <c r="C116" s="39"/>
      <c r="D116" s="39"/>
      <c r="E116" s="39"/>
      <c r="F116" s="39"/>
      <c r="G116" s="39"/>
      <c r="H116" s="39"/>
      <c r="I116" s="58"/>
    </row>
    <row r="117" spans="1:9" ht="15" customHeight="1" x14ac:dyDescent="0.25">
      <c r="A117" s="39"/>
      <c r="B117" s="39"/>
      <c r="C117" s="39"/>
      <c r="D117" s="39"/>
      <c r="E117" s="39"/>
      <c r="F117" s="39"/>
      <c r="G117" s="39"/>
      <c r="H117" s="39"/>
      <c r="I117" s="58"/>
    </row>
    <row r="118" spans="1:9" ht="15" customHeight="1" x14ac:dyDescent="0.25">
      <c r="A118" s="39"/>
      <c r="B118" s="39"/>
      <c r="C118" s="39"/>
      <c r="D118" s="39"/>
      <c r="E118" s="39"/>
      <c r="F118" s="39"/>
      <c r="G118" s="39"/>
      <c r="H118" s="39"/>
      <c r="I118" s="58"/>
    </row>
    <row r="119" spans="1:9" ht="15" customHeight="1" x14ac:dyDescent="0.25">
      <c r="A119" s="39"/>
      <c r="B119" s="39"/>
      <c r="C119" s="39"/>
      <c r="D119" s="39"/>
      <c r="E119" s="39"/>
      <c r="F119" s="39"/>
      <c r="G119" s="39"/>
      <c r="H119" s="39"/>
      <c r="I119" s="58"/>
    </row>
    <row r="120" spans="1:9" ht="15" customHeight="1" x14ac:dyDescent="0.25">
      <c r="A120" s="39"/>
      <c r="B120" s="39"/>
      <c r="C120" s="39"/>
      <c r="D120" s="39"/>
      <c r="E120" s="39"/>
      <c r="F120" s="39"/>
      <c r="G120" s="39"/>
      <c r="H120" s="39"/>
      <c r="I120" s="58"/>
    </row>
    <row r="121" spans="1:9" ht="15" customHeight="1" x14ac:dyDescent="0.25">
      <c r="A121" s="39"/>
      <c r="B121" s="39"/>
      <c r="C121" s="39"/>
      <c r="D121" s="39"/>
      <c r="E121" s="39"/>
      <c r="F121" s="39"/>
      <c r="G121" s="39"/>
      <c r="H121" s="39"/>
      <c r="I121" s="58"/>
    </row>
    <row r="122" spans="1:9" ht="15" customHeight="1" x14ac:dyDescent="0.25">
      <c r="A122" s="39"/>
      <c r="B122" s="39"/>
      <c r="C122" s="39"/>
      <c r="D122" s="39"/>
      <c r="E122" s="39"/>
      <c r="F122" s="39"/>
      <c r="G122" s="39"/>
      <c r="H122" s="39"/>
      <c r="I122" s="58"/>
    </row>
    <row r="123" spans="1:9" ht="15" customHeight="1" x14ac:dyDescent="0.25">
      <c r="A123" s="39"/>
      <c r="B123" s="39"/>
      <c r="C123" s="39"/>
      <c r="D123" s="39"/>
      <c r="E123" s="39"/>
      <c r="F123" s="39"/>
      <c r="G123" s="39"/>
      <c r="H123" s="39"/>
      <c r="I123" s="58"/>
    </row>
    <row r="124" spans="1:9" ht="15" customHeight="1" x14ac:dyDescent="0.25">
      <c r="A124" s="39"/>
      <c r="B124" s="39"/>
      <c r="C124" s="39"/>
      <c r="D124" s="39"/>
      <c r="E124" s="39"/>
      <c r="F124" s="39"/>
      <c r="G124" s="39"/>
      <c r="H124" s="39"/>
      <c r="I124" s="58"/>
    </row>
    <row r="125" spans="1:9" ht="15" customHeight="1" x14ac:dyDescent="0.25">
      <c r="A125" s="39"/>
      <c r="B125" s="39"/>
      <c r="C125" s="39"/>
      <c r="D125" s="39"/>
      <c r="E125" s="39"/>
      <c r="F125" s="39"/>
      <c r="G125" s="39"/>
      <c r="H125" s="39"/>
      <c r="I125" s="58"/>
    </row>
    <row r="126" spans="1:9" ht="15" customHeight="1" x14ac:dyDescent="0.25">
      <c r="A126" s="39"/>
      <c r="B126" s="39"/>
      <c r="C126" s="39"/>
      <c r="D126" s="39"/>
      <c r="E126" s="39"/>
      <c r="F126" s="39"/>
      <c r="G126" s="39"/>
      <c r="H126" s="39"/>
      <c r="I126" s="58"/>
    </row>
    <row r="127" spans="1:9" ht="15" customHeight="1" x14ac:dyDescent="0.25">
      <c r="A127" s="39"/>
      <c r="B127" s="39"/>
      <c r="C127" s="39"/>
      <c r="D127" s="39"/>
      <c r="E127" s="39"/>
      <c r="F127" s="39"/>
      <c r="G127" s="39"/>
      <c r="H127" s="39"/>
      <c r="I127" s="58"/>
    </row>
    <row r="128" spans="1:9" ht="15" customHeight="1" x14ac:dyDescent="0.25">
      <c r="A128" s="42"/>
      <c r="B128" s="39"/>
      <c r="C128" s="39"/>
      <c r="D128" s="39"/>
      <c r="E128" s="39"/>
      <c r="F128" s="39"/>
      <c r="G128" s="39"/>
      <c r="H128" s="39"/>
      <c r="I128" s="58"/>
    </row>
    <row r="129" spans="1:9" ht="15" customHeight="1" x14ac:dyDescent="0.25">
      <c r="A129" s="39"/>
      <c r="B129" s="39"/>
      <c r="C129" s="39"/>
      <c r="D129" s="39"/>
      <c r="E129" s="39"/>
      <c r="F129" s="39"/>
      <c r="G129" s="39"/>
      <c r="H129" s="39"/>
      <c r="I129" s="58"/>
    </row>
    <row r="130" spans="1:9" ht="15" customHeight="1" x14ac:dyDescent="0.25">
      <c r="A130" s="39"/>
      <c r="B130" s="39"/>
      <c r="C130" s="39"/>
      <c r="D130" s="39"/>
      <c r="E130" s="39"/>
      <c r="F130" s="39"/>
      <c r="G130" s="39"/>
      <c r="H130" s="39"/>
      <c r="I130" s="58"/>
    </row>
    <row r="131" spans="1:9" ht="15" customHeight="1" x14ac:dyDescent="0.25">
      <c r="A131" s="39"/>
      <c r="B131" s="39"/>
      <c r="C131" s="39"/>
      <c r="D131" s="39"/>
      <c r="E131" s="39"/>
      <c r="F131" s="39"/>
      <c r="G131" s="39"/>
      <c r="H131" s="39"/>
      <c r="I131" s="58"/>
    </row>
    <row r="132" spans="1:9" ht="15" customHeight="1" x14ac:dyDescent="0.25">
      <c r="A132" s="39"/>
      <c r="B132" s="39"/>
      <c r="C132" s="39"/>
      <c r="D132" s="39"/>
      <c r="E132" s="39"/>
      <c r="F132" s="39"/>
      <c r="G132" s="39"/>
      <c r="H132" s="39"/>
      <c r="I132" s="58"/>
    </row>
    <row r="133" spans="1:9" ht="15" customHeight="1" x14ac:dyDescent="0.25">
      <c r="A133" s="39"/>
      <c r="B133" s="39"/>
      <c r="C133" s="39"/>
      <c r="D133" s="39"/>
      <c r="E133" s="39"/>
      <c r="F133" s="39"/>
      <c r="G133" s="39"/>
      <c r="H133" s="39"/>
      <c r="I133" s="58"/>
    </row>
    <row r="134" spans="1:9" ht="15" customHeight="1" x14ac:dyDescent="0.25">
      <c r="A134" s="39"/>
      <c r="B134" s="39"/>
      <c r="C134" s="39"/>
      <c r="D134" s="39"/>
      <c r="E134" s="39"/>
      <c r="F134" s="39"/>
      <c r="G134" s="39"/>
      <c r="H134" s="39"/>
      <c r="I134" s="58"/>
    </row>
    <row r="135" spans="1:9" ht="15" customHeight="1" x14ac:dyDescent="0.25">
      <c r="A135" s="39"/>
      <c r="B135" s="39"/>
      <c r="C135" s="39"/>
      <c r="D135" s="39"/>
      <c r="E135" s="39"/>
      <c r="F135" s="39"/>
      <c r="G135" s="39"/>
      <c r="H135" s="39"/>
      <c r="I135" s="58"/>
    </row>
    <row r="136" spans="1:9" ht="15" customHeight="1" x14ac:dyDescent="0.25">
      <c r="A136" s="39"/>
      <c r="B136" s="39"/>
      <c r="C136" s="39"/>
      <c r="D136" s="39"/>
      <c r="E136" s="39"/>
      <c r="F136" s="39"/>
      <c r="G136" s="39"/>
      <c r="H136" s="39"/>
      <c r="I136" s="58"/>
    </row>
    <row r="137" spans="1:9" ht="15" customHeight="1" x14ac:dyDescent="0.25">
      <c r="A137" s="42"/>
      <c r="B137" s="39"/>
      <c r="C137" s="39"/>
      <c r="D137" s="39"/>
      <c r="E137" s="39"/>
      <c r="F137" s="39"/>
      <c r="G137" s="39"/>
      <c r="H137" s="39"/>
      <c r="I137" s="58"/>
    </row>
    <row r="138" spans="1:9" ht="15" customHeight="1" x14ac:dyDescent="0.25">
      <c r="A138" s="39"/>
      <c r="B138" s="43"/>
      <c r="C138" s="43"/>
      <c r="D138" s="43"/>
      <c r="E138" s="43"/>
      <c r="F138" s="43"/>
      <c r="G138" s="43"/>
      <c r="H138" s="43"/>
      <c r="I138" s="545"/>
    </row>
    <row r="139" spans="1:9" ht="15" customHeight="1" x14ac:dyDescent="0.25">
      <c r="A139" s="42"/>
      <c r="B139" s="39"/>
      <c r="C139" s="39"/>
      <c r="D139" s="39"/>
      <c r="E139" s="39"/>
      <c r="F139" s="39"/>
      <c r="G139" s="39"/>
      <c r="H139" s="39"/>
      <c r="I139" s="58"/>
    </row>
    <row r="140" spans="1:9" ht="15" customHeight="1" x14ac:dyDescent="0.25">
      <c r="A140" s="39"/>
      <c r="B140" s="39"/>
      <c r="C140" s="39"/>
      <c r="D140" s="39"/>
      <c r="E140" s="39"/>
      <c r="F140" s="39"/>
      <c r="G140" s="39"/>
      <c r="H140" s="39"/>
      <c r="I140" s="58"/>
    </row>
    <row r="141" spans="1:9" ht="15" customHeight="1" x14ac:dyDescent="0.25">
      <c r="A141" s="39"/>
      <c r="B141" s="39"/>
      <c r="C141" s="39"/>
      <c r="D141" s="39"/>
      <c r="E141" s="39"/>
      <c r="F141" s="39"/>
      <c r="G141" s="39"/>
      <c r="H141" s="39"/>
      <c r="I141" s="58"/>
    </row>
    <row r="142" spans="1:9" ht="15" customHeight="1" x14ac:dyDescent="0.25">
      <c r="A142" s="39"/>
      <c r="B142" s="39"/>
      <c r="C142" s="39"/>
      <c r="D142" s="39"/>
      <c r="E142" s="39"/>
      <c r="F142" s="39"/>
      <c r="G142" s="39"/>
      <c r="H142" s="39"/>
      <c r="I142" s="58"/>
    </row>
    <row r="143" spans="1:9" ht="15" customHeight="1" x14ac:dyDescent="0.25">
      <c r="A143" s="39"/>
      <c r="B143" s="39"/>
      <c r="C143" s="39"/>
      <c r="D143" s="39"/>
      <c r="E143" s="39"/>
      <c r="F143" s="39"/>
      <c r="G143" s="39"/>
      <c r="H143" s="39"/>
      <c r="I143" s="58"/>
    </row>
    <row r="144" spans="1:9" ht="15" customHeight="1" x14ac:dyDescent="0.25">
      <c r="A144" s="39"/>
      <c r="B144" s="39"/>
      <c r="C144" s="39"/>
      <c r="D144" s="39"/>
      <c r="E144" s="39"/>
      <c r="F144" s="39"/>
      <c r="G144" s="39"/>
      <c r="H144" s="39"/>
      <c r="I144" s="58"/>
    </row>
    <row r="145" spans="1:9" ht="15" customHeight="1" x14ac:dyDescent="0.25">
      <c r="A145" s="39"/>
      <c r="B145" s="39"/>
      <c r="C145" s="39"/>
      <c r="D145" s="39"/>
      <c r="E145" s="39"/>
      <c r="F145" s="39"/>
      <c r="G145" s="39"/>
      <c r="H145" s="39"/>
      <c r="I145" s="58"/>
    </row>
    <row r="146" spans="1:9" ht="15" customHeight="1" x14ac:dyDescent="0.25">
      <c r="A146" s="39"/>
      <c r="B146" s="39"/>
      <c r="C146" s="39"/>
      <c r="D146" s="39"/>
      <c r="E146" s="39"/>
      <c r="F146" s="39"/>
      <c r="G146" s="39"/>
      <c r="H146" s="39"/>
      <c r="I146" s="58"/>
    </row>
    <row r="147" spans="1:9" ht="15" customHeight="1" x14ac:dyDescent="0.25">
      <c r="A147" s="39"/>
      <c r="B147" s="39"/>
      <c r="C147" s="39"/>
      <c r="D147" s="39"/>
      <c r="E147" s="39"/>
      <c r="F147" s="39"/>
      <c r="G147" s="39"/>
      <c r="H147" s="39"/>
      <c r="I147" s="58"/>
    </row>
    <row r="148" spans="1:9" ht="15" customHeight="1" x14ac:dyDescent="0.25">
      <c r="A148" s="39"/>
      <c r="B148" s="39"/>
      <c r="C148" s="39"/>
      <c r="D148" s="39"/>
      <c r="E148" s="39"/>
      <c r="F148" s="39"/>
      <c r="G148" s="39"/>
      <c r="H148" s="39"/>
      <c r="I148" s="58"/>
    </row>
    <row r="149" spans="1:9" ht="15" customHeight="1" x14ac:dyDescent="0.25">
      <c r="A149" s="39"/>
      <c r="B149" s="39"/>
      <c r="C149" s="39"/>
      <c r="D149" s="39"/>
      <c r="E149" s="39"/>
      <c r="F149" s="39"/>
      <c r="G149" s="39"/>
      <c r="H149" s="39"/>
      <c r="I149" s="58"/>
    </row>
    <row r="150" spans="1:9" ht="15" customHeight="1" x14ac:dyDescent="0.25">
      <c r="A150" s="39"/>
      <c r="B150" s="39"/>
      <c r="C150" s="39"/>
      <c r="D150" s="39"/>
      <c r="E150" s="39"/>
      <c r="F150" s="39"/>
      <c r="G150" s="39"/>
      <c r="H150" s="39"/>
      <c r="I150" s="58"/>
    </row>
    <row r="151" spans="1:9" ht="15" customHeight="1" x14ac:dyDescent="0.25">
      <c r="A151" s="39"/>
      <c r="B151" s="39"/>
      <c r="C151" s="39"/>
      <c r="D151" s="39"/>
      <c r="E151" s="39"/>
      <c r="F151" s="39"/>
      <c r="G151" s="39"/>
      <c r="H151" s="39"/>
      <c r="I151" s="58"/>
    </row>
    <row r="152" spans="1:9" ht="15" customHeight="1" x14ac:dyDescent="0.25">
      <c r="A152" s="39"/>
      <c r="B152" s="39"/>
      <c r="C152" s="39"/>
      <c r="D152" s="39"/>
      <c r="E152" s="39"/>
      <c r="F152" s="39"/>
      <c r="G152" s="39"/>
      <c r="H152" s="39"/>
      <c r="I152" s="58"/>
    </row>
    <row r="153" spans="1:9" ht="15" customHeight="1" x14ac:dyDescent="0.25">
      <c r="A153" s="39"/>
      <c r="B153" s="39"/>
      <c r="C153" s="39"/>
      <c r="D153" s="39"/>
      <c r="E153" s="39"/>
      <c r="F153" s="39"/>
      <c r="G153" s="39"/>
      <c r="H153" s="39"/>
      <c r="I153" s="58"/>
    </row>
    <row r="154" spans="1:9" ht="15" customHeight="1" x14ac:dyDescent="0.25">
      <c r="A154" s="39"/>
      <c r="B154" s="39"/>
      <c r="C154" s="39"/>
      <c r="D154" s="39"/>
      <c r="E154" s="39"/>
      <c r="F154" s="39"/>
      <c r="G154" s="39"/>
      <c r="H154" s="39"/>
      <c r="I154" s="58"/>
    </row>
    <row r="155" spans="1:9" ht="15" customHeight="1" x14ac:dyDescent="0.25">
      <c r="A155" s="39"/>
      <c r="B155" s="39"/>
      <c r="C155" s="39"/>
      <c r="D155" s="39"/>
      <c r="E155" s="39"/>
      <c r="F155" s="39"/>
      <c r="G155" s="39"/>
      <c r="H155" s="39"/>
      <c r="I155" s="58"/>
    </row>
    <row r="156" spans="1:9" ht="15" customHeight="1" x14ac:dyDescent="0.25">
      <c r="A156" s="42"/>
      <c r="B156" s="39"/>
      <c r="C156" s="39"/>
      <c r="D156" s="39"/>
      <c r="E156" s="39"/>
      <c r="F156" s="39"/>
      <c r="G156" s="39"/>
      <c r="H156" s="39"/>
      <c r="I156" s="58"/>
    </row>
    <row r="157" spans="1:9" ht="15" customHeight="1" x14ac:dyDescent="0.25">
      <c r="A157" s="39"/>
      <c r="B157" s="39"/>
      <c r="C157" s="39"/>
      <c r="D157" s="39"/>
      <c r="E157" s="39"/>
      <c r="F157" s="39"/>
      <c r="G157" s="39"/>
      <c r="H157" s="39"/>
      <c r="I157" s="58"/>
    </row>
    <row r="158" spans="1:9" ht="15" customHeight="1" x14ac:dyDescent="0.25">
      <c r="A158" s="39"/>
      <c r="B158" s="39"/>
      <c r="C158" s="39"/>
      <c r="D158" s="39"/>
      <c r="E158" s="39"/>
      <c r="F158" s="39"/>
      <c r="G158" s="39"/>
      <c r="H158" s="39"/>
      <c r="I158" s="58"/>
    </row>
    <row r="159" spans="1:9" ht="15" customHeight="1" x14ac:dyDescent="0.25">
      <c r="A159" s="39"/>
      <c r="B159" s="39"/>
      <c r="C159" s="39"/>
      <c r="D159" s="39"/>
      <c r="E159" s="39"/>
      <c r="F159" s="39"/>
      <c r="G159" s="39"/>
      <c r="H159" s="39"/>
      <c r="I159" s="58"/>
    </row>
    <row r="160" spans="1:9" ht="15" customHeight="1" x14ac:dyDescent="0.25">
      <c r="A160" s="39"/>
      <c r="B160" s="39"/>
      <c r="C160" s="39"/>
      <c r="D160" s="39"/>
      <c r="E160" s="39"/>
      <c r="F160" s="39"/>
      <c r="G160" s="39"/>
      <c r="H160" s="39"/>
      <c r="I160" s="58"/>
    </row>
    <row r="161" spans="1:9" ht="15" customHeight="1" x14ac:dyDescent="0.25">
      <c r="A161" s="39"/>
      <c r="B161" s="39"/>
      <c r="C161" s="39"/>
      <c r="D161" s="39"/>
      <c r="E161" s="39"/>
      <c r="F161" s="39"/>
      <c r="G161" s="39"/>
      <c r="H161" s="39"/>
      <c r="I161" s="58"/>
    </row>
    <row r="162" spans="1:9" ht="15" customHeight="1" x14ac:dyDescent="0.25">
      <c r="A162" s="39"/>
      <c r="B162" s="39"/>
      <c r="C162" s="39"/>
      <c r="D162" s="39"/>
      <c r="E162" s="39"/>
      <c r="F162" s="39"/>
      <c r="G162" s="39"/>
      <c r="H162" s="39"/>
      <c r="I162" s="58"/>
    </row>
    <row r="163" spans="1:9" ht="15" customHeight="1" x14ac:dyDescent="0.25">
      <c r="A163" s="39"/>
      <c r="B163" s="39"/>
      <c r="C163" s="39"/>
      <c r="D163" s="39"/>
      <c r="E163" s="39"/>
      <c r="F163" s="39"/>
      <c r="G163" s="39"/>
      <c r="H163" s="39"/>
      <c r="I163" s="58"/>
    </row>
    <row r="164" spans="1:9" ht="15" customHeight="1" x14ac:dyDescent="0.25">
      <c r="A164" s="39"/>
      <c r="B164" s="39"/>
      <c r="C164" s="39"/>
      <c r="D164" s="39"/>
      <c r="E164" s="39"/>
      <c r="F164" s="39"/>
      <c r="G164" s="39"/>
      <c r="H164" s="39"/>
      <c r="I164" s="58"/>
    </row>
    <row r="165" spans="1:9" ht="15" customHeight="1" x14ac:dyDescent="0.25">
      <c r="A165" s="39"/>
      <c r="B165" s="39"/>
      <c r="C165" s="39"/>
      <c r="D165" s="39"/>
      <c r="E165" s="39"/>
      <c r="F165" s="39"/>
      <c r="G165" s="39"/>
      <c r="H165" s="39"/>
      <c r="I165" s="58"/>
    </row>
    <row r="166" spans="1:9" ht="15" customHeight="1" x14ac:dyDescent="0.25">
      <c r="A166" s="39"/>
      <c r="B166" s="39"/>
      <c r="C166" s="39"/>
      <c r="D166" s="39"/>
      <c r="E166" s="39"/>
      <c r="F166" s="39"/>
      <c r="G166" s="39"/>
      <c r="H166" s="39"/>
      <c r="I166" s="58"/>
    </row>
    <row r="167" spans="1:9" ht="15" customHeight="1" x14ac:dyDescent="0.25">
      <c r="A167" s="39"/>
      <c r="B167" s="39"/>
      <c r="C167" s="39"/>
      <c r="D167" s="39"/>
      <c r="E167" s="39"/>
      <c r="F167" s="39"/>
      <c r="G167" s="39"/>
      <c r="H167" s="39"/>
      <c r="I167" s="58"/>
    </row>
    <row r="168" spans="1:9" ht="15" customHeight="1" x14ac:dyDescent="0.25">
      <c r="A168" s="39"/>
      <c r="B168" s="39"/>
      <c r="C168" s="39"/>
      <c r="D168" s="39"/>
      <c r="E168" s="39"/>
      <c r="F168" s="39"/>
      <c r="G168" s="39"/>
      <c r="H168" s="39"/>
      <c r="I168" s="58"/>
    </row>
    <row r="169" spans="1:9" ht="15" customHeight="1" x14ac:dyDescent="0.25">
      <c r="A169" s="39"/>
      <c r="B169" s="39"/>
      <c r="C169" s="39"/>
      <c r="D169" s="39"/>
      <c r="E169" s="39"/>
      <c r="F169" s="39"/>
      <c r="G169" s="39"/>
      <c r="H169" s="39"/>
      <c r="I169" s="58"/>
    </row>
    <row r="170" spans="1:9" ht="15" customHeight="1" x14ac:dyDescent="0.25">
      <c r="A170" s="39"/>
      <c r="B170" s="39"/>
      <c r="C170" s="39"/>
      <c r="D170" s="39"/>
      <c r="E170" s="39"/>
      <c r="F170" s="39"/>
      <c r="G170" s="39"/>
      <c r="H170" s="39"/>
      <c r="I170" s="58"/>
    </row>
    <row r="171" spans="1:9" ht="15" customHeight="1" x14ac:dyDescent="0.25">
      <c r="A171" s="39"/>
      <c r="B171" s="39"/>
      <c r="C171" s="39"/>
      <c r="D171" s="39"/>
      <c r="E171" s="39"/>
      <c r="F171" s="39"/>
      <c r="G171" s="39"/>
      <c r="H171" s="39"/>
      <c r="I171" s="58"/>
    </row>
    <row r="172" spans="1:9" ht="15" customHeight="1" x14ac:dyDescent="0.25">
      <c r="A172" s="39"/>
      <c r="B172" s="39"/>
      <c r="C172" s="39"/>
      <c r="D172" s="39"/>
      <c r="E172" s="39"/>
      <c r="F172" s="39"/>
      <c r="G172" s="39"/>
      <c r="H172" s="39"/>
      <c r="I172" s="58"/>
    </row>
    <row r="173" spans="1:9" ht="15" customHeight="1" x14ac:dyDescent="0.25">
      <c r="A173" s="39"/>
      <c r="B173" s="39"/>
      <c r="C173" s="39"/>
      <c r="D173" s="39"/>
      <c r="E173" s="39"/>
      <c r="F173" s="39"/>
      <c r="G173" s="39"/>
      <c r="H173" s="39"/>
      <c r="I173" s="58"/>
    </row>
  </sheetData>
  <mergeCells count="33">
    <mergeCell ref="T27:T31"/>
    <mergeCell ref="A2:J2"/>
    <mergeCell ref="A5:K5"/>
    <mergeCell ref="T7:T12"/>
    <mergeCell ref="A1:J1"/>
    <mergeCell ref="A13:B13"/>
    <mergeCell ref="A6:B6"/>
    <mergeCell ref="A11:B11"/>
    <mergeCell ref="A12:B12"/>
    <mergeCell ref="A3:P3"/>
    <mergeCell ref="A4:B4"/>
    <mergeCell ref="H4:P4"/>
    <mergeCell ref="C4:G4"/>
    <mergeCell ref="A32:B32"/>
    <mergeCell ref="A14:B14"/>
    <mergeCell ref="A15:B15"/>
    <mergeCell ref="A16:B16"/>
    <mergeCell ref="A17:B17"/>
    <mergeCell ref="A18:B18"/>
    <mergeCell ref="A19:B19"/>
    <mergeCell ref="A20:B20"/>
    <mergeCell ref="A28:B28"/>
    <mergeCell ref="A30:B30"/>
    <mergeCell ref="A31:B31"/>
    <mergeCell ref="A21:B22"/>
    <mergeCell ref="A23:B23"/>
    <mergeCell ref="A29:B29"/>
    <mergeCell ref="A38:B38"/>
    <mergeCell ref="A33:B33"/>
    <mergeCell ref="A34:B34"/>
    <mergeCell ref="A35:B35"/>
    <mergeCell ref="A36:B36"/>
    <mergeCell ref="A37:B37"/>
  </mergeCells>
  <pageMargins left="0.31496062992125984" right="0.11811023622047245" top="0.78740157480314965" bottom="0.78740157480314965" header="0.31496062992125984" footer="0.31496062992125984"/>
  <pageSetup paperSize="9" scale="95" orientation="portrait" verticalDpi="4" r:id="rId1"/>
  <rowBreaks count="3" manualBreakCount="3">
    <brk id="48" max="16383" man="1"/>
    <brk id="74" max="16383" man="1"/>
    <brk id="13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174"/>
  <sheetViews>
    <sheetView showGridLines="0" topLeftCell="A4" zoomScaleNormal="100" workbookViewId="0">
      <selection activeCell="I41" sqref="I41"/>
    </sheetView>
  </sheetViews>
  <sheetFormatPr defaultColWidth="9.140625" defaultRowHeight="15" customHeight="1" x14ac:dyDescent="0.25"/>
  <cols>
    <col min="1" max="1" width="50.7109375" style="44" customWidth="1"/>
    <col min="2" max="2" width="10.7109375" style="44" customWidth="1"/>
    <col min="3" max="3" width="15.7109375" style="44" customWidth="1"/>
    <col min="4" max="4" width="17.140625" style="44" customWidth="1"/>
    <col min="5" max="5" width="18.85546875" style="44" customWidth="1"/>
    <col min="6" max="8" width="15.7109375" style="44" customWidth="1"/>
    <col min="9" max="11" width="15.7109375" style="53" customWidth="1"/>
    <col min="12" max="12" width="17.7109375" style="53" customWidth="1"/>
    <col min="13" max="18" width="15.7109375" style="53" customWidth="1"/>
    <col min="19" max="19" width="9.28515625" style="53" bestFit="1" customWidth="1"/>
    <col min="20" max="20" width="209.140625" style="53" customWidth="1"/>
    <col min="21" max="16384" width="9.140625" style="44"/>
  </cols>
  <sheetData>
    <row r="1" spans="1:20" ht="15" customHeight="1" x14ac:dyDescent="0.25">
      <c r="A1" s="608"/>
      <c r="B1" s="608"/>
      <c r="C1" s="608"/>
      <c r="D1" s="608"/>
      <c r="E1" s="608"/>
      <c r="F1" s="608"/>
      <c r="G1" s="608"/>
      <c r="H1" s="608"/>
      <c r="I1" s="608"/>
      <c r="J1" s="608"/>
    </row>
    <row r="2" spans="1:20" ht="25.5" customHeight="1" x14ac:dyDescent="0.25">
      <c r="A2" s="565" t="s">
        <v>459</v>
      </c>
      <c r="B2" s="565"/>
      <c r="C2" s="565"/>
      <c r="D2" s="565"/>
      <c r="E2" s="565"/>
      <c r="F2" s="565"/>
      <c r="G2" s="565"/>
      <c r="H2" s="565"/>
      <c r="I2" s="565"/>
      <c r="J2" s="565"/>
      <c r="K2" s="44"/>
      <c r="L2" s="44"/>
      <c r="M2" s="44"/>
      <c r="N2" s="44"/>
      <c r="O2" s="44"/>
      <c r="P2" s="44"/>
      <c r="Q2" s="44"/>
      <c r="R2" s="44"/>
      <c r="S2" s="44"/>
      <c r="T2" s="44"/>
    </row>
    <row r="3" spans="1:20" ht="15" customHeight="1" x14ac:dyDescent="0.25">
      <c r="A3" s="614" t="s">
        <v>62</v>
      </c>
      <c r="B3" s="614"/>
      <c r="C3" s="614"/>
      <c r="D3" s="614"/>
      <c r="E3" s="614"/>
      <c r="F3" s="614"/>
      <c r="G3" s="614"/>
      <c r="H3" s="614"/>
      <c r="I3" s="614"/>
      <c r="J3" s="614"/>
      <c r="K3" s="614"/>
      <c r="L3" s="614"/>
      <c r="M3" s="614"/>
      <c r="N3" s="614"/>
      <c r="O3" s="614"/>
      <c r="P3" s="614"/>
      <c r="Q3" s="412"/>
      <c r="R3" s="412"/>
      <c r="S3" s="44"/>
      <c r="T3" s="44"/>
    </row>
    <row r="4" spans="1:20" ht="15" customHeight="1" x14ac:dyDescent="0.25">
      <c r="A4" s="570" t="s">
        <v>171</v>
      </c>
      <c r="B4" s="571"/>
      <c r="C4" s="572"/>
      <c r="D4" s="570" t="s">
        <v>172</v>
      </c>
      <c r="E4" s="571"/>
      <c r="F4" s="571"/>
      <c r="G4" s="571"/>
      <c r="H4" s="572"/>
      <c r="I4" s="549"/>
      <c r="J4" s="578" t="s">
        <v>457</v>
      </c>
      <c r="K4" s="578"/>
      <c r="L4" s="578"/>
      <c r="M4" s="578"/>
      <c r="N4" s="578"/>
      <c r="O4" s="578"/>
      <c r="P4" s="578"/>
      <c r="Q4" s="55"/>
      <c r="R4" s="55"/>
      <c r="S4" s="44"/>
      <c r="T4" s="44"/>
    </row>
    <row r="5" spans="1:20" ht="15" customHeight="1" x14ac:dyDescent="0.25">
      <c r="A5" s="620"/>
      <c r="B5" s="621"/>
      <c r="C5" s="621"/>
      <c r="D5" s="621"/>
      <c r="E5" s="621"/>
      <c r="F5" s="621"/>
      <c r="G5" s="621"/>
      <c r="H5" s="621"/>
      <c r="I5" s="607"/>
      <c r="J5" s="607"/>
      <c r="K5" s="607"/>
      <c r="L5" s="607"/>
      <c r="M5" s="622"/>
      <c r="N5" s="382"/>
      <c r="O5" s="382"/>
      <c r="P5" s="382"/>
      <c r="Q5" s="382"/>
      <c r="R5" s="382"/>
      <c r="S5" s="44"/>
      <c r="T5" s="331" t="s">
        <v>325</v>
      </c>
    </row>
    <row r="6" spans="1:20" ht="36.75" customHeight="1" x14ac:dyDescent="0.25">
      <c r="A6" s="568" t="s">
        <v>69</v>
      </c>
      <c r="B6" s="568"/>
      <c r="C6" s="123" t="s">
        <v>285</v>
      </c>
      <c r="D6" s="287" t="s">
        <v>286</v>
      </c>
      <c r="E6" s="123" t="s">
        <v>287</v>
      </c>
      <c r="F6" s="448" t="s">
        <v>290</v>
      </c>
      <c r="G6" s="439" t="s">
        <v>289</v>
      </c>
      <c r="H6" s="439" t="s">
        <v>292</v>
      </c>
      <c r="I6" s="123" t="s">
        <v>501</v>
      </c>
      <c r="J6" s="123" t="s">
        <v>502</v>
      </c>
      <c r="K6" s="123" t="s">
        <v>296</v>
      </c>
      <c r="L6" s="123" t="s">
        <v>380</v>
      </c>
      <c r="M6" s="123" t="s">
        <v>381</v>
      </c>
      <c r="N6" s="123" t="s">
        <v>384</v>
      </c>
      <c r="O6" s="123" t="s">
        <v>385</v>
      </c>
      <c r="P6" s="123" t="s">
        <v>386</v>
      </c>
      <c r="Q6" s="399" t="s">
        <v>404</v>
      </c>
      <c r="R6" s="123" t="s">
        <v>400</v>
      </c>
      <c r="S6" s="44"/>
      <c r="T6" s="356" t="s">
        <v>331</v>
      </c>
    </row>
    <row r="7" spans="1:20" ht="16.5" customHeight="1" x14ac:dyDescent="0.25">
      <c r="A7" s="109" t="s">
        <v>60</v>
      </c>
      <c r="B7" s="96"/>
      <c r="C7" s="308">
        <v>1052.2</v>
      </c>
      <c r="D7" s="101">
        <f>ROUND((1052.2*1.0657),2)</f>
        <v>1121.33</v>
      </c>
      <c r="E7" s="101">
        <f>ROUND((1052.2*1.0657),2)</f>
        <v>1121.33</v>
      </c>
      <c r="F7" s="101">
        <f>ROUND((1052.2*1.0657),2)</f>
        <v>1121.33</v>
      </c>
      <c r="G7" s="101">
        <f>ROUND((1052.2*1.0657),2)</f>
        <v>1121.33</v>
      </c>
      <c r="H7" s="101">
        <f>ROUND((1121.33*1.031),2)</f>
        <v>1156.0899999999999</v>
      </c>
      <c r="I7" s="101">
        <f>ROUND((1121.33*1.031),2)</f>
        <v>1156.0899999999999</v>
      </c>
      <c r="J7" s="101">
        <f>SALARIOS!G8</f>
        <v>1198.8699999999999</v>
      </c>
      <c r="K7" s="101">
        <f>'Quadro Resumo '!D44</f>
        <v>1198.8699999999999</v>
      </c>
      <c r="L7" s="101">
        <f t="shared" ref="L7:Q7" si="0">ROUND(1198.87*1.032,2)</f>
        <v>1237.23</v>
      </c>
      <c r="M7" s="101">
        <f t="shared" si="0"/>
        <v>1237.23</v>
      </c>
      <c r="N7" s="101">
        <f t="shared" si="0"/>
        <v>1237.23</v>
      </c>
      <c r="O7" s="101">
        <f t="shared" si="0"/>
        <v>1237.23</v>
      </c>
      <c r="P7" s="400">
        <f t="shared" si="0"/>
        <v>1237.23</v>
      </c>
      <c r="Q7" s="400">
        <f t="shared" si="0"/>
        <v>1237.23</v>
      </c>
      <c r="R7" s="101">
        <f>ROUND(Q7*1.041,2)</f>
        <v>1287.96</v>
      </c>
      <c r="T7" s="588" t="s">
        <v>332</v>
      </c>
    </row>
    <row r="8" spans="1:20" ht="2.25" hidden="1" customHeight="1" x14ac:dyDescent="0.25">
      <c r="A8" s="47" t="s">
        <v>6</v>
      </c>
      <c r="B8" s="50"/>
      <c r="C8" s="101">
        <v>0</v>
      </c>
      <c r="D8" s="101">
        <v>0</v>
      </c>
      <c r="E8" s="101">
        <v>0</v>
      </c>
      <c r="F8" s="101">
        <v>0</v>
      </c>
      <c r="G8" s="101">
        <v>0</v>
      </c>
      <c r="H8" s="101">
        <v>0</v>
      </c>
      <c r="I8" s="101"/>
      <c r="J8" s="101">
        <v>0</v>
      </c>
      <c r="K8" s="101">
        <v>0</v>
      </c>
      <c r="L8" s="101">
        <v>0</v>
      </c>
      <c r="M8" s="101">
        <v>0</v>
      </c>
      <c r="N8" s="101">
        <v>0</v>
      </c>
      <c r="O8" s="101">
        <v>0</v>
      </c>
      <c r="P8" s="400">
        <v>0</v>
      </c>
      <c r="Q8" s="400"/>
      <c r="R8" s="101"/>
      <c r="T8" s="589"/>
    </row>
    <row r="9" spans="1:20" ht="0.75" hidden="1" customHeight="1" x14ac:dyDescent="0.25">
      <c r="A9" s="47" t="s">
        <v>7</v>
      </c>
      <c r="B9" s="50"/>
      <c r="C9" s="101">
        <v>0</v>
      </c>
      <c r="D9" s="101">
        <v>0</v>
      </c>
      <c r="E9" s="101">
        <v>0</v>
      </c>
      <c r="F9" s="101">
        <v>0</v>
      </c>
      <c r="G9" s="101">
        <v>0</v>
      </c>
      <c r="H9" s="101">
        <v>0</v>
      </c>
      <c r="I9" s="101"/>
      <c r="J9" s="101">
        <v>0</v>
      </c>
      <c r="K9" s="101">
        <v>0</v>
      </c>
      <c r="L9" s="101">
        <v>0</v>
      </c>
      <c r="M9" s="101">
        <v>0</v>
      </c>
      <c r="N9" s="101">
        <v>0</v>
      </c>
      <c r="O9" s="101">
        <v>0</v>
      </c>
      <c r="P9" s="400">
        <v>0</v>
      </c>
      <c r="Q9" s="400"/>
      <c r="R9" s="101"/>
      <c r="T9" s="589"/>
    </row>
    <row r="10" spans="1:20" ht="0.75" hidden="1" customHeight="1" x14ac:dyDescent="0.25">
      <c r="A10" s="47" t="s">
        <v>8</v>
      </c>
      <c r="B10" s="50"/>
      <c r="C10" s="101">
        <v>0</v>
      </c>
      <c r="D10" s="101">
        <v>0</v>
      </c>
      <c r="E10" s="101">
        <v>0</v>
      </c>
      <c r="F10" s="101">
        <v>0</v>
      </c>
      <c r="G10" s="101">
        <v>0</v>
      </c>
      <c r="H10" s="101">
        <v>0</v>
      </c>
      <c r="I10" s="101"/>
      <c r="J10" s="101">
        <v>0</v>
      </c>
      <c r="K10" s="101">
        <v>0</v>
      </c>
      <c r="L10" s="101">
        <v>0</v>
      </c>
      <c r="M10" s="101">
        <v>0</v>
      </c>
      <c r="N10" s="101">
        <v>0</v>
      </c>
      <c r="O10" s="101">
        <v>0</v>
      </c>
      <c r="P10" s="400">
        <v>0</v>
      </c>
      <c r="Q10" s="400"/>
      <c r="R10" s="101"/>
      <c r="T10" s="589"/>
    </row>
    <row r="11" spans="1:20" ht="15" customHeight="1" x14ac:dyDescent="0.25">
      <c r="A11" s="623" t="s">
        <v>64</v>
      </c>
      <c r="B11" s="623"/>
      <c r="C11" s="100">
        <f t="shared" ref="C11:I11" si="1">SUM(C7:C10)</f>
        <v>1052.2</v>
      </c>
      <c r="D11" s="100">
        <f t="shared" si="1"/>
        <v>1121.33</v>
      </c>
      <c r="E11" s="100">
        <f t="shared" si="1"/>
        <v>1121.33</v>
      </c>
      <c r="F11" s="100">
        <f t="shared" si="1"/>
        <v>1121.33</v>
      </c>
      <c r="G11" s="100">
        <f t="shared" si="1"/>
        <v>1121.33</v>
      </c>
      <c r="H11" s="100">
        <f t="shared" si="1"/>
        <v>1156.0899999999999</v>
      </c>
      <c r="I11" s="100">
        <f t="shared" si="1"/>
        <v>1156.0899999999999</v>
      </c>
      <c r="J11" s="100">
        <f t="shared" ref="J11:R11" si="2">SUM(J7:J10)</f>
        <v>1198.8699999999999</v>
      </c>
      <c r="K11" s="100">
        <f t="shared" si="2"/>
        <v>1198.8699999999999</v>
      </c>
      <c r="L11" s="100">
        <f t="shared" si="2"/>
        <v>1237.23</v>
      </c>
      <c r="M11" s="100">
        <f t="shared" si="2"/>
        <v>1237.23</v>
      </c>
      <c r="N11" s="100">
        <f t="shared" si="2"/>
        <v>1237.23</v>
      </c>
      <c r="O11" s="100">
        <f t="shared" si="2"/>
        <v>1237.23</v>
      </c>
      <c r="P11" s="401">
        <f t="shared" si="2"/>
        <v>1237.23</v>
      </c>
      <c r="Q11" s="401">
        <f t="shared" si="2"/>
        <v>1237.23</v>
      </c>
      <c r="R11" s="100">
        <f t="shared" si="2"/>
        <v>1287.96</v>
      </c>
      <c r="T11" s="589"/>
    </row>
    <row r="12" spans="1:20" ht="15" customHeight="1" x14ac:dyDescent="0.25">
      <c r="A12" s="623" t="s">
        <v>50</v>
      </c>
      <c r="B12" s="623"/>
      <c r="C12" s="111" t="s">
        <v>158</v>
      </c>
      <c r="D12" s="111" t="s">
        <v>158</v>
      </c>
      <c r="E12" s="111" t="s">
        <v>158</v>
      </c>
      <c r="F12" s="111" t="s">
        <v>158</v>
      </c>
      <c r="G12" s="111" t="s">
        <v>158</v>
      </c>
      <c r="H12" s="111" t="s">
        <v>158</v>
      </c>
      <c r="I12" s="111" t="s">
        <v>158</v>
      </c>
      <c r="J12" s="111" t="s">
        <v>158</v>
      </c>
      <c r="K12" s="111" t="s">
        <v>158</v>
      </c>
      <c r="L12" s="111" t="s">
        <v>158</v>
      </c>
      <c r="M12" s="111" t="s">
        <v>158</v>
      </c>
      <c r="N12" s="111" t="s">
        <v>158</v>
      </c>
      <c r="O12" s="111" t="s">
        <v>158</v>
      </c>
      <c r="P12" s="402" t="s">
        <v>158</v>
      </c>
      <c r="Q12" s="402" t="s">
        <v>158</v>
      </c>
      <c r="R12" s="111" t="s">
        <v>158</v>
      </c>
      <c r="T12" s="589"/>
    </row>
    <row r="13" spans="1:20" ht="15" customHeight="1" x14ac:dyDescent="0.25">
      <c r="A13" s="599" t="s">
        <v>9</v>
      </c>
      <c r="B13" s="599"/>
      <c r="C13" s="308">
        <f>ROUND((22*8-C7*6%),2)</f>
        <v>112.87</v>
      </c>
      <c r="D13" s="101">
        <f>ROUND((22*8-D7*6%),2)</f>
        <v>108.72</v>
      </c>
      <c r="E13" s="101">
        <f t="shared" ref="E13:L13" si="3">ROUND((22*10-E7*6%),2)</f>
        <v>152.72</v>
      </c>
      <c r="F13" s="101">
        <f t="shared" si="3"/>
        <v>152.72</v>
      </c>
      <c r="G13" s="101">
        <f t="shared" si="3"/>
        <v>152.72</v>
      </c>
      <c r="H13" s="101">
        <f t="shared" si="3"/>
        <v>150.63</v>
      </c>
      <c r="I13" s="101">
        <f t="shared" si="3"/>
        <v>150.63</v>
      </c>
      <c r="J13" s="101">
        <f t="shared" si="3"/>
        <v>148.07</v>
      </c>
      <c r="K13" s="101">
        <f t="shared" si="3"/>
        <v>148.07</v>
      </c>
      <c r="L13" s="101">
        <f t="shared" si="3"/>
        <v>145.77000000000001</v>
      </c>
      <c r="M13" s="101">
        <f t="shared" ref="M13:R13" si="4">ROUND((22*11-M7*6%),2)</f>
        <v>167.77</v>
      </c>
      <c r="N13" s="101">
        <f t="shared" si="4"/>
        <v>167.77</v>
      </c>
      <c r="O13" s="101">
        <f t="shared" si="4"/>
        <v>167.77</v>
      </c>
      <c r="P13" s="400">
        <f t="shared" si="4"/>
        <v>167.77</v>
      </c>
      <c r="Q13" s="400">
        <f t="shared" si="4"/>
        <v>167.77</v>
      </c>
      <c r="R13" s="101">
        <f t="shared" si="4"/>
        <v>164.72</v>
      </c>
      <c r="T13" s="590"/>
    </row>
    <row r="14" spans="1:20" ht="15" customHeight="1" x14ac:dyDescent="0.25">
      <c r="A14" s="599" t="s">
        <v>70</v>
      </c>
      <c r="B14" s="599"/>
      <c r="C14" s="310">
        <f>ROUND((22*27.5),2)</f>
        <v>605</v>
      </c>
      <c r="D14" s="116">
        <f>ROUND((22*29.5),2)</f>
        <v>649</v>
      </c>
      <c r="E14" s="116">
        <f>ROUND((22*29.5),2)</f>
        <v>649</v>
      </c>
      <c r="F14" s="116">
        <f>ROUND((22*29.5),2)</f>
        <v>649</v>
      </c>
      <c r="G14" s="116">
        <f>ROUND((22*29.5),2)</f>
        <v>649</v>
      </c>
      <c r="H14" s="116">
        <f>ROUND((22*31.5),2)</f>
        <v>693</v>
      </c>
      <c r="I14" s="116">
        <f>ROUND((22*31.5),2)</f>
        <v>693</v>
      </c>
      <c r="J14" s="116">
        <f>'Anexo Transporte e Alimentacao'!E10</f>
        <v>719.4</v>
      </c>
      <c r="K14" s="116">
        <f>'Anexo Transporte e Alimentacao'!E10</f>
        <v>719.4</v>
      </c>
      <c r="L14" s="116">
        <f t="shared" ref="L14:Q14" si="5">33.62*22</f>
        <v>739.64</v>
      </c>
      <c r="M14" s="116">
        <f t="shared" si="5"/>
        <v>739.64</v>
      </c>
      <c r="N14" s="116">
        <f t="shared" si="5"/>
        <v>739.64</v>
      </c>
      <c r="O14" s="116">
        <f t="shared" si="5"/>
        <v>739.64</v>
      </c>
      <c r="P14" s="404">
        <f t="shared" si="5"/>
        <v>739.64</v>
      </c>
      <c r="Q14" s="404">
        <f t="shared" si="5"/>
        <v>739.64</v>
      </c>
      <c r="R14" s="116">
        <f>35*22</f>
        <v>770</v>
      </c>
      <c r="T14" s="357"/>
    </row>
    <row r="15" spans="1:20" ht="15" customHeight="1" x14ac:dyDescent="0.25">
      <c r="A15" s="601" t="s">
        <v>94</v>
      </c>
      <c r="B15" s="601"/>
      <c r="C15" s="310">
        <v>2.5</v>
      </c>
      <c r="D15" s="116">
        <v>1.5</v>
      </c>
      <c r="E15" s="116">
        <v>1.5</v>
      </c>
      <c r="F15" s="116">
        <v>1.5</v>
      </c>
      <c r="G15" s="116">
        <v>1.5</v>
      </c>
      <c r="H15" s="116">
        <v>1.5</v>
      </c>
      <c r="I15" s="116">
        <v>1.5</v>
      </c>
      <c r="J15" s="116">
        <v>0</v>
      </c>
      <c r="K15" s="116">
        <v>0</v>
      </c>
      <c r="L15" s="116">
        <v>0</v>
      </c>
      <c r="M15" s="116">
        <v>0</v>
      </c>
      <c r="N15" s="116">
        <v>0</v>
      </c>
      <c r="O15" s="116">
        <v>0</v>
      </c>
      <c r="P15" s="404">
        <v>0</v>
      </c>
      <c r="Q15" s="404">
        <v>0</v>
      </c>
      <c r="R15" s="116">
        <v>0</v>
      </c>
      <c r="T15" s="332" t="s">
        <v>301</v>
      </c>
    </row>
    <row r="16" spans="1:20" ht="15" customHeight="1" x14ac:dyDescent="0.25">
      <c r="A16" s="616" t="s">
        <v>95</v>
      </c>
      <c r="B16" s="617"/>
      <c r="C16" s="310">
        <v>5</v>
      </c>
      <c r="D16" s="116">
        <v>5</v>
      </c>
      <c r="E16" s="116">
        <v>5</v>
      </c>
      <c r="F16" s="116">
        <v>5</v>
      </c>
      <c r="G16" s="116">
        <v>5</v>
      </c>
      <c r="H16" s="116">
        <v>9.9</v>
      </c>
      <c r="I16" s="116">
        <v>9.9</v>
      </c>
      <c r="J16" s="116">
        <v>10.3</v>
      </c>
      <c r="K16" s="116">
        <v>10.3</v>
      </c>
      <c r="L16" s="116">
        <v>10.63</v>
      </c>
      <c r="M16" s="116">
        <v>10.63</v>
      </c>
      <c r="N16" s="116">
        <v>10.63</v>
      </c>
      <c r="O16" s="116">
        <v>10.63</v>
      </c>
      <c r="P16" s="404">
        <v>10.63</v>
      </c>
      <c r="Q16" s="404">
        <v>10.63</v>
      </c>
      <c r="R16" s="116">
        <v>10.63</v>
      </c>
      <c r="T16" s="47" t="s">
        <v>306</v>
      </c>
    </row>
    <row r="17" spans="1:20" ht="15" customHeight="1" x14ac:dyDescent="0.25">
      <c r="A17" s="623" t="s">
        <v>63</v>
      </c>
      <c r="B17" s="623"/>
      <c r="C17" s="100">
        <f t="shared" ref="C17:I17" si="6">ROUND(SUM(C13:C16),2)</f>
        <v>725.37</v>
      </c>
      <c r="D17" s="100">
        <f t="shared" si="6"/>
        <v>764.22</v>
      </c>
      <c r="E17" s="100">
        <f t="shared" si="6"/>
        <v>808.22</v>
      </c>
      <c r="F17" s="100">
        <f t="shared" si="6"/>
        <v>808.22</v>
      </c>
      <c r="G17" s="100">
        <f t="shared" si="6"/>
        <v>808.22</v>
      </c>
      <c r="H17" s="100">
        <f t="shared" si="6"/>
        <v>855.03</v>
      </c>
      <c r="I17" s="100">
        <f t="shared" si="6"/>
        <v>855.03</v>
      </c>
      <c r="J17" s="100">
        <f t="shared" ref="J17:R17" si="7">ROUND(SUM(J13:J16),2)</f>
        <v>877.77</v>
      </c>
      <c r="K17" s="100">
        <f t="shared" si="7"/>
        <v>877.77</v>
      </c>
      <c r="L17" s="100">
        <f t="shared" si="7"/>
        <v>896.04</v>
      </c>
      <c r="M17" s="100">
        <f t="shared" si="7"/>
        <v>918.04</v>
      </c>
      <c r="N17" s="100">
        <f t="shared" si="7"/>
        <v>918.04</v>
      </c>
      <c r="O17" s="100">
        <f t="shared" si="7"/>
        <v>918.04</v>
      </c>
      <c r="P17" s="401">
        <f t="shared" si="7"/>
        <v>918.04</v>
      </c>
      <c r="Q17" s="401">
        <f t="shared" si="7"/>
        <v>918.04</v>
      </c>
      <c r="R17" s="100">
        <f t="shared" si="7"/>
        <v>945.35</v>
      </c>
      <c r="T17" s="357"/>
    </row>
    <row r="18" spans="1:20" ht="15" customHeight="1" x14ac:dyDescent="0.25">
      <c r="A18" s="602" t="s">
        <v>51</v>
      </c>
      <c r="B18" s="603"/>
      <c r="C18" s="111" t="s">
        <v>158</v>
      </c>
      <c r="D18" s="111" t="s">
        <v>158</v>
      </c>
      <c r="E18" s="111" t="s">
        <v>158</v>
      </c>
      <c r="F18" s="111" t="s">
        <v>158</v>
      </c>
      <c r="G18" s="111" t="s">
        <v>158</v>
      </c>
      <c r="H18" s="111" t="s">
        <v>158</v>
      </c>
      <c r="I18" s="111" t="s">
        <v>158</v>
      </c>
      <c r="J18" s="111" t="s">
        <v>158</v>
      </c>
      <c r="K18" s="111" t="s">
        <v>158</v>
      </c>
      <c r="L18" s="111" t="s">
        <v>158</v>
      </c>
      <c r="M18" s="111" t="s">
        <v>158</v>
      </c>
      <c r="N18" s="111" t="s">
        <v>158</v>
      </c>
      <c r="O18" s="111" t="s">
        <v>158</v>
      </c>
      <c r="P18" s="402" t="s">
        <v>158</v>
      </c>
      <c r="Q18" s="402" t="s">
        <v>158</v>
      </c>
      <c r="R18" s="111" t="s">
        <v>158</v>
      </c>
      <c r="T18" s="331" t="s">
        <v>304</v>
      </c>
    </row>
    <row r="19" spans="1:20" ht="15" customHeight="1" x14ac:dyDescent="0.25">
      <c r="A19" s="47" t="s">
        <v>0</v>
      </c>
      <c r="B19" s="47"/>
      <c r="C19" s="320">
        <v>49.07</v>
      </c>
      <c r="D19" s="456">
        <v>49.07</v>
      </c>
      <c r="E19" s="456">
        <v>49.07</v>
      </c>
      <c r="F19" s="456">
        <v>49.07</v>
      </c>
      <c r="G19" s="456">
        <v>49.07</v>
      </c>
      <c r="H19" s="456">
        <v>49.07</v>
      </c>
      <c r="I19" s="121">
        <v>53.76</v>
      </c>
      <c r="J19" s="121">
        <v>53.76</v>
      </c>
      <c r="K19" s="121">
        <f>'Anexo Uniformes'!E26</f>
        <v>53.756666666666668</v>
      </c>
      <c r="L19" s="121">
        <v>53.76</v>
      </c>
      <c r="M19" s="121">
        <v>53.76</v>
      </c>
      <c r="N19" s="121">
        <v>53.76</v>
      </c>
      <c r="O19" s="413">
        <v>53.76</v>
      </c>
      <c r="P19" s="101">
        <v>53.76</v>
      </c>
      <c r="Q19" s="413">
        <f>53.76*1.15</f>
        <v>61.823999999999991</v>
      </c>
      <c r="R19" s="101">
        <f>53.76*1.15</f>
        <v>61.823999999999991</v>
      </c>
      <c r="T19" s="47" t="s">
        <v>327</v>
      </c>
    </row>
    <row r="20" spans="1:20" ht="15" customHeight="1" x14ac:dyDescent="0.25">
      <c r="A20" s="623" t="s">
        <v>54</v>
      </c>
      <c r="B20" s="623"/>
      <c r="C20" s="194">
        <f t="shared" ref="C20:I20" si="8">SUM(C19)</f>
        <v>49.07</v>
      </c>
      <c r="D20" s="194">
        <f t="shared" si="8"/>
        <v>49.07</v>
      </c>
      <c r="E20" s="194">
        <f t="shared" si="8"/>
        <v>49.07</v>
      </c>
      <c r="F20" s="194">
        <f t="shared" si="8"/>
        <v>49.07</v>
      </c>
      <c r="G20" s="194">
        <f t="shared" si="8"/>
        <v>49.07</v>
      </c>
      <c r="H20" s="194">
        <f t="shared" si="8"/>
        <v>49.07</v>
      </c>
      <c r="I20" s="194">
        <f t="shared" si="8"/>
        <v>53.76</v>
      </c>
      <c r="J20" s="194">
        <f t="shared" ref="J20:R20" si="9">SUM(J19)</f>
        <v>53.76</v>
      </c>
      <c r="K20" s="194">
        <f t="shared" si="9"/>
        <v>53.756666666666668</v>
      </c>
      <c r="L20" s="194">
        <f t="shared" si="9"/>
        <v>53.76</v>
      </c>
      <c r="M20" s="194">
        <f t="shared" si="9"/>
        <v>53.76</v>
      </c>
      <c r="N20" s="194">
        <f t="shared" si="9"/>
        <v>53.76</v>
      </c>
      <c r="O20" s="414">
        <f t="shared" si="9"/>
        <v>53.76</v>
      </c>
      <c r="P20" s="100">
        <f t="shared" si="9"/>
        <v>53.76</v>
      </c>
      <c r="Q20" s="414">
        <f t="shared" si="9"/>
        <v>61.823999999999991</v>
      </c>
      <c r="R20" s="100">
        <f t="shared" si="9"/>
        <v>61.823999999999991</v>
      </c>
      <c r="T20" s="44"/>
    </row>
    <row r="21" spans="1:20" ht="15" customHeight="1" x14ac:dyDescent="0.25">
      <c r="A21" s="568" t="s">
        <v>52</v>
      </c>
      <c r="B21" s="568"/>
      <c r="C21" s="188" t="s">
        <v>229</v>
      </c>
      <c r="D21" s="188" t="s">
        <v>229</v>
      </c>
      <c r="E21" s="188" t="s">
        <v>229</v>
      </c>
      <c r="F21" s="188" t="s">
        <v>229</v>
      </c>
      <c r="G21" s="188" t="s">
        <v>229</v>
      </c>
      <c r="H21" s="188" t="s">
        <v>229</v>
      </c>
      <c r="I21" s="188" t="s">
        <v>229</v>
      </c>
      <c r="J21" s="188" t="s">
        <v>229</v>
      </c>
      <c r="K21" s="111" t="s">
        <v>229</v>
      </c>
      <c r="L21" s="111" t="s">
        <v>229</v>
      </c>
      <c r="M21" s="111" t="s">
        <v>229</v>
      </c>
      <c r="N21" s="111" t="s">
        <v>229</v>
      </c>
      <c r="O21" s="111" t="s">
        <v>229</v>
      </c>
      <c r="P21" s="402" t="s">
        <v>229</v>
      </c>
      <c r="Q21" s="402" t="s">
        <v>229</v>
      </c>
      <c r="R21" s="111" t="s">
        <v>229</v>
      </c>
      <c r="S21" s="44"/>
      <c r="T21" s="332" t="s">
        <v>324</v>
      </c>
    </row>
    <row r="22" spans="1:20" ht="15" customHeight="1" x14ac:dyDescent="0.25">
      <c r="A22" s="568"/>
      <c r="B22" s="568"/>
      <c r="C22" s="311">
        <v>0.71779999999999999</v>
      </c>
      <c r="D22" s="118">
        <v>0.71779999999999999</v>
      </c>
      <c r="E22" s="118">
        <v>0.71779999999999999</v>
      </c>
      <c r="F22" s="118">
        <v>0.71779999999999999</v>
      </c>
      <c r="G22" s="118">
        <v>0.71779999999999999</v>
      </c>
      <c r="H22" s="189">
        <v>0.7218</v>
      </c>
      <c r="I22" s="189">
        <v>0.7218</v>
      </c>
      <c r="J22" s="189">
        <v>0.72260000000000002</v>
      </c>
      <c r="K22" s="118">
        <v>0.72260000000000002</v>
      </c>
      <c r="L22" s="118">
        <v>0.71330000000000005</v>
      </c>
      <c r="M22" s="118">
        <v>0.71330000000000005</v>
      </c>
      <c r="N22" s="118">
        <v>0.69799999999999995</v>
      </c>
      <c r="O22" s="118">
        <v>0.71330000000000005</v>
      </c>
      <c r="P22" s="405">
        <v>0.71330000000000005</v>
      </c>
      <c r="Q22" s="405">
        <v>0.71330000000000005</v>
      </c>
      <c r="R22" s="118">
        <v>0.71530000000000005</v>
      </c>
      <c r="S22" s="44"/>
      <c r="T22" s="47" t="s">
        <v>328</v>
      </c>
    </row>
    <row r="23" spans="1:20" ht="15" customHeight="1" x14ac:dyDescent="0.25">
      <c r="A23" s="568" t="s">
        <v>55</v>
      </c>
      <c r="B23" s="568"/>
      <c r="C23" s="316">
        <f t="shared" ref="C23:I23" si="10">ROUND((C11*C22),2)</f>
        <v>755.27</v>
      </c>
      <c r="D23" s="316">
        <f t="shared" si="10"/>
        <v>804.89</v>
      </c>
      <c r="E23" s="316">
        <f t="shared" si="10"/>
        <v>804.89</v>
      </c>
      <c r="F23" s="316">
        <f t="shared" si="10"/>
        <v>804.89</v>
      </c>
      <c r="G23" s="316">
        <f t="shared" si="10"/>
        <v>804.89</v>
      </c>
      <c r="H23" s="316">
        <f t="shared" si="10"/>
        <v>834.47</v>
      </c>
      <c r="I23" s="316">
        <f t="shared" si="10"/>
        <v>834.47</v>
      </c>
      <c r="J23" s="316">
        <f t="shared" ref="J23:R23" si="11">ROUND((J11*J22),2)</f>
        <v>866.3</v>
      </c>
      <c r="K23" s="100">
        <f t="shared" si="11"/>
        <v>866.3</v>
      </c>
      <c r="L23" s="100">
        <f t="shared" si="11"/>
        <v>882.52</v>
      </c>
      <c r="M23" s="100">
        <f t="shared" si="11"/>
        <v>882.52</v>
      </c>
      <c r="N23" s="100">
        <f t="shared" si="11"/>
        <v>863.59</v>
      </c>
      <c r="O23" s="100">
        <f t="shared" si="11"/>
        <v>882.52</v>
      </c>
      <c r="P23" s="401">
        <f t="shared" si="11"/>
        <v>882.52</v>
      </c>
      <c r="Q23" s="401">
        <f t="shared" si="11"/>
        <v>882.52</v>
      </c>
      <c r="R23" s="100">
        <f t="shared" si="11"/>
        <v>921.28</v>
      </c>
      <c r="S23" s="45"/>
      <c r="T23" s="323" t="s">
        <v>329</v>
      </c>
    </row>
    <row r="24" spans="1:20" ht="15" customHeight="1" x14ac:dyDescent="0.25">
      <c r="A24" s="300" t="s">
        <v>58</v>
      </c>
      <c r="B24" s="300" t="s">
        <v>1</v>
      </c>
      <c r="C24" s="188" t="s">
        <v>158</v>
      </c>
      <c r="D24" s="188" t="s">
        <v>158</v>
      </c>
      <c r="E24" s="188" t="s">
        <v>158</v>
      </c>
      <c r="F24" s="188" t="s">
        <v>158</v>
      </c>
      <c r="G24" s="188" t="s">
        <v>158</v>
      </c>
      <c r="H24" s="188" t="s">
        <v>158</v>
      </c>
      <c r="I24" s="188" t="s">
        <v>158</v>
      </c>
      <c r="J24" s="188" t="s">
        <v>158</v>
      </c>
      <c r="K24" s="111" t="s">
        <v>158</v>
      </c>
      <c r="L24" s="111" t="s">
        <v>158</v>
      </c>
      <c r="M24" s="111" t="s">
        <v>158</v>
      </c>
      <c r="N24" s="111" t="s">
        <v>158</v>
      </c>
      <c r="O24" s="111" t="s">
        <v>158</v>
      </c>
      <c r="P24" s="402" t="s">
        <v>158</v>
      </c>
      <c r="Q24" s="402" t="s">
        <v>158</v>
      </c>
      <c r="R24" s="111" t="s">
        <v>158</v>
      </c>
      <c r="T24" s="47" t="s">
        <v>310</v>
      </c>
    </row>
    <row r="25" spans="1:20" ht="15" customHeight="1" x14ac:dyDescent="0.25">
      <c r="A25" s="47" t="s">
        <v>2</v>
      </c>
      <c r="B25" s="50">
        <v>1.2699999999999999E-2</v>
      </c>
      <c r="C25" s="282">
        <f>ROUND((C11+C17+C20+C23)*B25,2)</f>
        <v>32.79</v>
      </c>
      <c r="D25" s="313">
        <f>ROUND((D11+D17+D20+D23)*B25,2)</f>
        <v>34.79</v>
      </c>
      <c r="E25" s="313">
        <f>ROUND((E11+E17+E20+E23)*B25,2)</f>
        <v>35.35</v>
      </c>
      <c r="F25" s="313">
        <f>ROUND((F11+F17+F20+F23)*B25,2)</f>
        <v>35.35</v>
      </c>
      <c r="G25" s="313">
        <f>ROUND((G11+G17+G20+G23)*B25,2)</f>
        <v>35.35</v>
      </c>
      <c r="H25" s="101">
        <f>ROUND((H11+H17+H20+H23)*B25,2)</f>
        <v>36.76</v>
      </c>
      <c r="I25" s="101">
        <f>ROUND((I11+I17+I20+I23)*B25,2)</f>
        <v>36.82</v>
      </c>
      <c r="J25" s="452">
        <f>ROUND((J11+J17+J20+J23)*B25,2)</f>
        <v>38.06</v>
      </c>
      <c r="K25" s="101">
        <f>ROUND((K11+K17+K20+K23)*B25,2)</f>
        <v>38.06</v>
      </c>
      <c r="L25" s="101">
        <f>ROUND((L11+L17+L20+L23)*B25,2)</f>
        <v>38.979999999999997</v>
      </c>
      <c r="M25" s="101">
        <f>ROUND((M11+M17+M20+M23)*B25,2)</f>
        <v>39.26</v>
      </c>
      <c r="N25" s="101">
        <f>ROUND((N11+N17+N20+N23)*B25,2)</f>
        <v>39.020000000000003</v>
      </c>
      <c r="O25" s="101">
        <f>ROUND((O11+O17+O20+O23)*B25,2)</f>
        <v>39.26</v>
      </c>
      <c r="P25" s="400">
        <f>ROUND((P11+P17+P20+P23)*B25,2)</f>
        <v>39.26</v>
      </c>
      <c r="Q25" s="400">
        <f>ROUND((Q11+Q17+Q20+Q23)*B25,2)</f>
        <v>39.369999999999997</v>
      </c>
      <c r="R25" s="101">
        <f>ROUND((R11+R17+R20+R23)*B25,2)</f>
        <v>40.85</v>
      </c>
      <c r="T25" s="47" t="s">
        <v>311</v>
      </c>
    </row>
    <row r="26" spans="1:20" ht="15" customHeight="1" x14ac:dyDescent="0.25">
      <c r="A26" s="47" t="s">
        <v>3</v>
      </c>
      <c r="B26" s="50">
        <v>0.14249999999999999</v>
      </c>
      <c r="C26" s="313">
        <f t="shared" ref="C26:K26" si="12">ROUND((C11+C17+C20+C23+C25+C27)*14.25/85.75,2)</f>
        <v>438.86</v>
      </c>
      <c r="D26" s="313">
        <f t="shared" si="12"/>
        <v>465.65</v>
      </c>
      <c r="E26" s="313">
        <f t="shared" si="12"/>
        <v>473.12</v>
      </c>
      <c r="F26" s="313">
        <f t="shared" si="12"/>
        <v>473.12</v>
      </c>
      <c r="G26" s="313">
        <f t="shared" si="12"/>
        <v>473.12</v>
      </c>
      <c r="H26" s="101">
        <f t="shared" si="12"/>
        <v>492.02</v>
      </c>
      <c r="I26" s="101">
        <f t="shared" si="12"/>
        <v>492.81</v>
      </c>
      <c r="J26" s="452">
        <f t="shared" si="12"/>
        <v>509.36</v>
      </c>
      <c r="K26" s="101">
        <f t="shared" si="12"/>
        <v>509.36</v>
      </c>
      <c r="L26" s="101">
        <f t="shared" ref="L26:R26" si="13">ROUND((L11+L17+L20+L23+L25+L27)*14.25/85.75,2)</f>
        <v>521.74</v>
      </c>
      <c r="M26" s="101">
        <f t="shared" si="13"/>
        <v>525.48</v>
      </c>
      <c r="N26" s="101">
        <f t="shared" si="13"/>
        <v>522.27</v>
      </c>
      <c r="O26" s="101">
        <f t="shared" si="13"/>
        <v>525.48</v>
      </c>
      <c r="P26" s="400">
        <f t="shared" si="13"/>
        <v>525.48</v>
      </c>
      <c r="Q26" s="400">
        <f t="shared" si="13"/>
        <v>526.86</v>
      </c>
      <c r="R26" s="101">
        <f t="shared" si="13"/>
        <v>546.71</v>
      </c>
      <c r="T26" s="39"/>
    </row>
    <row r="27" spans="1:20" ht="15" customHeight="1" x14ac:dyDescent="0.25">
      <c r="A27" s="47" t="s">
        <v>4</v>
      </c>
      <c r="B27" s="50">
        <v>0.01</v>
      </c>
      <c r="C27" s="282">
        <f>ROUND((C11+C17+C20+C23+C25)*B27,2)</f>
        <v>26.15</v>
      </c>
      <c r="D27" s="313">
        <f>ROUND((D11+D17+D20+D23+D25)*B27,2)</f>
        <v>27.74</v>
      </c>
      <c r="E27" s="313">
        <f>ROUND((E11+E17+E20+E23+E25)*B27,2)</f>
        <v>28.19</v>
      </c>
      <c r="F27" s="313">
        <f>ROUND((F11+F17+F20+F23+F25)*B27,2)</f>
        <v>28.19</v>
      </c>
      <c r="G27" s="313">
        <f>ROUND((G11+G17+G20+G23+G25)*B27,2)</f>
        <v>28.19</v>
      </c>
      <c r="H27" s="101">
        <f>ROUND((H11+H17+H20+H23+H25)*B27,2)</f>
        <v>29.31</v>
      </c>
      <c r="I27" s="101">
        <f>ROUND((I11+I17+I20+I23+I25)*B27,2)</f>
        <v>29.36</v>
      </c>
      <c r="J27" s="452">
        <f>ROUND((J11+J17+J20+J23+J25)*B27,2)</f>
        <v>30.35</v>
      </c>
      <c r="K27" s="101">
        <f>ROUND((K11+K17+K20+K23+K25)*B27,2)</f>
        <v>30.35</v>
      </c>
      <c r="L27" s="101">
        <f>ROUND((L11+L17+L20+L23+L25)*B27,2)</f>
        <v>31.09</v>
      </c>
      <c r="M27" s="101">
        <f>ROUND((M11+M17+M20+M23+M25)*B27,2)</f>
        <v>31.31</v>
      </c>
      <c r="N27" s="101">
        <f>ROUND((N11+N17+N20+N23+N25)*B27,2)</f>
        <v>31.12</v>
      </c>
      <c r="O27" s="101">
        <f>ROUND((O11+O17+O20+O23+O25)*B27,2)</f>
        <v>31.31</v>
      </c>
      <c r="P27" s="400">
        <f>ROUND((P11+P17+P20+P23+P25)*B27,2)</f>
        <v>31.31</v>
      </c>
      <c r="Q27" s="400">
        <f>ROUND((Q11+Q17+Q20+Q23+Q25)*B27,2)</f>
        <v>31.39</v>
      </c>
      <c r="R27" s="101">
        <f>ROUND((R11+R17+R20+R23+R25)*B27,2)</f>
        <v>32.57</v>
      </c>
      <c r="T27" s="332" t="s">
        <v>312</v>
      </c>
    </row>
    <row r="28" spans="1:20" ht="15" customHeight="1" x14ac:dyDescent="0.25">
      <c r="A28" s="623" t="s">
        <v>56</v>
      </c>
      <c r="B28" s="623"/>
      <c r="C28" s="316">
        <f t="shared" ref="C28:I28" si="14">ROUND(SUM(C25:C27),2)</f>
        <v>497.8</v>
      </c>
      <c r="D28" s="316">
        <f t="shared" si="14"/>
        <v>528.17999999999995</v>
      </c>
      <c r="E28" s="316">
        <f t="shared" si="14"/>
        <v>536.66</v>
      </c>
      <c r="F28" s="316">
        <f t="shared" si="14"/>
        <v>536.66</v>
      </c>
      <c r="G28" s="316">
        <f t="shared" si="14"/>
        <v>536.66</v>
      </c>
      <c r="H28" s="316">
        <f t="shared" si="14"/>
        <v>558.09</v>
      </c>
      <c r="I28" s="316">
        <f t="shared" si="14"/>
        <v>558.99</v>
      </c>
      <c r="J28" s="316">
        <f t="shared" ref="J28:R28" si="15">ROUND(SUM(J25:J27),2)</f>
        <v>577.77</v>
      </c>
      <c r="K28" s="100">
        <f t="shared" si="15"/>
        <v>577.77</v>
      </c>
      <c r="L28" s="100">
        <f t="shared" si="15"/>
        <v>591.80999999999995</v>
      </c>
      <c r="M28" s="100">
        <f t="shared" si="15"/>
        <v>596.04999999999995</v>
      </c>
      <c r="N28" s="100">
        <f t="shared" si="15"/>
        <v>592.41</v>
      </c>
      <c r="O28" s="100">
        <f t="shared" si="15"/>
        <v>596.04999999999995</v>
      </c>
      <c r="P28" s="401">
        <f t="shared" si="15"/>
        <v>596.04999999999995</v>
      </c>
      <c r="Q28" s="401">
        <f t="shared" si="15"/>
        <v>597.62</v>
      </c>
      <c r="R28" s="100">
        <f t="shared" si="15"/>
        <v>620.13</v>
      </c>
      <c r="T28" s="588" t="s">
        <v>334</v>
      </c>
    </row>
    <row r="29" spans="1:20" ht="42.75" customHeight="1" x14ac:dyDescent="0.25">
      <c r="A29" s="568" t="s">
        <v>59</v>
      </c>
      <c r="B29" s="568"/>
      <c r="C29" s="123" t="s">
        <v>285</v>
      </c>
      <c r="D29" s="287" t="s">
        <v>286</v>
      </c>
      <c r="E29" s="123" t="s">
        <v>287</v>
      </c>
      <c r="F29" s="448" t="s">
        <v>290</v>
      </c>
      <c r="G29" s="439" t="s">
        <v>289</v>
      </c>
      <c r="H29" s="439" t="s">
        <v>292</v>
      </c>
      <c r="I29" s="123" t="s">
        <v>501</v>
      </c>
      <c r="J29" s="123" t="s">
        <v>502</v>
      </c>
      <c r="K29" s="123" t="s">
        <v>296</v>
      </c>
      <c r="L29" s="123" t="s">
        <v>380</v>
      </c>
      <c r="M29" s="123" t="s">
        <v>381</v>
      </c>
      <c r="N29" s="123" t="s">
        <v>384</v>
      </c>
      <c r="O29" s="123" t="s">
        <v>385</v>
      </c>
      <c r="P29" s="399" t="s">
        <v>386</v>
      </c>
      <c r="Q29" s="399" t="s">
        <v>404</v>
      </c>
      <c r="R29" s="123" t="s">
        <v>400</v>
      </c>
      <c r="S29" s="44"/>
      <c r="T29" s="589"/>
    </row>
    <row r="30" spans="1:20" ht="15" customHeight="1" x14ac:dyDescent="0.25">
      <c r="A30" s="601" t="s">
        <v>57</v>
      </c>
      <c r="B30" s="599"/>
      <c r="C30" s="317">
        <f t="shared" ref="C30:I30" si="16">C11</f>
        <v>1052.2</v>
      </c>
      <c r="D30" s="317">
        <f t="shared" si="16"/>
        <v>1121.33</v>
      </c>
      <c r="E30" s="317">
        <f t="shared" si="16"/>
        <v>1121.33</v>
      </c>
      <c r="F30" s="317">
        <f t="shared" si="16"/>
        <v>1121.33</v>
      </c>
      <c r="G30" s="317">
        <f t="shared" si="16"/>
        <v>1121.33</v>
      </c>
      <c r="H30" s="317">
        <f t="shared" si="16"/>
        <v>1156.0899999999999</v>
      </c>
      <c r="I30" s="317">
        <f t="shared" si="16"/>
        <v>1156.0899999999999</v>
      </c>
      <c r="J30" s="317">
        <f t="shared" ref="J30:R30" si="17">J11</f>
        <v>1198.8699999999999</v>
      </c>
      <c r="K30" s="119">
        <f t="shared" si="17"/>
        <v>1198.8699999999999</v>
      </c>
      <c r="L30" s="119">
        <f t="shared" si="17"/>
        <v>1237.23</v>
      </c>
      <c r="M30" s="119">
        <f t="shared" si="17"/>
        <v>1237.23</v>
      </c>
      <c r="N30" s="119">
        <f t="shared" si="17"/>
        <v>1237.23</v>
      </c>
      <c r="O30" s="119">
        <f t="shared" si="17"/>
        <v>1237.23</v>
      </c>
      <c r="P30" s="406">
        <f t="shared" si="17"/>
        <v>1237.23</v>
      </c>
      <c r="Q30" s="406">
        <f t="shared" si="17"/>
        <v>1237.23</v>
      </c>
      <c r="R30" s="119">
        <f t="shared" si="17"/>
        <v>1287.96</v>
      </c>
      <c r="T30" s="589"/>
    </row>
    <row r="31" spans="1:20" ht="15" customHeight="1" x14ac:dyDescent="0.25">
      <c r="A31" s="599" t="s">
        <v>50</v>
      </c>
      <c r="B31" s="599"/>
      <c r="C31" s="317">
        <f t="shared" ref="C31:I31" si="18">C17</f>
        <v>725.37</v>
      </c>
      <c r="D31" s="317">
        <f t="shared" si="18"/>
        <v>764.22</v>
      </c>
      <c r="E31" s="317">
        <f t="shared" si="18"/>
        <v>808.22</v>
      </c>
      <c r="F31" s="317">
        <f t="shared" si="18"/>
        <v>808.22</v>
      </c>
      <c r="G31" s="317">
        <f t="shared" si="18"/>
        <v>808.22</v>
      </c>
      <c r="H31" s="317">
        <f t="shared" si="18"/>
        <v>855.03</v>
      </c>
      <c r="I31" s="317">
        <f t="shared" si="18"/>
        <v>855.03</v>
      </c>
      <c r="J31" s="317">
        <f t="shared" ref="J31:R31" si="19">J17</f>
        <v>877.77</v>
      </c>
      <c r="K31" s="119">
        <f t="shared" si="19"/>
        <v>877.77</v>
      </c>
      <c r="L31" s="119">
        <f t="shared" si="19"/>
        <v>896.04</v>
      </c>
      <c r="M31" s="119">
        <f t="shared" si="19"/>
        <v>918.04</v>
      </c>
      <c r="N31" s="119">
        <f t="shared" si="19"/>
        <v>918.04</v>
      </c>
      <c r="O31" s="119">
        <f t="shared" si="19"/>
        <v>918.04</v>
      </c>
      <c r="P31" s="406">
        <f t="shared" si="19"/>
        <v>918.04</v>
      </c>
      <c r="Q31" s="406">
        <f t="shared" si="19"/>
        <v>918.04</v>
      </c>
      <c r="R31" s="119">
        <f t="shared" si="19"/>
        <v>945.35</v>
      </c>
      <c r="T31" s="589"/>
    </row>
    <row r="32" spans="1:20" ht="15" customHeight="1" x14ac:dyDescent="0.25">
      <c r="A32" s="599" t="s">
        <v>51</v>
      </c>
      <c r="B32" s="599"/>
      <c r="C32" s="317">
        <f t="shared" ref="C32:I32" si="20">C20</f>
        <v>49.07</v>
      </c>
      <c r="D32" s="317">
        <f t="shared" si="20"/>
        <v>49.07</v>
      </c>
      <c r="E32" s="317">
        <f t="shared" si="20"/>
        <v>49.07</v>
      </c>
      <c r="F32" s="317">
        <f t="shared" si="20"/>
        <v>49.07</v>
      </c>
      <c r="G32" s="317">
        <f t="shared" si="20"/>
        <v>49.07</v>
      </c>
      <c r="H32" s="317">
        <f t="shared" si="20"/>
        <v>49.07</v>
      </c>
      <c r="I32" s="317">
        <f t="shared" si="20"/>
        <v>53.76</v>
      </c>
      <c r="J32" s="317">
        <f t="shared" ref="J32:O32" si="21">J20</f>
        <v>53.76</v>
      </c>
      <c r="K32" s="119">
        <f t="shared" si="21"/>
        <v>53.756666666666668</v>
      </c>
      <c r="L32" s="119">
        <f t="shared" si="21"/>
        <v>53.76</v>
      </c>
      <c r="M32" s="119">
        <f t="shared" si="21"/>
        <v>53.76</v>
      </c>
      <c r="N32" s="119">
        <f t="shared" si="21"/>
        <v>53.76</v>
      </c>
      <c r="O32" s="119">
        <f t="shared" si="21"/>
        <v>53.76</v>
      </c>
      <c r="P32" s="406">
        <f>P20</f>
        <v>53.76</v>
      </c>
      <c r="Q32" s="406">
        <f>Q20</f>
        <v>61.823999999999991</v>
      </c>
      <c r="R32" s="119">
        <f>R20</f>
        <v>61.823999999999991</v>
      </c>
      <c r="T32" s="590"/>
    </row>
    <row r="33" spans="1:20" ht="15" customHeight="1" x14ac:dyDescent="0.25">
      <c r="A33" s="599" t="s">
        <v>52</v>
      </c>
      <c r="B33" s="599"/>
      <c r="C33" s="317">
        <f t="shared" ref="C33:I33" si="22">C23</f>
        <v>755.27</v>
      </c>
      <c r="D33" s="317">
        <f t="shared" si="22"/>
        <v>804.89</v>
      </c>
      <c r="E33" s="317">
        <f t="shared" si="22"/>
        <v>804.89</v>
      </c>
      <c r="F33" s="317">
        <f t="shared" si="22"/>
        <v>804.89</v>
      </c>
      <c r="G33" s="317">
        <f t="shared" si="22"/>
        <v>804.89</v>
      </c>
      <c r="H33" s="317">
        <f t="shared" si="22"/>
        <v>834.47</v>
      </c>
      <c r="I33" s="317">
        <f t="shared" si="22"/>
        <v>834.47</v>
      </c>
      <c r="J33" s="317">
        <f t="shared" ref="J33:R33" si="23">J23</f>
        <v>866.3</v>
      </c>
      <c r="K33" s="119">
        <f t="shared" si="23"/>
        <v>866.3</v>
      </c>
      <c r="L33" s="119">
        <f t="shared" si="23"/>
        <v>882.52</v>
      </c>
      <c r="M33" s="119">
        <f t="shared" si="23"/>
        <v>882.52</v>
      </c>
      <c r="N33" s="119">
        <f t="shared" si="23"/>
        <v>863.59</v>
      </c>
      <c r="O33" s="119">
        <f t="shared" si="23"/>
        <v>882.52</v>
      </c>
      <c r="P33" s="406">
        <f t="shared" si="23"/>
        <v>882.52</v>
      </c>
      <c r="Q33" s="406">
        <f t="shared" si="23"/>
        <v>882.52</v>
      </c>
      <c r="R33" s="119">
        <f t="shared" si="23"/>
        <v>921.28</v>
      </c>
    </row>
    <row r="34" spans="1:20" ht="15" customHeight="1" x14ac:dyDescent="0.25">
      <c r="A34" s="619" t="s">
        <v>74</v>
      </c>
      <c r="B34" s="619"/>
      <c r="C34" s="318">
        <f t="shared" ref="C34:I34" si="24">ROUND(SUM(C30:C33),2)</f>
        <v>2581.91</v>
      </c>
      <c r="D34" s="318">
        <f t="shared" si="24"/>
        <v>2739.51</v>
      </c>
      <c r="E34" s="318">
        <f t="shared" si="24"/>
        <v>2783.51</v>
      </c>
      <c r="F34" s="318">
        <f t="shared" si="24"/>
        <v>2783.51</v>
      </c>
      <c r="G34" s="318">
        <f t="shared" si="24"/>
        <v>2783.51</v>
      </c>
      <c r="H34" s="318">
        <f t="shared" si="24"/>
        <v>2894.66</v>
      </c>
      <c r="I34" s="318">
        <f t="shared" si="24"/>
        <v>2899.35</v>
      </c>
      <c r="J34" s="318">
        <f t="shared" ref="J34:R34" si="25">ROUND(SUM(J30:J33),2)</f>
        <v>2996.7</v>
      </c>
      <c r="K34" s="104">
        <f t="shared" si="25"/>
        <v>2996.7</v>
      </c>
      <c r="L34" s="104">
        <f t="shared" si="25"/>
        <v>3069.55</v>
      </c>
      <c r="M34" s="104">
        <f t="shared" si="25"/>
        <v>3091.55</v>
      </c>
      <c r="N34" s="104">
        <f t="shared" si="25"/>
        <v>3072.62</v>
      </c>
      <c r="O34" s="104">
        <f t="shared" si="25"/>
        <v>3091.55</v>
      </c>
      <c r="P34" s="407">
        <f t="shared" si="25"/>
        <v>3091.55</v>
      </c>
      <c r="Q34" s="407">
        <f t="shared" si="25"/>
        <v>3099.61</v>
      </c>
      <c r="R34" s="104">
        <f t="shared" si="25"/>
        <v>3216.41</v>
      </c>
      <c r="T34" s="332" t="s">
        <v>317</v>
      </c>
    </row>
    <row r="35" spans="1:20" ht="15" customHeight="1" x14ac:dyDescent="0.25">
      <c r="A35" s="599" t="s">
        <v>58</v>
      </c>
      <c r="B35" s="599"/>
      <c r="C35" s="317">
        <f t="shared" ref="C35:I35" si="26">C28</f>
        <v>497.8</v>
      </c>
      <c r="D35" s="317">
        <f t="shared" si="26"/>
        <v>528.17999999999995</v>
      </c>
      <c r="E35" s="317">
        <f t="shared" si="26"/>
        <v>536.66</v>
      </c>
      <c r="F35" s="317">
        <f t="shared" si="26"/>
        <v>536.66</v>
      </c>
      <c r="G35" s="317">
        <f t="shared" si="26"/>
        <v>536.66</v>
      </c>
      <c r="H35" s="317">
        <f t="shared" si="26"/>
        <v>558.09</v>
      </c>
      <c r="I35" s="317">
        <f t="shared" si="26"/>
        <v>558.99</v>
      </c>
      <c r="J35" s="317">
        <f t="shared" ref="J35:R35" si="27">J28</f>
        <v>577.77</v>
      </c>
      <c r="K35" s="119">
        <f t="shared" si="27"/>
        <v>577.77</v>
      </c>
      <c r="L35" s="119">
        <f t="shared" si="27"/>
        <v>591.80999999999995</v>
      </c>
      <c r="M35" s="119">
        <f t="shared" si="27"/>
        <v>596.04999999999995</v>
      </c>
      <c r="N35" s="119">
        <f t="shared" si="27"/>
        <v>592.41</v>
      </c>
      <c r="O35" s="119">
        <f t="shared" si="27"/>
        <v>596.04999999999995</v>
      </c>
      <c r="P35" s="406">
        <f t="shared" si="27"/>
        <v>596.04999999999995</v>
      </c>
      <c r="Q35" s="406">
        <f t="shared" si="27"/>
        <v>597.62</v>
      </c>
      <c r="R35" s="119">
        <f t="shared" si="27"/>
        <v>620.13</v>
      </c>
      <c r="T35" s="47" t="s">
        <v>333</v>
      </c>
    </row>
    <row r="36" spans="1:20" ht="15" customHeight="1" x14ac:dyDescent="0.25">
      <c r="A36" s="619" t="s">
        <v>161</v>
      </c>
      <c r="B36" s="619"/>
      <c r="C36" s="318">
        <f t="shared" ref="C36:I36" si="28">ROUND(SUM(C34:C35),2)</f>
        <v>3079.71</v>
      </c>
      <c r="D36" s="318">
        <f t="shared" si="28"/>
        <v>3267.69</v>
      </c>
      <c r="E36" s="318">
        <f t="shared" si="28"/>
        <v>3320.17</v>
      </c>
      <c r="F36" s="318">
        <f t="shared" si="28"/>
        <v>3320.17</v>
      </c>
      <c r="G36" s="318">
        <f t="shared" si="28"/>
        <v>3320.17</v>
      </c>
      <c r="H36" s="318">
        <f t="shared" si="28"/>
        <v>3452.75</v>
      </c>
      <c r="I36" s="318">
        <f t="shared" si="28"/>
        <v>3458.34</v>
      </c>
      <c r="J36" s="318">
        <f t="shared" ref="J36:R36" si="29">ROUND(SUM(J34:J35),2)</f>
        <v>3574.47</v>
      </c>
      <c r="K36" s="104">
        <f t="shared" si="29"/>
        <v>3574.47</v>
      </c>
      <c r="L36" s="104">
        <f t="shared" si="29"/>
        <v>3661.36</v>
      </c>
      <c r="M36" s="104">
        <f t="shared" si="29"/>
        <v>3687.6</v>
      </c>
      <c r="N36" s="104">
        <f t="shared" si="29"/>
        <v>3665.03</v>
      </c>
      <c r="O36" s="104">
        <f t="shared" si="29"/>
        <v>3687.6</v>
      </c>
      <c r="P36" s="407">
        <f t="shared" si="29"/>
        <v>3687.6</v>
      </c>
      <c r="Q36" s="407">
        <f t="shared" si="29"/>
        <v>3697.23</v>
      </c>
      <c r="R36" s="104">
        <f t="shared" si="29"/>
        <v>3836.54</v>
      </c>
      <c r="T36" s="47" t="s">
        <v>319</v>
      </c>
    </row>
    <row r="37" spans="1:20" ht="15" customHeight="1" x14ac:dyDescent="0.25">
      <c r="A37" s="600" t="s">
        <v>48</v>
      </c>
      <c r="B37" s="600"/>
      <c r="C37" s="319">
        <v>3</v>
      </c>
      <c r="D37" s="319">
        <v>3</v>
      </c>
      <c r="E37" s="319">
        <v>3</v>
      </c>
      <c r="F37" s="319">
        <v>3</v>
      </c>
      <c r="G37" s="319">
        <v>3</v>
      </c>
      <c r="H37" s="319">
        <v>3</v>
      </c>
      <c r="I37" s="319">
        <v>3</v>
      </c>
      <c r="J37" s="319">
        <v>3</v>
      </c>
      <c r="K37" s="120">
        <v>1</v>
      </c>
      <c r="L37" s="120">
        <v>1</v>
      </c>
      <c r="M37" s="120">
        <v>1</v>
      </c>
      <c r="N37" s="120">
        <v>1</v>
      </c>
      <c r="O37" s="120">
        <v>1</v>
      </c>
      <c r="P37" s="408">
        <v>1</v>
      </c>
      <c r="Q37" s="408">
        <v>1</v>
      </c>
      <c r="R37" s="120">
        <v>1</v>
      </c>
      <c r="T37" s="323" t="s">
        <v>320</v>
      </c>
    </row>
    <row r="38" spans="1:20" ht="15" customHeight="1" x14ac:dyDescent="0.25">
      <c r="A38" s="598" t="s">
        <v>165</v>
      </c>
      <c r="B38" s="598"/>
      <c r="C38" s="318">
        <f t="shared" ref="C38:I38" si="30">ROUND((C36*C37),2)</f>
        <v>9239.1299999999992</v>
      </c>
      <c r="D38" s="318">
        <f t="shared" si="30"/>
        <v>9803.07</v>
      </c>
      <c r="E38" s="318">
        <f t="shared" si="30"/>
        <v>9960.51</v>
      </c>
      <c r="F38" s="318">
        <f t="shared" si="30"/>
        <v>9960.51</v>
      </c>
      <c r="G38" s="318">
        <f t="shared" si="30"/>
        <v>9960.51</v>
      </c>
      <c r="H38" s="318">
        <f t="shared" si="30"/>
        <v>10358.25</v>
      </c>
      <c r="I38" s="318">
        <f t="shared" si="30"/>
        <v>10375.02</v>
      </c>
      <c r="J38" s="318">
        <f t="shared" ref="J38:R38" si="31">ROUND((J36*J37),2)</f>
        <v>10723.41</v>
      </c>
      <c r="K38" s="104">
        <f t="shared" si="31"/>
        <v>3574.47</v>
      </c>
      <c r="L38" s="104">
        <f t="shared" si="31"/>
        <v>3661.36</v>
      </c>
      <c r="M38" s="104">
        <f t="shared" si="31"/>
        <v>3687.6</v>
      </c>
      <c r="N38" s="104">
        <f t="shared" si="31"/>
        <v>3665.03</v>
      </c>
      <c r="O38" s="104">
        <f t="shared" si="31"/>
        <v>3687.6</v>
      </c>
      <c r="P38" s="407">
        <f t="shared" si="31"/>
        <v>3687.6</v>
      </c>
      <c r="Q38" s="407">
        <f t="shared" si="31"/>
        <v>3697.23</v>
      </c>
      <c r="R38" s="104">
        <f t="shared" si="31"/>
        <v>3836.54</v>
      </c>
      <c r="T38" s="323" t="s">
        <v>321</v>
      </c>
    </row>
    <row r="39" spans="1:20" ht="15" customHeight="1" x14ac:dyDescent="0.25">
      <c r="A39" s="39"/>
      <c r="B39" s="39"/>
      <c r="C39" s="39"/>
      <c r="D39" s="39"/>
      <c r="E39" s="39"/>
      <c r="F39" s="39"/>
      <c r="G39" s="39"/>
      <c r="H39" s="39"/>
      <c r="I39" s="58"/>
      <c r="T39" s="323" t="s">
        <v>322</v>
      </c>
    </row>
    <row r="40" spans="1:20" ht="15" customHeight="1" x14ac:dyDescent="0.25">
      <c r="A40" s="39"/>
      <c r="B40" s="39"/>
      <c r="C40" s="39"/>
      <c r="D40" s="39"/>
      <c r="E40" s="39"/>
      <c r="F40" s="39"/>
      <c r="G40" s="39"/>
      <c r="H40" s="39"/>
      <c r="I40" s="58"/>
    </row>
    <row r="41" spans="1:20" ht="20.25" customHeight="1" x14ac:dyDescent="0.25">
      <c r="A41" s="39"/>
      <c r="B41" s="39"/>
      <c r="C41" s="39"/>
      <c r="D41" s="39"/>
      <c r="E41" s="39"/>
      <c r="F41" s="39"/>
      <c r="G41" s="39"/>
      <c r="H41" s="39"/>
      <c r="I41" s="58"/>
      <c r="T41" s="332" t="s">
        <v>323</v>
      </c>
    </row>
    <row r="42" spans="1:20" ht="75.75" customHeight="1" x14ac:dyDescent="0.25">
      <c r="A42" s="39"/>
      <c r="B42" s="39"/>
      <c r="C42" s="39"/>
      <c r="D42" s="39"/>
      <c r="E42" s="39"/>
      <c r="F42" s="39"/>
      <c r="G42" s="39"/>
      <c r="H42" s="39"/>
      <c r="I42" s="58"/>
      <c r="T42" s="327" t="s">
        <v>342</v>
      </c>
    </row>
    <row r="43" spans="1:20" ht="15" customHeight="1" x14ac:dyDescent="0.25">
      <c r="A43" s="39"/>
      <c r="B43" s="39"/>
      <c r="C43" s="39"/>
      <c r="D43" s="39"/>
      <c r="E43" s="39"/>
      <c r="F43" s="39"/>
      <c r="G43" s="39"/>
      <c r="H43" s="39"/>
      <c r="I43" s="58"/>
    </row>
    <row r="44" spans="1:20" ht="15" customHeight="1" x14ac:dyDescent="0.25">
      <c r="A44" s="39"/>
      <c r="B44" s="39"/>
      <c r="C44" s="39"/>
      <c r="D44" s="39"/>
      <c r="E44" s="39"/>
      <c r="F44" s="39"/>
      <c r="G44" s="39"/>
      <c r="H44" s="39"/>
      <c r="I44" s="58"/>
    </row>
    <row r="45" spans="1:20" ht="15" customHeight="1" x14ac:dyDescent="0.25">
      <c r="A45" s="42"/>
      <c r="B45" s="39"/>
      <c r="C45" s="39"/>
      <c r="D45" s="39"/>
      <c r="E45" s="39"/>
      <c r="F45" s="39"/>
      <c r="G45" s="39"/>
      <c r="H45" s="39"/>
      <c r="I45" s="58"/>
    </row>
    <row r="46" spans="1:20" ht="15" customHeight="1" x14ac:dyDescent="0.25">
      <c r="A46" s="39"/>
      <c r="B46" s="39"/>
      <c r="C46" s="39"/>
      <c r="D46" s="39"/>
      <c r="E46" s="39"/>
      <c r="F46" s="39"/>
      <c r="G46" s="39"/>
      <c r="H46" s="39"/>
      <c r="I46" s="58"/>
    </row>
    <row r="47" spans="1:20" ht="15" customHeight="1" x14ac:dyDescent="0.25">
      <c r="A47" s="39"/>
      <c r="B47" s="39"/>
      <c r="C47" s="39"/>
      <c r="D47" s="39"/>
      <c r="E47" s="39"/>
      <c r="F47" s="39"/>
      <c r="G47" s="39"/>
      <c r="H47" s="39"/>
      <c r="I47" s="58"/>
    </row>
    <row r="48" spans="1:20" ht="15" customHeight="1" x14ac:dyDescent="0.25">
      <c r="A48" s="39"/>
      <c r="B48" s="39"/>
      <c r="C48" s="39"/>
      <c r="D48" s="39"/>
      <c r="E48" s="39"/>
      <c r="F48" s="39"/>
      <c r="G48" s="39"/>
      <c r="H48" s="39"/>
      <c r="I48" s="58"/>
    </row>
    <row r="49" spans="1:9" ht="15" customHeight="1" x14ac:dyDescent="0.25">
      <c r="A49" s="39"/>
      <c r="B49" s="39"/>
      <c r="C49" s="39"/>
      <c r="D49" s="39"/>
      <c r="E49" s="39"/>
      <c r="F49" s="39"/>
      <c r="G49" s="39"/>
      <c r="H49" s="39"/>
      <c r="I49" s="58"/>
    </row>
    <row r="50" spans="1:9" ht="15" customHeight="1" x14ac:dyDescent="0.25">
      <c r="A50" s="39"/>
      <c r="B50" s="39"/>
      <c r="C50" s="39"/>
      <c r="D50" s="39"/>
      <c r="E50" s="39"/>
      <c r="F50" s="39"/>
      <c r="G50" s="39"/>
      <c r="H50" s="39"/>
      <c r="I50" s="58"/>
    </row>
    <row r="52" spans="1:9" ht="15" customHeight="1" x14ac:dyDescent="0.25">
      <c r="A52" s="39"/>
      <c r="B52" s="39"/>
      <c r="C52" s="39"/>
      <c r="D52" s="39"/>
      <c r="E52" s="39"/>
      <c r="F52" s="39"/>
      <c r="G52" s="39"/>
      <c r="H52" s="39"/>
      <c r="I52" s="58"/>
    </row>
    <row r="53" spans="1:9" ht="15" customHeight="1" x14ac:dyDescent="0.25">
      <c r="A53" s="39"/>
      <c r="B53" s="39"/>
      <c r="C53" s="39"/>
      <c r="D53" s="39"/>
      <c r="E53" s="39"/>
      <c r="F53" s="39"/>
      <c r="G53" s="39"/>
      <c r="H53" s="39"/>
      <c r="I53" s="58"/>
    </row>
    <row r="54" spans="1:9" ht="15" customHeight="1" x14ac:dyDescent="0.25">
      <c r="A54" s="42"/>
      <c r="B54" s="39"/>
      <c r="C54" s="39"/>
      <c r="D54" s="39"/>
      <c r="E54" s="39"/>
      <c r="F54" s="39"/>
      <c r="G54" s="39"/>
      <c r="H54" s="39"/>
      <c r="I54" s="58"/>
    </row>
    <row r="55" spans="1:9" ht="15" customHeight="1" x14ac:dyDescent="0.25">
      <c r="A55" s="39"/>
      <c r="B55" s="43"/>
      <c r="C55" s="43"/>
      <c r="D55" s="43"/>
      <c r="E55" s="43"/>
      <c r="F55" s="43"/>
      <c r="G55" s="43"/>
      <c r="H55" s="43"/>
      <c r="I55" s="545"/>
    </row>
    <row r="56" spans="1:9" ht="15" customHeight="1" x14ac:dyDescent="0.25">
      <c r="A56" s="42"/>
      <c r="B56" s="39"/>
      <c r="C56" s="39"/>
      <c r="D56" s="39"/>
      <c r="E56" s="39"/>
      <c r="F56" s="39"/>
      <c r="G56" s="39"/>
      <c r="H56" s="39"/>
      <c r="I56" s="58"/>
    </row>
    <row r="57" spans="1:9" ht="15" customHeight="1" x14ac:dyDescent="0.25">
      <c r="A57" s="39"/>
      <c r="B57" s="39"/>
      <c r="C57" s="39"/>
      <c r="D57" s="39"/>
      <c r="E57" s="39"/>
      <c r="F57" s="39"/>
      <c r="G57" s="39"/>
      <c r="H57" s="39"/>
      <c r="I57" s="58"/>
    </row>
    <row r="58" spans="1:9" ht="15" customHeight="1" x14ac:dyDescent="0.25">
      <c r="A58" s="39"/>
      <c r="B58" s="39"/>
      <c r="C58" s="39"/>
      <c r="D58" s="39"/>
      <c r="E58" s="39"/>
      <c r="F58" s="39"/>
      <c r="G58" s="39"/>
      <c r="H58" s="39"/>
      <c r="I58" s="58"/>
    </row>
    <row r="59" spans="1:9" ht="15" customHeight="1" x14ac:dyDescent="0.25">
      <c r="A59" s="39"/>
      <c r="B59" s="39"/>
      <c r="C59" s="39"/>
      <c r="D59" s="39"/>
      <c r="E59" s="39"/>
      <c r="F59" s="39"/>
      <c r="G59" s="39"/>
      <c r="H59" s="39"/>
      <c r="I59" s="58"/>
    </row>
    <row r="60" spans="1:9" ht="15" customHeight="1" x14ac:dyDescent="0.25">
      <c r="A60" s="39"/>
      <c r="B60" s="39"/>
      <c r="C60" s="39"/>
      <c r="D60" s="39"/>
      <c r="E60" s="39"/>
      <c r="F60" s="39"/>
      <c r="G60" s="39"/>
      <c r="H60" s="39"/>
      <c r="I60" s="58"/>
    </row>
    <row r="61" spans="1:9" ht="15" customHeight="1" x14ac:dyDescent="0.25">
      <c r="A61" s="39"/>
      <c r="B61" s="39"/>
      <c r="C61" s="39"/>
      <c r="D61" s="39"/>
      <c r="E61" s="39"/>
      <c r="F61" s="39"/>
      <c r="G61" s="39"/>
      <c r="H61" s="39"/>
      <c r="I61" s="58"/>
    </row>
    <row r="62" spans="1:9" ht="15" customHeight="1" x14ac:dyDescent="0.25">
      <c r="A62" s="39"/>
      <c r="B62" s="39"/>
      <c r="C62" s="39"/>
      <c r="D62" s="39"/>
      <c r="E62" s="39"/>
      <c r="F62" s="39"/>
      <c r="G62" s="39"/>
      <c r="H62" s="39"/>
      <c r="I62" s="58"/>
    </row>
    <row r="63" spans="1:9" ht="15" customHeight="1" x14ac:dyDescent="0.25">
      <c r="A63" s="39"/>
      <c r="B63" s="39"/>
      <c r="C63" s="39"/>
      <c r="D63" s="39"/>
      <c r="E63" s="39"/>
      <c r="F63" s="39"/>
      <c r="G63" s="39"/>
      <c r="H63" s="39"/>
      <c r="I63" s="58"/>
    </row>
    <row r="64" spans="1:9" ht="15" customHeight="1" x14ac:dyDescent="0.25">
      <c r="A64" s="39"/>
      <c r="B64" s="39"/>
      <c r="C64" s="39"/>
      <c r="D64" s="39"/>
      <c r="E64" s="39"/>
      <c r="F64" s="39"/>
      <c r="G64" s="39"/>
      <c r="H64" s="39"/>
      <c r="I64" s="58"/>
    </row>
    <row r="65" spans="1:9" ht="15" customHeight="1" x14ac:dyDescent="0.25">
      <c r="A65" s="39"/>
      <c r="B65" s="39"/>
      <c r="C65" s="39"/>
      <c r="D65" s="39"/>
      <c r="E65" s="39"/>
      <c r="F65" s="39"/>
      <c r="G65" s="39"/>
      <c r="H65" s="39"/>
      <c r="I65" s="58"/>
    </row>
    <row r="66" spans="1:9" ht="15" customHeight="1" x14ac:dyDescent="0.25">
      <c r="A66" s="39"/>
      <c r="B66" s="39"/>
      <c r="C66" s="39"/>
      <c r="D66" s="39"/>
      <c r="E66" s="39"/>
      <c r="F66" s="39"/>
      <c r="G66" s="39"/>
      <c r="H66" s="39"/>
      <c r="I66" s="58"/>
    </row>
    <row r="67" spans="1:9" ht="15" customHeight="1" x14ac:dyDescent="0.25">
      <c r="A67" s="39"/>
      <c r="B67" s="39"/>
      <c r="C67" s="39"/>
      <c r="D67" s="39"/>
      <c r="E67" s="39"/>
      <c r="F67" s="39"/>
      <c r="G67" s="39"/>
      <c r="H67" s="39"/>
      <c r="I67" s="58"/>
    </row>
    <row r="68" spans="1:9" ht="15" customHeight="1" x14ac:dyDescent="0.25">
      <c r="A68" s="39"/>
      <c r="B68" s="39"/>
      <c r="C68" s="39"/>
      <c r="D68" s="39"/>
      <c r="E68" s="39"/>
      <c r="F68" s="39"/>
      <c r="G68" s="39"/>
      <c r="H68" s="39"/>
      <c r="I68" s="58"/>
    </row>
    <row r="69" spans="1:9" ht="15" customHeight="1" x14ac:dyDescent="0.25">
      <c r="A69" s="39"/>
      <c r="B69" s="39"/>
      <c r="C69" s="39"/>
      <c r="D69" s="39"/>
      <c r="E69" s="39"/>
      <c r="F69" s="39"/>
      <c r="G69" s="39"/>
      <c r="H69" s="39"/>
      <c r="I69" s="58"/>
    </row>
    <row r="70" spans="1:9" ht="15" customHeight="1" x14ac:dyDescent="0.25">
      <c r="A70" s="39"/>
      <c r="B70" s="39"/>
      <c r="C70" s="39"/>
      <c r="D70" s="39"/>
      <c r="E70" s="39"/>
      <c r="F70" s="39"/>
      <c r="G70" s="39"/>
      <c r="H70" s="39"/>
      <c r="I70" s="58"/>
    </row>
    <row r="71" spans="1:9" ht="15" customHeight="1" x14ac:dyDescent="0.25">
      <c r="A71" s="39"/>
      <c r="B71" s="39"/>
      <c r="C71" s="39"/>
      <c r="D71" s="39"/>
      <c r="E71" s="39"/>
      <c r="F71" s="39"/>
      <c r="G71" s="39"/>
      <c r="H71" s="39"/>
      <c r="I71" s="58"/>
    </row>
    <row r="72" spans="1:9" ht="15" customHeight="1" x14ac:dyDescent="0.25">
      <c r="A72" s="39"/>
      <c r="B72" s="39"/>
      <c r="C72" s="39"/>
      <c r="D72" s="39"/>
      <c r="E72" s="39"/>
      <c r="F72" s="39"/>
      <c r="G72" s="39"/>
      <c r="H72" s="39"/>
      <c r="I72" s="58"/>
    </row>
    <row r="73" spans="1:9" ht="15" customHeight="1" x14ac:dyDescent="0.25">
      <c r="A73" s="42"/>
      <c r="B73" s="39"/>
      <c r="C73" s="39"/>
      <c r="D73" s="39"/>
      <c r="E73" s="39"/>
      <c r="F73" s="39"/>
      <c r="G73" s="39"/>
      <c r="H73" s="39"/>
      <c r="I73" s="58"/>
    </row>
    <row r="74" spans="1:9" ht="15" customHeight="1" x14ac:dyDescent="0.25">
      <c r="A74" s="39"/>
      <c r="B74" s="39"/>
      <c r="C74" s="39"/>
      <c r="D74" s="39"/>
      <c r="E74" s="39"/>
      <c r="F74" s="39"/>
      <c r="G74" s="39"/>
      <c r="H74" s="39"/>
      <c r="I74" s="58"/>
    </row>
    <row r="75" spans="1:9" ht="15" customHeight="1" x14ac:dyDescent="0.25">
      <c r="A75" s="39"/>
      <c r="B75" s="39"/>
      <c r="C75" s="39"/>
      <c r="D75" s="39"/>
      <c r="E75" s="39"/>
      <c r="F75" s="39"/>
      <c r="G75" s="39"/>
      <c r="H75" s="39"/>
      <c r="I75" s="58"/>
    </row>
    <row r="76" spans="1:9" ht="15" customHeight="1" x14ac:dyDescent="0.25">
      <c r="A76" s="39"/>
      <c r="B76" s="39"/>
      <c r="C76" s="39"/>
      <c r="D76" s="39"/>
      <c r="E76" s="39"/>
      <c r="F76" s="39"/>
      <c r="G76" s="39"/>
      <c r="H76" s="39"/>
      <c r="I76" s="58"/>
    </row>
    <row r="77" spans="1:9" ht="15" customHeight="1" x14ac:dyDescent="0.25">
      <c r="A77" s="39"/>
      <c r="B77" s="39"/>
      <c r="C77" s="39"/>
      <c r="D77" s="39"/>
      <c r="E77" s="39"/>
      <c r="F77" s="39"/>
      <c r="G77" s="39"/>
      <c r="H77" s="39"/>
      <c r="I77" s="58"/>
    </row>
    <row r="78" spans="1:9" ht="15" customHeight="1" x14ac:dyDescent="0.25">
      <c r="A78" s="39"/>
      <c r="B78" s="39"/>
      <c r="C78" s="39"/>
      <c r="D78" s="39"/>
      <c r="E78" s="39"/>
      <c r="F78" s="39"/>
      <c r="G78" s="39"/>
      <c r="H78" s="39"/>
      <c r="I78" s="58"/>
    </row>
    <row r="79" spans="1:9" ht="15" customHeight="1" x14ac:dyDescent="0.25">
      <c r="A79" s="39"/>
      <c r="B79" s="39"/>
      <c r="C79" s="39"/>
      <c r="D79" s="39"/>
      <c r="E79" s="39"/>
      <c r="F79" s="39"/>
      <c r="G79" s="39"/>
      <c r="H79" s="39"/>
      <c r="I79" s="58"/>
    </row>
    <row r="80" spans="1:9" ht="15" customHeight="1" x14ac:dyDescent="0.25">
      <c r="A80" s="39"/>
      <c r="B80" s="39"/>
      <c r="C80" s="39"/>
      <c r="D80" s="39"/>
      <c r="E80" s="39"/>
      <c r="F80" s="39"/>
      <c r="G80" s="39"/>
      <c r="H80" s="39"/>
      <c r="I80" s="58"/>
    </row>
    <row r="81" spans="1:9" ht="15" customHeight="1" x14ac:dyDescent="0.25">
      <c r="A81" s="39"/>
      <c r="B81" s="39"/>
      <c r="C81" s="39"/>
      <c r="D81" s="39"/>
      <c r="E81" s="39"/>
      <c r="F81" s="39"/>
      <c r="G81" s="39"/>
      <c r="H81" s="39"/>
      <c r="I81" s="58"/>
    </row>
    <row r="82" spans="1:9" ht="15" customHeight="1" x14ac:dyDescent="0.25">
      <c r="A82" s="42"/>
      <c r="B82" s="39"/>
      <c r="C82" s="39"/>
      <c r="D82" s="39"/>
      <c r="E82" s="39"/>
      <c r="F82" s="39"/>
      <c r="G82" s="39"/>
      <c r="H82" s="39"/>
      <c r="I82" s="58"/>
    </row>
    <row r="83" spans="1:9" ht="15" customHeight="1" x14ac:dyDescent="0.25">
      <c r="A83" s="39"/>
      <c r="B83" s="43"/>
      <c r="C83" s="43"/>
      <c r="D83" s="43"/>
      <c r="E83" s="43"/>
      <c r="F83" s="43"/>
      <c r="G83" s="43"/>
      <c r="H83" s="43"/>
      <c r="I83" s="545"/>
    </row>
    <row r="84" spans="1:9" ht="15" customHeight="1" x14ac:dyDescent="0.25">
      <c r="A84" s="42"/>
      <c r="B84" s="39"/>
      <c r="C84" s="39"/>
      <c r="D84" s="39"/>
      <c r="E84" s="39"/>
      <c r="F84" s="39"/>
      <c r="G84" s="39"/>
      <c r="H84" s="39"/>
      <c r="I84" s="58"/>
    </row>
    <row r="85" spans="1:9" ht="15" customHeight="1" x14ac:dyDescent="0.25">
      <c r="A85" s="39"/>
      <c r="B85" s="39"/>
      <c r="C85" s="39"/>
      <c r="D85" s="39"/>
      <c r="E85" s="39"/>
      <c r="F85" s="39"/>
      <c r="G85" s="39"/>
      <c r="H85" s="39"/>
      <c r="I85" s="58"/>
    </row>
    <row r="86" spans="1:9" ht="15" customHeight="1" x14ac:dyDescent="0.25">
      <c r="A86" s="39"/>
      <c r="B86" s="39"/>
      <c r="C86" s="39"/>
      <c r="D86" s="39"/>
      <c r="E86" s="39"/>
      <c r="F86" s="39"/>
      <c r="G86" s="39"/>
      <c r="H86" s="39"/>
      <c r="I86" s="58"/>
    </row>
    <row r="87" spans="1:9" ht="15" customHeight="1" x14ac:dyDescent="0.25">
      <c r="A87" s="39"/>
      <c r="B87" s="39"/>
      <c r="C87" s="39"/>
      <c r="D87" s="39"/>
      <c r="E87" s="39"/>
      <c r="F87" s="39"/>
      <c r="G87" s="39"/>
      <c r="H87" s="39"/>
      <c r="I87" s="58"/>
    </row>
    <row r="88" spans="1:9" ht="15" customHeight="1" x14ac:dyDescent="0.25">
      <c r="A88" s="39"/>
      <c r="B88" s="39"/>
      <c r="C88" s="39"/>
      <c r="D88" s="39"/>
      <c r="E88" s="39"/>
      <c r="F88" s="39"/>
      <c r="G88" s="39"/>
      <c r="H88" s="39"/>
      <c r="I88" s="58"/>
    </row>
    <row r="89" spans="1:9" ht="15" customHeight="1" x14ac:dyDescent="0.25">
      <c r="A89" s="39"/>
      <c r="B89" s="39"/>
      <c r="C89" s="39"/>
      <c r="D89" s="39"/>
      <c r="E89" s="39"/>
      <c r="F89" s="39"/>
      <c r="G89" s="39"/>
      <c r="H89" s="39"/>
      <c r="I89" s="58"/>
    </row>
    <row r="90" spans="1:9" ht="15" customHeight="1" x14ac:dyDescent="0.25">
      <c r="A90" s="39"/>
      <c r="B90" s="39"/>
      <c r="C90" s="39"/>
      <c r="D90" s="39"/>
      <c r="E90" s="39"/>
      <c r="F90" s="39"/>
      <c r="G90" s="39"/>
      <c r="H90" s="39"/>
      <c r="I90" s="58"/>
    </row>
    <row r="91" spans="1:9" ht="15" customHeight="1" x14ac:dyDescent="0.25">
      <c r="A91" s="39"/>
      <c r="B91" s="39"/>
      <c r="C91" s="39"/>
      <c r="D91" s="39"/>
      <c r="E91" s="39"/>
      <c r="F91" s="39"/>
      <c r="G91" s="39"/>
      <c r="H91" s="39"/>
      <c r="I91" s="58"/>
    </row>
    <row r="92" spans="1:9" ht="15" customHeight="1" x14ac:dyDescent="0.25">
      <c r="A92" s="39"/>
      <c r="B92" s="39"/>
      <c r="C92" s="39"/>
      <c r="D92" s="39"/>
      <c r="E92" s="39"/>
      <c r="F92" s="39"/>
      <c r="G92" s="39"/>
      <c r="H92" s="39"/>
      <c r="I92" s="58"/>
    </row>
    <row r="93" spans="1:9" ht="15" customHeight="1" x14ac:dyDescent="0.25">
      <c r="A93" s="39"/>
      <c r="B93" s="39"/>
      <c r="C93" s="39"/>
      <c r="D93" s="39"/>
      <c r="E93" s="39"/>
      <c r="F93" s="39"/>
      <c r="G93" s="39"/>
      <c r="H93" s="39"/>
      <c r="I93" s="58"/>
    </row>
    <row r="94" spans="1:9" ht="15" customHeight="1" x14ac:dyDescent="0.25">
      <c r="A94" s="39"/>
      <c r="B94" s="39"/>
      <c r="C94" s="39"/>
      <c r="D94" s="39"/>
      <c r="E94" s="39"/>
      <c r="F94" s="39"/>
      <c r="G94" s="39"/>
      <c r="H94" s="39"/>
      <c r="I94" s="58"/>
    </row>
    <row r="95" spans="1:9" ht="15" customHeight="1" x14ac:dyDescent="0.25">
      <c r="A95" s="39"/>
      <c r="B95" s="39"/>
      <c r="C95" s="39"/>
      <c r="D95" s="39"/>
      <c r="E95" s="39"/>
      <c r="F95" s="39"/>
      <c r="G95" s="39"/>
      <c r="H95" s="39"/>
      <c r="I95" s="58"/>
    </row>
    <row r="96" spans="1:9" ht="15" customHeight="1" x14ac:dyDescent="0.25">
      <c r="A96" s="39"/>
      <c r="B96" s="39"/>
      <c r="C96" s="39"/>
      <c r="D96" s="39"/>
      <c r="E96" s="39"/>
      <c r="F96" s="39"/>
      <c r="G96" s="39"/>
      <c r="H96" s="39"/>
      <c r="I96" s="58"/>
    </row>
    <row r="97" spans="1:9" ht="15" customHeight="1" x14ac:dyDescent="0.25">
      <c r="A97" s="39"/>
      <c r="B97" s="39"/>
      <c r="C97" s="39"/>
      <c r="D97" s="39"/>
      <c r="E97" s="39"/>
      <c r="F97" s="39"/>
      <c r="G97" s="39"/>
      <c r="H97" s="39"/>
      <c r="I97" s="58"/>
    </row>
    <row r="98" spans="1:9" ht="15" customHeight="1" x14ac:dyDescent="0.25">
      <c r="A98" s="39"/>
      <c r="B98" s="39"/>
      <c r="C98" s="39"/>
      <c r="D98" s="39"/>
      <c r="E98" s="39"/>
      <c r="F98" s="39"/>
      <c r="G98" s="39"/>
      <c r="H98" s="39"/>
      <c r="I98" s="58"/>
    </row>
    <row r="99" spans="1:9" ht="15" customHeight="1" x14ac:dyDescent="0.25">
      <c r="A99" s="39"/>
      <c r="B99" s="39"/>
      <c r="C99" s="39"/>
      <c r="D99" s="39"/>
      <c r="E99" s="39"/>
      <c r="F99" s="39"/>
      <c r="G99" s="39"/>
      <c r="H99" s="39"/>
      <c r="I99" s="58"/>
    </row>
    <row r="100" spans="1:9" ht="15" customHeight="1" x14ac:dyDescent="0.25">
      <c r="A100" s="39"/>
      <c r="B100" s="39"/>
      <c r="C100" s="39"/>
      <c r="D100" s="39"/>
      <c r="E100" s="39"/>
      <c r="F100" s="39"/>
      <c r="G100" s="39"/>
      <c r="H100" s="39"/>
      <c r="I100" s="58"/>
    </row>
    <row r="101" spans="1:9" ht="15" customHeight="1" x14ac:dyDescent="0.25">
      <c r="A101" s="42"/>
      <c r="B101" s="39"/>
      <c r="C101" s="39"/>
      <c r="D101" s="39"/>
      <c r="E101" s="39"/>
      <c r="F101" s="39"/>
      <c r="G101" s="39"/>
      <c r="H101" s="39"/>
      <c r="I101" s="58"/>
    </row>
    <row r="102" spans="1:9" ht="15" customHeight="1" x14ac:dyDescent="0.25">
      <c r="A102" s="39"/>
      <c r="B102" s="39"/>
      <c r="C102" s="39"/>
      <c r="D102" s="39"/>
      <c r="E102" s="39"/>
      <c r="F102" s="39"/>
      <c r="G102" s="39"/>
      <c r="H102" s="39"/>
      <c r="I102" s="58"/>
    </row>
    <row r="103" spans="1:9" ht="15" customHeight="1" x14ac:dyDescent="0.25">
      <c r="A103" s="39"/>
      <c r="B103" s="39"/>
      <c r="C103" s="39"/>
      <c r="D103" s="39"/>
      <c r="E103" s="39"/>
      <c r="F103" s="39"/>
      <c r="G103" s="39"/>
      <c r="H103" s="39"/>
      <c r="I103" s="58"/>
    </row>
    <row r="104" spans="1:9" ht="15" customHeight="1" x14ac:dyDescent="0.25">
      <c r="A104" s="39"/>
      <c r="B104" s="39"/>
      <c r="C104" s="39"/>
      <c r="D104" s="39"/>
      <c r="E104" s="39"/>
      <c r="F104" s="39"/>
      <c r="G104" s="39"/>
      <c r="H104" s="39"/>
      <c r="I104" s="58"/>
    </row>
    <row r="105" spans="1:9" ht="15" customHeight="1" x14ac:dyDescent="0.25">
      <c r="A105" s="39"/>
      <c r="B105" s="39"/>
      <c r="C105" s="39"/>
      <c r="D105" s="39"/>
      <c r="E105" s="39"/>
      <c r="F105" s="39"/>
      <c r="G105" s="39"/>
      <c r="H105" s="39"/>
      <c r="I105" s="58"/>
    </row>
    <row r="106" spans="1:9" ht="15" customHeight="1" x14ac:dyDescent="0.25">
      <c r="A106" s="39"/>
      <c r="B106" s="39"/>
      <c r="C106" s="39"/>
      <c r="D106" s="39"/>
      <c r="E106" s="39"/>
      <c r="F106" s="39"/>
      <c r="G106" s="39"/>
      <c r="H106" s="39"/>
      <c r="I106" s="58"/>
    </row>
    <row r="107" spans="1:9" ht="15" customHeight="1" x14ac:dyDescent="0.25">
      <c r="A107" s="39"/>
      <c r="B107" s="39"/>
      <c r="C107" s="39"/>
      <c r="D107" s="39"/>
      <c r="E107" s="39"/>
      <c r="F107" s="39"/>
      <c r="G107" s="39"/>
      <c r="H107" s="39"/>
      <c r="I107" s="58"/>
    </row>
    <row r="108" spans="1:9" ht="15" customHeight="1" x14ac:dyDescent="0.25">
      <c r="A108" s="39"/>
      <c r="B108" s="39"/>
      <c r="C108" s="39"/>
      <c r="D108" s="39"/>
      <c r="E108" s="39"/>
      <c r="F108" s="39"/>
      <c r="G108" s="39"/>
      <c r="H108" s="39"/>
      <c r="I108" s="58"/>
    </row>
    <row r="109" spans="1:9" ht="15" customHeight="1" x14ac:dyDescent="0.25">
      <c r="A109" s="39"/>
      <c r="B109" s="39"/>
      <c r="C109" s="39"/>
      <c r="D109" s="39"/>
      <c r="E109" s="39"/>
      <c r="F109" s="39"/>
      <c r="G109" s="39"/>
      <c r="H109" s="39"/>
      <c r="I109" s="58"/>
    </row>
    <row r="110" spans="1:9" ht="15" customHeight="1" x14ac:dyDescent="0.25">
      <c r="A110" s="42"/>
      <c r="B110" s="39"/>
      <c r="C110" s="39"/>
      <c r="D110" s="39"/>
      <c r="E110" s="39"/>
      <c r="F110" s="39"/>
      <c r="G110" s="39"/>
      <c r="H110" s="39"/>
      <c r="I110" s="58"/>
    </row>
    <row r="111" spans="1:9" ht="15" customHeight="1" x14ac:dyDescent="0.25">
      <c r="A111" s="39"/>
      <c r="B111" s="43"/>
      <c r="C111" s="43"/>
      <c r="D111" s="43"/>
      <c r="E111" s="43"/>
      <c r="F111" s="43"/>
      <c r="G111" s="43"/>
      <c r="H111" s="43"/>
      <c r="I111" s="545"/>
    </row>
    <row r="112" spans="1:9" ht="15" customHeight="1" x14ac:dyDescent="0.25">
      <c r="A112" s="42"/>
      <c r="B112" s="39"/>
      <c r="C112" s="39"/>
      <c r="D112" s="39"/>
      <c r="E112" s="39"/>
      <c r="F112" s="39"/>
      <c r="G112" s="39"/>
      <c r="H112" s="39"/>
      <c r="I112" s="58"/>
    </row>
    <row r="113" spans="1:9" ht="15" customHeight="1" x14ac:dyDescent="0.25">
      <c r="A113" s="39"/>
      <c r="B113" s="39"/>
      <c r="C113" s="39"/>
      <c r="D113" s="39"/>
      <c r="E113" s="39"/>
      <c r="F113" s="39"/>
      <c r="G113" s="39"/>
      <c r="H113" s="39"/>
      <c r="I113" s="58"/>
    </row>
    <row r="114" spans="1:9" ht="15" customHeight="1" x14ac:dyDescent="0.25">
      <c r="A114" s="39"/>
      <c r="B114" s="39"/>
      <c r="C114" s="39"/>
      <c r="D114" s="39"/>
      <c r="E114" s="39"/>
      <c r="F114" s="39"/>
      <c r="G114" s="39"/>
      <c r="H114" s="39"/>
      <c r="I114" s="58"/>
    </row>
    <row r="115" spans="1:9" ht="15" customHeight="1" x14ac:dyDescent="0.25">
      <c r="A115" s="39"/>
      <c r="B115" s="39"/>
      <c r="C115" s="39"/>
      <c r="D115" s="39"/>
      <c r="E115" s="39"/>
      <c r="F115" s="39"/>
      <c r="G115" s="39"/>
      <c r="H115" s="39"/>
      <c r="I115" s="58"/>
    </row>
    <row r="116" spans="1:9" ht="15" customHeight="1" x14ac:dyDescent="0.25">
      <c r="A116" s="39"/>
      <c r="B116" s="39"/>
      <c r="C116" s="39"/>
      <c r="D116" s="39"/>
      <c r="E116" s="39"/>
      <c r="F116" s="39"/>
      <c r="G116" s="39"/>
      <c r="H116" s="39"/>
      <c r="I116" s="58"/>
    </row>
    <row r="117" spans="1:9" ht="15" customHeight="1" x14ac:dyDescent="0.25">
      <c r="A117" s="39"/>
      <c r="B117" s="39"/>
      <c r="C117" s="39"/>
      <c r="D117" s="39"/>
      <c r="E117" s="39"/>
      <c r="F117" s="39"/>
      <c r="G117" s="39"/>
      <c r="H117" s="39"/>
      <c r="I117" s="58"/>
    </row>
    <row r="118" spans="1:9" ht="15" customHeight="1" x14ac:dyDescent="0.25">
      <c r="A118" s="39"/>
      <c r="B118" s="39"/>
      <c r="C118" s="39"/>
      <c r="D118" s="39"/>
      <c r="E118" s="39"/>
      <c r="F118" s="39"/>
      <c r="G118" s="39"/>
      <c r="H118" s="39"/>
      <c r="I118" s="58"/>
    </row>
    <row r="119" spans="1:9" ht="15" customHeight="1" x14ac:dyDescent="0.25">
      <c r="A119" s="39"/>
      <c r="B119" s="39"/>
      <c r="C119" s="39"/>
      <c r="D119" s="39"/>
      <c r="E119" s="39"/>
      <c r="F119" s="39"/>
      <c r="G119" s="39"/>
      <c r="H119" s="39"/>
      <c r="I119" s="58"/>
    </row>
    <row r="120" spans="1:9" ht="15" customHeight="1" x14ac:dyDescent="0.25">
      <c r="A120" s="39"/>
      <c r="B120" s="39"/>
      <c r="C120" s="39"/>
      <c r="D120" s="39"/>
      <c r="E120" s="39"/>
      <c r="F120" s="39"/>
      <c r="G120" s="39"/>
      <c r="H120" s="39"/>
      <c r="I120" s="58"/>
    </row>
    <row r="121" spans="1:9" ht="15" customHeight="1" x14ac:dyDescent="0.25">
      <c r="A121" s="39"/>
      <c r="B121" s="39"/>
      <c r="C121" s="39"/>
      <c r="D121" s="39"/>
      <c r="E121" s="39"/>
      <c r="F121" s="39"/>
      <c r="G121" s="39"/>
      <c r="H121" s="39"/>
      <c r="I121" s="58"/>
    </row>
    <row r="122" spans="1:9" ht="15" customHeight="1" x14ac:dyDescent="0.25">
      <c r="A122" s="39"/>
      <c r="B122" s="39"/>
      <c r="C122" s="39"/>
      <c r="D122" s="39"/>
      <c r="E122" s="39"/>
      <c r="F122" s="39"/>
      <c r="G122" s="39"/>
      <c r="H122" s="39"/>
      <c r="I122" s="58"/>
    </row>
    <row r="123" spans="1:9" ht="15" customHeight="1" x14ac:dyDescent="0.25">
      <c r="A123" s="39"/>
      <c r="B123" s="39"/>
      <c r="C123" s="39"/>
      <c r="D123" s="39"/>
      <c r="E123" s="39"/>
      <c r="F123" s="39"/>
      <c r="G123" s="39"/>
      <c r="H123" s="39"/>
      <c r="I123" s="58"/>
    </row>
    <row r="124" spans="1:9" ht="15" customHeight="1" x14ac:dyDescent="0.25">
      <c r="A124" s="39"/>
      <c r="B124" s="39"/>
      <c r="C124" s="39"/>
      <c r="D124" s="39"/>
      <c r="E124" s="39"/>
      <c r="F124" s="39"/>
      <c r="G124" s="39"/>
      <c r="H124" s="39"/>
      <c r="I124" s="58"/>
    </row>
    <row r="125" spans="1:9" ht="15" customHeight="1" x14ac:dyDescent="0.25">
      <c r="A125" s="39"/>
      <c r="B125" s="39"/>
      <c r="C125" s="39"/>
      <c r="D125" s="39"/>
      <c r="E125" s="39"/>
      <c r="F125" s="39"/>
      <c r="G125" s="39"/>
      <c r="H125" s="39"/>
      <c r="I125" s="58"/>
    </row>
    <row r="126" spans="1:9" ht="15" customHeight="1" x14ac:dyDescent="0.25">
      <c r="A126" s="39"/>
      <c r="B126" s="39"/>
      <c r="C126" s="39"/>
      <c r="D126" s="39"/>
      <c r="E126" s="39"/>
      <c r="F126" s="39"/>
      <c r="G126" s="39"/>
      <c r="H126" s="39"/>
      <c r="I126" s="58"/>
    </row>
    <row r="127" spans="1:9" ht="15" customHeight="1" x14ac:dyDescent="0.25">
      <c r="A127" s="39"/>
      <c r="B127" s="39"/>
      <c r="C127" s="39"/>
      <c r="D127" s="39"/>
      <c r="E127" s="39"/>
      <c r="F127" s="39"/>
      <c r="G127" s="39"/>
      <c r="H127" s="39"/>
      <c r="I127" s="58"/>
    </row>
    <row r="128" spans="1:9" ht="15" customHeight="1" x14ac:dyDescent="0.25">
      <c r="A128" s="39"/>
      <c r="B128" s="39"/>
      <c r="C128" s="39"/>
      <c r="D128" s="39"/>
      <c r="E128" s="39"/>
      <c r="F128" s="39"/>
      <c r="G128" s="39"/>
      <c r="H128" s="39"/>
      <c r="I128" s="58"/>
    </row>
    <row r="129" spans="1:9" ht="15" customHeight="1" x14ac:dyDescent="0.25">
      <c r="A129" s="42"/>
      <c r="B129" s="39"/>
      <c r="C129" s="39"/>
      <c r="D129" s="39"/>
      <c r="E129" s="39"/>
      <c r="F129" s="39"/>
      <c r="G129" s="39"/>
      <c r="H129" s="39"/>
      <c r="I129" s="58"/>
    </row>
    <row r="130" spans="1:9" ht="15" customHeight="1" x14ac:dyDescent="0.25">
      <c r="A130" s="39"/>
      <c r="B130" s="39"/>
      <c r="C130" s="39"/>
      <c r="D130" s="39"/>
      <c r="E130" s="39"/>
      <c r="F130" s="39"/>
      <c r="G130" s="39"/>
      <c r="H130" s="39"/>
      <c r="I130" s="58"/>
    </row>
    <row r="131" spans="1:9" ht="15" customHeight="1" x14ac:dyDescent="0.25">
      <c r="A131" s="39"/>
      <c r="B131" s="39"/>
      <c r="C131" s="39"/>
      <c r="D131" s="39"/>
      <c r="E131" s="39"/>
      <c r="F131" s="39"/>
      <c r="G131" s="39"/>
      <c r="H131" s="39"/>
      <c r="I131" s="58"/>
    </row>
    <row r="132" spans="1:9" ht="15" customHeight="1" x14ac:dyDescent="0.25">
      <c r="A132" s="39"/>
      <c r="B132" s="39"/>
      <c r="C132" s="39"/>
      <c r="D132" s="39"/>
      <c r="E132" s="39"/>
      <c r="F132" s="39"/>
      <c r="G132" s="39"/>
      <c r="H132" s="39"/>
      <c r="I132" s="58"/>
    </row>
    <row r="133" spans="1:9" ht="15" customHeight="1" x14ac:dyDescent="0.25">
      <c r="A133" s="39"/>
      <c r="B133" s="39"/>
      <c r="C133" s="39"/>
      <c r="D133" s="39"/>
      <c r="E133" s="39"/>
      <c r="F133" s="39"/>
      <c r="G133" s="39"/>
      <c r="H133" s="39"/>
      <c r="I133" s="58"/>
    </row>
    <row r="134" spans="1:9" ht="15" customHeight="1" x14ac:dyDescent="0.25">
      <c r="A134" s="39"/>
      <c r="B134" s="39"/>
      <c r="C134" s="39"/>
      <c r="D134" s="39"/>
      <c r="E134" s="39"/>
      <c r="F134" s="39"/>
      <c r="G134" s="39"/>
      <c r="H134" s="39"/>
      <c r="I134" s="58"/>
    </row>
    <row r="135" spans="1:9" ht="15" customHeight="1" x14ac:dyDescent="0.25">
      <c r="A135" s="39"/>
      <c r="B135" s="39"/>
      <c r="C135" s="39"/>
      <c r="D135" s="39"/>
      <c r="E135" s="39"/>
      <c r="F135" s="39"/>
      <c r="G135" s="39"/>
      <c r="H135" s="39"/>
      <c r="I135" s="58"/>
    </row>
    <row r="136" spans="1:9" ht="15" customHeight="1" x14ac:dyDescent="0.25">
      <c r="A136" s="39"/>
      <c r="B136" s="39"/>
      <c r="C136" s="39"/>
      <c r="D136" s="39"/>
      <c r="E136" s="39"/>
      <c r="F136" s="39"/>
      <c r="G136" s="39"/>
      <c r="H136" s="39"/>
      <c r="I136" s="58"/>
    </row>
    <row r="137" spans="1:9" ht="15" customHeight="1" x14ac:dyDescent="0.25">
      <c r="A137" s="39"/>
      <c r="B137" s="39"/>
      <c r="C137" s="39"/>
      <c r="D137" s="39"/>
      <c r="E137" s="39"/>
      <c r="F137" s="39"/>
      <c r="G137" s="39"/>
      <c r="H137" s="39"/>
      <c r="I137" s="58"/>
    </row>
    <row r="138" spans="1:9" ht="15" customHeight="1" x14ac:dyDescent="0.25">
      <c r="A138" s="42"/>
      <c r="B138" s="39"/>
      <c r="C138" s="39"/>
      <c r="D138" s="39"/>
      <c r="E138" s="39"/>
      <c r="F138" s="39"/>
      <c r="G138" s="39"/>
      <c r="H138" s="39"/>
      <c r="I138" s="58"/>
    </row>
    <row r="139" spans="1:9" ht="15" customHeight="1" x14ac:dyDescent="0.25">
      <c r="A139" s="39"/>
      <c r="B139" s="43"/>
      <c r="C139" s="43"/>
      <c r="D139" s="43"/>
      <c r="E139" s="43"/>
      <c r="F139" s="43"/>
      <c r="G139" s="43"/>
      <c r="H139" s="43"/>
      <c r="I139" s="545"/>
    </row>
    <row r="140" spans="1:9" ht="15" customHeight="1" x14ac:dyDescent="0.25">
      <c r="A140" s="42"/>
      <c r="B140" s="39"/>
      <c r="C140" s="39"/>
      <c r="D140" s="39"/>
      <c r="E140" s="39"/>
      <c r="F140" s="39"/>
      <c r="G140" s="39"/>
      <c r="H140" s="39"/>
      <c r="I140" s="58"/>
    </row>
    <row r="141" spans="1:9" ht="15" customHeight="1" x14ac:dyDescent="0.25">
      <c r="A141" s="39"/>
      <c r="B141" s="39"/>
      <c r="C141" s="39"/>
      <c r="D141" s="39"/>
      <c r="E141" s="39"/>
      <c r="F141" s="39"/>
      <c r="G141" s="39"/>
      <c r="H141" s="39"/>
      <c r="I141" s="58"/>
    </row>
    <row r="142" spans="1:9" ht="15" customHeight="1" x14ac:dyDescent="0.25">
      <c r="A142" s="39"/>
      <c r="B142" s="39"/>
      <c r="C142" s="39"/>
      <c r="D142" s="39"/>
      <c r="E142" s="39"/>
      <c r="F142" s="39"/>
      <c r="G142" s="39"/>
      <c r="H142" s="39"/>
      <c r="I142" s="58"/>
    </row>
    <row r="143" spans="1:9" ht="15" customHeight="1" x14ac:dyDescent="0.25">
      <c r="A143" s="39"/>
      <c r="B143" s="39"/>
      <c r="C143" s="39"/>
      <c r="D143" s="39"/>
      <c r="E143" s="39"/>
      <c r="F143" s="39"/>
      <c r="G143" s="39"/>
      <c r="H143" s="39"/>
      <c r="I143" s="58"/>
    </row>
    <row r="144" spans="1:9" ht="15" customHeight="1" x14ac:dyDescent="0.25">
      <c r="A144" s="39"/>
      <c r="B144" s="39"/>
      <c r="C144" s="39"/>
      <c r="D144" s="39"/>
      <c r="E144" s="39"/>
      <c r="F144" s="39"/>
      <c r="G144" s="39"/>
      <c r="H144" s="39"/>
      <c r="I144" s="58"/>
    </row>
    <row r="145" spans="1:9" ht="15" customHeight="1" x14ac:dyDescent="0.25">
      <c r="A145" s="39"/>
      <c r="B145" s="39"/>
      <c r="C145" s="39"/>
      <c r="D145" s="39"/>
      <c r="E145" s="39"/>
      <c r="F145" s="39"/>
      <c r="G145" s="39"/>
      <c r="H145" s="39"/>
      <c r="I145" s="58"/>
    </row>
    <row r="146" spans="1:9" ht="15" customHeight="1" x14ac:dyDescent="0.25">
      <c r="A146" s="39"/>
      <c r="B146" s="39"/>
      <c r="C146" s="39"/>
      <c r="D146" s="39"/>
      <c r="E146" s="39"/>
      <c r="F146" s="39"/>
      <c r="G146" s="39"/>
      <c r="H146" s="39"/>
      <c r="I146" s="58"/>
    </row>
    <row r="147" spans="1:9" ht="15" customHeight="1" x14ac:dyDescent="0.25">
      <c r="A147" s="39"/>
      <c r="B147" s="39"/>
      <c r="C147" s="39"/>
      <c r="D147" s="39"/>
      <c r="E147" s="39"/>
      <c r="F147" s="39"/>
      <c r="G147" s="39"/>
      <c r="H147" s="39"/>
      <c r="I147" s="58"/>
    </row>
    <row r="148" spans="1:9" ht="15" customHeight="1" x14ac:dyDescent="0.25">
      <c r="A148" s="39"/>
      <c r="B148" s="39"/>
      <c r="C148" s="39"/>
      <c r="D148" s="39"/>
      <c r="E148" s="39"/>
      <c r="F148" s="39"/>
      <c r="G148" s="39"/>
      <c r="H148" s="39"/>
      <c r="I148" s="58"/>
    </row>
    <row r="149" spans="1:9" ht="15" customHeight="1" x14ac:dyDescent="0.25">
      <c r="A149" s="39"/>
      <c r="B149" s="39"/>
      <c r="C149" s="39"/>
      <c r="D149" s="39"/>
      <c r="E149" s="39"/>
      <c r="F149" s="39"/>
      <c r="G149" s="39"/>
      <c r="H149" s="39"/>
      <c r="I149" s="58"/>
    </row>
    <row r="150" spans="1:9" ht="15" customHeight="1" x14ac:dyDescent="0.25">
      <c r="A150" s="39"/>
      <c r="B150" s="39"/>
      <c r="C150" s="39"/>
      <c r="D150" s="39"/>
      <c r="E150" s="39"/>
      <c r="F150" s="39"/>
      <c r="G150" s="39"/>
      <c r="H150" s="39"/>
      <c r="I150" s="58"/>
    </row>
    <row r="151" spans="1:9" ht="15" customHeight="1" x14ac:dyDescent="0.25">
      <c r="A151" s="39"/>
      <c r="B151" s="39"/>
      <c r="C151" s="39"/>
      <c r="D151" s="39"/>
      <c r="E151" s="39"/>
      <c r="F151" s="39"/>
      <c r="G151" s="39"/>
      <c r="H151" s="39"/>
      <c r="I151" s="58"/>
    </row>
    <row r="152" spans="1:9" ht="15" customHeight="1" x14ac:dyDescent="0.25">
      <c r="A152" s="39"/>
      <c r="B152" s="39"/>
      <c r="C152" s="39"/>
      <c r="D152" s="39"/>
      <c r="E152" s="39"/>
      <c r="F152" s="39"/>
      <c r="G152" s="39"/>
      <c r="H152" s="39"/>
      <c r="I152" s="58"/>
    </row>
    <row r="153" spans="1:9" ht="15" customHeight="1" x14ac:dyDescent="0.25">
      <c r="A153" s="39"/>
      <c r="B153" s="39"/>
      <c r="C153" s="39"/>
      <c r="D153" s="39"/>
      <c r="E153" s="39"/>
      <c r="F153" s="39"/>
      <c r="G153" s="39"/>
      <c r="H153" s="39"/>
      <c r="I153" s="58"/>
    </row>
    <row r="154" spans="1:9" ht="15" customHeight="1" x14ac:dyDescent="0.25">
      <c r="A154" s="39"/>
      <c r="B154" s="39"/>
      <c r="C154" s="39"/>
      <c r="D154" s="39"/>
      <c r="E154" s="39"/>
      <c r="F154" s="39"/>
      <c r="G154" s="39"/>
      <c r="H154" s="39"/>
      <c r="I154" s="58"/>
    </row>
    <row r="155" spans="1:9" ht="15" customHeight="1" x14ac:dyDescent="0.25">
      <c r="A155" s="39"/>
      <c r="B155" s="39"/>
      <c r="C155" s="39"/>
      <c r="D155" s="39"/>
      <c r="E155" s="39"/>
      <c r="F155" s="39"/>
      <c r="G155" s="39"/>
      <c r="H155" s="39"/>
      <c r="I155" s="58"/>
    </row>
    <row r="156" spans="1:9" ht="15" customHeight="1" x14ac:dyDescent="0.25">
      <c r="A156" s="39"/>
      <c r="B156" s="39"/>
      <c r="C156" s="39"/>
      <c r="D156" s="39"/>
      <c r="E156" s="39"/>
      <c r="F156" s="39"/>
      <c r="G156" s="39"/>
      <c r="H156" s="39"/>
      <c r="I156" s="58"/>
    </row>
    <row r="157" spans="1:9" ht="15" customHeight="1" x14ac:dyDescent="0.25">
      <c r="A157" s="42"/>
      <c r="B157" s="39"/>
      <c r="C157" s="39"/>
      <c r="D157" s="39"/>
      <c r="E157" s="39"/>
      <c r="F157" s="39"/>
      <c r="G157" s="39"/>
      <c r="H157" s="39"/>
      <c r="I157" s="58"/>
    </row>
    <row r="158" spans="1:9" ht="15" customHeight="1" x14ac:dyDescent="0.25">
      <c r="A158" s="39"/>
      <c r="B158" s="39"/>
      <c r="C158" s="39"/>
      <c r="D158" s="39"/>
      <c r="E158" s="39"/>
      <c r="F158" s="39"/>
      <c r="G158" s="39"/>
      <c r="H158" s="39"/>
      <c r="I158" s="58"/>
    </row>
    <row r="159" spans="1:9" ht="15" customHeight="1" x14ac:dyDescent="0.25">
      <c r="A159" s="39"/>
      <c r="B159" s="39"/>
      <c r="C159" s="39"/>
      <c r="D159" s="39"/>
      <c r="E159" s="39"/>
      <c r="F159" s="39"/>
      <c r="G159" s="39"/>
      <c r="H159" s="39"/>
      <c r="I159" s="58"/>
    </row>
    <row r="160" spans="1:9" ht="15" customHeight="1" x14ac:dyDescent="0.25">
      <c r="A160" s="39"/>
      <c r="B160" s="39"/>
      <c r="C160" s="39"/>
      <c r="D160" s="39"/>
      <c r="E160" s="39"/>
      <c r="F160" s="39"/>
      <c r="G160" s="39"/>
      <c r="H160" s="39"/>
      <c r="I160" s="58"/>
    </row>
    <row r="161" spans="1:9" ht="15" customHeight="1" x14ac:dyDescent="0.25">
      <c r="A161" s="39"/>
      <c r="B161" s="39"/>
      <c r="C161" s="39"/>
      <c r="D161" s="39"/>
      <c r="E161" s="39"/>
      <c r="F161" s="39"/>
      <c r="G161" s="39"/>
      <c r="H161" s="39"/>
      <c r="I161" s="58"/>
    </row>
    <row r="162" spans="1:9" ht="15" customHeight="1" x14ac:dyDescent="0.25">
      <c r="A162" s="39"/>
      <c r="B162" s="39"/>
      <c r="C162" s="39"/>
      <c r="D162" s="39"/>
      <c r="E162" s="39"/>
      <c r="F162" s="39"/>
      <c r="G162" s="39"/>
      <c r="H162" s="39"/>
      <c r="I162" s="58"/>
    </row>
    <row r="163" spans="1:9" ht="15" customHeight="1" x14ac:dyDescent="0.25">
      <c r="A163" s="39"/>
      <c r="B163" s="39"/>
      <c r="C163" s="39"/>
      <c r="D163" s="39"/>
      <c r="E163" s="39"/>
      <c r="F163" s="39"/>
      <c r="G163" s="39"/>
      <c r="H163" s="39"/>
      <c r="I163" s="58"/>
    </row>
    <row r="164" spans="1:9" ht="15" customHeight="1" x14ac:dyDescent="0.25">
      <c r="A164" s="39"/>
      <c r="B164" s="39"/>
      <c r="C164" s="39"/>
      <c r="D164" s="39"/>
      <c r="E164" s="39"/>
      <c r="F164" s="39"/>
      <c r="G164" s="39"/>
      <c r="H164" s="39"/>
      <c r="I164" s="58"/>
    </row>
    <row r="165" spans="1:9" ht="15" customHeight="1" x14ac:dyDescent="0.25">
      <c r="A165" s="39"/>
      <c r="B165" s="39"/>
      <c r="C165" s="39"/>
      <c r="D165" s="39"/>
      <c r="E165" s="39"/>
      <c r="F165" s="39"/>
      <c r="G165" s="39"/>
      <c r="H165" s="39"/>
      <c r="I165" s="58"/>
    </row>
    <row r="166" spans="1:9" ht="15" customHeight="1" x14ac:dyDescent="0.25">
      <c r="A166" s="39"/>
      <c r="B166" s="39"/>
      <c r="C166" s="39"/>
      <c r="D166" s="39"/>
      <c r="E166" s="39"/>
      <c r="F166" s="39"/>
      <c r="G166" s="39"/>
      <c r="H166" s="39"/>
      <c r="I166" s="58"/>
    </row>
    <row r="167" spans="1:9" ht="15" customHeight="1" x14ac:dyDescent="0.25">
      <c r="A167" s="39"/>
      <c r="B167" s="39"/>
      <c r="C167" s="39"/>
      <c r="D167" s="39"/>
      <c r="E167" s="39"/>
      <c r="F167" s="39"/>
      <c r="G167" s="39"/>
      <c r="H167" s="39"/>
      <c r="I167" s="58"/>
    </row>
    <row r="168" spans="1:9" ht="15" customHeight="1" x14ac:dyDescent="0.25">
      <c r="A168" s="39"/>
      <c r="B168" s="39"/>
      <c r="C168" s="39"/>
      <c r="D168" s="39"/>
      <c r="E168" s="39"/>
      <c r="F168" s="39"/>
      <c r="G168" s="39"/>
      <c r="H168" s="39"/>
      <c r="I168" s="58"/>
    </row>
    <row r="169" spans="1:9" ht="15" customHeight="1" x14ac:dyDescent="0.25">
      <c r="A169" s="39"/>
      <c r="B169" s="39"/>
      <c r="C169" s="39"/>
      <c r="D169" s="39"/>
      <c r="E169" s="39"/>
      <c r="F169" s="39"/>
      <c r="G169" s="39"/>
      <c r="H169" s="39"/>
      <c r="I169" s="58"/>
    </row>
    <row r="170" spans="1:9" ht="15" customHeight="1" x14ac:dyDescent="0.25">
      <c r="A170" s="39"/>
      <c r="B170" s="39"/>
      <c r="C170" s="39"/>
      <c r="D170" s="39"/>
      <c r="E170" s="39"/>
      <c r="F170" s="39"/>
      <c r="G170" s="39"/>
      <c r="H170" s="39"/>
      <c r="I170" s="58"/>
    </row>
    <row r="171" spans="1:9" ht="15" customHeight="1" x14ac:dyDescent="0.25">
      <c r="A171" s="39"/>
      <c r="B171" s="39"/>
      <c r="C171" s="39"/>
      <c r="D171" s="39"/>
      <c r="E171" s="39"/>
      <c r="F171" s="39"/>
      <c r="G171" s="39"/>
      <c r="H171" s="39"/>
      <c r="I171" s="58"/>
    </row>
    <row r="172" spans="1:9" ht="15" customHeight="1" x14ac:dyDescent="0.25">
      <c r="A172" s="39"/>
      <c r="B172" s="39"/>
      <c r="C172" s="39"/>
      <c r="D172" s="39"/>
      <c r="E172" s="39"/>
      <c r="F172" s="39"/>
      <c r="G172" s="39"/>
      <c r="H172" s="39"/>
      <c r="I172" s="58"/>
    </row>
    <row r="173" spans="1:9" ht="15" customHeight="1" x14ac:dyDescent="0.25">
      <c r="A173" s="39"/>
      <c r="B173" s="39"/>
      <c r="C173" s="39"/>
      <c r="D173" s="39"/>
      <c r="E173" s="39"/>
      <c r="F173" s="39"/>
      <c r="G173" s="39"/>
      <c r="H173" s="39"/>
      <c r="I173" s="58"/>
    </row>
    <row r="174" spans="1:9" ht="15" customHeight="1" x14ac:dyDescent="0.25">
      <c r="A174" s="39"/>
      <c r="B174" s="39"/>
      <c r="C174" s="39"/>
      <c r="D174" s="39"/>
      <c r="E174" s="39"/>
      <c r="F174" s="39"/>
      <c r="G174" s="39"/>
      <c r="H174" s="39"/>
      <c r="I174" s="58"/>
    </row>
  </sheetData>
  <mergeCells count="32">
    <mergeCell ref="A38:B38"/>
    <mergeCell ref="A15:B15"/>
    <mergeCell ref="A16:B16"/>
    <mergeCell ref="A37:B37"/>
    <mergeCell ref="A17:B17"/>
    <mergeCell ref="A20:B20"/>
    <mergeCell ref="A28:B28"/>
    <mergeCell ref="A31:B31"/>
    <mergeCell ref="A32:B32"/>
    <mergeCell ref="A33:B33"/>
    <mergeCell ref="A30:B30"/>
    <mergeCell ref="A18:B18"/>
    <mergeCell ref="A21:B22"/>
    <mergeCell ref="A23:B23"/>
    <mergeCell ref="A29:B29"/>
    <mergeCell ref="A35:B35"/>
    <mergeCell ref="A36:B36"/>
    <mergeCell ref="A13:B13"/>
    <mergeCell ref="A14:B14"/>
    <mergeCell ref="A11:B11"/>
    <mergeCell ref="A12:B12"/>
    <mergeCell ref="A3:P3"/>
    <mergeCell ref="J4:P4"/>
    <mergeCell ref="T7:T13"/>
    <mergeCell ref="A1:J1"/>
    <mergeCell ref="A34:B34"/>
    <mergeCell ref="A6:B6"/>
    <mergeCell ref="A2:J2"/>
    <mergeCell ref="A4:C4"/>
    <mergeCell ref="A5:M5"/>
    <mergeCell ref="D4:H4"/>
    <mergeCell ref="T28:T32"/>
  </mergeCells>
  <pageMargins left="0.31496062992125984" right="0.11811023622047245" top="0.78740157480314965" bottom="0.78740157480314965" header="0.31496062992125984" footer="0.31496062992125984"/>
  <pageSetup paperSize="9" scale="95" orientation="portrait" verticalDpi="4" r:id="rId1"/>
  <headerFooter>
    <oddHeader>&amp;L&amp;"-,Negrito"&amp;9PODER JUDICIÁRIO
CONSELHO DA JUSTIÇA FEDERAL</oddHeader>
  </headerFooter>
  <rowBreaks count="3" manualBreakCount="3">
    <brk id="49" max="16383" man="1"/>
    <brk id="75" max="16383" man="1"/>
    <brk id="13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170"/>
  <sheetViews>
    <sheetView showGridLines="0" topLeftCell="C1" zoomScaleNormal="100" workbookViewId="0">
      <selection activeCell="P21" sqref="P21"/>
    </sheetView>
  </sheetViews>
  <sheetFormatPr defaultColWidth="9.140625" defaultRowHeight="15" customHeight="1" x14ac:dyDescent="0.25"/>
  <cols>
    <col min="1" max="1" width="50.7109375" style="44" customWidth="1"/>
    <col min="2" max="2" width="10.7109375" style="44" customWidth="1"/>
    <col min="3" max="8" width="16.7109375" style="44" customWidth="1"/>
    <col min="9" max="12" width="16.7109375" style="53" customWidth="1"/>
    <col min="13" max="18" width="16.140625" style="53" customWidth="1"/>
    <col min="19" max="19" width="9.140625" style="44"/>
    <col min="20" max="20" width="166" style="44" customWidth="1"/>
    <col min="21" max="16384" width="9.140625" style="44"/>
  </cols>
  <sheetData>
    <row r="1" spans="1:20" ht="15" customHeight="1" x14ac:dyDescent="0.25">
      <c r="A1" s="608"/>
      <c r="B1" s="608"/>
      <c r="C1" s="608"/>
      <c r="D1" s="608"/>
      <c r="E1" s="608"/>
      <c r="F1" s="608"/>
      <c r="G1" s="608"/>
      <c r="H1" s="608"/>
      <c r="I1" s="608"/>
      <c r="J1" s="608"/>
      <c r="K1" s="609"/>
      <c r="L1" s="326"/>
    </row>
    <row r="2" spans="1:20" ht="25.5" customHeight="1" x14ac:dyDescent="0.25">
      <c r="A2" s="565" t="s">
        <v>459</v>
      </c>
      <c r="B2" s="565"/>
      <c r="C2" s="565"/>
      <c r="D2" s="565"/>
      <c r="E2" s="565"/>
      <c r="F2" s="565"/>
      <c r="G2" s="565"/>
      <c r="H2" s="565"/>
      <c r="I2" s="565"/>
      <c r="J2" s="565"/>
      <c r="K2" s="565"/>
      <c r="L2" s="325"/>
      <c r="M2" s="44"/>
      <c r="N2" s="44"/>
      <c r="O2" s="44"/>
      <c r="P2" s="44"/>
      <c r="Q2" s="44"/>
      <c r="R2" s="44"/>
    </row>
    <row r="3" spans="1:20" ht="15" customHeight="1" x14ac:dyDescent="0.25">
      <c r="A3" s="614" t="s">
        <v>68</v>
      </c>
      <c r="B3" s="614"/>
      <c r="C3" s="614"/>
      <c r="D3" s="614"/>
      <c r="E3" s="614"/>
      <c r="F3" s="614"/>
      <c r="G3" s="614"/>
      <c r="H3" s="614"/>
      <c r="I3" s="614"/>
      <c r="J3" s="614"/>
      <c r="K3" s="614"/>
      <c r="L3" s="614"/>
      <c r="M3" s="614"/>
      <c r="N3" s="614"/>
      <c r="O3" s="614"/>
      <c r="P3" s="614"/>
      <c r="Q3" s="412"/>
      <c r="R3" s="412"/>
    </row>
    <row r="4" spans="1:20" ht="15" customHeight="1" x14ac:dyDescent="0.25">
      <c r="A4" s="624" t="s">
        <v>171</v>
      </c>
      <c r="B4" s="624"/>
      <c r="C4" s="624"/>
      <c r="D4" s="624" t="s">
        <v>172</v>
      </c>
      <c r="E4" s="624"/>
      <c r="F4" s="624"/>
      <c r="G4" s="624"/>
      <c r="H4" s="625" t="s">
        <v>457</v>
      </c>
      <c r="I4" s="625"/>
      <c r="J4" s="625"/>
      <c r="K4" s="625"/>
      <c r="L4" s="625"/>
      <c r="M4" s="625"/>
      <c r="N4" s="385"/>
      <c r="O4" s="385"/>
      <c r="P4" s="385"/>
      <c r="Q4" s="415"/>
      <c r="R4" s="415"/>
      <c r="T4" s="331" t="s">
        <v>325</v>
      </c>
    </row>
    <row r="5" spans="1:20" ht="36.75" customHeight="1" x14ac:dyDescent="0.25">
      <c r="A5" s="568" t="s">
        <v>69</v>
      </c>
      <c r="B5" s="568"/>
      <c r="C5" s="123" t="s">
        <v>285</v>
      </c>
      <c r="D5" s="287" t="s">
        <v>286</v>
      </c>
      <c r="E5" s="123" t="s">
        <v>287</v>
      </c>
      <c r="F5" s="448" t="s">
        <v>290</v>
      </c>
      <c r="G5" s="439" t="s">
        <v>289</v>
      </c>
      <c r="H5" s="439" t="s">
        <v>292</v>
      </c>
      <c r="I5" s="123" t="s">
        <v>501</v>
      </c>
      <c r="J5" s="123" t="s">
        <v>502</v>
      </c>
      <c r="K5" s="123" t="s">
        <v>296</v>
      </c>
      <c r="L5" s="123" t="s">
        <v>380</v>
      </c>
      <c r="M5" s="123" t="s">
        <v>381</v>
      </c>
      <c r="N5" s="123" t="s">
        <v>384</v>
      </c>
      <c r="O5" s="123" t="s">
        <v>385</v>
      </c>
      <c r="P5" s="123" t="s">
        <v>386</v>
      </c>
      <c r="Q5" s="399" t="s">
        <v>404</v>
      </c>
      <c r="R5" s="123" t="s">
        <v>400</v>
      </c>
      <c r="T5" s="356" t="s">
        <v>331</v>
      </c>
    </row>
    <row r="6" spans="1:20" ht="15" customHeight="1" x14ac:dyDescent="0.25">
      <c r="A6" s="95" t="s">
        <v>60</v>
      </c>
      <c r="B6" s="96"/>
      <c r="C6" s="308">
        <v>1553.46</v>
      </c>
      <c r="D6" s="101">
        <f>1553.46*1.0657</f>
        <v>1655.5223220000003</v>
      </c>
      <c r="E6" s="101">
        <f>1553.46*1.0657</f>
        <v>1655.5223220000003</v>
      </c>
      <c r="F6" s="101">
        <f>1553.46*1.0657</f>
        <v>1655.5223220000003</v>
      </c>
      <c r="G6" s="101">
        <f>1553.46*1.0657</f>
        <v>1655.5223220000003</v>
      </c>
      <c r="H6" s="101">
        <f>1655.52*1.031</f>
        <v>1706.8411199999998</v>
      </c>
      <c r="I6" s="101">
        <f>1655.52*1.031</f>
        <v>1706.8411199999998</v>
      </c>
      <c r="J6" s="101">
        <f>ROUND(1706.84*1.037,2)+0.01</f>
        <v>1770</v>
      </c>
      <c r="K6" s="101">
        <f>ROUND(1706.84*1.037,2)+0.01</f>
        <v>1770</v>
      </c>
      <c r="L6" s="101">
        <f t="shared" ref="L6:Q6" si="0">ROUND(1770*1.032,2)</f>
        <v>1826.64</v>
      </c>
      <c r="M6" s="101">
        <f t="shared" si="0"/>
        <v>1826.64</v>
      </c>
      <c r="N6" s="101">
        <f t="shared" si="0"/>
        <v>1826.64</v>
      </c>
      <c r="O6" s="101">
        <f t="shared" si="0"/>
        <v>1826.64</v>
      </c>
      <c r="P6" s="101">
        <f t="shared" si="0"/>
        <v>1826.64</v>
      </c>
      <c r="Q6" s="101">
        <f t="shared" si="0"/>
        <v>1826.64</v>
      </c>
      <c r="R6" s="101">
        <f>ROUND(Q6*1.041,2)</f>
        <v>1901.53</v>
      </c>
      <c r="T6" s="588" t="s">
        <v>332</v>
      </c>
    </row>
    <row r="7" spans="1:20" ht="15" customHeight="1" x14ac:dyDescent="0.25">
      <c r="A7" s="623" t="s">
        <v>64</v>
      </c>
      <c r="B7" s="623"/>
      <c r="C7" s="100">
        <f t="shared" ref="C7:J7" si="1">ROUND(SUM(C6:C6),2)</f>
        <v>1553.46</v>
      </c>
      <c r="D7" s="100">
        <f t="shared" si="1"/>
        <v>1655.52</v>
      </c>
      <c r="E7" s="100">
        <f t="shared" si="1"/>
        <v>1655.52</v>
      </c>
      <c r="F7" s="100">
        <f t="shared" si="1"/>
        <v>1655.52</v>
      </c>
      <c r="G7" s="100">
        <f t="shared" si="1"/>
        <v>1655.52</v>
      </c>
      <c r="H7" s="100">
        <f t="shared" si="1"/>
        <v>1706.84</v>
      </c>
      <c r="I7" s="100">
        <f t="shared" si="1"/>
        <v>1706.84</v>
      </c>
      <c r="J7" s="100">
        <f t="shared" si="1"/>
        <v>1770</v>
      </c>
      <c r="K7" s="100">
        <f t="shared" ref="K7:R7" si="2">ROUND(SUM(K6:K6),2)</f>
        <v>1770</v>
      </c>
      <c r="L7" s="100">
        <f t="shared" si="2"/>
        <v>1826.64</v>
      </c>
      <c r="M7" s="100">
        <f t="shared" si="2"/>
        <v>1826.64</v>
      </c>
      <c r="N7" s="100">
        <f t="shared" si="2"/>
        <v>1826.64</v>
      </c>
      <c r="O7" s="100">
        <f t="shared" si="2"/>
        <v>1826.64</v>
      </c>
      <c r="P7" s="100">
        <f t="shared" si="2"/>
        <v>1826.64</v>
      </c>
      <c r="Q7" s="100">
        <f t="shared" si="2"/>
        <v>1826.64</v>
      </c>
      <c r="R7" s="100">
        <f t="shared" si="2"/>
        <v>1901.53</v>
      </c>
      <c r="T7" s="589"/>
    </row>
    <row r="8" spans="1:20" ht="15" customHeight="1" x14ac:dyDescent="0.25">
      <c r="A8" s="623" t="s">
        <v>50</v>
      </c>
      <c r="B8" s="623"/>
      <c r="C8" s="111" t="s">
        <v>158</v>
      </c>
      <c r="D8" s="111" t="s">
        <v>158</v>
      </c>
      <c r="E8" s="111" t="s">
        <v>158</v>
      </c>
      <c r="F8" s="111" t="s">
        <v>158</v>
      </c>
      <c r="G8" s="111" t="s">
        <v>158</v>
      </c>
      <c r="H8" s="111" t="s">
        <v>158</v>
      </c>
      <c r="I8" s="111" t="s">
        <v>158</v>
      </c>
      <c r="J8" s="111" t="s">
        <v>158</v>
      </c>
      <c r="K8" s="111" t="s">
        <v>158</v>
      </c>
      <c r="L8" s="111" t="s">
        <v>158</v>
      </c>
      <c r="M8" s="111" t="s">
        <v>158</v>
      </c>
      <c r="N8" s="111" t="s">
        <v>158</v>
      </c>
      <c r="O8" s="111" t="s">
        <v>158</v>
      </c>
      <c r="P8" s="111" t="s">
        <v>158</v>
      </c>
      <c r="Q8" s="111" t="s">
        <v>158</v>
      </c>
      <c r="R8" s="111" t="s">
        <v>158</v>
      </c>
      <c r="T8" s="589"/>
    </row>
    <row r="9" spans="1:20" ht="15" customHeight="1" x14ac:dyDescent="0.25">
      <c r="A9" s="599" t="s">
        <v>9</v>
      </c>
      <c r="B9" s="599"/>
      <c r="C9" s="308">
        <f>ROUND((22*8-C6*6%),2)</f>
        <v>82.79</v>
      </c>
      <c r="D9" s="101">
        <f>ROUND((22*8-D6*6%),2)</f>
        <v>76.67</v>
      </c>
      <c r="E9" s="101">
        <f t="shared" ref="E9:L9" si="3">ROUND((22*10-E6*6%),2)</f>
        <v>120.67</v>
      </c>
      <c r="F9" s="101">
        <f t="shared" si="3"/>
        <v>120.67</v>
      </c>
      <c r="G9" s="101">
        <f t="shared" si="3"/>
        <v>120.67</v>
      </c>
      <c r="H9" s="101">
        <f t="shared" si="3"/>
        <v>117.59</v>
      </c>
      <c r="I9" s="101">
        <f t="shared" si="3"/>
        <v>117.59</v>
      </c>
      <c r="J9" s="101">
        <f t="shared" si="3"/>
        <v>113.8</v>
      </c>
      <c r="K9" s="101">
        <f t="shared" si="3"/>
        <v>113.8</v>
      </c>
      <c r="L9" s="101">
        <f t="shared" si="3"/>
        <v>110.4</v>
      </c>
      <c r="M9" s="101">
        <f t="shared" ref="M9:R9" si="4">ROUND((22*11-M6*6%),2)</f>
        <v>132.4</v>
      </c>
      <c r="N9" s="101">
        <f t="shared" si="4"/>
        <v>132.4</v>
      </c>
      <c r="O9" s="101">
        <f t="shared" si="4"/>
        <v>132.4</v>
      </c>
      <c r="P9" s="101">
        <f t="shared" si="4"/>
        <v>132.4</v>
      </c>
      <c r="Q9" s="101">
        <f t="shared" si="4"/>
        <v>132.4</v>
      </c>
      <c r="R9" s="101">
        <f t="shared" si="4"/>
        <v>127.91</v>
      </c>
      <c r="T9" s="589"/>
    </row>
    <row r="10" spans="1:20" ht="15" customHeight="1" x14ac:dyDescent="0.25">
      <c r="A10" s="599" t="s">
        <v>70</v>
      </c>
      <c r="B10" s="599"/>
      <c r="C10" s="310">
        <f>ROUND((22*27.5),2)</f>
        <v>605</v>
      </c>
      <c r="D10" s="116">
        <f>ROUND((22*29.5),2)</f>
        <v>649</v>
      </c>
      <c r="E10" s="116">
        <f>ROUND((22*29.5),2)</f>
        <v>649</v>
      </c>
      <c r="F10" s="116">
        <f>ROUND((22*29.5),2)</f>
        <v>649</v>
      </c>
      <c r="G10" s="116">
        <f>ROUND((22*29.5),2)</f>
        <v>649</v>
      </c>
      <c r="H10" s="116">
        <f>ROUND((22*31.5),2)</f>
        <v>693</v>
      </c>
      <c r="I10" s="116">
        <f>ROUND((22*31.5),2)</f>
        <v>693</v>
      </c>
      <c r="J10" s="116">
        <v>719.4</v>
      </c>
      <c r="K10" s="116">
        <v>719.4</v>
      </c>
      <c r="L10" s="116">
        <f t="shared" ref="L10:Q10" si="5">ROUND((22*33.62),2)</f>
        <v>739.64</v>
      </c>
      <c r="M10" s="116">
        <f t="shared" si="5"/>
        <v>739.64</v>
      </c>
      <c r="N10" s="116">
        <f t="shared" si="5"/>
        <v>739.64</v>
      </c>
      <c r="O10" s="116">
        <f t="shared" si="5"/>
        <v>739.64</v>
      </c>
      <c r="P10" s="116">
        <f t="shared" si="5"/>
        <v>739.64</v>
      </c>
      <c r="Q10" s="116">
        <f t="shared" si="5"/>
        <v>739.64</v>
      </c>
      <c r="R10" s="116">
        <f>ROUND((22*35),2)</f>
        <v>770</v>
      </c>
      <c r="T10" s="589"/>
    </row>
    <row r="11" spans="1:20" ht="15" customHeight="1" x14ac:dyDescent="0.25">
      <c r="A11" s="601" t="s">
        <v>94</v>
      </c>
      <c r="B11" s="601"/>
      <c r="C11" s="310">
        <v>2.5</v>
      </c>
      <c r="D11" s="116">
        <v>1.5</v>
      </c>
      <c r="E11" s="116">
        <v>1.5</v>
      </c>
      <c r="F11" s="116">
        <v>1.5</v>
      </c>
      <c r="G11" s="116">
        <v>1.5</v>
      </c>
      <c r="H11" s="116">
        <v>1.5</v>
      </c>
      <c r="I11" s="116">
        <v>1.5</v>
      </c>
      <c r="J11" s="116">
        <v>0</v>
      </c>
      <c r="K11" s="116">
        <v>0</v>
      </c>
      <c r="L11" s="116">
        <v>0</v>
      </c>
      <c r="M11" s="116">
        <v>0</v>
      </c>
      <c r="N11" s="116">
        <v>0</v>
      </c>
      <c r="O11" s="116">
        <v>0</v>
      </c>
      <c r="P11" s="116">
        <v>0</v>
      </c>
      <c r="Q11" s="116">
        <v>0</v>
      </c>
      <c r="R11" s="116">
        <v>0</v>
      </c>
      <c r="T11" s="589"/>
    </row>
    <row r="12" spans="1:20" ht="15" customHeight="1" x14ac:dyDescent="0.25">
      <c r="A12" s="601" t="s">
        <v>95</v>
      </c>
      <c r="B12" s="601"/>
      <c r="C12" s="310">
        <v>5</v>
      </c>
      <c r="D12" s="116">
        <v>5</v>
      </c>
      <c r="E12" s="116">
        <v>5</v>
      </c>
      <c r="F12" s="116">
        <v>5</v>
      </c>
      <c r="G12" s="116">
        <v>5</v>
      </c>
      <c r="H12" s="116">
        <v>9.9</v>
      </c>
      <c r="I12" s="116">
        <v>9.9</v>
      </c>
      <c r="J12" s="116">
        <v>10.3</v>
      </c>
      <c r="K12" s="116">
        <v>10.3</v>
      </c>
      <c r="L12" s="116">
        <v>10.63</v>
      </c>
      <c r="M12" s="116">
        <v>10.63</v>
      </c>
      <c r="N12" s="116">
        <v>10.63</v>
      </c>
      <c r="O12" s="116">
        <v>10.63</v>
      </c>
      <c r="P12" s="116">
        <v>10.63</v>
      </c>
      <c r="Q12" s="116">
        <v>10.63</v>
      </c>
      <c r="R12" s="116">
        <v>10.63</v>
      </c>
      <c r="T12" s="590"/>
    </row>
    <row r="13" spans="1:20" ht="15" customHeight="1" x14ac:dyDescent="0.25">
      <c r="A13" s="598" t="s">
        <v>63</v>
      </c>
      <c r="B13" s="598"/>
      <c r="C13" s="100">
        <f t="shared" ref="C13:I13" si="6">ROUND(SUM(C9:C12),2)</f>
        <v>695.29</v>
      </c>
      <c r="D13" s="100">
        <f t="shared" si="6"/>
        <v>732.17</v>
      </c>
      <c r="E13" s="100">
        <f>ROUND(SUM(E9:E12),2)</f>
        <v>776.17</v>
      </c>
      <c r="F13" s="100">
        <f>ROUND(SUM(F9:F12),2)</f>
        <v>776.17</v>
      </c>
      <c r="G13" s="100">
        <f t="shared" si="6"/>
        <v>776.17</v>
      </c>
      <c r="H13" s="100">
        <f t="shared" si="6"/>
        <v>821.99</v>
      </c>
      <c r="I13" s="100">
        <f t="shared" si="6"/>
        <v>821.99</v>
      </c>
      <c r="J13" s="100">
        <f t="shared" ref="J13:R13" si="7">ROUND(SUM(J9:J12),2)</f>
        <v>843.5</v>
      </c>
      <c r="K13" s="100">
        <f t="shared" si="7"/>
        <v>843.5</v>
      </c>
      <c r="L13" s="100">
        <f t="shared" si="7"/>
        <v>860.67</v>
      </c>
      <c r="M13" s="100">
        <f t="shared" si="7"/>
        <v>882.67</v>
      </c>
      <c r="N13" s="100">
        <f t="shared" si="7"/>
        <v>882.67</v>
      </c>
      <c r="O13" s="100">
        <f t="shared" si="7"/>
        <v>882.67</v>
      </c>
      <c r="P13" s="100">
        <f t="shared" si="7"/>
        <v>882.67</v>
      </c>
      <c r="Q13" s="100">
        <f t="shared" si="7"/>
        <v>882.67</v>
      </c>
      <c r="R13" s="100">
        <f t="shared" si="7"/>
        <v>908.54</v>
      </c>
      <c r="T13" s="357"/>
    </row>
    <row r="14" spans="1:20" ht="15" customHeight="1" x14ac:dyDescent="0.25">
      <c r="A14" s="623" t="s">
        <v>51</v>
      </c>
      <c r="B14" s="623"/>
      <c r="C14" s="111" t="s">
        <v>158</v>
      </c>
      <c r="D14" s="111" t="s">
        <v>158</v>
      </c>
      <c r="E14" s="111" t="s">
        <v>158</v>
      </c>
      <c r="F14" s="111" t="s">
        <v>158</v>
      </c>
      <c r="G14" s="111" t="s">
        <v>158</v>
      </c>
      <c r="H14" s="111" t="s">
        <v>158</v>
      </c>
      <c r="I14" s="111" t="s">
        <v>158</v>
      </c>
      <c r="J14" s="111" t="s">
        <v>158</v>
      </c>
      <c r="K14" s="111" t="s">
        <v>158</v>
      </c>
      <c r="L14" s="111" t="s">
        <v>158</v>
      </c>
      <c r="M14" s="111" t="s">
        <v>158</v>
      </c>
      <c r="N14" s="111" t="s">
        <v>158</v>
      </c>
      <c r="O14" s="111" t="s">
        <v>158</v>
      </c>
      <c r="P14" s="111" t="s">
        <v>158</v>
      </c>
      <c r="Q14" s="111" t="s">
        <v>158</v>
      </c>
      <c r="R14" s="111" t="s">
        <v>158</v>
      </c>
      <c r="T14" s="332" t="s">
        <v>301</v>
      </c>
    </row>
    <row r="15" spans="1:20" ht="15" customHeight="1" x14ac:dyDescent="0.25">
      <c r="A15" s="49" t="s">
        <v>0</v>
      </c>
      <c r="B15" s="48"/>
      <c r="C15" s="308">
        <f t="shared" ref="C15:H15" si="8">((228.4+100+200+16+24+16+120)/12)</f>
        <v>58.699999999999996</v>
      </c>
      <c r="D15" s="304">
        <f t="shared" si="8"/>
        <v>58.699999999999996</v>
      </c>
      <c r="E15" s="304">
        <f t="shared" si="8"/>
        <v>58.699999999999996</v>
      </c>
      <c r="F15" s="304">
        <f t="shared" si="8"/>
        <v>58.699999999999996</v>
      </c>
      <c r="G15" s="304">
        <f t="shared" si="8"/>
        <v>58.699999999999996</v>
      </c>
      <c r="H15" s="304">
        <f t="shared" si="8"/>
        <v>58.699999999999996</v>
      </c>
      <c r="I15" s="317">
        <f>((250.2+109.56+219.12+17.52+26.32+17.52+131.48)/12)</f>
        <v>64.31</v>
      </c>
      <c r="J15" s="317">
        <f>((250.2+109.56+219.12+17.52+26.32+17.52+131.48)/12)</f>
        <v>64.31</v>
      </c>
      <c r="K15" s="101">
        <v>64.31</v>
      </c>
      <c r="L15" s="101">
        <v>64.31</v>
      </c>
      <c r="M15" s="101">
        <v>64.31</v>
      </c>
      <c r="N15" s="101">
        <v>64.31</v>
      </c>
      <c r="O15" s="101">
        <v>64.31</v>
      </c>
      <c r="P15" s="101">
        <v>64.31</v>
      </c>
      <c r="Q15" s="101">
        <f>73.95</f>
        <v>73.95</v>
      </c>
      <c r="R15" s="101">
        <f>73.95</f>
        <v>73.95</v>
      </c>
      <c r="T15" s="47" t="s">
        <v>306</v>
      </c>
    </row>
    <row r="16" spans="1:20" ht="15" customHeight="1" x14ac:dyDescent="0.25">
      <c r="A16" s="623" t="s">
        <v>54</v>
      </c>
      <c r="B16" s="623"/>
      <c r="C16" s="100">
        <f t="shared" ref="C16:I16" si="9">SUM(C15)</f>
        <v>58.699999999999996</v>
      </c>
      <c r="D16" s="100">
        <f t="shared" si="9"/>
        <v>58.699999999999996</v>
      </c>
      <c r="E16" s="100">
        <f t="shared" si="9"/>
        <v>58.699999999999996</v>
      </c>
      <c r="F16" s="100">
        <f t="shared" si="9"/>
        <v>58.699999999999996</v>
      </c>
      <c r="G16" s="100">
        <f t="shared" si="9"/>
        <v>58.699999999999996</v>
      </c>
      <c r="H16" s="100">
        <f t="shared" si="9"/>
        <v>58.699999999999996</v>
      </c>
      <c r="I16" s="100">
        <f t="shared" si="9"/>
        <v>64.31</v>
      </c>
      <c r="J16" s="111">
        <f t="shared" ref="J16:R16" si="10">SUM(J15)</f>
        <v>64.31</v>
      </c>
      <c r="K16" s="100">
        <f t="shared" si="10"/>
        <v>64.31</v>
      </c>
      <c r="L16" s="100">
        <f t="shared" si="10"/>
        <v>64.31</v>
      </c>
      <c r="M16" s="100">
        <f t="shared" si="10"/>
        <v>64.31</v>
      </c>
      <c r="N16" s="100">
        <f t="shared" si="10"/>
        <v>64.31</v>
      </c>
      <c r="O16" s="100">
        <f t="shared" si="10"/>
        <v>64.31</v>
      </c>
      <c r="P16" s="100">
        <f t="shared" si="10"/>
        <v>64.31</v>
      </c>
      <c r="Q16" s="100">
        <f t="shared" si="10"/>
        <v>73.95</v>
      </c>
      <c r="R16" s="100">
        <f t="shared" si="10"/>
        <v>73.95</v>
      </c>
      <c r="T16" s="357"/>
    </row>
    <row r="17" spans="1:20" ht="15" customHeight="1" x14ac:dyDescent="0.25">
      <c r="A17" s="591" t="s">
        <v>52</v>
      </c>
      <c r="B17" s="592"/>
      <c r="C17" s="111" t="s">
        <v>229</v>
      </c>
      <c r="D17" s="111" t="s">
        <v>229</v>
      </c>
      <c r="E17" s="111" t="s">
        <v>229</v>
      </c>
      <c r="F17" s="111" t="s">
        <v>229</v>
      </c>
      <c r="G17" s="111" t="s">
        <v>229</v>
      </c>
      <c r="H17" s="111" t="s">
        <v>229</v>
      </c>
      <c r="I17" s="111" t="s">
        <v>229</v>
      </c>
      <c r="J17" s="188" t="s">
        <v>229</v>
      </c>
      <c r="K17" s="111" t="s">
        <v>229</v>
      </c>
      <c r="L17" s="111" t="s">
        <v>229</v>
      </c>
      <c r="M17" s="111" t="s">
        <v>229</v>
      </c>
      <c r="N17" s="111" t="s">
        <v>229</v>
      </c>
      <c r="O17" s="111" t="s">
        <v>229</v>
      </c>
      <c r="P17" s="111" t="s">
        <v>229</v>
      </c>
      <c r="Q17" s="111" t="s">
        <v>229</v>
      </c>
      <c r="R17" s="111" t="s">
        <v>229</v>
      </c>
      <c r="T17" s="331" t="s">
        <v>304</v>
      </c>
    </row>
    <row r="18" spans="1:20" ht="15" customHeight="1" x14ac:dyDescent="0.25">
      <c r="A18" s="593"/>
      <c r="B18" s="594"/>
      <c r="C18" s="311">
        <v>0.71779999999999999</v>
      </c>
      <c r="D18" s="118">
        <v>0.71779999999999999</v>
      </c>
      <c r="E18" s="118">
        <v>0.71779999999999999</v>
      </c>
      <c r="F18" s="118">
        <v>0.71779999999999999</v>
      </c>
      <c r="G18" s="118">
        <v>0.71779999999999999</v>
      </c>
      <c r="H18" s="118">
        <v>0.7218</v>
      </c>
      <c r="I18" s="118">
        <v>0.7218</v>
      </c>
      <c r="J18" s="189">
        <v>0.72260000000000002</v>
      </c>
      <c r="K18" s="118">
        <v>0.72260000000000002</v>
      </c>
      <c r="L18" s="118">
        <v>0.71330000000000005</v>
      </c>
      <c r="M18" s="118">
        <v>0.71330000000000005</v>
      </c>
      <c r="N18" s="118">
        <v>0.69799999999999995</v>
      </c>
      <c r="O18" s="118">
        <v>0.71330000000000005</v>
      </c>
      <c r="P18" s="118">
        <v>0.71330000000000005</v>
      </c>
      <c r="Q18" s="118">
        <v>0.71330000000000005</v>
      </c>
      <c r="R18" s="118">
        <v>0.71530000000000005</v>
      </c>
      <c r="T18" s="47" t="s">
        <v>327</v>
      </c>
    </row>
    <row r="19" spans="1:20" ht="15" customHeight="1" x14ac:dyDescent="0.25">
      <c r="A19" s="595" t="s">
        <v>55</v>
      </c>
      <c r="B19" s="596"/>
      <c r="C19" s="100">
        <f>ROUND((C7*C18),2)+0.06</f>
        <v>1115.1299999999999</v>
      </c>
      <c r="D19" s="100">
        <f t="shared" ref="D19:M19" si="11">ROUND((D7*D18),2)</f>
        <v>1188.33</v>
      </c>
      <c r="E19" s="100">
        <f t="shared" si="11"/>
        <v>1188.33</v>
      </c>
      <c r="F19" s="100">
        <f t="shared" si="11"/>
        <v>1188.33</v>
      </c>
      <c r="G19" s="100">
        <f t="shared" si="11"/>
        <v>1188.33</v>
      </c>
      <c r="H19" s="100">
        <f t="shared" si="11"/>
        <v>1232</v>
      </c>
      <c r="I19" s="100">
        <f t="shared" si="11"/>
        <v>1232</v>
      </c>
      <c r="J19" s="111">
        <f t="shared" si="11"/>
        <v>1279</v>
      </c>
      <c r="K19" s="100">
        <f t="shared" si="11"/>
        <v>1279</v>
      </c>
      <c r="L19" s="100">
        <f t="shared" si="11"/>
        <v>1302.94</v>
      </c>
      <c r="M19" s="100">
        <f t="shared" si="11"/>
        <v>1302.94</v>
      </c>
      <c r="N19" s="100">
        <f t="shared" ref="N19:O19" si="12">ROUND((N7*N18),2)</f>
        <v>1274.99</v>
      </c>
      <c r="O19" s="100">
        <f t="shared" si="12"/>
        <v>1302.94</v>
      </c>
      <c r="P19" s="100">
        <f t="shared" ref="P19:R19" si="13">ROUND((P7*P18),2)</f>
        <v>1302.94</v>
      </c>
      <c r="Q19" s="100">
        <f t="shared" si="13"/>
        <v>1302.94</v>
      </c>
      <c r="R19" s="100">
        <f t="shared" si="13"/>
        <v>1360.16</v>
      </c>
      <c r="S19" s="41"/>
    </row>
    <row r="20" spans="1:20" ht="15" customHeight="1" x14ac:dyDescent="0.25">
      <c r="A20" s="125" t="s">
        <v>58</v>
      </c>
      <c r="B20" s="87" t="s">
        <v>1</v>
      </c>
      <c r="C20" s="111" t="s">
        <v>158</v>
      </c>
      <c r="D20" s="111" t="s">
        <v>158</v>
      </c>
      <c r="E20" s="111" t="s">
        <v>158</v>
      </c>
      <c r="F20" s="111" t="s">
        <v>158</v>
      </c>
      <c r="G20" s="111" t="s">
        <v>158</v>
      </c>
      <c r="H20" s="111" t="s">
        <v>158</v>
      </c>
      <c r="I20" s="111" t="s">
        <v>158</v>
      </c>
      <c r="J20" s="111" t="s">
        <v>158</v>
      </c>
      <c r="K20" s="111" t="s">
        <v>158</v>
      </c>
      <c r="L20" s="111" t="s">
        <v>158</v>
      </c>
      <c r="M20" s="111" t="s">
        <v>158</v>
      </c>
      <c r="N20" s="111" t="s">
        <v>158</v>
      </c>
      <c r="O20" s="111" t="s">
        <v>158</v>
      </c>
      <c r="P20" s="111" t="s">
        <v>158</v>
      </c>
      <c r="Q20" s="111" t="s">
        <v>158</v>
      </c>
      <c r="R20" s="111" t="s">
        <v>158</v>
      </c>
      <c r="T20" s="332" t="s">
        <v>324</v>
      </c>
    </row>
    <row r="21" spans="1:20" ht="15" customHeight="1" x14ac:dyDescent="0.25">
      <c r="A21" s="47" t="s">
        <v>2</v>
      </c>
      <c r="B21" s="50">
        <v>1.2699999999999999E-2</v>
      </c>
      <c r="C21" s="308">
        <f>ROUND((C6+C13+C16+C19)*B21,2)</f>
        <v>43.47</v>
      </c>
      <c r="D21" s="304">
        <f>ROUND((D6+D13+D16+D19)*B21,2)</f>
        <v>46.16</v>
      </c>
      <c r="E21" s="304">
        <f>ROUND((E6+E13+E16+E19)*B21,2)</f>
        <v>46.72</v>
      </c>
      <c r="F21" s="304">
        <f>ROUND((F6+F13+F16+F19)*B21,2)</f>
        <v>46.72</v>
      </c>
      <c r="G21" s="304">
        <f>ROUND((G6+G13+G16+G19)*B21,2)</f>
        <v>46.72</v>
      </c>
      <c r="H21" s="304">
        <f>ROUND((H6+H13+H16+H19)*B21,2)</f>
        <v>48.51</v>
      </c>
      <c r="I21" s="304">
        <f>ROUND((I6+I13+I16+I19)*B21,2)</f>
        <v>48.58</v>
      </c>
      <c r="J21" s="119">
        <f>ROUND((J7+J13+J16+J19)*B21,2)</f>
        <v>50.25</v>
      </c>
      <c r="K21" s="101">
        <f>ROUND((K7+K13+K16+K19)*B21,2)</f>
        <v>50.25</v>
      </c>
      <c r="L21" s="101">
        <f>ROUND((L7+L13+L16+L19)*B21,2)</f>
        <v>51.49</v>
      </c>
      <c r="M21" s="101">
        <f>ROUND((M7+M13+M16+M19)*B21,2)</f>
        <v>51.77</v>
      </c>
      <c r="N21" s="101">
        <f>ROUND((N7+N13+N16+N19)*B21,2)</f>
        <v>51.42</v>
      </c>
      <c r="O21" s="101">
        <f>ROUND((O7+O13+O16+O19)*B21,2)</f>
        <v>51.77</v>
      </c>
      <c r="P21" s="101">
        <f>ROUND((P7+P13+P16+P19)*B21,2)</f>
        <v>51.77</v>
      </c>
      <c r="Q21" s="101">
        <f>ROUND((Q7+Q13+Q16+Q19)*B21,2)</f>
        <v>51.89</v>
      </c>
      <c r="R21" s="101">
        <f>ROUND((R7+R13+R16+R19)*B21,2)</f>
        <v>53.9</v>
      </c>
      <c r="T21" s="47" t="s">
        <v>328</v>
      </c>
    </row>
    <row r="22" spans="1:20" ht="15" customHeight="1" x14ac:dyDescent="0.25">
      <c r="A22" s="47" t="s">
        <v>3</v>
      </c>
      <c r="B22" s="50">
        <v>0.14249999999999999</v>
      </c>
      <c r="C22" s="304">
        <f t="shared" ref="C22:K22" si="14">ROUND((C7+C13+C16+C19+C21+C23)*14.25/85.75,2)</f>
        <v>581.75</v>
      </c>
      <c r="D22" s="304">
        <f t="shared" si="14"/>
        <v>617.80999999999995</v>
      </c>
      <c r="E22" s="304">
        <f t="shared" si="14"/>
        <v>625.29</v>
      </c>
      <c r="F22" s="304">
        <f t="shared" si="14"/>
        <v>625.29</v>
      </c>
      <c r="G22" s="304">
        <f t="shared" si="14"/>
        <v>625.29</v>
      </c>
      <c r="H22" s="304">
        <f t="shared" si="14"/>
        <v>649.22</v>
      </c>
      <c r="I22" s="304">
        <f t="shared" si="14"/>
        <v>650.17999999999995</v>
      </c>
      <c r="J22" s="119">
        <f t="shared" si="14"/>
        <v>672.56</v>
      </c>
      <c r="K22" s="101">
        <f t="shared" si="14"/>
        <v>672.56</v>
      </c>
      <c r="L22" s="101">
        <f t="shared" ref="L22:R22" si="15">ROUND((L7+L13+L16+L19+L21+L23)*14.25/85.75,2)</f>
        <v>689.17</v>
      </c>
      <c r="M22" s="101">
        <f t="shared" si="15"/>
        <v>692.91</v>
      </c>
      <c r="N22" s="101">
        <f t="shared" si="15"/>
        <v>688.16</v>
      </c>
      <c r="O22" s="101">
        <f t="shared" si="15"/>
        <v>692.91</v>
      </c>
      <c r="P22" s="101">
        <f t="shared" si="15"/>
        <v>692.91</v>
      </c>
      <c r="Q22" s="101">
        <f t="shared" si="15"/>
        <v>694.55</v>
      </c>
      <c r="R22" s="101">
        <f t="shared" si="15"/>
        <v>721.4</v>
      </c>
      <c r="T22" s="323" t="s">
        <v>329</v>
      </c>
    </row>
    <row r="23" spans="1:20" ht="15" customHeight="1" x14ac:dyDescent="0.25">
      <c r="A23" s="47" t="s">
        <v>4</v>
      </c>
      <c r="B23" s="50">
        <v>0.01</v>
      </c>
      <c r="C23" s="308">
        <f>ROUND(((C6+C13+C16+C19+C21)*B23),2)</f>
        <v>34.659999999999997</v>
      </c>
      <c r="D23" s="304">
        <f>ROUND(((D6+D13+D16+D19+D21)*B23),2)</f>
        <v>36.81</v>
      </c>
      <c r="E23" s="304">
        <f>ROUND(((E6+E13+E16+E19+E21)*B23),2)</f>
        <v>37.25</v>
      </c>
      <c r="F23" s="304">
        <f>ROUND(((F6+F13+F16+F19+F21)*B23),2)</f>
        <v>37.25</v>
      </c>
      <c r="G23" s="304">
        <f>ROUND(((G6+G13+G16+G19+G21)*B23),2)</f>
        <v>37.25</v>
      </c>
      <c r="H23" s="304">
        <f>ROUND(((H6+H13+H16+H19+H21)*B23),2)</f>
        <v>38.68</v>
      </c>
      <c r="I23" s="304">
        <f>ROUND(((I6+I13+I16+I19+I21)*B23),2)</f>
        <v>38.74</v>
      </c>
      <c r="J23" s="119">
        <f>ROUND(((J7+J13+J16+J19+J21)*B23),2)</f>
        <v>40.07</v>
      </c>
      <c r="K23" s="101">
        <f>ROUND(((K7+K13+K16+K19+K21)*B23),2)</f>
        <v>40.07</v>
      </c>
      <c r="L23" s="101">
        <f>ROUND(((L7+L13+L16+L19+L21)*B23),2)</f>
        <v>41.06</v>
      </c>
      <c r="M23" s="101">
        <f>ROUND(((M7+M13+M16+M19+M21)*B23),2)</f>
        <v>41.28</v>
      </c>
      <c r="N23" s="101">
        <f>ROUND(((N7+N13+N16+N19+N21)*B23),2)</f>
        <v>41</v>
      </c>
      <c r="O23" s="101">
        <f>ROUND(((O7+O13+O16+O19+O21)*B23),2)</f>
        <v>41.28</v>
      </c>
      <c r="P23" s="101">
        <f>ROUND(((P7+P13+P16+P19+P21)*B23),2)</f>
        <v>41.28</v>
      </c>
      <c r="Q23" s="101">
        <f>ROUND(((Q7+Q13+Q16+Q19+Q21)*B23),2)</f>
        <v>41.38</v>
      </c>
      <c r="R23" s="101">
        <f>ROUND(((R7+R13+R16+R19+R21)*B23),2)</f>
        <v>42.98</v>
      </c>
      <c r="T23" s="47" t="s">
        <v>310</v>
      </c>
    </row>
    <row r="24" spans="1:20" ht="15" customHeight="1" x14ac:dyDescent="0.25">
      <c r="A24" s="623" t="s">
        <v>56</v>
      </c>
      <c r="B24" s="623"/>
      <c r="C24" s="100">
        <f t="shared" ref="C24:J24" si="16">ROUND((C21+C22+C23),2)</f>
        <v>659.88</v>
      </c>
      <c r="D24" s="100">
        <f t="shared" si="16"/>
        <v>700.78</v>
      </c>
      <c r="E24" s="100">
        <f t="shared" si="16"/>
        <v>709.26</v>
      </c>
      <c r="F24" s="100">
        <f t="shared" si="16"/>
        <v>709.26</v>
      </c>
      <c r="G24" s="100">
        <f t="shared" si="16"/>
        <v>709.26</v>
      </c>
      <c r="H24" s="100">
        <f t="shared" si="16"/>
        <v>736.41</v>
      </c>
      <c r="I24" s="100">
        <f t="shared" si="16"/>
        <v>737.5</v>
      </c>
      <c r="J24" s="100">
        <f t="shared" si="16"/>
        <v>762.88</v>
      </c>
      <c r="K24" s="100">
        <f t="shared" ref="K24:R24" si="17">ROUND((K21+K22+K23),2)</f>
        <v>762.88</v>
      </c>
      <c r="L24" s="100">
        <f t="shared" si="17"/>
        <v>781.72</v>
      </c>
      <c r="M24" s="100">
        <f t="shared" si="17"/>
        <v>785.96</v>
      </c>
      <c r="N24" s="100">
        <f t="shared" si="17"/>
        <v>780.58</v>
      </c>
      <c r="O24" s="100">
        <f t="shared" si="17"/>
        <v>785.96</v>
      </c>
      <c r="P24" s="100">
        <f t="shared" si="17"/>
        <v>785.96</v>
      </c>
      <c r="Q24" s="100">
        <f t="shared" si="17"/>
        <v>787.82</v>
      </c>
      <c r="R24" s="100">
        <f t="shared" si="17"/>
        <v>818.28</v>
      </c>
      <c r="T24" s="47" t="s">
        <v>311</v>
      </c>
    </row>
    <row r="25" spans="1:20" ht="45.75" customHeight="1" x14ac:dyDescent="0.25">
      <c r="A25" s="595" t="s">
        <v>59</v>
      </c>
      <c r="B25" s="596"/>
      <c r="C25" s="123" t="s">
        <v>285</v>
      </c>
      <c r="D25" s="287" t="s">
        <v>286</v>
      </c>
      <c r="E25" s="123" t="s">
        <v>287</v>
      </c>
      <c r="F25" s="448" t="s">
        <v>290</v>
      </c>
      <c r="G25" s="439" t="s">
        <v>289</v>
      </c>
      <c r="H25" s="439" t="s">
        <v>292</v>
      </c>
      <c r="I25" s="123" t="s">
        <v>501</v>
      </c>
      <c r="J25" s="123" t="s">
        <v>502</v>
      </c>
      <c r="K25" s="123" t="s">
        <v>296</v>
      </c>
      <c r="L25" s="123" t="s">
        <v>380</v>
      </c>
      <c r="M25" s="123" t="s">
        <v>381</v>
      </c>
      <c r="N25" s="123" t="s">
        <v>384</v>
      </c>
      <c r="O25" s="123" t="s">
        <v>385</v>
      </c>
      <c r="P25" s="123" t="s">
        <v>386</v>
      </c>
      <c r="Q25" s="399" t="s">
        <v>404</v>
      </c>
      <c r="R25" s="123" t="s">
        <v>400</v>
      </c>
      <c r="T25" s="39"/>
    </row>
    <row r="26" spans="1:20" ht="15" customHeight="1" x14ac:dyDescent="0.25">
      <c r="A26" s="601" t="s">
        <v>57</v>
      </c>
      <c r="B26" s="599"/>
      <c r="C26" s="119">
        <f t="shared" ref="C26:I26" si="18">C7</f>
        <v>1553.46</v>
      </c>
      <c r="D26" s="119">
        <f t="shared" si="18"/>
        <v>1655.52</v>
      </c>
      <c r="E26" s="119">
        <f t="shared" si="18"/>
        <v>1655.52</v>
      </c>
      <c r="F26" s="119">
        <f t="shared" si="18"/>
        <v>1655.52</v>
      </c>
      <c r="G26" s="119">
        <f t="shared" si="18"/>
        <v>1655.52</v>
      </c>
      <c r="H26" s="119">
        <f t="shared" si="18"/>
        <v>1706.84</v>
      </c>
      <c r="I26" s="119">
        <f t="shared" si="18"/>
        <v>1706.84</v>
      </c>
      <c r="J26" s="297">
        <f t="shared" ref="J26:R26" si="19">J7</f>
        <v>1770</v>
      </c>
      <c r="K26" s="119">
        <f t="shared" si="19"/>
        <v>1770</v>
      </c>
      <c r="L26" s="119">
        <f t="shared" si="19"/>
        <v>1826.64</v>
      </c>
      <c r="M26" s="119">
        <f t="shared" si="19"/>
        <v>1826.64</v>
      </c>
      <c r="N26" s="119">
        <f t="shared" si="19"/>
        <v>1826.64</v>
      </c>
      <c r="O26" s="119">
        <f t="shared" si="19"/>
        <v>1826.64</v>
      </c>
      <c r="P26" s="119">
        <f t="shared" si="19"/>
        <v>1826.64</v>
      </c>
      <c r="Q26" s="119">
        <f t="shared" si="19"/>
        <v>1826.64</v>
      </c>
      <c r="R26" s="119">
        <f t="shared" si="19"/>
        <v>1901.53</v>
      </c>
      <c r="T26" s="332" t="s">
        <v>312</v>
      </c>
    </row>
    <row r="27" spans="1:20" ht="15" customHeight="1" x14ac:dyDescent="0.25">
      <c r="A27" s="599" t="s">
        <v>50</v>
      </c>
      <c r="B27" s="599"/>
      <c r="C27" s="119">
        <f t="shared" ref="C27:I27" si="20">C13</f>
        <v>695.29</v>
      </c>
      <c r="D27" s="119">
        <f t="shared" si="20"/>
        <v>732.17</v>
      </c>
      <c r="E27" s="119">
        <f t="shared" si="20"/>
        <v>776.17</v>
      </c>
      <c r="F27" s="119">
        <f t="shared" si="20"/>
        <v>776.17</v>
      </c>
      <c r="G27" s="119">
        <f t="shared" si="20"/>
        <v>776.17</v>
      </c>
      <c r="H27" s="119">
        <f t="shared" si="20"/>
        <v>821.99</v>
      </c>
      <c r="I27" s="119">
        <f t="shared" si="20"/>
        <v>821.99</v>
      </c>
      <c r="J27" s="297">
        <f t="shared" ref="J27:R27" si="21">J13</f>
        <v>843.5</v>
      </c>
      <c r="K27" s="119">
        <f t="shared" si="21"/>
        <v>843.5</v>
      </c>
      <c r="L27" s="119">
        <f t="shared" si="21"/>
        <v>860.67</v>
      </c>
      <c r="M27" s="119">
        <f t="shared" si="21"/>
        <v>882.67</v>
      </c>
      <c r="N27" s="119">
        <f t="shared" si="21"/>
        <v>882.67</v>
      </c>
      <c r="O27" s="119">
        <f t="shared" si="21"/>
        <v>882.67</v>
      </c>
      <c r="P27" s="119">
        <f t="shared" si="21"/>
        <v>882.67</v>
      </c>
      <c r="Q27" s="119">
        <f t="shared" si="21"/>
        <v>882.67</v>
      </c>
      <c r="R27" s="119">
        <f t="shared" si="21"/>
        <v>908.54</v>
      </c>
      <c r="T27" s="588" t="s">
        <v>334</v>
      </c>
    </row>
    <row r="28" spans="1:20" ht="15" customHeight="1" x14ac:dyDescent="0.25">
      <c r="A28" s="599" t="s">
        <v>51</v>
      </c>
      <c r="B28" s="599"/>
      <c r="C28" s="119">
        <f t="shared" ref="C28:I28" si="22">C16</f>
        <v>58.699999999999996</v>
      </c>
      <c r="D28" s="119">
        <f t="shared" si="22"/>
        <v>58.699999999999996</v>
      </c>
      <c r="E28" s="119">
        <f t="shared" si="22"/>
        <v>58.699999999999996</v>
      </c>
      <c r="F28" s="119">
        <f t="shared" si="22"/>
        <v>58.699999999999996</v>
      </c>
      <c r="G28" s="119">
        <f t="shared" si="22"/>
        <v>58.699999999999996</v>
      </c>
      <c r="H28" s="119">
        <f t="shared" si="22"/>
        <v>58.699999999999996</v>
      </c>
      <c r="I28" s="119">
        <f t="shared" si="22"/>
        <v>64.31</v>
      </c>
      <c r="J28" s="297">
        <f t="shared" ref="J28:R28" si="23">J16</f>
        <v>64.31</v>
      </c>
      <c r="K28" s="119">
        <f t="shared" si="23"/>
        <v>64.31</v>
      </c>
      <c r="L28" s="119">
        <f t="shared" si="23"/>
        <v>64.31</v>
      </c>
      <c r="M28" s="119">
        <f t="shared" si="23"/>
        <v>64.31</v>
      </c>
      <c r="N28" s="119">
        <f t="shared" si="23"/>
        <v>64.31</v>
      </c>
      <c r="O28" s="119">
        <f t="shared" si="23"/>
        <v>64.31</v>
      </c>
      <c r="P28" s="119">
        <f t="shared" si="23"/>
        <v>64.31</v>
      </c>
      <c r="Q28" s="119">
        <f t="shared" si="23"/>
        <v>73.95</v>
      </c>
      <c r="R28" s="119">
        <f t="shared" si="23"/>
        <v>73.95</v>
      </c>
      <c r="T28" s="589"/>
    </row>
    <row r="29" spans="1:20" ht="15" customHeight="1" x14ac:dyDescent="0.25">
      <c r="A29" s="599" t="s">
        <v>52</v>
      </c>
      <c r="B29" s="599"/>
      <c r="C29" s="119">
        <f t="shared" ref="C29:I29" si="24">C19</f>
        <v>1115.1299999999999</v>
      </c>
      <c r="D29" s="119">
        <f t="shared" si="24"/>
        <v>1188.33</v>
      </c>
      <c r="E29" s="119">
        <f t="shared" si="24"/>
        <v>1188.33</v>
      </c>
      <c r="F29" s="119">
        <f t="shared" si="24"/>
        <v>1188.33</v>
      </c>
      <c r="G29" s="119">
        <f t="shared" si="24"/>
        <v>1188.33</v>
      </c>
      <c r="H29" s="119">
        <f t="shared" si="24"/>
        <v>1232</v>
      </c>
      <c r="I29" s="119">
        <f t="shared" si="24"/>
        <v>1232</v>
      </c>
      <c r="J29" s="297">
        <f t="shared" ref="J29:P29" si="25">J19</f>
        <v>1279</v>
      </c>
      <c r="K29" s="119">
        <f t="shared" si="25"/>
        <v>1279</v>
      </c>
      <c r="L29" s="119">
        <f t="shared" si="25"/>
        <v>1302.94</v>
      </c>
      <c r="M29" s="119">
        <f t="shared" si="25"/>
        <v>1302.94</v>
      </c>
      <c r="N29" s="119">
        <f t="shared" si="25"/>
        <v>1274.99</v>
      </c>
      <c r="O29" s="119">
        <f t="shared" si="25"/>
        <v>1302.94</v>
      </c>
      <c r="P29" s="119">
        <f t="shared" si="25"/>
        <v>1302.94</v>
      </c>
      <c r="Q29" s="119">
        <f>Q19</f>
        <v>1302.94</v>
      </c>
      <c r="R29" s="119">
        <f>R19</f>
        <v>1360.16</v>
      </c>
      <c r="T29" s="589"/>
    </row>
    <row r="30" spans="1:20" ht="15" customHeight="1" x14ac:dyDescent="0.25">
      <c r="A30" s="619" t="s">
        <v>74</v>
      </c>
      <c r="B30" s="619"/>
      <c r="C30" s="104">
        <f t="shared" ref="C30:I30" si="26">ROUND(SUM(C26:C29),2)</f>
        <v>3422.58</v>
      </c>
      <c r="D30" s="104">
        <f t="shared" si="26"/>
        <v>3634.72</v>
      </c>
      <c r="E30" s="104">
        <f t="shared" si="26"/>
        <v>3678.72</v>
      </c>
      <c r="F30" s="104">
        <f t="shared" si="26"/>
        <v>3678.72</v>
      </c>
      <c r="G30" s="104">
        <f t="shared" si="26"/>
        <v>3678.72</v>
      </c>
      <c r="H30" s="104">
        <f t="shared" si="26"/>
        <v>3819.53</v>
      </c>
      <c r="I30" s="104">
        <f t="shared" si="26"/>
        <v>3825.14</v>
      </c>
      <c r="J30" s="321">
        <f t="shared" ref="J30:R30" si="27">ROUND(SUM(J26:J29),2)</f>
        <v>3956.81</v>
      </c>
      <c r="K30" s="104">
        <f t="shared" si="27"/>
        <v>3956.81</v>
      </c>
      <c r="L30" s="104">
        <f t="shared" si="27"/>
        <v>4054.56</v>
      </c>
      <c r="M30" s="104">
        <f t="shared" si="27"/>
        <v>4076.56</v>
      </c>
      <c r="N30" s="104">
        <f t="shared" si="27"/>
        <v>4048.61</v>
      </c>
      <c r="O30" s="104">
        <f t="shared" si="27"/>
        <v>4076.56</v>
      </c>
      <c r="P30" s="104">
        <f t="shared" si="27"/>
        <v>4076.56</v>
      </c>
      <c r="Q30" s="104">
        <f t="shared" si="27"/>
        <v>4086.2</v>
      </c>
      <c r="R30" s="104">
        <f t="shared" si="27"/>
        <v>4244.18</v>
      </c>
      <c r="T30" s="589"/>
    </row>
    <row r="31" spans="1:20" ht="15" customHeight="1" x14ac:dyDescent="0.25">
      <c r="A31" s="599" t="s">
        <v>58</v>
      </c>
      <c r="B31" s="599"/>
      <c r="C31" s="119">
        <f t="shared" ref="C31:I31" si="28">C24</f>
        <v>659.88</v>
      </c>
      <c r="D31" s="119">
        <f t="shared" si="28"/>
        <v>700.78</v>
      </c>
      <c r="E31" s="119">
        <f t="shared" si="28"/>
        <v>709.26</v>
      </c>
      <c r="F31" s="119">
        <f t="shared" si="28"/>
        <v>709.26</v>
      </c>
      <c r="G31" s="119">
        <f t="shared" si="28"/>
        <v>709.26</v>
      </c>
      <c r="H31" s="119">
        <f t="shared" si="28"/>
        <v>736.41</v>
      </c>
      <c r="I31" s="119">
        <f t="shared" si="28"/>
        <v>737.5</v>
      </c>
      <c r="J31" s="297">
        <f t="shared" ref="J31:R31" si="29">J24</f>
        <v>762.88</v>
      </c>
      <c r="K31" s="119">
        <f t="shared" si="29"/>
        <v>762.88</v>
      </c>
      <c r="L31" s="119">
        <f t="shared" si="29"/>
        <v>781.72</v>
      </c>
      <c r="M31" s="119">
        <f t="shared" si="29"/>
        <v>785.96</v>
      </c>
      <c r="N31" s="119">
        <f t="shared" si="29"/>
        <v>780.58</v>
      </c>
      <c r="O31" s="119">
        <f t="shared" si="29"/>
        <v>785.96</v>
      </c>
      <c r="P31" s="119">
        <f t="shared" si="29"/>
        <v>785.96</v>
      </c>
      <c r="Q31" s="119">
        <f t="shared" si="29"/>
        <v>787.82</v>
      </c>
      <c r="R31" s="119">
        <f t="shared" si="29"/>
        <v>818.28</v>
      </c>
      <c r="T31" s="589"/>
    </row>
    <row r="32" spans="1:20" ht="15" customHeight="1" x14ac:dyDescent="0.25">
      <c r="A32" s="619" t="s">
        <v>161</v>
      </c>
      <c r="B32" s="619"/>
      <c r="C32" s="104">
        <f t="shared" ref="C32:J32" si="30">ROUND(SUM(C30:C31),2)</f>
        <v>4082.46</v>
      </c>
      <c r="D32" s="104">
        <f t="shared" si="30"/>
        <v>4335.5</v>
      </c>
      <c r="E32" s="104">
        <f t="shared" si="30"/>
        <v>4387.9799999999996</v>
      </c>
      <c r="F32" s="104">
        <f t="shared" si="30"/>
        <v>4387.9799999999996</v>
      </c>
      <c r="G32" s="104">
        <f t="shared" si="30"/>
        <v>4387.9799999999996</v>
      </c>
      <c r="H32" s="104">
        <f t="shared" si="30"/>
        <v>4555.9399999999996</v>
      </c>
      <c r="I32" s="104">
        <f t="shared" si="30"/>
        <v>4562.6400000000003</v>
      </c>
      <c r="J32" s="104">
        <f t="shared" si="30"/>
        <v>4719.6899999999996</v>
      </c>
      <c r="K32" s="104">
        <f t="shared" ref="K32:R32" si="31">ROUND(SUM(K30:K31),2)</f>
        <v>4719.6899999999996</v>
      </c>
      <c r="L32" s="104">
        <f t="shared" si="31"/>
        <v>4836.28</v>
      </c>
      <c r="M32" s="104">
        <f t="shared" si="31"/>
        <v>4862.5200000000004</v>
      </c>
      <c r="N32" s="104">
        <f t="shared" si="31"/>
        <v>4829.1899999999996</v>
      </c>
      <c r="O32" s="104">
        <f t="shared" si="31"/>
        <v>4862.5200000000004</v>
      </c>
      <c r="P32" s="104">
        <f t="shared" si="31"/>
        <v>4862.5200000000004</v>
      </c>
      <c r="Q32" s="104">
        <f t="shared" si="31"/>
        <v>4874.0200000000004</v>
      </c>
      <c r="R32" s="104">
        <f t="shared" si="31"/>
        <v>5062.46</v>
      </c>
      <c r="T32" s="589"/>
    </row>
    <row r="33" spans="1:20" ht="15" customHeight="1" x14ac:dyDescent="0.25">
      <c r="A33" s="600" t="s">
        <v>48</v>
      </c>
      <c r="B33" s="600"/>
      <c r="C33" s="120">
        <v>3</v>
      </c>
      <c r="D33" s="120">
        <v>3</v>
      </c>
      <c r="E33" s="120">
        <v>3</v>
      </c>
      <c r="F33" s="120">
        <v>3</v>
      </c>
      <c r="G33" s="120">
        <v>3</v>
      </c>
      <c r="H33" s="120">
        <v>3</v>
      </c>
      <c r="I33" s="120">
        <v>3</v>
      </c>
      <c r="J33" s="542">
        <v>3</v>
      </c>
      <c r="K33" s="120">
        <v>3</v>
      </c>
      <c r="L33" s="120">
        <v>3</v>
      </c>
      <c r="M33" s="120">
        <v>3</v>
      </c>
      <c r="N33" s="120">
        <v>3</v>
      </c>
      <c r="O33" s="120">
        <v>3</v>
      </c>
      <c r="P33" s="120">
        <v>3</v>
      </c>
      <c r="Q33" s="120">
        <v>3</v>
      </c>
      <c r="R33" s="120">
        <v>3</v>
      </c>
      <c r="T33" s="590"/>
    </row>
    <row r="34" spans="1:20" ht="15" customHeight="1" x14ac:dyDescent="0.25">
      <c r="A34" s="598" t="s">
        <v>166</v>
      </c>
      <c r="B34" s="598"/>
      <c r="C34" s="104">
        <f t="shared" ref="C34:J34" si="32">ROUND((C32*C33),2)</f>
        <v>12247.38</v>
      </c>
      <c r="D34" s="104">
        <f t="shared" si="32"/>
        <v>13006.5</v>
      </c>
      <c r="E34" s="104">
        <f t="shared" si="32"/>
        <v>13163.94</v>
      </c>
      <c r="F34" s="104">
        <f t="shared" si="32"/>
        <v>13163.94</v>
      </c>
      <c r="G34" s="104">
        <f t="shared" si="32"/>
        <v>13163.94</v>
      </c>
      <c r="H34" s="104">
        <f t="shared" si="32"/>
        <v>13667.82</v>
      </c>
      <c r="I34" s="104">
        <f t="shared" si="32"/>
        <v>13687.92</v>
      </c>
      <c r="J34" s="104">
        <f t="shared" si="32"/>
        <v>14159.07</v>
      </c>
      <c r="K34" s="104">
        <f t="shared" ref="K34:R34" si="33">ROUND((K32*K33),2)</f>
        <v>14159.07</v>
      </c>
      <c r="L34" s="104">
        <f t="shared" si="33"/>
        <v>14508.84</v>
      </c>
      <c r="M34" s="104">
        <f t="shared" si="33"/>
        <v>14587.56</v>
      </c>
      <c r="N34" s="104">
        <f t="shared" si="33"/>
        <v>14487.57</v>
      </c>
      <c r="O34" s="104">
        <f t="shared" si="33"/>
        <v>14587.56</v>
      </c>
      <c r="P34" s="104">
        <f t="shared" si="33"/>
        <v>14587.56</v>
      </c>
      <c r="Q34" s="104">
        <f t="shared" si="33"/>
        <v>14622.06</v>
      </c>
      <c r="R34" s="104">
        <f t="shared" si="33"/>
        <v>15187.38</v>
      </c>
    </row>
    <row r="35" spans="1:20" ht="15" customHeight="1" x14ac:dyDescent="0.25">
      <c r="A35" s="39"/>
      <c r="B35" s="39"/>
      <c r="C35" s="39"/>
      <c r="D35" s="39"/>
      <c r="E35" s="39"/>
      <c r="F35" s="39"/>
      <c r="G35" s="39"/>
      <c r="H35" s="39"/>
      <c r="I35" s="58"/>
      <c r="J35" s="58"/>
      <c r="T35" s="332" t="s">
        <v>317</v>
      </c>
    </row>
    <row r="36" spans="1:20" ht="15" customHeight="1" x14ac:dyDescent="0.25">
      <c r="A36" s="39"/>
      <c r="B36" s="39"/>
      <c r="C36" s="39"/>
      <c r="D36" s="39"/>
      <c r="E36" s="39"/>
      <c r="F36" s="39"/>
      <c r="G36" s="39"/>
      <c r="H36" s="39"/>
      <c r="I36" s="58"/>
      <c r="J36" s="58"/>
      <c r="T36" s="47" t="s">
        <v>333</v>
      </c>
    </row>
    <row r="37" spans="1:20" ht="15" customHeight="1" x14ac:dyDescent="0.25">
      <c r="A37" s="39"/>
      <c r="B37" s="39"/>
      <c r="C37" s="39"/>
      <c r="D37" s="39"/>
      <c r="E37" s="39"/>
      <c r="F37" s="39"/>
      <c r="G37" s="39"/>
      <c r="H37" s="39"/>
      <c r="I37" s="58"/>
      <c r="J37" s="58"/>
      <c r="T37" s="47" t="s">
        <v>319</v>
      </c>
    </row>
    <row r="38" spans="1:20" ht="15" customHeight="1" x14ac:dyDescent="0.25">
      <c r="A38" s="39"/>
      <c r="B38" s="39"/>
      <c r="C38" s="39"/>
      <c r="D38" s="39"/>
      <c r="E38" s="39"/>
      <c r="F38" s="39"/>
      <c r="G38" s="39"/>
      <c r="H38" s="39"/>
      <c r="I38" s="58"/>
      <c r="J38" s="58"/>
      <c r="T38" s="323" t="s">
        <v>320</v>
      </c>
    </row>
    <row r="39" spans="1:20" ht="15" customHeight="1" x14ac:dyDescent="0.25">
      <c r="A39" s="39"/>
      <c r="B39" s="39"/>
      <c r="C39" s="39"/>
      <c r="D39" s="39"/>
      <c r="E39" s="39"/>
      <c r="F39" s="39"/>
      <c r="G39" s="39"/>
      <c r="H39" s="39"/>
      <c r="I39" s="58"/>
      <c r="J39" s="58"/>
      <c r="T39" s="323" t="s">
        <v>321</v>
      </c>
    </row>
    <row r="40" spans="1:20" ht="15" customHeight="1" x14ac:dyDescent="0.25">
      <c r="A40" s="39"/>
      <c r="B40" s="39"/>
      <c r="C40" s="39"/>
      <c r="D40" s="39"/>
      <c r="E40" s="39"/>
      <c r="F40" s="39"/>
      <c r="G40" s="39"/>
      <c r="H40" s="39"/>
      <c r="I40" s="58"/>
      <c r="J40" s="58"/>
      <c r="T40" s="323" t="s">
        <v>322</v>
      </c>
    </row>
    <row r="41" spans="1:20" ht="15" customHeight="1" x14ac:dyDescent="0.25">
      <c r="A41" s="42"/>
      <c r="B41" s="39"/>
      <c r="C41" s="39"/>
      <c r="D41" s="39"/>
      <c r="E41" s="39"/>
      <c r="F41" s="39"/>
      <c r="G41" s="39"/>
      <c r="H41" s="39"/>
      <c r="I41" s="58"/>
      <c r="J41" s="58"/>
      <c r="T41" s="53"/>
    </row>
    <row r="42" spans="1:20" ht="15" customHeight="1" x14ac:dyDescent="0.25">
      <c r="A42" s="39"/>
      <c r="B42" s="39"/>
      <c r="C42" s="39"/>
      <c r="D42" s="39"/>
      <c r="E42" s="39"/>
      <c r="F42" s="39"/>
      <c r="G42" s="39"/>
      <c r="H42" s="39"/>
      <c r="I42" s="58"/>
      <c r="J42" s="58"/>
      <c r="T42" s="332" t="s">
        <v>323</v>
      </c>
    </row>
    <row r="43" spans="1:20" ht="87" customHeight="1" x14ac:dyDescent="0.25">
      <c r="A43" s="39"/>
      <c r="B43" s="39"/>
      <c r="C43" s="39"/>
      <c r="D43" s="39"/>
      <c r="E43" s="39"/>
      <c r="F43" s="39"/>
      <c r="G43" s="39"/>
      <c r="H43" s="39"/>
      <c r="I43" s="58"/>
      <c r="J43" s="58"/>
      <c r="T43" s="327" t="s">
        <v>342</v>
      </c>
    </row>
    <row r="44" spans="1:20" ht="15" customHeight="1" x14ac:dyDescent="0.25">
      <c r="A44" s="39"/>
      <c r="B44" s="39"/>
      <c r="C44" s="39"/>
      <c r="D44" s="39"/>
      <c r="E44" s="39"/>
      <c r="F44" s="39"/>
      <c r="G44" s="39"/>
      <c r="H44" s="39"/>
      <c r="I44" s="58"/>
      <c r="J44" s="58"/>
    </row>
    <row r="45" spans="1:20" ht="15" customHeight="1" x14ac:dyDescent="0.25">
      <c r="A45" s="39"/>
      <c r="B45" s="39"/>
      <c r="C45" s="39"/>
      <c r="D45" s="39"/>
      <c r="E45" s="39"/>
      <c r="F45" s="39"/>
      <c r="G45" s="39"/>
      <c r="H45" s="39"/>
      <c r="I45" s="58"/>
      <c r="J45" s="58"/>
    </row>
    <row r="46" spans="1:20" ht="15" customHeight="1" x14ac:dyDescent="0.25">
      <c r="A46" s="39"/>
      <c r="B46" s="39"/>
      <c r="C46" s="39"/>
      <c r="D46" s="39"/>
      <c r="E46" s="39"/>
      <c r="F46" s="39"/>
      <c r="G46" s="39"/>
      <c r="H46" s="39"/>
      <c r="I46" s="58"/>
      <c r="J46" s="58"/>
    </row>
    <row r="48" spans="1:20" ht="15" customHeight="1" x14ac:dyDescent="0.25">
      <c r="A48" s="39"/>
      <c r="B48" s="39"/>
      <c r="C48" s="39"/>
      <c r="D48" s="39"/>
      <c r="E48" s="39"/>
      <c r="F48" s="39"/>
      <c r="G48" s="39"/>
      <c r="H48" s="39"/>
      <c r="I48" s="58"/>
      <c r="J48" s="58"/>
    </row>
    <row r="49" spans="1:12" ht="15" customHeight="1" x14ac:dyDescent="0.25">
      <c r="A49" s="39"/>
      <c r="B49" s="39"/>
      <c r="C49" s="39"/>
      <c r="D49" s="39"/>
      <c r="E49" s="39"/>
      <c r="F49" s="39"/>
      <c r="G49" s="39"/>
      <c r="H49" s="39"/>
      <c r="I49" s="58"/>
      <c r="J49" s="58"/>
    </row>
    <row r="50" spans="1:12" ht="15" customHeight="1" x14ac:dyDescent="0.25">
      <c r="A50" s="42"/>
      <c r="B50" s="39"/>
      <c r="C50" s="39"/>
      <c r="D50" s="39"/>
      <c r="E50" s="39"/>
      <c r="F50" s="39"/>
      <c r="G50" s="39"/>
      <c r="H50" s="39"/>
      <c r="I50" s="58"/>
      <c r="J50" s="58"/>
    </row>
    <row r="51" spans="1:12" ht="15" customHeight="1" x14ac:dyDescent="0.25">
      <c r="A51" s="39"/>
      <c r="B51" s="43"/>
      <c r="C51" s="43"/>
      <c r="D51" s="43"/>
      <c r="E51" s="43"/>
      <c r="F51" s="43"/>
      <c r="G51" s="43"/>
      <c r="H51" s="43"/>
      <c r="I51" s="545"/>
      <c r="J51" s="545"/>
    </row>
    <row r="52" spans="1:12" ht="15" customHeight="1" x14ac:dyDescent="0.25">
      <c r="A52" s="42"/>
      <c r="B52" s="39"/>
      <c r="C52" s="39"/>
      <c r="D52" s="39"/>
      <c r="E52" s="39"/>
      <c r="F52" s="39"/>
      <c r="G52" s="39"/>
      <c r="H52" s="39"/>
      <c r="I52" s="58"/>
      <c r="J52" s="58"/>
      <c r="K52" s="61"/>
      <c r="L52" s="61"/>
    </row>
    <row r="53" spans="1:12" ht="15" customHeight="1" x14ac:dyDescent="0.25">
      <c r="A53" s="39"/>
      <c r="B53" s="39"/>
      <c r="C53" s="39"/>
      <c r="D53" s="39"/>
      <c r="E53" s="39"/>
      <c r="F53" s="39"/>
      <c r="G53" s="39"/>
      <c r="H53" s="39"/>
      <c r="I53" s="58"/>
      <c r="J53" s="58"/>
    </row>
    <row r="54" spans="1:12" ht="15" customHeight="1" x14ac:dyDescent="0.25">
      <c r="A54" s="39"/>
      <c r="B54" s="39"/>
      <c r="C54" s="39"/>
      <c r="D54" s="39"/>
      <c r="E54" s="39"/>
      <c r="F54" s="39"/>
      <c r="G54" s="39"/>
      <c r="H54" s="39"/>
      <c r="I54" s="58"/>
      <c r="J54" s="58"/>
    </row>
    <row r="55" spans="1:12" ht="15" customHeight="1" x14ac:dyDescent="0.25">
      <c r="A55" s="39"/>
      <c r="B55" s="39"/>
      <c r="C55" s="39"/>
      <c r="D55" s="39"/>
      <c r="E55" s="39"/>
      <c r="F55" s="39"/>
      <c r="G55" s="39"/>
      <c r="H55" s="39"/>
      <c r="I55" s="58"/>
      <c r="J55" s="58"/>
    </row>
    <row r="56" spans="1:12" ht="15" customHeight="1" x14ac:dyDescent="0.25">
      <c r="A56" s="39"/>
      <c r="B56" s="39"/>
      <c r="C56" s="39"/>
      <c r="D56" s="39"/>
      <c r="E56" s="39"/>
      <c r="F56" s="39"/>
      <c r="G56" s="39"/>
      <c r="H56" s="39"/>
      <c r="I56" s="58"/>
      <c r="J56" s="58"/>
    </row>
    <row r="57" spans="1:12" ht="15" customHeight="1" x14ac:dyDescent="0.25">
      <c r="A57" s="39"/>
      <c r="B57" s="39"/>
      <c r="C57" s="39"/>
      <c r="D57" s="39"/>
      <c r="E57" s="39"/>
      <c r="F57" s="39"/>
      <c r="G57" s="39"/>
      <c r="H57" s="39"/>
      <c r="I57" s="58"/>
      <c r="J57" s="58"/>
    </row>
    <row r="58" spans="1:12" ht="15" customHeight="1" x14ac:dyDescent="0.25">
      <c r="A58" s="39"/>
      <c r="B58" s="39"/>
      <c r="C58" s="39"/>
      <c r="D58" s="39"/>
      <c r="E58" s="39"/>
      <c r="F58" s="39"/>
      <c r="G58" s="39"/>
      <c r="H58" s="39"/>
      <c r="I58" s="58"/>
      <c r="J58" s="58"/>
    </row>
    <row r="59" spans="1:12" ht="15" customHeight="1" x14ac:dyDescent="0.25">
      <c r="A59" s="39"/>
      <c r="B59" s="39"/>
      <c r="C59" s="39"/>
      <c r="D59" s="39"/>
      <c r="E59" s="39"/>
      <c r="F59" s="39"/>
      <c r="G59" s="39"/>
      <c r="H59" s="39"/>
      <c r="I59" s="58"/>
      <c r="J59" s="58"/>
    </row>
    <row r="60" spans="1:12" ht="15" customHeight="1" x14ac:dyDescent="0.25">
      <c r="A60" s="39"/>
      <c r="B60" s="39"/>
      <c r="C60" s="39"/>
      <c r="D60" s="39"/>
      <c r="E60" s="39"/>
      <c r="F60" s="39"/>
      <c r="G60" s="39"/>
      <c r="H60" s="39"/>
      <c r="I60" s="58"/>
      <c r="J60" s="58"/>
    </row>
    <row r="61" spans="1:12" ht="15" customHeight="1" x14ac:dyDescent="0.25">
      <c r="A61" s="39"/>
      <c r="B61" s="39"/>
      <c r="C61" s="39"/>
      <c r="D61" s="39"/>
      <c r="E61" s="39"/>
      <c r="F61" s="39"/>
      <c r="G61" s="39"/>
      <c r="H61" s="39"/>
      <c r="I61" s="58"/>
      <c r="J61" s="58"/>
    </row>
    <row r="62" spans="1:12" ht="15" customHeight="1" x14ac:dyDescent="0.25">
      <c r="A62" s="39"/>
      <c r="B62" s="39"/>
      <c r="C62" s="39"/>
      <c r="D62" s="39"/>
      <c r="E62" s="39"/>
      <c r="F62" s="39"/>
      <c r="G62" s="39"/>
      <c r="H62" s="39"/>
      <c r="I62" s="58"/>
      <c r="J62" s="58"/>
    </row>
    <row r="63" spans="1:12" ht="15" customHeight="1" x14ac:dyDescent="0.25">
      <c r="A63" s="39"/>
      <c r="B63" s="39"/>
      <c r="C63" s="39"/>
      <c r="D63" s="39"/>
      <c r="E63" s="39"/>
      <c r="F63" s="39"/>
      <c r="G63" s="39"/>
      <c r="H63" s="39"/>
      <c r="I63" s="58"/>
      <c r="J63" s="58"/>
    </row>
    <row r="64" spans="1:12" ht="15" customHeight="1" x14ac:dyDescent="0.25">
      <c r="A64" s="39"/>
      <c r="B64" s="39"/>
      <c r="C64" s="39"/>
      <c r="D64" s="39"/>
      <c r="E64" s="39"/>
      <c r="F64" s="39"/>
      <c r="G64" s="39"/>
      <c r="H64" s="39"/>
      <c r="I64" s="58"/>
      <c r="J64" s="58"/>
    </row>
    <row r="65" spans="1:10" ht="15" customHeight="1" x14ac:dyDescent="0.25">
      <c r="A65" s="39"/>
      <c r="B65" s="39"/>
      <c r="C65" s="39"/>
      <c r="D65" s="39"/>
      <c r="E65" s="39"/>
      <c r="F65" s="39"/>
      <c r="G65" s="39"/>
      <c r="H65" s="39"/>
      <c r="I65" s="58"/>
      <c r="J65" s="58"/>
    </row>
    <row r="66" spans="1:10" ht="15" customHeight="1" x14ac:dyDescent="0.25">
      <c r="A66" s="39"/>
      <c r="B66" s="39"/>
      <c r="C66" s="39"/>
      <c r="D66" s="39"/>
      <c r="E66" s="39"/>
      <c r="F66" s="39"/>
      <c r="G66" s="39"/>
      <c r="H66" s="39"/>
      <c r="I66" s="58"/>
      <c r="J66" s="58"/>
    </row>
    <row r="67" spans="1:10" ht="15" customHeight="1" x14ac:dyDescent="0.25">
      <c r="A67" s="39"/>
      <c r="B67" s="39"/>
      <c r="C67" s="39"/>
      <c r="D67" s="39"/>
      <c r="E67" s="39"/>
      <c r="F67" s="39"/>
      <c r="G67" s="39"/>
      <c r="H67" s="39"/>
      <c r="I67" s="58"/>
      <c r="J67" s="58"/>
    </row>
    <row r="68" spans="1:10" ht="15" customHeight="1" x14ac:dyDescent="0.25">
      <c r="A68" s="39"/>
      <c r="B68" s="39"/>
      <c r="C68" s="39"/>
      <c r="D68" s="39"/>
      <c r="E68" s="39"/>
      <c r="F68" s="39"/>
      <c r="G68" s="39"/>
      <c r="H68" s="39"/>
      <c r="I68" s="58"/>
      <c r="J68" s="58"/>
    </row>
    <row r="69" spans="1:10" ht="15" customHeight="1" x14ac:dyDescent="0.25">
      <c r="A69" s="42"/>
      <c r="B69" s="39"/>
      <c r="C69" s="39"/>
      <c r="D69" s="39"/>
      <c r="E69" s="39"/>
      <c r="F69" s="39"/>
      <c r="G69" s="39"/>
      <c r="H69" s="39"/>
      <c r="I69" s="58"/>
      <c r="J69" s="58"/>
    </row>
    <row r="70" spans="1:10" ht="15" customHeight="1" x14ac:dyDescent="0.25">
      <c r="A70" s="39"/>
      <c r="B70" s="39"/>
      <c r="C70" s="39"/>
      <c r="D70" s="39"/>
      <c r="E70" s="39"/>
      <c r="F70" s="39"/>
      <c r="G70" s="39"/>
      <c r="H70" s="39"/>
      <c r="I70" s="58"/>
      <c r="J70" s="58"/>
    </row>
    <row r="71" spans="1:10" ht="15" customHeight="1" x14ac:dyDescent="0.25">
      <c r="A71" s="39"/>
      <c r="B71" s="39"/>
      <c r="C71" s="39"/>
      <c r="D71" s="39"/>
      <c r="E71" s="39"/>
      <c r="F71" s="39"/>
      <c r="G71" s="39"/>
      <c r="H71" s="39"/>
      <c r="I71" s="58"/>
      <c r="J71" s="58"/>
    </row>
    <row r="72" spans="1:10" ht="15" customHeight="1" x14ac:dyDescent="0.25">
      <c r="A72" s="39"/>
      <c r="B72" s="39"/>
      <c r="C72" s="39"/>
      <c r="D72" s="39"/>
      <c r="E72" s="39"/>
      <c r="F72" s="39"/>
      <c r="G72" s="39"/>
      <c r="H72" s="39"/>
      <c r="I72" s="58"/>
      <c r="J72" s="58"/>
    </row>
    <row r="73" spans="1:10" ht="15" customHeight="1" x14ac:dyDescent="0.25">
      <c r="A73" s="39"/>
      <c r="B73" s="39"/>
      <c r="C73" s="39"/>
      <c r="D73" s="39"/>
      <c r="E73" s="39"/>
      <c r="F73" s="39"/>
      <c r="G73" s="39"/>
      <c r="H73" s="39"/>
      <c r="I73" s="58"/>
      <c r="J73" s="58"/>
    </row>
    <row r="74" spans="1:10" ht="15" customHeight="1" x14ac:dyDescent="0.25">
      <c r="A74" s="39"/>
      <c r="B74" s="39"/>
      <c r="C74" s="39"/>
      <c r="D74" s="39"/>
      <c r="E74" s="39"/>
      <c r="F74" s="39"/>
      <c r="G74" s="39"/>
      <c r="H74" s="39"/>
      <c r="I74" s="58"/>
      <c r="J74" s="58"/>
    </row>
    <row r="75" spans="1:10" ht="15" customHeight="1" x14ac:dyDescent="0.25">
      <c r="A75" s="39"/>
      <c r="B75" s="39"/>
      <c r="C75" s="39"/>
      <c r="D75" s="39"/>
      <c r="E75" s="39"/>
      <c r="F75" s="39"/>
      <c r="G75" s="39"/>
      <c r="H75" s="39"/>
      <c r="I75" s="58"/>
      <c r="J75" s="58"/>
    </row>
    <row r="76" spans="1:10" ht="15" customHeight="1" x14ac:dyDescent="0.25">
      <c r="A76" s="39"/>
      <c r="B76" s="39"/>
      <c r="C76" s="39"/>
      <c r="D76" s="39"/>
      <c r="E76" s="39"/>
      <c r="F76" s="39"/>
      <c r="G76" s="39"/>
      <c r="H76" s="39"/>
      <c r="I76" s="58"/>
      <c r="J76" s="58"/>
    </row>
    <row r="77" spans="1:10" ht="15" customHeight="1" x14ac:dyDescent="0.25">
      <c r="A77" s="39"/>
      <c r="B77" s="39"/>
      <c r="C77" s="39"/>
      <c r="D77" s="39"/>
      <c r="E77" s="39"/>
      <c r="F77" s="39"/>
      <c r="G77" s="39"/>
      <c r="H77" s="39"/>
      <c r="I77" s="58"/>
      <c r="J77" s="58"/>
    </row>
    <row r="78" spans="1:10" ht="15" customHeight="1" x14ac:dyDescent="0.25">
      <c r="A78" s="42"/>
      <c r="B78" s="39"/>
      <c r="C78" s="39"/>
      <c r="D78" s="39"/>
      <c r="E78" s="39"/>
      <c r="F78" s="39"/>
      <c r="G78" s="39"/>
      <c r="H78" s="39"/>
      <c r="I78" s="58"/>
      <c r="J78" s="58"/>
    </row>
    <row r="79" spans="1:10" ht="15" customHeight="1" x14ac:dyDescent="0.25">
      <c r="A79" s="39"/>
      <c r="B79" s="43"/>
      <c r="C79" s="43"/>
      <c r="D79" s="43"/>
      <c r="E79" s="43"/>
      <c r="F79" s="43"/>
      <c r="G79" s="43"/>
      <c r="H79" s="43"/>
      <c r="I79" s="545"/>
      <c r="J79" s="545"/>
    </row>
    <row r="80" spans="1:10" ht="15" customHeight="1" x14ac:dyDescent="0.25">
      <c r="A80" s="42"/>
      <c r="B80" s="39"/>
      <c r="C80" s="39"/>
      <c r="D80" s="39"/>
      <c r="E80" s="39"/>
      <c r="F80" s="39"/>
      <c r="G80" s="39"/>
      <c r="H80" s="39"/>
      <c r="I80" s="58"/>
      <c r="J80" s="58"/>
    </row>
    <row r="81" spans="1:10" ht="15" customHeight="1" x14ac:dyDescent="0.25">
      <c r="A81" s="39"/>
      <c r="B81" s="39"/>
      <c r="C81" s="39"/>
      <c r="D81" s="39"/>
      <c r="E81" s="39"/>
      <c r="F81" s="39"/>
      <c r="G81" s="39"/>
      <c r="H81" s="39"/>
      <c r="I81" s="58"/>
      <c r="J81" s="58"/>
    </row>
    <row r="82" spans="1:10" ht="15" customHeight="1" x14ac:dyDescent="0.25">
      <c r="A82" s="39"/>
      <c r="B82" s="39"/>
      <c r="C82" s="39"/>
      <c r="D82" s="39"/>
      <c r="E82" s="39"/>
      <c r="F82" s="39"/>
      <c r="G82" s="39"/>
      <c r="H82" s="39"/>
      <c r="I82" s="58"/>
      <c r="J82" s="58"/>
    </row>
    <row r="83" spans="1:10" ht="15" customHeight="1" x14ac:dyDescent="0.25">
      <c r="A83" s="39"/>
      <c r="B83" s="39"/>
      <c r="C83" s="39"/>
      <c r="D83" s="39"/>
      <c r="E83" s="39"/>
      <c r="F83" s="39"/>
      <c r="G83" s="39"/>
      <c r="H83" s="39"/>
      <c r="I83" s="58"/>
      <c r="J83" s="58"/>
    </row>
    <row r="84" spans="1:10" ht="15" customHeight="1" x14ac:dyDescent="0.25">
      <c r="A84" s="39"/>
      <c r="B84" s="39"/>
      <c r="C84" s="39"/>
      <c r="D84" s="39"/>
      <c r="E84" s="39"/>
      <c r="F84" s="39"/>
      <c r="G84" s="39"/>
      <c r="H84" s="39"/>
      <c r="I84" s="58"/>
      <c r="J84" s="58"/>
    </row>
    <row r="85" spans="1:10" ht="15" customHeight="1" x14ac:dyDescent="0.25">
      <c r="A85" s="39"/>
      <c r="B85" s="39"/>
      <c r="C85" s="39"/>
      <c r="D85" s="39"/>
      <c r="E85" s="39"/>
      <c r="F85" s="39"/>
      <c r="G85" s="39"/>
      <c r="H85" s="39"/>
      <c r="I85" s="58"/>
      <c r="J85" s="58"/>
    </row>
    <row r="86" spans="1:10" ht="15" customHeight="1" x14ac:dyDescent="0.25">
      <c r="A86" s="39"/>
      <c r="B86" s="39"/>
      <c r="C86" s="39"/>
      <c r="D86" s="39"/>
      <c r="E86" s="39"/>
      <c r="F86" s="39"/>
      <c r="G86" s="39"/>
      <c r="H86" s="39"/>
      <c r="I86" s="58"/>
      <c r="J86" s="58"/>
    </row>
    <row r="87" spans="1:10" ht="15" customHeight="1" x14ac:dyDescent="0.25">
      <c r="A87" s="39"/>
      <c r="B87" s="39"/>
      <c r="C87" s="39"/>
      <c r="D87" s="39"/>
      <c r="E87" s="39"/>
      <c r="F87" s="39"/>
      <c r="G87" s="39"/>
      <c r="H87" s="39"/>
      <c r="I87" s="58"/>
      <c r="J87" s="58"/>
    </row>
    <row r="88" spans="1:10" ht="15" customHeight="1" x14ac:dyDescent="0.25">
      <c r="A88" s="39"/>
      <c r="B88" s="39"/>
      <c r="C88" s="39"/>
      <c r="D88" s="39"/>
      <c r="E88" s="39"/>
      <c r="F88" s="39"/>
      <c r="G88" s="39"/>
      <c r="H88" s="39"/>
      <c r="I88" s="58"/>
      <c r="J88" s="58"/>
    </row>
    <row r="89" spans="1:10" ht="15" customHeight="1" x14ac:dyDescent="0.25">
      <c r="A89" s="39"/>
      <c r="B89" s="39"/>
      <c r="C89" s="39"/>
      <c r="D89" s="39"/>
      <c r="E89" s="39"/>
      <c r="F89" s="39"/>
      <c r="G89" s="39"/>
      <c r="H89" s="39"/>
      <c r="I89" s="58"/>
      <c r="J89" s="58"/>
    </row>
    <row r="90" spans="1:10" ht="15" customHeight="1" x14ac:dyDescent="0.25">
      <c r="A90" s="39"/>
      <c r="B90" s="39"/>
      <c r="C90" s="39"/>
      <c r="D90" s="39"/>
      <c r="E90" s="39"/>
      <c r="F90" s="39"/>
      <c r="G90" s="39"/>
      <c r="H90" s="39"/>
      <c r="I90" s="58"/>
      <c r="J90" s="58"/>
    </row>
    <row r="91" spans="1:10" ht="15" customHeight="1" x14ac:dyDescent="0.25">
      <c r="A91" s="39"/>
      <c r="B91" s="39"/>
      <c r="C91" s="39"/>
      <c r="D91" s="39"/>
      <c r="E91" s="39"/>
      <c r="F91" s="39"/>
      <c r="G91" s="39"/>
      <c r="H91" s="39"/>
      <c r="I91" s="58"/>
      <c r="J91" s="58"/>
    </row>
    <row r="92" spans="1:10" ht="15" customHeight="1" x14ac:dyDescent="0.25">
      <c r="A92" s="39"/>
      <c r="B92" s="39"/>
      <c r="C92" s="39"/>
      <c r="D92" s="39"/>
      <c r="E92" s="39"/>
      <c r="F92" s="39"/>
      <c r="G92" s="39"/>
      <c r="H92" s="39"/>
      <c r="I92" s="58"/>
      <c r="J92" s="58"/>
    </row>
    <row r="93" spans="1:10" ht="15" customHeight="1" x14ac:dyDescent="0.25">
      <c r="A93" s="39"/>
      <c r="B93" s="39"/>
      <c r="C93" s="39"/>
      <c r="D93" s="39"/>
      <c r="E93" s="39"/>
      <c r="F93" s="39"/>
      <c r="G93" s="39"/>
      <c r="H93" s="39"/>
      <c r="I93" s="58"/>
      <c r="J93" s="58"/>
    </row>
    <row r="94" spans="1:10" ht="15" customHeight="1" x14ac:dyDescent="0.25">
      <c r="A94" s="39"/>
      <c r="B94" s="39"/>
      <c r="C94" s="39"/>
      <c r="D94" s="39"/>
      <c r="E94" s="39"/>
      <c r="F94" s="39"/>
      <c r="G94" s="39"/>
      <c r="H94" s="39"/>
      <c r="I94" s="58"/>
      <c r="J94" s="58"/>
    </row>
    <row r="95" spans="1:10" ht="15" customHeight="1" x14ac:dyDescent="0.25">
      <c r="A95" s="39"/>
      <c r="B95" s="39"/>
      <c r="C95" s="39"/>
      <c r="D95" s="39"/>
      <c r="E95" s="39"/>
      <c r="F95" s="39"/>
      <c r="G95" s="39"/>
      <c r="H95" s="39"/>
      <c r="I95" s="58"/>
      <c r="J95" s="58"/>
    </row>
    <row r="96" spans="1:10" ht="15" customHeight="1" x14ac:dyDescent="0.25">
      <c r="A96" s="39"/>
      <c r="B96" s="39"/>
      <c r="C96" s="39"/>
      <c r="D96" s="39"/>
      <c r="E96" s="39"/>
      <c r="F96" s="39"/>
      <c r="G96" s="39"/>
      <c r="H96" s="39"/>
      <c r="I96" s="58"/>
      <c r="J96" s="58"/>
    </row>
    <row r="97" spans="1:10" ht="15" customHeight="1" x14ac:dyDescent="0.25">
      <c r="A97" s="42"/>
      <c r="B97" s="39"/>
      <c r="C97" s="39"/>
      <c r="D97" s="39"/>
      <c r="E97" s="39"/>
      <c r="F97" s="39"/>
      <c r="G97" s="39"/>
      <c r="H97" s="39"/>
      <c r="I97" s="58"/>
      <c r="J97" s="58"/>
    </row>
    <row r="98" spans="1:10" ht="15" customHeight="1" x14ac:dyDescent="0.25">
      <c r="A98" s="39"/>
      <c r="B98" s="39"/>
      <c r="C98" s="39"/>
      <c r="D98" s="39"/>
      <c r="E98" s="39"/>
      <c r="F98" s="39"/>
      <c r="G98" s="39"/>
      <c r="H98" s="39"/>
      <c r="I98" s="58"/>
      <c r="J98" s="58"/>
    </row>
    <row r="99" spans="1:10" ht="15" customHeight="1" x14ac:dyDescent="0.25">
      <c r="A99" s="39"/>
      <c r="B99" s="39"/>
      <c r="C99" s="39"/>
      <c r="D99" s="39"/>
      <c r="E99" s="39"/>
      <c r="F99" s="39"/>
      <c r="G99" s="39"/>
      <c r="H99" s="39"/>
      <c r="I99" s="58"/>
      <c r="J99" s="58"/>
    </row>
    <row r="100" spans="1:10" ht="15" customHeight="1" x14ac:dyDescent="0.25">
      <c r="A100" s="39"/>
      <c r="B100" s="39"/>
      <c r="C100" s="39"/>
      <c r="D100" s="39"/>
      <c r="E100" s="39"/>
      <c r="F100" s="39"/>
      <c r="G100" s="39"/>
      <c r="H100" s="39"/>
      <c r="I100" s="58"/>
      <c r="J100" s="58"/>
    </row>
    <row r="101" spans="1:10" ht="15" customHeight="1" x14ac:dyDescent="0.25">
      <c r="A101" s="39"/>
      <c r="B101" s="39"/>
      <c r="C101" s="39"/>
      <c r="D101" s="39"/>
      <c r="E101" s="39"/>
      <c r="F101" s="39"/>
      <c r="G101" s="39"/>
      <c r="H101" s="39"/>
      <c r="I101" s="58"/>
      <c r="J101" s="58"/>
    </row>
    <row r="102" spans="1:10" ht="15" customHeight="1" x14ac:dyDescent="0.25">
      <c r="A102" s="39"/>
      <c r="B102" s="39"/>
      <c r="C102" s="39"/>
      <c r="D102" s="39"/>
      <c r="E102" s="39"/>
      <c r="F102" s="39"/>
      <c r="G102" s="39"/>
      <c r="H102" s="39"/>
      <c r="I102" s="58"/>
      <c r="J102" s="58"/>
    </row>
    <row r="103" spans="1:10" ht="15" customHeight="1" x14ac:dyDescent="0.25">
      <c r="A103" s="39"/>
      <c r="B103" s="39"/>
      <c r="C103" s="39"/>
      <c r="D103" s="39"/>
      <c r="E103" s="39"/>
      <c r="F103" s="39"/>
      <c r="G103" s="39"/>
      <c r="H103" s="39"/>
      <c r="I103" s="58"/>
      <c r="J103" s="58"/>
    </row>
    <row r="104" spans="1:10" ht="15" customHeight="1" x14ac:dyDescent="0.25">
      <c r="A104" s="39"/>
      <c r="B104" s="39"/>
      <c r="C104" s="39"/>
      <c r="D104" s="39"/>
      <c r="E104" s="39"/>
      <c r="F104" s="39"/>
      <c r="G104" s="39"/>
      <c r="H104" s="39"/>
      <c r="I104" s="58"/>
      <c r="J104" s="58"/>
    </row>
    <row r="105" spans="1:10" ht="15" customHeight="1" x14ac:dyDescent="0.25">
      <c r="A105" s="39"/>
      <c r="B105" s="39"/>
      <c r="C105" s="39"/>
      <c r="D105" s="39"/>
      <c r="E105" s="39"/>
      <c r="F105" s="39"/>
      <c r="G105" s="39"/>
      <c r="H105" s="39"/>
      <c r="I105" s="58"/>
      <c r="J105" s="58"/>
    </row>
    <row r="106" spans="1:10" ht="15" customHeight="1" x14ac:dyDescent="0.25">
      <c r="A106" s="42"/>
      <c r="B106" s="39"/>
      <c r="C106" s="39"/>
      <c r="D106" s="39"/>
      <c r="E106" s="39"/>
      <c r="F106" s="39"/>
      <c r="G106" s="39"/>
      <c r="H106" s="39"/>
      <c r="I106" s="58"/>
      <c r="J106" s="58"/>
    </row>
    <row r="107" spans="1:10" ht="15" customHeight="1" x14ac:dyDescent="0.25">
      <c r="A107" s="39"/>
      <c r="B107" s="43"/>
      <c r="C107" s="43"/>
      <c r="D107" s="43"/>
      <c r="E107" s="43"/>
      <c r="F107" s="43"/>
      <c r="G107" s="43"/>
      <c r="H107" s="43"/>
      <c r="I107" s="545"/>
      <c r="J107" s="545"/>
    </row>
    <row r="108" spans="1:10" ht="15" customHeight="1" x14ac:dyDescent="0.25">
      <c r="A108" s="42"/>
      <c r="B108" s="39"/>
      <c r="C108" s="39"/>
      <c r="D108" s="39"/>
      <c r="E108" s="39"/>
      <c r="F108" s="39"/>
      <c r="G108" s="39"/>
      <c r="H108" s="39"/>
      <c r="I108" s="58"/>
      <c r="J108" s="58"/>
    </row>
    <row r="109" spans="1:10" ht="15" customHeight="1" x14ac:dyDescent="0.25">
      <c r="A109" s="39"/>
      <c r="B109" s="39"/>
      <c r="C109" s="39"/>
      <c r="D109" s="39"/>
      <c r="E109" s="39"/>
      <c r="F109" s="39"/>
      <c r="G109" s="39"/>
      <c r="H109" s="39"/>
      <c r="I109" s="58"/>
      <c r="J109" s="58"/>
    </row>
    <row r="110" spans="1:10" ht="15" customHeight="1" x14ac:dyDescent="0.25">
      <c r="A110" s="39"/>
      <c r="B110" s="39"/>
      <c r="C110" s="39"/>
      <c r="D110" s="39"/>
      <c r="E110" s="39"/>
      <c r="F110" s="39"/>
      <c r="G110" s="39"/>
      <c r="H110" s="39"/>
      <c r="I110" s="58"/>
      <c r="J110" s="58"/>
    </row>
    <row r="111" spans="1:10" ht="15" customHeight="1" x14ac:dyDescent="0.25">
      <c r="A111" s="39"/>
      <c r="B111" s="39"/>
      <c r="C111" s="39"/>
      <c r="D111" s="39"/>
      <c r="E111" s="39"/>
      <c r="F111" s="39"/>
      <c r="G111" s="39"/>
      <c r="H111" s="39"/>
      <c r="I111" s="58"/>
      <c r="J111" s="58"/>
    </row>
    <row r="112" spans="1:10" ht="15" customHeight="1" x14ac:dyDescent="0.25">
      <c r="A112" s="39"/>
      <c r="B112" s="39"/>
      <c r="C112" s="39"/>
      <c r="D112" s="39"/>
      <c r="E112" s="39"/>
      <c r="F112" s="39"/>
      <c r="G112" s="39"/>
      <c r="H112" s="39"/>
      <c r="I112" s="58"/>
      <c r="J112" s="58"/>
    </row>
    <row r="113" spans="1:10" ht="15" customHeight="1" x14ac:dyDescent="0.25">
      <c r="A113" s="39"/>
      <c r="B113" s="39"/>
      <c r="C113" s="39"/>
      <c r="D113" s="39"/>
      <c r="E113" s="39"/>
      <c r="F113" s="39"/>
      <c r="G113" s="39"/>
      <c r="H113" s="39"/>
      <c r="I113" s="58"/>
      <c r="J113" s="58"/>
    </row>
    <row r="114" spans="1:10" ht="15" customHeight="1" x14ac:dyDescent="0.25">
      <c r="A114" s="39"/>
      <c r="B114" s="39"/>
      <c r="C114" s="39"/>
      <c r="D114" s="39"/>
      <c r="E114" s="39"/>
      <c r="F114" s="39"/>
      <c r="G114" s="39"/>
      <c r="H114" s="39"/>
      <c r="I114" s="58"/>
      <c r="J114" s="58"/>
    </row>
    <row r="115" spans="1:10" ht="15" customHeight="1" x14ac:dyDescent="0.25">
      <c r="A115" s="39"/>
      <c r="B115" s="39"/>
      <c r="C115" s="39"/>
      <c r="D115" s="39"/>
      <c r="E115" s="39"/>
      <c r="F115" s="39"/>
      <c r="G115" s="39"/>
      <c r="H115" s="39"/>
      <c r="I115" s="58"/>
      <c r="J115" s="58"/>
    </row>
    <row r="116" spans="1:10" ht="15" customHeight="1" x14ac:dyDescent="0.25">
      <c r="A116" s="39"/>
      <c r="B116" s="39"/>
      <c r="C116" s="39"/>
      <c r="D116" s="39"/>
      <c r="E116" s="39"/>
      <c r="F116" s="39"/>
      <c r="G116" s="39"/>
      <c r="H116" s="39"/>
      <c r="I116" s="58"/>
      <c r="J116" s="58"/>
    </row>
    <row r="117" spans="1:10" ht="15" customHeight="1" x14ac:dyDescent="0.25">
      <c r="A117" s="39"/>
      <c r="B117" s="39"/>
      <c r="C117" s="39"/>
      <c r="D117" s="39"/>
      <c r="E117" s="39"/>
      <c r="F117" s="39"/>
      <c r="G117" s="39"/>
      <c r="H117" s="39"/>
      <c r="I117" s="58"/>
      <c r="J117" s="58"/>
    </row>
    <row r="118" spans="1:10" ht="15" customHeight="1" x14ac:dyDescent="0.25">
      <c r="A118" s="39"/>
      <c r="B118" s="39"/>
      <c r="C118" s="39"/>
      <c r="D118" s="39"/>
      <c r="E118" s="39"/>
      <c r="F118" s="39"/>
      <c r="G118" s="39"/>
      <c r="H118" s="39"/>
      <c r="I118" s="58"/>
      <c r="J118" s="58"/>
    </row>
    <row r="119" spans="1:10" ht="15" customHeight="1" x14ac:dyDescent="0.25">
      <c r="A119" s="39"/>
      <c r="B119" s="39"/>
      <c r="C119" s="39"/>
      <c r="D119" s="39"/>
      <c r="E119" s="39"/>
      <c r="F119" s="39"/>
      <c r="G119" s="39"/>
      <c r="H119" s="39"/>
      <c r="I119" s="58"/>
      <c r="J119" s="58"/>
    </row>
    <row r="120" spans="1:10" ht="15" customHeight="1" x14ac:dyDescent="0.25">
      <c r="A120" s="39"/>
      <c r="B120" s="39"/>
      <c r="C120" s="39"/>
      <c r="D120" s="39"/>
      <c r="E120" s="39"/>
      <c r="F120" s="39"/>
      <c r="G120" s="39"/>
      <c r="H120" s="39"/>
      <c r="I120" s="58"/>
      <c r="J120" s="58"/>
    </row>
    <row r="121" spans="1:10" ht="15" customHeight="1" x14ac:dyDescent="0.25">
      <c r="A121" s="39"/>
      <c r="B121" s="39"/>
      <c r="C121" s="39"/>
      <c r="D121" s="39"/>
      <c r="E121" s="39"/>
      <c r="F121" s="39"/>
      <c r="G121" s="39"/>
      <c r="H121" s="39"/>
      <c r="I121" s="58"/>
      <c r="J121" s="58"/>
    </row>
    <row r="122" spans="1:10" ht="15" customHeight="1" x14ac:dyDescent="0.25">
      <c r="A122" s="39"/>
      <c r="B122" s="39"/>
      <c r="C122" s="39"/>
      <c r="D122" s="39"/>
      <c r="E122" s="39"/>
      <c r="F122" s="39"/>
      <c r="G122" s="39"/>
      <c r="H122" s="39"/>
      <c r="I122" s="58"/>
      <c r="J122" s="58"/>
    </row>
    <row r="123" spans="1:10" ht="15" customHeight="1" x14ac:dyDescent="0.25">
      <c r="A123" s="39"/>
      <c r="B123" s="39"/>
      <c r="C123" s="39"/>
      <c r="D123" s="39"/>
      <c r="E123" s="39"/>
      <c r="F123" s="39"/>
      <c r="G123" s="39"/>
      <c r="H123" s="39"/>
      <c r="I123" s="58"/>
      <c r="J123" s="58"/>
    </row>
    <row r="124" spans="1:10" ht="15" customHeight="1" x14ac:dyDescent="0.25">
      <c r="A124" s="39"/>
      <c r="B124" s="39"/>
      <c r="C124" s="39"/>
      <c r="D124" s="39"/>
      <c r="E124" s="39"/>
      <c r="F124" s="39"/>
      <c r="G124" s="39"/>
      <c r="H124" s="39"/>
      <c r="I124" s="58"/>
      <c r="J124" s="58"/>
    </row>
    <row r="125" spans="1:10" ht="15" customHeight="1" x14ac:dyDescent="0.25">
      <c r="A125" s="42"/>
      <c r="B125" s="39"/>
      <c r="C125" s="39"/>
      <c r="D125" s="39"/>
      <c r="E125" s="39"/>
      <c r="F125" s="39"/>
      <c r="G125" s="39"/>
      <c r="H125" s="39"/>
      <c r="I125" s="58"/>
      <c r="J125" s="58"/>
    </row>
    <row r="126" spans="1:10" ht="15" customHeight="1" x14ac:dyDescent="0.25">
      <c r="A126" s="39"/>
      <c r="B126" s="39"/>
      <c r="C126" s="39"/>
      <c r="D126" s="39"/>
      <c r="E126" s="39"/>
      <c r="F126" s="39"/>
      <c r="G126" s="39"/>
      <c r="H126" s="39"/>
      <c r="I126" s="58"/>
      <c r="J126" s="58"/>
    </row>
    <row r="127" spans="1:10" ht="15" customHeight="1" x14ac:dyDescent="0.25">
      <c r="A127" s="39"/>
      <c r="B127" s="39"/>
      <c r="C127" s="39"/>
      <c r="D127" s="39"/>
      <c r="E127" s="39"/>
      <c r="F127" s="39"/>
      <c r="G127" s="39"/>
      <c r="H127" s="39"/>
      <c r="I127" s="58"/>
      <c r="J127" s="58"/>
    </row>
    <row r="128" spans="1:10" ht="15" customHeight="1" x14ac:dyDescent="0.25">
      <c r="A128" s="39"/>
      <c r="B128" s="39"/>
      <c r="C128" s="39"/>
      <c r="D128" s="39"/>
      <c r="E128" s="39"/>
      <c r="F128" s="39"/>
      <c r="G128" s="39"/>
      <c r="H128" s="39"/>
      <c r="I128" s="58"/>
      <c r="J128" s="58"/>
    </row>
    <row r="129" spans="1:10" ht="15" customHeight="1" x14ac:dyDescent="0.25">
      <c r="A129" s="39"/>
      <c r="B129" s="39"/>
      <c r="C129" s="39"/>
      <c r="D129" s="39"/>
      <c r="E129" s="39"/>
      <c r="F129" s="39"/>
      <c r="G129" s="39"/>
      <c r="H129" s="39"/>
      <c r="I129" s="58"/>
      <c r="J129" s="58"/>
    </row>
    <row r="130" spans="1:10" ht="15" customHeight="1" x14ac:dyDescent="0.25">
      <c r="A130" s="39"/>
      <c r="B130" s="39"/>
      <c r="C130" s="39"/>
      <c r="D130" s="39"/>
      <c r="E130" s="39"/>
      <c r="F130" s="39"/>
      <c r="G130" s="39"/>
      <c r="H130" s="39"/>
      <c r="I130" s="58"/>
      <c r="J130" s="58"/>
    </row>
    <row r="131" spans="1:10" ht="15" customHeight="1" x14ac:dyDescent="0.25">
      <c r="A131" s="39"/>
      <c r="B131" s="39"/>
      <c r="C131" s="39"/>
      <c r="D131" s="39"/>
      <c r="E131" s="39"/>
      <c r="F131" s="39"/>
      <c r="G131" s="39"/>
      <c r="H131" s="39"/>
      <c r="I131" s="58"/>
      <c r="J131" s="58"/>
    </row>
    <row r="132" spans="1:10" ht="15" customHeight="1" x14ac:dyDescent="0.25">
      <c r="A132" s="39"/>
      <c r="B132" s="39"/>
      <c r="C132" s="39"/>
      <c r="D132" s="39"/>
      <c r="E132" s="39"/>
      <c r="F132" s="39"/>
      <c r="G132" s="39"/>
      <c r="H132" s="39"/>
      <c r="I132" s="58"/>
      <c r="J132" s="58"/>
    </row>
    <row r="133" spans="1:10" ht="15" customHeight="1" x14ac:dyDescent="0.25">
      <c r="A133" s="39"/>
      <c r="B133" s="39"/>
      <c r="C133" s="39"/>
      <c r="D133" s="39"/>
      <c r="E133" s="39"/>
      <c r="F133" s="39"/>
      <c r="G133" s="39"/>
      <c r="H133" s="39"/>
      <c r="I133" s="58"/>
      <c r="J133" s="58"/>
    </row>
    <row r="134" spans="1:10" ht="15" customHeight="1" x14ac:dyDescent="0.25">
      <c r="A134" s="42"/>
      <c r="B134" s="39"/>
      <c r="C134" s="39"/>
      <c r="D134" s="39"/>
      <c r="E134" s="39"/>
      <c r="F134" s="39"/>
      <c r="G134" s="39"/>
      <c r="H134" s="39"/>
      <c r="I134" s="58"/>
      <c r="J134" s="58"/>
    </row>
    <row r="135" spans="1:10" ht="15" customHeight="1" x14ac:dyDescent="0.25">
      <c r="A135" s="39"/>
      <c r="B135" s="43"/>
      <c r="C135" s="43"/>
      <c r="D135" s="43"/>
      <c r="E135" s="43"/>
      <c r="F135" s="43"/>
      <c r="G135" s="43"/>
      <c r="H135" s="43"/>
      <c r="I135" s="545"/>
      <c r="J135" s="545"/>
    </row>
    <row r="136" spans="1:10" ht="15" customHeight="1" x14ac:dyDescent="0.25">
      <c r="A136" s="42"/>
      <c r="B136" s="39"/>
      <c r="C136" s="39"/>
      <c r="D136" s="39"/>
      <c r="E136" s="39"/>
      <c r="F136" s="39"/>
      <c r="G136" s="39"/>
      <c r="H136" s="39"/>
      <c r="I136" s="58"/>
      <c r="J136" s="58"/>
    </row>
    <row r="137" spans="1:10" ht="15" customHeight="1" x14ac:dyDescent="0.25">
      <c r="A137" s="39"/>
      <c r="B137" s="39"/>
      <c r="C137" s="39"/>
      <c r="D137" s="39"/>
      <c r="E137" s="39"/>
      <c r="F137" s="39"/>
      <c r="G137" s="39"/>
      <c r="H137" s="39"/>
      <c r="I137" s="58"/>
      <c r="J137" s="58"/>
    </row>
    <row r="138" spans="1:10" ht="15" customHeight="1" x14ac:dyDescent="0.25">
      <c r="A138" s="39"/>
      <c r="B138" s="39"/>
      <c r="C138" s="39"/>
      <c r="D138" s="39"/>
      <c r="E138" s="39"/>
      <c r="F138" s="39"/>
      <c r="G138" s="39"/>
      <c r="H138" s="39"/>
      <c r="I138" s="58"/>
      <c r="J138" s="58"/>
    </row>
    <row r="139" spans="1:10" ht="15" customHeight="1" x14ac:dyDescent="0.25">
      <c r="A139" s="39"/>
      <c r="B139" s="39"/>
      <c r="C139" s="39"/>
      <c r="D139" s="39"/>
      <c r="E139" s="39"/>
      <c r="F139" s="39"/>
      <c r="G139" s="39"/>
      <c r="H139" s="39"/>
      <c r="I139" s="58"/>
      <c r="J139" s="58"/>
    </row>
    <row r="140" spans="1:10" ht="15" customHeight="1" x14ac:dyDescent="0.25">
      <c r="A140" s="39"/>
      <c r="B140" s="39"/>
      <c r="C140" s="39"/>
      <c r="D140" s="39"/>
      <c r="E140" s="39"/>
      <c r="F140" s="39"/>
      <c r="G140" s="39"/>
      <c r="H140" s="39"/>
      <c r="I140" s="58"/>
      <c r="J140" s="58"/>
    </row>
    <row r="141" spans="1:10" ht="15" customHeight="1" x14ac:dyDescent="0.25">
      <c r="A141" s="39"/>
      <c r="B141" s="39"/>
      <c r="C141" s="39"/>
      <c r="D141" s="39"/>
      <c r="E141" s="39"/>
      <c r="F141" s="39"/>
      <c r="G141" s="39"/>
      <c r="H141" s="39"/>
      <c r="I141" s="58"/>
      <c r="J141" s="58"/>
    </row>
    <row r="142" spans="1:10" ht="15" customHeight="1" x14ac:dyDescent="0.25">
      <c r="A142" s="39"/>
      <c r="B142" s="39"/>
      <c r="C142" s="39"/>
      <c r="D142" s="39"/>
      <c r="E142" s="39"/>
      <c r="F142" s="39"/>
      <c r="G142" s="39"/>
      <c r="H142" s="39"/>
      <c r="I142" s="58"/>
      <c r="J142" s="58"/>
    </row>
    <row r="143" spans="1:10" ht="15" customHeight="1" x14ac:dyDescent="0.25">
      <c r="A143" s="39"/>
      <c r="B143" s="39"/>
      <c r="C143" s="39"/>
      <c r="D143" s="39"/>
      <c r="E143" s="39"/>
      <c r="F143" s="39"/>
      <c r="G143" s="39"/>
      <c r="H143" s="39"/>
      <c r="I143" s="58"/>
      <c r="J143" s="58"/>
    </row>
    <row r="144" spans="1:10" ht="15" customHeight="1" x14ac:dyDescent="0.25">
      <c r="A144" s="39"/>
      <c r="B144" s="39"/>
      <c r="C144" s="39"/>
      <c r="D144" s="39"/>
      <c r="E144" s="39"/>
      <c r="F144" s="39"/>
      <c r="G144" s="39"/>
      <c r="H144" s="39"/>
      <c r="I144" s="58"/>
      <c r="J144" s="58"/>
    </row>
    <row r="145" spans="1:10" ht="15" customHeight="1" x14ac:dyDescent="0.25">
      <c r="A145" s="39"/>
      <c r="B145" s="39"/>
      <c r="C145" s="39"/>
      <c r="D145" s="39"/>
      <c r="E145" s="39"/>
      <c r="F145" s="39"/>
      <c r="G145" s="39"/>
      <c r="H145" s="39"/>
      <c r="I145" s="58"/>
      <c r="J145" s="58"/>
    </row>
    <row r="146" spans="1:10" ht="15" customHeight="1" x14ac:dyDescent="0.25">
      <c r="A146" s="39"/>
      <c r="B146" s="39"/>
      <c r="C146" s="39"/>
      <c r="D146" s="39"/>
      <c r="E146" s="39"/>
      <c r="F146" s="39"/>
      <c r="G146" s="39"/>
      <c r="H146" s="39"/>
      <c r="I146" s="58"/>
      <c r="J146" s="58"/>
    </row>
    <row r="147" spans="1:10" ht="15" customHeight="1" x14ac:dyDescent="0.25">
      <c r="A147" s="39"/>
      <c r="B147" s="39"/>
      <c r="C147" s="39"/>
      <c r="D147" s="39"/>
      <c r="E147" s="39"/>
      <c r="F147" s="39"/>
      <c r="G147" s="39"/>
      <c r="H147" s="39"/>
      <c r="I147" s="58"/>
      <c r="J147" s="58"/>
    </row>
    <row r="148" spans="1:10" ht="15" customHeight="1" x14ac:dyDescent="0.25">
      <c r="A148" s="39"/>
      <c r="B148" s="39"/>
      <c r="C148" s="39"/>
      <c r="D148" s="39"/>
      <c r="E148" s="39"/>
      <c r="F148" s="39"/>
      <c r="G148" s="39"/>
      <c r="H148" s="39"/>
      <c r="I148" s="58"/>
      <c r="J148" s="58"/>
    </row>
    <row r="149" spans="1:10" ht="15" customHeight="1" x14ac:dyDescent="0.25">
      <c r="A149" s="39"/>
      <c r="B149" s="39"/>
      <c r="C149" s="39"/>
      <c r="D149" s="39"/>
      <c r="E149" s="39"/>
      <c r="F149" s="39"/>
      <c r="G149" s="39"/>
      <c r="H149" s="39"/>
      <c r="I149" s="58"/>
      <c r="J149" s="58"/>
    </row>
    <row r="150" spans="1:10" ht="15" customHeight="1" x14ac:dyDescent="0.25">
      <c r="A150" s="39"/>
      <c r="B150" s="39"/>
      <c r="C150" s="39"/>
      <c r="D150" s="39"/>
      <c r="E150" s="39"/>
      <c r="F150" s="39"/>
      <c r="G150" s="39"/>
      <c r="H150" s="39"/>
      <c r="I150" s="58"/>
      <c r="J150" s="58"/>
    </row>
    <row r="151" spans="1:10" ht="15" customHeight="1" x14ac:dyDescent="0.25">
      <c r="A151" s="39"/>
      <c r="B151" s="39"/>
      <c r="C151" s="39"/>
      <c r="D151" s="39"/>
      <c r="E151" s="39"/>
      <c r="F151" s="39"/>
      <c r="G151" s="39"/>
      <c r="H151" s="39"/>
      <c r="I151" s="58"/>
      <c r="J151" s="58"/>
    </row>
    <row r="152" spans="1:10" ht="15" customHeight="1" x14ac:dyDescent="0.25">
      <c r="A152" s="39"/>
      <c r="B152" s="39"/>
      <c r="C152" s="39"/>
      <c r="D152" s="39"/>
      <c r="E152" s="39"/>
      <c r="F152" s="39"/>
      <c r="G152" s="39"/>
      <c r="H152" s="39"/>
      <c r="I152" s="58"/>
      <c r="J152" s="58"/>
    </row>
    <row r="153" spans="1:10" ht="15" customHeight="1" x14ac:dyDescent="0.25">
      <c r="A153" s="42"/>
      <c r="B153" s="39"/>
      <c r="C153" s="39"/>
      <c r="D153" s="39"/>
      <c r="E153" s="39"/>
      <c r="F153" s="39"/>
      <c r="G153" s="39"/>
      <c r="H153" s="39"/>
      <c r="I153" s="58"/>
      <c r="J153" s="58"/>
    </row>
    <row r="154" spans="1:10" ht="15" customHeight="1" x14ac:dyDescent="0.25">
      <c r="A154" s="39"/>
      <c r="B154" s="39"/>
      <c r="C154" s="39"/>
      <c r="D154" s="39"/>
      <c r="E154" s="39"/>
      <c r="F154" s="39"/>
      <c r="G154" s="39"/>
      <c r="H154" s="39"/>
      <c r="I154" s="58"/>
      <c r="J154" s="58"/>
    </row>
    <row r="155" spans="1:10" ht="15" customHeight="1" x14ac:dyDescent="0.25">
      <c r="A155" s="39"/>
      <c r="B155" s="39"/>
      <c r="C155" s="39"/>
      <c r="D155" s="39"/>
      <c r="E155" s="39"/>
      <c r="F155" s="39"/>
      <c r="G155" s="39"/>
      <c r="H155" s="39"/>
      <c r="I155" s="58"/>
      <c r="J155" s="58"/>
    </row>
    <row r="156" spans="1:10" ht="15" customHeight="1" x14ac:dyDescent="0.25">
      <c r="A156" s="39"/>
      <c r="B156" s="39"/>
      <c r="C156" s="39"/>
      <c r="D156" s="39"/>
      <c r="E156" s="39"/>
      <c r="F156" s="39"/>
      <c r="G156" s="39"/>
      <c r="H156" s="39"/>
      <c r="I156" s="58"/>
      <c r="J156" s="58"/>
    </row>
    <row r="157" spans="1:10" ht="15" customHeight="1" x14ac:dyDescent="0.25">
      <c r="A157" s="39"/>
      <c r="B157" s="39"/>
      <c r="C157" s="39"/>
      <c r="D157" s="39"/>
      <c r="E157" s="39"/>
      <c r="F157" s="39"/>
      <c r="G157" s="39"/>
      <c r="H157" s="39"/>
      <c r="I157" s="58"/>
      <c r="J157" s="58"/>
    </row>
    <row r="158" spans="1:10" ht="15" customHeight="1" x14ac:dyDescent="0.25">
      <c r="A158" s="39"/>
      <c r="B158" s="39"/>
      <c r="C158" s="39"/>
      <c r="D158" s="39"/>
      <c r="E158" s="39"/>
      <c r="F158" s="39"/>
      <c r="G158" s="39"/>
      <c r="H158" s="39"/>
      <c r="I158" s="58"/>
      <c r="J158" s="58"/>
    </row>
    <row r="159" spans="1:10" ht="15" customHeight="1" x14ac:dyDescent="0.25">
      <c r="A159" s="39"/>
      <c r="B159" s="39"/>
      <c r="C159" s="39"/>
      <c r="D159" s="39"/>
      <c r="E159" s="39"/>
      <c r="F159" s="39"/>
      <c r="G159" s="39"/>
      <c r="H159" s="39"/>
      <c r="I159" s="58"/>
      <c r="J159" s="58"/>
    </row>
    <row r="160" spans="1:10" ht="15" customHeight="1" x14ac:dyDescent="0.25">
      <c r="A160" s="39"/>
      <c r="B160" s="39"/>
      <c r="C160" s="39"/>
      <c r="D160" s="39"/>
      <c r="E160" s="39"/>
      <c r="F160" s="39"/>
      <c r="G160" s="39"/>
      <c r="H160" s="39"/>
      <c r="I160" s="58"/>
      <c r="J160" s="58"/>
    </row>
    <row r="161" spans="1:10" ht="15" customHeight="1" x14ac:dyDescent="0.25">
      <c r="A161" s="39"/>
      <c r="B161" s="39"/>
      <c r="C161" s="39"/>
      <c r="D161" s="39"/>
      <c r="E161" s="39"/>
      <c r="F161" s="39"/>
      <c r="G161" s="39"/>
      <c r="H161" s="39"/>
      <c r="I161" s="58"/>
      <c r="J161" s="58"/>
    </row>
    <row r="162" spans="1:10" ht="15" customHeight="1" x14ac:dyDescent="0.25">
      <c r="A162" s="39"/>
      <c r="B162" s="39"/>
      <c r="C162" s="39"/>
      <c r="D162" s="39"/>
      <c r="E162" s="39"/>
      <c r="F162" s="39"/>
      <c r="G162" s="39"/>
      <c r="H162" s="39"/>
      <c r="I162" s="58"/>
      <c r="J162" s="58"/>
    </row>
    <row r="163" spans="1:10" ht="15" customHeight="1" x14ac:dyDescent="0.25">
      <c r="A163" s="39"/>
      <c r="B163" s="39"/>
      <c r="C163" s="39"/>
      <c r="D163" s="39"/>
      <c r="E163" s="39"/>
      <c r="F163" s="39"/>
      <c r="G163" s="39"/>
      <c r="H163" s="39"/>
      <c r="I163" s="58"/>
      <c r="J163" s="58"/>
    </row>
    <row r="164" spans="1:10" ht="15" customHeight="1" x14ac:dyDescent="0.25">
      <c r="A164" s="39"/>
      <c r="B164" s="39"/>
      <c r="C164" s="39"/>
      <c r="D164" s="39"/>
      <c r="E164" s="39"/>
      <c r="F164" s="39"/>
      <c r="G164" s="39"/>
      <c r="H164" s="39"/>
      <c r="I164" s="58"/>
      <c r="J164" s="58"/>
    </row>
    <row r="165" spans="1:10" ht="15" customHeight="1" x14ac:dyDescent="0.25">
      <c r="A165" s="39"/>
      <c r="B165" s="39"/>
      <c r="C165" s="39"/>
      <c r="D165" s="39"/>
      <c r="E165" s="39"/>
      <c r="F165" s="39"/>
      <c r="G165" s="39"/>
      <c r="H165" s="39"/>
      <c r="I165" s="58"/>
      <c r="J165" s="58"/>
    </row>
    <row r="166" spans="1:10" ht="15" customHeight="1" x14ac:dyDescent="0.25">
      <c r="A166" s="39"/>
      <c r="B166" s="39"/>
      <c r="C166" s="39"/>
      <c r="D166" s="39"/>
      <c r="E166" s="39"/>
      <c r="F166" s="39"/>
      <c r="G166" s="39"/>
      <c r="H166" s="39"/>
      <c r="I166" s="58"/>
      <c r="J166" s="58"/>
    </row>
    <row r="167" spans="1:10" ht="15" customHeight="1" x14ac:dyDescent="0.25">
      <c r="A167" s="39"/>
      <c r="B167" s="39"/>
      <c r="C167" s="39"/>
      <c r="D167" s="39"/>
      <c r="E167" s="39"/>
      <c r="F167" s="39"/>
      <c r="G167" s="39"/>
      <c r="H167" s="39"/>
      <c r="I167" s="58"/>
      <c r="J167" s="58"/>
    </row>
    <row r="168" spans="1:10" ht="15" customHeight="1" x14ac:dyDescent="0.25">
      <c r="A168" s="39"/>
      <c r="B168" s="39"/>
      <c r="C168" s="39"/>
      <c r="D168" s="39"/>
      <c r="E168" s="39"/>
      <c r="F168" s="39"/>
      <c r="G168" s="39"/>
      <c r="H168" s="39"/>
      <c r="I168" s="58"/>
      <c r="J168" s="58"/>
    </row>
    <row r="169" spans="1:10" ht="15" customHeight="1" x14ac:dyDescent="0.25">
      <c r="A169" s="39"/>
      <c r="B169" s="39"/>
      <c r="C169" s="39"/>
      <c r="D169" s="39"/>
      <c r="E169" s="39"/>
      <c r="F169" s="39"/>
      <c r="G169" s="39"/>
      <c r="H169" s="39"/>
      <c r="I169" s="58"/>
      <c r="J169" s="58"/>
    </row>
    <row r="170" spans="1:10" ht="15" customHeight="1" x14ac:dyDescent="0.25">
      <c r="A170" s="39"/>
      <c r="B170" s="39"/>
      <c r="C170" s="39"/>
      <c r="D170" s="39"/>
      <c r="E170" s="39"/>
      <c r="F170" s="39"/>
      <c r="G170" s="39"/>
      <c r="H170" s="39"/>
      <c r="I170" s="58"/>
      <c r="J170" s="58"/>
    </row>
  </sheetData>
  <mergeCells count="31">
    <mergeCell ref="T6:T12"/>
    <mergeCell ref="T27:T33"/>
    <mergeCell ref="A27:B27"/>
    <mergeCell ref="A13:B13"/>
    <mergeCell ref="A16:B16"/>
    <mergeCell ref="A26:B26"/>
    <mergeCell ref="A24:B24"/>
    <mergeCell ref="A17:B18"/>
    <mergeCell ref="A19:B19"/>
    <mergeCell ref="A7:B7"/>
    <mergeCell ref="A25:B25"/>
    <mergeCell ref="A34:B34"/>
    <mergeCell ref="A32:B32"/>
    <mergeCell ref="A28:B28"/>
    <mergeCell ref="A29:B29"/>
    <mergeCell ref="A30:B30"/>
    <mergeCell ref="A33:B33"/>
    <mergeCell ref="A31:B31"/>
    <mergeCell ref="A1:K1"/>
    <mergeCell ref="A5:B5"/>
    <mergeCell ref="A8:B8"/>
    <mergeCell ref="A14:B14"/>
    <mergeCell ref="A9:B9"/>
    <mergeCell ref="A10:B10"/>
    <mergeCell ref="A11:B11"/>
    <mergeCell ref="A12:B12"/>
    <mergeCell ref="D4:G4"/>
    <mergeCell ref="A4:C4"/>
    <mergeCell ref="H4:M4"/>
    <mergeCell ref="A2:K2"/>
    <mergeCell ref="A3:P3"/>
  </mergeCells>
  <pageMargins left="0.31496062992125984" right="0.11811023622047245" top="0.78740157480314965" bottom="0.78740157480314965" header="0.31496062992125984" footer="0.31496062992125984"/>
  <pageSetup paperSize="9" scale="95" orientation="portrait" verticalDpi="4" r:id="rId1"/>
  <headerFooter>
    <oddHeader>&amp;L&amp;"-,Negrito"&amp;9PODER JUDICIÁRIO
CONSELHO DA JUSTIÇA FEDERAL</oddHeader>
  </headerFooter>
  <rowBreaks count="3" manualBreakCount="3">
    <brk id="45" max="16383" man="1"/>
    <brk id="71" max="16383" man="1"/>
    <brk id="12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159"/>
  <sheetViews>
    <sheetView showGridLines="0" topLeftCell="D4" zoomScale="90" zoomScaleNormal="90" workbookViewId="0">
      <selection activeCell="H38" sqref="H38"/>
    </sheetView>
  </sheetViews>
  <sheetFormatPr defaultColWidth="9.140625" defaultRowHeight="15" customHeight="1" x14ac:dyDescent="0.25"/>
  <cols>
    <col min="1" max="1" width="50.7109375" style="44" customWidth="1"/>
    <col min="2" max="2" width="10.7109375" style="44" customWidth="1"/>
    <col min="3" max="9" width="18.7109375" style="44" customWidth="1"/>
    <col min="10" max="11" width="18.7109375" style="53" customWidth="1"/>
    <col min="12" max="19" width="18.7109375" style="44" customWidth="1"/>
    <col min="20" max="20" width="9.140625" style="44"/>
    <col min="21" max="21" width="199.85546875" style="44" customWidth="1"/>
    <col min="22" max="16384" width="9.140625" style="44"/>
  </cols>
  <sheetData>
    <row r="1" spans="1:21" ht="24.75" customHeight="1" x14ac:dyDescent="0.25">
      <c r="A1" s="608"/>
      <c r="B1" s="608"/>
      <c r="C1" s="608"/>
      <c r="D1" s="608"/>
      <c r="E1" s="608"/>
      <c r="F1" s="608"/>
      <c r="G1" s="608"/>
      <c r="H1" s="608"/>
      <c r="I1" s="608"/>
      <c r="J1" s="608"/>
      <c r="K1" s="609"/>
      <c r="L1" s="326"/>
      <c r="M1" s="326"/>
      <c r="N1" s="326"/>
      <c r="O1" s="381"/>
      <c r="P1" s="381"/>
      <c r="Q1" s="381"/>
      <c r="R1" s="410"/>
      <c r="S1" s="410"/>
    </row>
    <row r="2" spans="1:21" ht="33" customHeight="1" x14ac:dyDescent="0.25">
      <c r="A2" s="565" t="s">
        <v>460</v>
      </c>
      <c r="B2" s="565"/>
      <c r="C2" s="565"/>
      <c r="D2" s="565"/>
      <c r="E2" s="565"/>
      <c r="F2" s="565"/>
      <c r="G2" s="565"/>
      <c r="H2" s="565"/>
      <c r="I2" s="565"/>
      <c r="J2" s="565"/>
      <c r="K2" s="565"/>
      <c r="L2" s="325"/>
      <c r="M2" s="325"/>
      <c r="N2" s="325"/>
      <c r="O2" s="380"/>
      <c r="P2" s="380"/>
      <c r="Q2" s="380"/>
      <c r="R2" s="409"/>
      <c r="S2" s="409"/>
    </row>
    <row r="3" spans="1:21" ht="15" customHeight="1" x14ac:dyDescent="0.25">
      <c r="A3" s="614" t="s">
        <v>177</v>
      </c>
      <c r="B3" s="614"/>
      <c r="C3" s="614"/>
      <c r="D3" s="614"/>
      <c r="E3" s="614"/>
      <c r="F3" s="614"/>
      <c r="G3" s="614"/>
      <c r="H3" s="614"/>
      <c r="I3" s="614"/>
      <c r="J3" s="614"/>
      <c r="K3" s="614"/>
      <c r="L3" s="614"/>
      <c r="M3" s="614"/>
      <c r="N3" s="614"/>
      <c r="O3" s="614"/>
      <c r="P3" s="614"/>
      <c r="Q3" s="614"/>
      <c r="R3" s="412"/>
      <c r="S3" s="412"/>
    </row>
    <row r="4" spans="1:21" ht="15" customHeight="1" x14ac:dyDescent="0.25">
      <c r="A4" s="630" t="s">
        <v>171</v>
      </c>
      <c r="B4" s="631"/>
      <c r="C4" s="632"/>
      <c r="D4" s="630" t="s">
        <v>172</v>
      </c>
      <c r="E4" s="631"/>
      <c r="F4" s="631"/>
      <c r="G4" s="631"/>
      <c r="H4" s="631"/>
      <c r="I4" s="632"/>
      <c r="J4" s="543"/>
      <c r="K4" s="578" t="s">
        <v>457</v>
      </c>
      <c r="L4" s="578"/>
      <c r="M4" s="578"/>
      <c r="N4" s="578"/>
      <c r="O4" s="578"/>
      <c r="P4" s="578"/>
      <c r="Q4" s="578"/>
      <c r="R4" s="55"/>
      <c r="S4" s="55"/>
      <c r="U4" s="331" t="s">
        <v>325</v>
      </c>
    </row>
    <row r="5" spans="1:21" ht="15" customHeight="1" x14ac:dyDescent="0.25">
      <c r="A5" s="606"/>
      <c r="B5" s="607"/>
      <c r="C5" s="607"/>
      <c r="D5" s="607"/>
      <c r="E5" s="607"/>
      <c r="F5" s="607"/>
      <c r="G5" s="607"/>
      <c r="H5" s="607"/>
      <c r="I5" s="607"/>
      <c r="J5" s="607"/>
      <c r="K5" s="607"/>
      <c r="L5" s="607"/>
      <c r="M5" s="607"/>
      <c r="N5" s="607"/>
      <c r="O5" s="607"/>
      <c r="P5" s="607"/>
      <c r="Q5" s="607"/>
      <c r="R5" s="382"/>
      <c r="S5" s="382"/>
      <c r="U5" s="627" t="s">
        <v>339</v>
      </c>
    </row>
    <row r="6" spans="1:21" ht="36.75" customHeight="1" x14ac:dyDescent="0.25">
      <c r="A6" s="568" t="s">
        <v>69</v>
      </c>
      <c r="B6" s="568"/>
      <c r="C6" s="123" t="s">
        <v>285</v>
      </c>
      <c r="D6" s="287" t="s">
        <v>286</v>
      </c>
      <c r="E6" s="123" t="s">
        <v>287</v>
      </c>
      <c r="F6" s="287" t="s">
        <v>297</v>
      </c>
      <c r="G6" s="448" t="s">
        <v>290</v>
      </c>
      <c r="H6" s="439" t="s">
        <v>289</v>
      </c>
      <c r="I6" s="123" t="s">
        <v>292</v>
      </c>
      <c r="J6" s="123" t="s">
        <v>501</v>
      </c>
      <c r="K6" s="123" t="s">
        <v>502</v>
      </c>
      <c r="L6" s="123" t="s">
        <v>338</v>
      </c>
      <c r="M6" s="123" t="s">
        <v>380</v>
      </c>
      <c r="N6" s="123" t="s">
        <v>381</v>
      </c>
      <c r="O6" s="123" t="s">
        <v>384</v>
      </c>
      <c r="P6" s="123" t="s">
        <v>385</v>
      </c>
      <c r="Q6" s="123" t="s">
        <v>386</v>
      </c>
      <c r="R6" s="123" t="s">
        <v>404</v>
      </c>
      <c r="S6" s="123" t="s">
        <v>400</v>
      </c>
      <c r="U6" s="628"/>
    </row>
    <row r="7" spans="1:21" ht="15" customHeight="1" x14ac:dyDescent="0.25">
      <c r="A7" s="95" t="s">
        <v>60</v>
      </c>
      <c r="B7" s="96"/>
      <c r="C7" s="308">
        <v>1052.2</v>
      </c>
      <c r="D7" s="101">
        <f>ROUND((1052.2*1.0657),2)</f>
        <v>1121.33</v>
      </c>
      <c r="E7" s="101">
        <f>ROUND((1052.2*1.0657),2)</f>
        <v>1121.33</v>
      </c>
      <c r="F7" s="101">
        <f>ROUND((1052.2*1.0657),2)</f>
        <v>1121.33</v>
      </c>
      <c r="G7" s="101">
        <f>ROUND((1052.2*1.0657),2)</f>
        <v>1121.33</v>
      </c>
      <c r="H7" s="101">
        <f>ROUND((1052.2*1.0657),2)</f>
        <v>1121.33</v>
      </c>
      <c r="I7" s="317">
        <f>ROUND(1121.33*1.031,2)</f>
        <v>1156.0899999999999</v>
      </c>
      <c r="J7" s="317">
        <f>ROUND(1121.33*1.031,2)</f>
        <v>1156.0899999999999</v>
      </c>
      <c r="K7" s="101">
        <f>ROUND(1156.09*1.037,2)</f>
        <v>1198.8699999999999</v>
      </c>
      <c r="L7" s="101">
        <f>ROUND(1156.09*1.037,2)</f>
        <v>1198.8699999999999</v>
      </c>
      <c r="M7" s="101">
        <f t="shared" ref="M7:R7" si="0">ROUND(1198.87*1.032,2)</f>
        <v>1237.23</v>
      </c>
      <c r="N7" s="101">
        <f t="shared" si="0"/>
        <v>1237.23</v>
      </c>
      <c r="O7" s="101">
        <f t="shared" si="0"/>
        <v>1237.23</v>
      </c>
      <c r="P7" s="101">
        <f t="shared" si="0"/>
        <v>1237.23</v>
      </c>
      <c r="Q7" s="101">
        <f t="shared" si="0"/>
        <v>1237.23</v>
      </c>
      <c r="R7" s="101">
        <f t="shared" si="0"/>
        <v>1237.23</v>
      </c>
      <c r="S7" s="101">
        <f>ROUND(Q7*1.041,2)</f>
        <v>1287.96</v>
      </c>
      <c r="U7" s="628"/>
    </row>
    <row r="8" spans="1:21" ht="15" customHeight="1" x14ac:dyDescent="0.25">
      <c r="A8" s="623" t="s">
        <v>64</v>
      </c>
      <c r="B8" s="623"/>
      <c r="C8" s="97">
        <f t="shared" ref="C8:H8" si="1">SUM(C7)</f>
        <v>1052.2</v>
      </c>
      <c r="D8" s="111">
        <f t="shared" si="1"/>
        <v>1121.33</v>
      </c>
      <c r="E8" s="111">
        <f t="shared" si="1"/>
        <v>1121.33</v>
      </c>
      <c r="F8" s="111">
        <f t="shared" si="1"/>
        <v>1121.33</v>
      </c>
      <c r="G8" s="111">
        <f t="shared" si="1"/>
        <v>1121.33</v>
      </c>
      <c r="H8" s="111">
        <f t="shared" si="1"/>
        <v>1121.33</v>
      </c>
      <c r="I8" s="111">
        <f>SUM(I7)</f>
        <v>1156.0899999999999</v>
      </c>
      <c r="J8" s="111">
        <f>SUM(J7)</f>
        <v>1156.0899999999999</v>
      </c>
      <c r="K8" s="100">
        <f t="shared" ref="K8:S8" si="2">SUM(K7:K7)</f>
        <v>1198.8699999999999</v>
      </c>
      <c r="L8" s="100">
        <f t="shared" si="2"/>
        <v>1198.8699999999999</v>
      </c>
      <c r="M8" s="100">
        <f t="shared" si="2"/>
        <v>1237.23</v>
      </c>
      <c r="N8" s="100">
        <f t="shared" si="2"/>
        <v>1237.23</v>
      </c>
      <c r="O8" s="100">
        <f t="shared" si="2"/>
        <v>1237.23</v>
      </c>
      <c r="P8" s="100">
        <f t="shared" si="2"/>
        <v>1237.23</v>
      </c>
      <c r="Q8" s="100">
        <f t="shared" si="2"/>
        <v>1237.23</v>
      </c>
      <c r="R8" s="100">
        <f t="shared" si="2"/>
        <v>1237.23</v>
      </c>
      <c r="S8" s="100">
        <f t="shared" si="2"/>
        <v>1287.96</v>
      </c>
      <c r="U8" s="628"/>
    </row>
    <row r="9" spans="1:21" ht="15" customHeight="1" x14ac:dyDescent="0.25">
      <c r="A9" s="623" t="s">
        <v>50</v>
      </c>
      <c r="B9" s="623"/>
      <c r="C9" s="97" t="s">
        <v>158</v>
      </c>
      <c r="D9" s="111" t="s">
        <v>158</v>
      </c>
      <c r="E9" s="111" t="s">
        <v>158</v>
      </c>
      <c r="F9" s="111" t="s">
        <v>158</v>
      </c>
      <c r="G9" s="111" t="s">
        <v>158</v>
      </c>
      <c r="H9" s="111" t="s">
        <v>158</v>
      </c>
      <c r="I9" s="111" t="s">
        <v>158</v>
      </c>
      <c r="J9" s="111" t="s">
        <v>158</v>
      </c>
      <c r="K9" s="111" t="s">
        <v>158</v>
      </c>
      <c r="L9" s="111" t="s">
        <v>158</v>
      </c>
      <c r="M9" s="111" t="s">
        <v>158</v>
      </c>
      <c r="N9" s="111" t="s">
        <v>158</v>
      </c>
      <c r="O9" s="111" t="s">
        <v>158</v>
      </c>
      <c r="P9" s="111" t="s">
        <v>158</v>
      </c>
      <c r="Q9" s="111" t="s">
        <v>158</v>
      </c>
      <c r="R9" s="111" t="s">
        <v>158</v>
      </c>
      <c r="S9" s="111" t="s">
        <v>158</v>
      </c>
      <c r="U9" s="629"/>
    </row>
    <row r="10" spans="1:21" ht="15" customHeight="1" x14ac:dyDescent="0.25">
      <c r="A10" s="599" t="s">
        <v>9</v>
      </c>
      <c r="B10" s="599"/>
      <c r="C10" s="308">
        <f>ROUND((22*8-C7*6%),2)</f>
        <v>112.87</v>
      </c>
      <c r="D10" s="101">
        <f>ROUND((22*8-D7*6%),2)</f>
        <v>108.72</v>
      </c>
      <c r="E10" s="101">
        <f>ROUND((22*10-E7*6%),2)</f>
        <v>152.72</v>
      </c>
      <c r="F10" s="101">
        <f>ROUND((22*10-F7*6%),2)</f>
        <v>152.72</v>
      </c>
      <c r="G10" s="101">
        <f>ROUND((22*10-G7*6%),2)</f>
        <v>152.72</v>
      </c>
      <c r="H10" s="101">
        <f>ROUND((22*10-H7*6%),2)</f>
        <v>152.72</v>
      </c>
      <c r="I10" s="297">
        <v>150.63</v>
      </c>
      <c r="J10" s="297">
        <v>150.63</v>
      </c>
      <c r="K10" s="101">
        <f>ROUND((22*10-K7*6%),2)</f>
        <v>148.07</v>
      </c>
      <c r="L10" s="101">
        <f>ROUND((22*10-L7*6%),2)</f>
        <v>148.07</v>
      </c>
      <c r="M10" s="101">
        <f>ROUND((22*10-M7*6%),2)</f>
        <v>145.77000000000001</v>
      </c>
      <c r="N10" s="101">
        <f t="shared" ref="N10:S10" si="3">ROUND((22*11-N7*6%),2)</f>
        <v>167.77</v>
      </c>
      <c r="O10" s="101">
        <f t="shared" si="3"/>
        <v>167.77</v>
      </c>
      <c r="P10" s="101">
        <f t="shared" si="3"/>
        <v>167.77</v>
      </c>
      <c r="Q10" s="101">
        <f t="shared" si="3"/>
        <v>167.77</v>
      </c>
      <c r="R10" s="101">
        <f t="shared" si="3"/>
        <v>167.77</v>
      </c>
      <c r="S10" s="101">
        <f t="shared" si="3"/>
        <v>164.72</v>
      </c>
      <c r="U10" s="39"/>
    </row>
    <row r="11" spans="1:21" ht="15" customHeight="1" x14ac:dyDescent="0.25">
      <c r="A11" s="599" t="s">
        <v>70</v>
      </c>
      <c r="B11" s="599"/>
      <c r="C11" s="310">
        <f>ROUND((22*27.5),2)</f>
        <v>605</v>
      </c>
      <c r="D11" s="116">
        <f>ROUND((22*29.5),2)</f>
        <v>649</v>
      </c>
      <c r="E11" s="116">
        <f>ROUND((22*29.5),2)</f>
        <v>649</v>
      </c>
      <c r="F11" s="116">
        <f>ROUND((22*29.5),2)</f>
        <v>649</v>
      </c>
      <c r="G11" s="116">
        <f>ROUND((22*29.5),2)</f>
        <v>649</v>
      </c>
      <c r="H11" s="116">
        <f>ROUND((22*29.5),2)</f>
        <v>649</v>
      </c>
      <c r="I11" s="116">
        <f>ROUND((22*31.5),2)</f>
        <v>693</v>
      </c>
      <c r="J11" s="116">
        <f>ROUND((22*31.5),2)</f>
        <v>693</v>
      </c>
      <c r="K11" s="116">
        <f>'Anexo Transporte e Alimentacao'!E12</f>
        <v>719.4</v>
      </c>
      <c r="L11" s="116">
        <f>'Anexo Transporte e Alimentacao'!F12</f>
        <v>3</v>
      </c>
      <c r="M11" s="116">
        <f t="shared" ref="M11:R11" si="4">ROUND((22*33.62),2)</f>
        <v>739.64</v>
      </c>
      <c r="N11" s="116">
        <f t="shared" si="4"/>
        <v>739.64</v>
      </c>
      <c r="O11" s="116">
        <f t="shared" si="4"/>
        <v>739.64</v>
      </c>
      <c r="P11" s="116">
        <f t="shared" si="4"/>
        <v>739.64</v>
      </c>
      <c r="Q11" s="116">
        <f t="shared" si="4"/>
        <v>739.64</v>
      </c>
      <c r="R11" s="116">
        <f t="shared" si="4"/>
        <v>739.64</v>
      </c>
      <c r="S11" s="116">
        <f>ROUND((22*35),2)</f>
        <v>770</v>
      </c>
      <c r="U11" s="358"/>
    </row>
    <row r="12" spans="1:21" ht="15" customHeight="1" x14ac:dyDescent="0.25">
      <c r="A12" s="601" t="s">
        <v>94</v>
      </c>
      <c r="B12" s="601"/>
      <c r="C12" s="310">
        <v>2.5</v>
      </c>
      <c r="D12" s="116">
        <v>1.5</v>
      </c>
      <c r="E12" s="116">
        <v>1.5</v>
      </c>
      <c r="F12" s="116">
        <v>1.5</v>
      </c>
      <c r="G12" s="116">
        <v>1.5</v>
      </c>
      <c r="H12" s="116">
        <v>1.5</v>
      </c>
      <c r="I12" s="116">
        <v>1.5</v>
      </c>
      <c r="J12" s="116">
        <v>1.5</v>
      </c>
      <c r="K12" s="116">
        <v>0</v>
      </c>
      <c r="L12" s="116">
        <v>0</v>
      </c>
      <c r="M12" s="116">
        <v>0</v>
      </c>
      <c r="N12" s="116">
        <v>0</v>
      </c>
      <c r="O12" s="116">
        <v>0</v>
      </c>
      <c r="P12" s="116">
        <v>0</v>
      </c>
      <c r="Q12" s="116">
        <v>0</v>
      </c>
      <c r="R12" s="116">
        <v>0</v>
      </c>
      <c r="S12" s="116">
        <v>0</v>
      </c>
      <c r="U12" s="357"/>
    </row>
    <row r="13" spans="1:21" ht="15" customHeight="1" x14ac:dyDescent="0.25">
      <c r="A13" s="601" t="s">
        <v>95</v>
      </c>
      <c r="B13" s="601"/>
      <c r="C13" s="310">
        <v>5</v>
      </c>
      <c r="D13" s="116">
        <v>5</v>
      </c>
      <c r="E13" s="116">
        <v>5</v>
      </c>
      <c r="F13" s="116">
        <v>5</v>
      </c>
      <c r="G13" s="116">
        <v>5</v>
      </c>
      <c r="H13" s="116">
        <v>5</v>
      </c>
      <c r="I13" s="116">
        <v>9.9</v>
      </c>
      <c r="J13" s="116">
        <v>9.9</v>
      </c>
      <c r="K13" s="116">
        <v>10.3</v>
      </c>
      <c r="L13" s="116">
        <v>10.3</v>
      </c>
      <c r="M13" s="116">
        <v>10.63</v>
      </c>
      <c r="N13" s="116">
        <v>10.63</v>
      </c>
      <c r="O13" s="116">
        <v>10.63</v>
      </c>
      <c r="P13" s="116">
        <v>10.63</v>
      </c>
      <c r="Q13" s="116">
        <v>10.63</v>
      </c>
      <c r="R13" s="116">
        <v>10.63</v>
      </c>
      <c r="S13" s="116">
        <v>10.63</v>
      </c>
      <c r="U13" s="332" t="s">
        <v>301</v>
      </c>
    </row>
    <row r="14" spans="1:21" ht="15" customHeight="1" x14ac:dyDescent="0.25">
      <c r="A14" s="623" t="s">
        <v>63</v>
      </c>
      <c r="B14" s="623"/>
      <c r="C14" s="97">
        <f t="shared" ref="C14:H14" si="5">SUM(C10:C13)</f>
        <v>725.37</v>
      </c>
      <c r="D14" s="111">
        <f t="shared" si="5"/>
        <v>764.22</v>
      </c>
      <c r="E14" s="111">
        <f t="shared" si="5"/>
        <v>808.22</v>
      </c>
      <c r="F14" s="111">
        <f t="shared" si="5"/>
        <v>808.22</v>
      </c>
      <c r="G14" s="111">
        <f t="shared" si="5"/>
        <v>808.22</v>
      </c>
      <c r="H14" s="111">
        <f t="shared" si="5"/>
        <v>808.22</v>
      </c>
      <c r="I14" s="100">
        <f t="shared" ref="I14:S14" si="6">ROUND(SUM(I10:I13),2)</f>
        <v>855.03</v>
      </c>
      <c r="J14" s="100">
        <f t="shared" si="6"/>
        <v>855.03</v>
      </c>
      <c r="K14" s="100">
        <f t="shared" si="6"/>
        <v>877.77</v>
      </c>
      <c r="L14" s="100">
        <f t="shared" si="6"/>
        <v>161.37</v>
      </c>
      <c r="M14" s="100">
        <f t="shared" si="6"/>
        <v>896.04</v>
      </c>
      <c r="N14" s="100">
        <f t="shared" si="6"/>
        <v>918.04</v>
      </c>
      <c r="O14" s="100">
        <f t="shared" si="6"/>
        <v>918.04</v>
      </c>
      <c r="P14" s="100">
        <f t="shared" si="6"/>
        <v>918.04</v>
      </c>
      <c r="Q14" s="100">
        <f t="shared" si="6"/>
        <v>918.04</v>
      </c>
      <c r="R14" s="100">
        <f t="shared" si="6"/>
        <v>918.04</v>
      </c>
      <c r="S14" s="100">
        <f t="shared" si="6"/>
        <v>945.35</v>
      </c>
      <c r="U14" s="47" t="s">
        <v>306</v>
      </c>
    </row>
    <row r="15" spans="1:21" ht="15" customHeight="1" x14ac:dyDescent="0.25">
      <c r="A15" s="623" t="s">
        <v>51</v>
      </c>
      <c r="B15" s="623"/>
      <c r="C15" s="97" t="s">
        <v>158</v>
      </c>
      <c r="D15" s="111" t="s">
        <v>158</v>
      </c>
      <c r="E15" s="111" t="s">
        <v>158</v>
      </c>
      <c r="F15" s="111" t="s">
        <v>158</v>
      </c>
      <c r="G15" s="111" t="s">
        <v>158</v>
      </c>
      <c r="H15" s="111" t="s">
        <v>158</v>
      </c>
      <c r="I15" s="111" t="s">
        <v>158</v>
      </c>
      <c r="J15" s="111" t="s">
        <v>158</v>
      </c>
      <c r="K15" s="111" t="s">
        <v>158</v>
      </c>
      <c r="L15" s="111" t="s">
        <v>158</v>
      </c>
      <c r="M15" s="111" t="s">
        <v>158</v>
      </c>
      <c r="N15" s="111" t="s">
        <v>158</v>
      </c>
      <c r="O15" s="111" t="s">
        <v>158</v>
      </c>
      <c r="P15" s="111" t="s">
        <v>158</v>
      </c>
      <c r="Q15" s="111" t="s">
        <v>158</v>
      </c>
      <c r="R15" s="111" t="s">
        <v>158</v>
      </c>
      <c r="S15" s="111" t="s">
        <v>158</v>
      </c>
      <c r="U15" s="357"/>
    </row>
    <row r="16" spans="1:21" ht="15" customHeight="1" x14ac:dyDescent="0.25">
      <c r="A16" s="49" t="s">
        <v>0</v>
      </c>
      <c r="B16" s="48"/>
      <c r="C16" s="309">
        <f t="shared" ref="C16:H16" si="7">(56+112+20+4+16+12+76)/12</f>
        <v>24.666666666666668</v>
      </c>
      <c r="D16" s="301">
        <f t="shared" si="7"/>
        <v>24.666666666666668</v>
      </c>
      <c r="E16" s="301">
        <f t="shared" si="7"/>
        <v>24.666666666666668</v>
      </c>
      <c r="F16" s="301">
        <f t="shared" si="7"/>
        <v>24.666666666666668</v>
      </c>
      <c r="G16" s="301">
        <f t="shared" si="7"/>
        <v>24.666666666666668</v>
      </c>
      <c r="H16" s="301">
        <f t="shared" si="7"/>
        <v>24.666666666666668</v>
      </c>
      <c r="I16" s="317">
        <v>24.67</v>
      </c>
      <c r="J16" s="101">
        <v>27.03</v>
      </c>
      <c r="K16" s="101">
        <v>27.03</v>
      </c>
      <c r="L16" s="101">
        <v>27.03</v>
      </c>
      <c r="M16" s="101">
        <v>27.03</v>
      </c>
      <c r="N16" s="101">
        <f>K16</f>
        <v>27.03</v>
      </c>
      <c r="O16" s="101">
        <f>L16</f>
        <v>27.03</v>
      </c>
      <c r="P16" s="101">
        <f>M16</f>
        <v>27.03</v>
      </c>
      <c r="Q16" s="101">
        <f>N16</f>
        <v>27.03</v>
      </c>
      <c r="R16" s="101">
        <f>Q16*1.15</f>
        <v>31.084499999999998</v>
      </c>
      <c r="S16" s="101">
        <f>Q16*1.15</f>
        <v>31.084499999999998</v>
      </c>
      <c r="U16" s="331" t="s">
        <v>304</v>
      </c>
    </row>
    <row r="17" spans="1:21" ht="15" customHeight="1" x14ac:dyDescent="0.25">
      <c r="A17" s="623" t="s">
        <v>54</v>
      </c>
      <c r="B17" s="623"/>
      <c r="C17" s="97">
        <f t="shared" ref="C17:H17" si="8">SUM(C16)</f>
        <v>24.666666666666668</v>
      </c>
      <c r="D17" s="111">
        <f t="shared" si="8"/>
        <v>24.666666666666668</v>
      </c>
      <c r="E17" s="111">
        <f t="shared" si="8"/>
        <v>24.666666666666668</v>
      </c>
      <c r="F17" s="111">
        <f t="shared" si="8"/>
        <v>24.666666666666668</v>
      </c>
      <c r="G17" s="111">
        <f t="shared" si="8"/>
        <v>24.666666666666668</v>
      </c>
      <c r="H17" s="111">
        <f t="shared" si="8"/>
        <v>24.666666666666668</v>
      </c>
      <c r="I17" s="111">
        <f t="shared" ref="I17:S17" si="9">SUM(I16)</f>
        <v>24.67</v>
      </c>
      <c r="J17" s="111">
        <f t="shared" si="9"/>
        <v>27.03</v>
      </c>
      <c r="K17" s="100">
        <f t="shared" si="9"/>
        <v>27.03</v>
      </c>
      <c r="L17" s="100">
        <f t="shared" si="9"/>
        <v>27.03</v>
      </c>
      <c r="M17" s="100">
        <f t="shared" si="9"/>
        <v>27.03</v>
      </c>
      <c r="N17" s="100">
        <f t="shared" si="9"/>
        <v>27.03</v>
      </c>
      <c r="O17" s="100">
        <f t="shared" si="9"/>
        <v>27.03</v>
      </c>
      <c r="P17" s="100">
        <f t="shared" si="9"/>
        <v>27.03</v>
      </c>
      <c r="Q17" s="100">
        <f t="shared" si="9"/>
        <v>27.03</v>
      </c>
      <c r="R17" s="100">
        <f t="shared" si="9"/>
        <v>31.084499999999998</v>
      </c>
      <c r="S17" s="100">
        <f t="shared" si="9"/>
        <v>31.084499999999998</v>
      </c>
      <c r="U17" s="47" t="s">
        <v>327</v>
      </c>
    </row>
    <row r="18" spans="1:21" ht="15" customHeight="1" x14ac:dyDescent="0.25">
      <c r="A18" s="591" t="s">
        <v>52</v>
      </c>
      <c r="B18" s="592"/>
      <c r="C18" s="111" t="s">
        <v>229</v>
      </c>
      <c r="D18" s="111" t="s">
        <v>229</v>
      </c>
      <c r="E18" s="111" t="s">
        <v>229</v>
      </c>
      <c r="F18" s="111" t="s">
        <v>229</v>
      </c>
      <c r="G18" s="111" t="s">
        <v>229</v>
      </c>
      <c r="H18" s="111" t="s">
        <v>229</v>
      </c>
      <c r="I18" s="188" t="s">
        <v>229</v>
      </c>
      <c r="J18" s="188" t="s">
        <v>229</v>
      </c>
      <c r="K18" s="111" t="s">
        <v>229</v>
      </c>
      <c r="L18" s="111" t="s">
        <v>229</v>
      </c>
      <c r="M18" s="111" t="s">
        <v>229</v>
      </c>
      <c r="N18" s="111" t="s">
        <v>229</v>
      </c>
      <c r="O18" s="111" t="s">
        <v>229</v>
      </c>
      <c r="P18" s="111" t="s">
        <v>229</v>
      </c>
      <c r="Q18" s="111" t="s">
        <v>229</v>
      </c>
      <c r="R18" s="111" t="s">
        <v>229</v>
      </c>
      <c r="S18" s="111" t="s">
        <v>229</v>
      </c>
    </row>
    <row r="19" spans="1:21" ht="15" customHeight="1" x14ac:dyDescent="0.25">
      <c r="A19" s="593"/>
      <c r="B19" s="594"/>
      <c r="C19" s="311">
        <v>0.71779999999999999</v>
      </c>
      <c r="D19" s="118">
        <v>0.71779999999999999</v>
      </c>
      <c r="E19" s="118">
        <v>0.71779999999999999</v>
      </c>
      <c r="F19" s="118">
        <v>0.71779999999999999</v>
      </c>
      <c r="G19" s="118">
        <v>0.71779999999999999</v>
      </c>
      <c r="H19" s="118">
        <v>0.71779999999999999</v>
      </c>
      <c r="I19" s="189">
        <v>0.7218</v>
      </c>
      <c r="J19" s="189">
        <v>0.7218</v>
      </c>
      <c r="K19" s="118">
        <v>0.72260000000000002</v>
      </c>
      <c r="L19" s="118">
        <v>0.72260000000000002</v>
      </c>
      <c r="M19" s="118">
        <v>0.71330000000000005</v>
      </c>
      <c r="N19" s="118">
        <v>0.71330000000000005</v>
      </c>
      <c r="O19" s="118">
        <v>0.69799999999999995</v>
      </c>
      <c r="P19" s="118">
        <v>0.71330000000000005</v>
      </c>
      <c r="Q19" s="118">
        <v>0.71330000000000005</v>
      </c>
      <c r="R19" s="118">
        <v>0.71330000000000005</v>
      </c>
      <c r="S19" s="118">
        <v>0.71530000000000005</v>
      </c>
      <c r="U19" s="332" t="s">
        <v>324</v>
      </c>
    </row>
    <row r="20" spans="1:21" ht="15" customHeight="1" x14ac:dyDescent="0.25">
      <c r="A20" s="160" t="s">
        <v>55</v>
      </c>
      <c r="B20" s="118"/>
      <c r="C20" s="111">
        <f>ROUND((C8*C19),2)+0.05</f>
        <v>755.31999999999994</v>
      </c>
      <c r="D20" s="111">
        <f t="shared" ref="D20:N20" si="10">ROUND((D8*D19),2)</f>
        <v>804.89</v>
      </c>
      <c r="E20" s="111">
        <f t="shared" si="10"/>
        <v>804.89</v>
      </c>
      <c r="F20" s="111">
        <f t="shared" si="10"/>
        <v>804.89</v>
      </c>
      <c r="G20" s="111">
        <f t="shared" si="10"/>
        <v>804.89</v>
      </c>
      <c r="H20" s="111">
        <f t="shared" si="10"/>
        <v>804.89</v>
      </c>
      <c r="I20" s="111">
        <f t="shared" si="10"/>
        <v>834.47</v>
      </c>
      <c r="J20" s="111">
        <f t="shared" si="10"/>
        <v>834.47</v>
      </c>
      <c r="K20" s="100">
        <f t="shared" si="10"/>
        <v>866.3</v>
      </c>
      <c r="L20" s="100">
        <f t="shared" si="10"/>
        <v>866.3</v>
      </c>
      <c r="M20" s="100">
        <f t="shared" si="10"/>
        <v>882.52</v>
      </c>
      <c r="N20" s="100">
        <f t="shared" si="10"/>
        <v>882.52</v>
      </c>
      <c r="O20" s="100">
        <f t="shared" ref="O20:P20" si="11">ROUND((O8*O19),2)</f>
        <v>863.59</v>
      </c>
      <c r="P20" s="100">
        <f t="shared" si="11"/>
        <v>882.52</v>
      </c>
      <c r="Q20" s="100">
        <f t="shared" ref="Q20:S20" si="12">ROUND((Q8*Q19),2)</f>
        <v>882.52</v>
      </c>
      <c r="R20" s="100">
        <f t="shared" si="12"/>
        <v>882.52</v>
      </c>
      <c r="S20" s="100">
        <f t="shared" si="12"/>
        <v>921.28</v>
      </c>
      <c r="U20" s="47" t="s">
        <v>328</v>
      </c>
    </row>
    <row r="21" spans="1:21" ht="15" customHeight="1" x14ac:dyDescent="0.25">
      <c r="A21" s="125" t="s">
        <v>58</v>
      </c>
      <c r="B21" s="94" t="s">
        <v>1</v>
      </c>
      <c r="C21" s="97" t="s">
        <v>158</v>
      </c>
      <c r="D21" s="111" t="s">
        <v>158</v>
      </c>
      <c r="E21" s="111" t="s">
        <v>158</v>
      </c>
      <c r="F21" s="111" t="s">
        <v>158</v>
      </c>
      <c r="G21" s="111" t="s">
        <v>158</v>
      </c>
      <c r="H21" s="111" t="s">
        <v>158</v>
      </c>
      <c r="I21" s="111" t="s">
        <v>158</v>
      </c>
      <c r="J21" s="111" t="s">
        <v>158</v>
      </c>
      <c r="K21" s="111" t="s">
        <v>158</v>
      </c>
      <c r="L21" s="111" t="s">
        <v>158</v>
      </c>
      <c r="M21" s="111" t="s">
        <v>158</v>
      </c>
      <c r="N21" s="111" t="s">
        <v>158</v>
      </c>
      <c r="O21" s="111" t="s">
        <v>158</v>
      </c>
      <c r="P21" s="111" t="s">
        <v>158</v>
      </c>
      <c r="Q21" s="111" t="s">
        <v>158</v>
      </c>
      <c r="R21" s="111" t="s">
        <v>158</v>
      </c>
      <c r="S21" s="111" t="s">
        <v>158</v>
      </c>
      <c r="U21" s="323" t="s">
        <v>329</v>
      </c>
    </row>
    <row r="22" spans="1:21" ht="15" customHeight="1" x14ac:dyDescent="0.25">
      <c r="A22" s="47" t="s">
        <v>2</v>
      </c>
      <c r="B22" s="50">
        <v>1.2699999999999999E-2</v>
      </c>
      <c r="C22" s="308">
        <f>ROUND(((C8+C14+C17+C20)*B22),2)</f>
        <v>32.479999999999997</v>
      </c>
      <c r="D22" s="304">
        <f>ROUND(((D8+D14+D17+D20)*B22),2)</f>
        <v>34.479999999999997</v>
      </c>
      <c r="E22" s="304">
        <f>ROUND(((E8+E14+E17+E20)*B22),2)</f>
        <v>35.04</v>
      </c>
      <c r="F22" s="304">
        <f>ROUND(((F8+F14+F17+F20)*B22),2)</f>
        <v>35.04</v>
      </c>
      <c r="G22" s="304">
        <f>ROUND(((G8+G14+G17+G20)*B22),2)</f>
        <v>35.04</v>
      </c>
      <c r="H22" s="304">
        <f>ROUND(((H8+H14+H17+H20)*B22),2)</f>
        <v>35.04</v>
      </c>
      <c r="I22" s="119">
        <f>ROUND(((I8+I14+I17+I20)*B22),2)</f>
        <v>36.450000000000003</v>
      </c>
      <c r="J22" s="119">
        <f>ROUND(((J8+J14+J17+J20)*B22),2)</f>
        <v>36.479999999999997</v>
      </c>
      <c r="K22" s="101">
        <f>ROUND(((K8+K14+K17+K20)*B22),2)</f>
        <v>37.72</v>
      </c>
      <c r="L22" s="101">
        <f>ROUND(((L8+L14+L17+L20)*B22),2)</f>
        <v>28.62</v>
      </c>
      <c r="M22" s="101">
        <f>ROUND(((M8+M14+M17+M20)*B22),2)</f>
        <v>38.64</v>
      </c>
      <c r="N22" s="101">
        <f>ROUND(((N8+N14+N17+N20)*B22),2)</f>
        <v>38.92</v>
      </c>
      <c r="O22" s="101">
        <f>ROUND(((O8+O14+O17+O20)*B22),2)</f>
        <v>38.68</v>
      </c>
      <c r="P22" s="101">
        <f>ROUND(((P8+P14+P17+P20)*B22),2)</f>
        <v>38.92</v>
      </c>
      <c r="Q22" s="101">
        <f>ROUND(((Q8+Q14+Q17+Q20)*B22),2)</f>
        <v>38.92</v>
      </c>
      <c r="R22" s="101">
        <f>ROUND(((R8+R14+R17+R20)*B22),2)</f>
        <v>38.97</v>
      </c>
      <c r="S22" s="101">
        <f>ROUND(((S8+S14+S17+S20)*B22),2)</f>
        <v>40.46</v>
      </c>
      <c r="U22" s="47" t="s">
        <v>310</v>
      </c>
    </row>
    <row r="23" spans="1:21" ht="15" customHeight="1" x14ac:dyDescent="0.25">
      <c r="A23" s="47" t="s">
        <v>3</v>
      </c>
      <c r="B23" s="50">
        <v>0.14249999999999999</v>
      </c>
      <c r="C23" s="304">
        <f t="shared" ref="C23:K23" si="13">ROUND((C8+C14+C17+C20+C22+C24)*14.25/85.75,2)</f>
        <v>434.72</v>
      </c>
      <c r="D23" s="304">
        <f t="shared" si="13"/>
        <v>461.5</v>
      </c>
      <c r="E23" s="304">
        <f t="shared" si="13"/>
        <v>468.98</v>
      </c>
      <c r="F23" s="304">
        <f t="shared" si="13"/>
        <v>468.98</v>
      </c>
      <c r="G23" s="304">
        <f t="shared" si="13"/>
        <v>468.98</v>
      </c>
      <c r="H23" s="304">
        <f t="shared" si="13"/>
        <v>468.98</v>
      </c>
      <c r="I23" s="119">
        <f t="shared" si="13"/>
        <v>487.87</v>
      </c>
      <c r="J23" s="119">
        <f t="shared" si="13"/>
        <v>488.27</v>
      </c>
      <c r="K23" s="101">
        <f t="shared" si="13"/>
        <v>504.82</v>
      </c>
      <c r="L23" s="101">
        <f t="shared" ref="L23:S23" si="14">ROUND((L8+L14+L17+L20+L22+L24)*14.25/85.75,2)</f>
        <v>383.05</v>
      </c>
      <c r="M23" s="101">
        <f t="shared" si="14"/>
        <v>517.20000000000005</v>
      </c>
      <c r="N23" s="101">
        <f t="shared" si="14"/>
        <v>520.94000000000005</v>
      </c>
      <c r="O23" s="101">
        <f t="shared" si="14"/>
        <v>517.72</v>
      </c>
      <c r="P23" s="101">
        <f t="shared" si="14"/>
        <v>520.94000000000005</v>
      </c>
      <c r="Q23" s="101">
        <f t="shared" si="14"/>
        <v>520.94000000000005</v>
      </c>
      <c r="R23" s="101">
        <f t="shared" si="14"/>
        <v>521.63</v>
      </c>
      <c r="S23" s="101">
        <f t="shared" si="14"/>
        <v>541.48</v>
      </c>
      <c r="U23" s="47" t="s">
        <v>311</v>
      </c>
    </row>
    <row r="24" spans="1:21" ht="15" customHeight="1" x14ac:dyDescent="0.25">
      <c r="A24" s="47" t="s">
        <v>4</v>
      </c>
      <c r="B24" s="50">
        <v>0.01</v>
      </c>
      <c r="C24" s="308">
        <f>ROUND((C8+C14+C17+C20+C22)*B24,2)</f>
        <v>25.9</v>
      </c>
      <c r="D24" s="304">
        <f>ROUND((D8+D14+D17+D20+D22)*B24,2)</f>
        <v>27.5</v>
      </c>
      <c r="E24" s="304">
        <f>ROUND((E8+E14+E17+E20+E22)*B24,2)</f>
        <v>27.94</v>
      </c>
      <c r="F24" s="304">
        <f>ROUND((F8+F14+F17+F20+F22)*B24,2)</f>
        <v>27.94</v>
      </c>
      <c r="G24" s="304">
        <f>ROUND((G8+G14+G17+G20+G22)*B24,2)</f>
        <v>27.94</v>
      </c>
      <c r="H24" s="304">
        <f>ROUND((H8+H14+H17+H20+H22)*B24,2)</f>
        <v>27.94</v>
      </c>
      <c r="I24" s="119">
        <f>ROUND((I8+I14+I17+I20+I22)*B24,2)</f>
        <v>29.07</v>
      </c>
      <c r="J24" s="119">
        <f>ROUND((J8+J14+J17+J20+J22)*B24,2)</f>
        <v>29.09</v>
      </c>
      <c r="K24" s="101">
        <f>ROUND((K8+K14+K17+K20+K22)*B24,2)</f>
        <v>30.08</v>
      </c>
      <c r="L24" s="101">
        <f>ROUND((L8+L14+L17+L20+L22)*B24,2)</f>
        <v>22.82</v>
      </c>
      <c r="M24" s="101">
        <f>ROUND((M8+M14+M17+M20+M22)*B24,2)</f>
        <v>30.81</v>
      </c>
      <c r="N24" s="101">
        <f>ROUND((N8+N14+N17+N20+N22)*B24,2)</f>
        <v>31.04</v>
      </c>
      <c r="O24" s="101">
        <f>ROUND((O8+O14+O17+O20+O22)*B24,2)</f>
        <v>30.85</v>
      </c>
      <c r="P24" s="101">
        <f>ROUND((P8+P14+P17+P20+P22)*B24,2)</f>
        <v>31.04</v>
      </c>
      <c r="Q24" s="101">
        <f>ROUND((Q8+Q14+Q17+Q20+Q22)*B24,2)</f>
        <v>31.04</v>
      </c>
      <c r="R24" s="101">
        <f>ROUND((R8+R14+R17+R20+R22)*B24,2)</f>
        <v>31.08</v>
      </c>
      <c r="S24" s="101">
        <f>ROUND((S8+S14+S17+S20+S22)*B24,2)</f>
        <v>32.26</v>
      </c>
      <c r="U24" s="39"/>
    </row>
    <row r="25" spans="1:21" ht="15" customHeight="1" x14ac:dyDescent="0.25">
      <c r="A25" s="623" t="s">
        <v>56</v>
      </c>
      <c r="B25" s="623"/>
      <c r="C25" s="97">
        <f t="shared" ref="C25:H25" si="15">SUM(C22:C24)</f>
        <v>493.1</v>
      </c>
      <c r="D25" s="111">
        <f t="shared" si="15"/>
        <v>523.48</v>
      </c>
      <c r="E25" s="111">
        <f t="shared" si="15"/>
        <v>531.96</v>
      </c>
      <c r="F25" s="111">
        <f t="shared" si="15"/>
        <v>531.96</v>
      </c>
      <c r="G25" s="111">
        <f t="shared" si="15"/>
        <v>531.96</v>
      </c>
      <c r="H25" s="111">
        <f t="shared" si="15"/>
        <v>531.96</v>
      </c>
      <c r="I25" s="111">
        <f>SUM(I22:I24)</f>
        <v>553.3900000000001</v>
      </c>
      <c r="J25" s="111">
        <f>SUM(J22:J24)</f>
        <v>553.84</v>
      </c>
      <c r="K25" s="100">
        <f t="shared" ref="K25:S25" si="16">ROUND(SUM(K22:K24),2)</f>
        <v>572.62</v>
      </c>
      <c r="L25" s="100">
        <f t="shared" si="16"/>
        <v>434.49</v>
      </c>
      <c r="M25" s="100">
        <f t="shared" si="16"/>
        <v>586.65</v>
      </c>
      <c r="N25" s="100">
        <f t="shared" si="16"/>
        <v>590.9</v>
      </c>
      <c r="O25" s="100">
        <f t="shared" si="16"/>
        <v>587.25</v>
      </c>
      <c r="P25" s="100">
        <f t="shared" si="16"/>
        <v>590.9</v>
      </c>
      <c r="Q25" s="100">
        <f t="shared" si="16"/>
        <v>590.9</v>
      </c>
      <c r="R25" s="100">
        <f t="shared" si="16"/>
        <v>591.67999999999995</v>
      </c>
      <c r="S25" s="100">
        <f t="shared" si="16"/>
        <v>614.20000000000005</v>
      </c>
      <c r="U25" s="332" t="s">
        <v>312</v>
      </c>
    </row>
    <row r="26" spans="1:21" ht="45.75" customHeight="1" x14ac:dyDescent="0.25">
      <c r="A26" s="595" t="s">
        <v>59</v>
      </c>
      <c r="B26" s="596"/>
      <c r="C26" s="123" t="s">
        <v>285</v>
      </c>
      <c r="D26" s="287" t="s">
        <v>286</v>
      </c>
      <c r="E26" s="123" t="s">
        <v>287</v>
      </c>
      <c r="F26" s="287" t="s">
        <v>297</v>
      </c>
      <c r="G26" s="448" t="s">
        <v>290</v>
      </c>
      <c r="H26" s="439" t="s">
        <v>289</v>
      </c>
      <c r="I26" s="123" t="s">
        <v>292</v>
      </c>
      <c r="J26" s="123" t="s">
        <v>501</v>
      </c>
      <c r="K26" s="123" t="s">
        <v>502</v>
      </c>
      <c r="L26" s="123" t="s">
        <v>338</v>
      </c>
      <c r="M26" s="123" t="s">
        <v>380</v>
      </c>
      <c r="N26" s="123" t="s">
        <v>381</v>
      </c>
      <c r="O26" s="123" t="s">
        <v>384</v>
      </c>
      <c r="P26" s="123" t="s">
        <v>385</v>
      </c>
      <c r="Q26" s="123" t="s">
        <v>386</v>
      </c>
      <c r="R26" s="123" t="s">
        <v>404</v>
      </c>
      <c r="S26" s="123" t="s">
        <v>400</v>
      </c>
      <c r="U26" s="588" t="s">
        <v>334</v>
      </c>
    </row>
    <row r="27" spans="1:21" ht="15" customHeight="1" x14ac:dyDescent="0.25">
      <c r="A27" s="601" t="s">
        <v>57</v>
      </c>
      <c r="B27" s="599"/>
      <c r="C27" s="191">
        <f t="shared" ref="C27:H27" si="17">C8</f>
        <v>1052.2</v>
      </c>
      <c r="D27" s="297">
        <f t="shared" si="17"/>
        <v>1121.33</v>
      </c>
      <c r="E27" s="297">
        <f t="shared" si="17"/>
        <v>1121.33</v>
      </c>
      <c r="F27" s="297">
        <f>F8</f>
        <v>1121.33</v>
      </c>
      <c r="G27" s="297">
        <f t="shared" si="17"/>
        <v>1121.33</v>
      </c>
      <c r="H27" s="297">
        <f t="shared" si="17"/>
        <v>1121.33</v>
      </c>
      <c r="I27" s="297">
        <f t="shared" ref="I27:S27" si="18">I8</f>
        <v>1156.0899999999999</v>
      </c>
      <c r="J27" s="297">
        <f t="shared" si="18"/>
        <v>1156.0899999999999</v>
      </c>
      <c r="K27" s="119">
        <f t="shared" si="18"/>
        <v>1198.8699999999999</v>
      </c>
      <c r="L27" s="119">
        <f t="shared" si="18"/>
        <v>1198.8699999999999</v>
      </c>
      <c r="M27" s="119">
        <f t="shared" si="18"/>
        <v>1237.23</v>
      </c>
      <c r="N27" s="119">
        <f t="shared" si="18"/>
        <v>1237.23</v>
      </c>
      <c r="O27" s="119">
        <f t="shared" si="18"/>
        <v>1237.23</v>
      </c>
      <c r="P27" s="119">
        <f t="shared" si="18"/>
        <v>1237.23</v>
      </c>
      <c r="Q27" s="119">
        <f t="shared" si="18"/>
        <v>1237.23</v>
      </c>
      <c r="R27" s="119">
        <f t="shared" si="18"/>
        <v>1237.23</v>
      </c>
      <c r="S27" s="119">
        <f t="shared" si="18"/>
        <v>1287.96</v>
      </c>
      <c r="U27" s="589"/>
    </row>
    <row r="28" spans="1:21" ht="15" customHeight="1" x14ac:dyDescent="0.25">
      <c r="A28" s="599" t="s">
        <v>50</v>
      </c>
      <c r="B28" s="599"/>
      <c r="C28" s="191">
        <f t="shared" ref="C28:H28" si="19">C14</f>
        <v>725.37</v>
      </c>
      <c r="D28" s="297">
        <f t="shared" si="19"/>
        <v>764.22</v>
      </c>
      <c r="E28" s="297">
        <f t="shared" si="19"/>
        <v>808.22</v>
      </c>
      <c r="F28" s="297">
        <f>F14</f>
        <v>808.22</v>
      </c>
      <c r="G28" s="297">
        <f t="shared" si="19"/>
        <v>808.22</v>
      </c>
      <c r="H28" s="297">
        <f t="shared" si="19"/>
        <v>808.22</v>
      </c>
      <c r="I28" s="297">
        <f t="shared" ref="I28:S28" si="20">I14</f>
        <v>855.03</v>
      </c>
      <c r="J28" s="297">
        <f t="shared" si="20"/>
        <v>855.03</v>
      </c>
      <c r="K28" s="119">
        <f t="shared" si="20"/>
        <v>877.77</v>
      </c>
      <c r="L28" s="119">
        <f t="shared" si="20"/>
        <v>161.37</v>
      </c>
      <c r="M28" s="119">
        <f t="shared" si="20"/>
        <v>896.04</v>
      </c>
      <c r="N28" s="119">
        <f t="shared" si="20"/>
        <v>918.04</v>
      </c>
      <c r="O28" s="119">
        <f t="shared" si="20"/>
        <v>918.04</v>
      </c>
      <c r="P28" s="119">
        <f t="shared" si="20"/>
        <v>918.04</v>
      </c>
      <c r="Q28" s="119">
        <f t="shared" si="20"/>
        <v>918.04</v>
      </c>
      <c r="R28" s="119">
        <f t="shared" si="20"/>
        <v>918.04</v>
      </c>
      <c r="S28" s="119">
        <f t="shared" si="20"/>
        <v>945.35</v>
      </c>
      <c r="U28" s="589"/>
    </row>
    <row r="29" spans="1:21" ht="15" customHeight="1" x14ac:dyDescent="0.25">
      <c r="A29" s="599" t="s">
        <v>51</v>
      </c>
      <c r="B29" s="599"/>
      <c r="C29" s="191">
        <f t="shared" ref="C29:H29" si="21">C17</f>
        <v>24.666666666666668</v>
      </c>
      <c r="D29" s="297">
        <f t="shared" si="21"/>
        <v>24.666666666666668</v>
      </c>
      <c r="E29" s="297">
        <f t="shared" si="21"/>
        <v>24.666666666666668</v>
      </c>
      <c r="F29" s="297">
        <f>F17</f>
        <v>24.666666666666668</v>
      </c>
      <c r="G29" s="297">
        <f t="shared" si="21"/>
        <v>24.666666666666668</v>
      </c>
      <c r="H29" s="297">
        <f t="shared" si="21"/>
        <v>24.666666666666668</v>
      </c>
      <c r="I29" s="297">
        <f t="shared" ref="I29:S29" si="22">I17</f>
        <v>24.67</v>
      </c>
      <c r="J29" s="297">
        <f t="shared" si="22"/>
        <v>27.03</v>
      </c>
      <c r="K29" s="119">
        <f t="shared" si="22"/>
        <v>27.03</v>
      </c>
      <c r="L29" s="119">
        <f t="shared" si="22"/>
        <v>27.03</v>
      </c>
      <c r="M29" s="119">
        <f t="shared" si="22"/>
        <v>27.03</v>
      </c>
      <c r="N29" s="119">
        <f t="shared" si="22"/>
        <v>27.03</v>
      </c>
      <c r="O29" s="119">
        <f t="shared" si="22"/>
        <v>27.03</v>
      </c>
      <c r="P29" s="119">
        <f t="shared" si="22"/>
        <v>27.03</v>
      </c>
      <c r="Q29" s="119">
        <f t="shared" si="22"/>
        <v>27.03</v>
      </c>
      <c r="R29" s="119">
        <f t="shared" si="22"/>
        <v>31.084499999999998</v>
      </c>
      <c r="S29" s="119">
        <f t="shared" si="22"/>
        <v>31.084499999999998</v>
      </c>
      <c r="U29" s="589"/>
    </row>
    <row r="30" spans="1:21" ht="15" customHeight="1" x14ac:dyDescent="0.25">
      <c r="A30" s="599" t="s">
        <v>52</v>
      </c>
      <c r="B30" s="599"/>
      <c r="C30" s="191">
        <f t="shared" ref="C30:H30" si="23">C20</f>
        <v>755.31999999999994</v>
      </c>
      <c r="D30" s="297">
        <f t="shared" si="23"/>
        <v>804.89</v>
      </c>
      <c r="E30" s="297">
        <f t="shared" si="23"/>
        <v>804.89</v>
      </c>
      <c r="F30" s="297">
        <f>F20</f>
        <v>804.89</v>
      </c>
      <c r="G30" s="297">
        <f t="shared" si="23"/>
        <v>804.89</v>
      </c>
      <c r="H30" s="297">
        <f t="shared" si="23"/>
        <v>804.89</v>
      </c>
      <c r="I30" s="297">
        <f t="shared" ref="I30:S30" si="24">I20</f>
        <v>834.47</v>
      </c>
      <c r="J30" s="297">
        <f t="shared" si="24"/>
        <v>834.47</v>
      </c>
      <c r="K30" s="119">
        <f t="shared" si="24"/>
        <v>866.3</v>
      </c>
      <c r="L30" s="119">
        <f t="shared" si="24"/>
        <v>866.3</v>
      </c>
      <c r="M30" s="119">
        <f t="shared" si="24"/>
        <v>882.52</v>
      </c>
      <c r="N30" s="119">
        <f t="shared" si="24"/>
        <v>882.52</v>
      </c>
      <c r="O30" s="119">
        <f t="shared" si="24"/>
        <v>863.59</v>
      </c>
      <c r="P30" s="119">
        <f t="shared" si="24"/>
        <v>882.52</v>
      </c>
      <c r="Q30" s="119">
        <f t="shared" si="24"/>
        <v>882.52</v>
      </c>
      <c r="R30" s="119">
        <f t="shared" si="24"/>
        <v>882.52</v>
      </c>
      <c r="S30" s="119">
        <f t="shared" si="24"/>
        <v>921.28</v>
      </c>
      <c r="U30" s="589"/>
    </row>
    <row r="31" spans="1:21" ht="15" customHeight="1" x14ac:dyDescent="0.25">
      <c r="A31" s="626" t="s">
        <v>74</v>
      </c>
      <c r="B31" s="626"/>
      <c r="C31" s="193">
        <f t="shared" ref="C31:H31" si="25">ROUND(SUM(C27:C30),2)</f>
        <v>2557.56</v>
      </c>
      <c r="D31" s="287">
        <f t="shared" si="25"/>
        <v>2715.11</v>
      </c>
      <c r="E31" s="287">
        <f t="shared" si="25"/>
        <v>2759.11</v>
      </c>
      <c r="F31" s="287">
        <f t="shared" si="25"/>
        <v>2759.11</v>
      </c>
      <c r="G31" s="287">
        <f t="shared" si="25"/>
        <v>2759.11</v>
      </c>
      <c r="H31" s="287">
        <f t="shared" si="25"/>
        <v>2759.11</v>
      </c>
      <c r="I31" s="287">
        <f t="shared" ref="I31:S31" si="26">ROUND(SUM(I27:I30),2)</f>
        <v>2870.26</v>
      </c>
      <c r="J31" s="287">
        <f t="shared" si="26"/>
        <v>2872.62</v>
      </c>
      <c r="K31" s="104">
        <f t="shared" si="26"/>
        <v>2969.97</v>
      </c>
      <c r="L31" s="104">
        <f t="shared" si="26"/>
        <v>2253.5700000000002</v>
      </c>
      <c r="M31" s="104">
        <f t="shared" si="26"/>
        <v>3042.82</v>
      </c>
      <c r="N31" s="104">
        <f t="shared" si="26"/>
        <v>3064.82</v>
      </c>
      <c r="O31" s="104">
        <f t="shared" si="26"/>
        <v>3045.89</v>
      </c>
      <c r="P31" s="104">
        <f t="shared" si="26"/>
        <v>3064.82</v>
      </c>
      <c r="Q31" s="104">
        <f t="shared" si="26"/>
        <v>3064.82</v>
      </c>
      <c r="R31" s="104">
        <f t="shared" si="26"/>
        <v>3068.87</v>
      </c>
      <c r="S31" s="104">
        <f t="shared" si="26"/>
        <v>3185.67</v>
      </c>
      <c r="U31" s="589"/>
    </row>
    <row r="32" spans="1:21" ht="15" customHeight="1" x14ac:dyDescent="0.25">
      <c r="A32" s="599" t="s">
        <v>58</v>
      </c>
      <c r="B32" s="599"/>
      <c r="C32" s="191">
        <f t="shared" ref="C32:H32" si="27">C25</f>
        <v>493.1</v>
      </c>
      <c r="D32" s="297">
        <f t="shared" si="27"/>
        <v>523.48</v>
      </c>
      <c r="E32" s="297">
        <f t="shared" si="27"/>
        <v>531.96</v>
      </c>
      <c r="F32" s="297">
        <f>F25</f>
        <v>531.96</v>
      </c>
      <c r="G32" s="297">
        <f t="shared" si="27"/>
        <v>531.96</v>
      </c>
      <c r="H32" s="297">
        <f t="shared" si="27"/>
        <v>531.96</v>
      </c>
      <c r="I32" s="297">
        <f t="shared" ref="I32:S32" si="28">I25</f>
        <v>553.3900000000001</v>
      </c>
      <c r="J32" s="297">
        <f t="shared" si="28"/>
        <v>553.84</v>
      </c>
      <c r="K32" s="119">
        <f t="shared" si="28"/>
        <v>572.62</v>
      </c>
      <c r="L32" s="119">
        <f t="shared" si="28"/>
        <v>434.49</v>
      </c>
      <c r="M32" s="119">
        <f t="shared" si="28"/>
        <v>586.65</v>
      </c>
      <c r="N32" s="119">
        <f t="shared" si="28"/>
        <v>590.9</v>
      </c>
      <c r="O32" s="119">
        <f t="shared" si="28"/>
        <v>587.25</v>
      </c>
      <c r="P32" s="119">
        <f t="shared" si="28"/>
        <v>590.9</v>
      </c>
      <c r="Q32" s="119">
        <f t="shared" si="28"/>
        <v>590.9</v>
      </c>
      <c r="R32" s="119">
        <f t="shared" si="28"/>
        <v>591.67999999999995</v>
      </c>
      <c r="S32" s="119">
        <f t="shared" si="28"/>
        <v>614.20000000000005</v>
      </c>
      <c r="U32" s="590"/>
    </row>
    <row r="33" spans="1:21" ht="15" customHeight="1" x14ac:dyDescent="0.25">
      <c r="A33" s="619" t="s">
        <v>161</v>
      </c>
      <c r="B33" s="619"/>
      <c r="C33" s="192">
        <f t="shared" ref="C33:H33" si="29">ROUND((C31+C32),2)</f>
        <v>3050.66</v>
      </c>
      <c r="D33" s="321">
        <f t="shared" si="29"/>
        <v>3238.59</v>
      </c>
      <c r="E33" s="321">
        <f t="shared" si="29"/>
        <v>3291.07</v>
      </c>
      <c r="F33" s="321">
        <f t="shared" si="29"/>
        <v>3291.07</v>
      </c>
      <c r="G33" s="321">
        <f t="shared" si="29"/>
        <v>3291.07</v>
      </c>
      <c r="H33" s="321">
        <f t="shared" si="29"/>
        <v>3291.07</v>
      </c>
      <c r="I33" s="321">
        <f>ROUND((I31+I32),2)</f>
        <v>3423.65</v>
      </c>
      <c r="J33" s="321">
        <f>ROUND((J31+J32),2)</f>
        <v>3426.46</v>
      </c>
      <c r="K33" s="104">
        <f t="shared" ref="K33:S33" si="30">ROUND(SUM(K31:K32),2)</f>
        <v>3542.59</v>
      </c>
      <c r="L33" s="104">
        <f t="shared" si="30"/>
        <v>2688.06</v>
      </c>
      <c r="M33" s="104">
        <f t="shared" si="30"/>
        <v>3629.47</v>
      </c>
      <c r="N33" s="104">
        <f t="shared" si="30"/>
        <v>3655.72</v>
      </c>
      <c r="O33" s="104">
        <f t="shared" si="30"/>
        <v>3633.14</v>
      </c>
      <c r="P33" s="104">
        <f t="shared" si="30"/>
        <v>3655.72</v>
      </c>
      <c r="Q33" s="104">
        <f t="shared" si="30"/>
        <v>3655.72</v>
      </c>
      <c r="R33" s="104">
        <f t="shared" si="30"/>
        <v>3660.55</v>
      </c>
      <c r="S33" s="104">
        <f t="shared" si="30"/>
        <v>3799.87</v>
      </c>
    </row>
    <row r="34" spans="1:21" ht="15" customHeight="1" x14ac:dyDescent="0.25">
      <c r="A34" s="600" t="s">
        <v>48</v>
      </c>
      <c r="B34" s="600"/>
      <c r="C34" s="299">
        <v>7</v>
      </c>
      <c r="D34" s="440">
        <v>7</v>
      </c>
      <c r="E34" s="440">
        <v>7</v>
      </c>
      <c r="F34" s="440">
        <v>6</v>
      </c>
      <c r="G34" s="440">
        <v>6</v>
      </c>
      <c r="H34" s="440">
        <v>6</v>
      </c>
      <c r="I34" s="440">
        <v>6</v>
      </c>
      <c r="J34" s="542">
        <v>6</v>
      </c>
      <c r="K34" s="359">
        <v>6</v>
      </c>
      <c r="L34" s="359">
        <v>3</v>
      </c>
      <c r="M34" s="359">
        <v>3</v>
      </c>
      <c r="N34" s="359">
        <v>3</v>
      </c>
      <c r="O34" s="359">
        <v>3</v>
      </c>
      <c r="P34" s="359">
        <v>3</v>
      </c>
      <c r="Q34" s="359">
        <v>3</v>
      </c>
      <c r="R34" s="359">
        <v>3</v>
      </c>
      <c r="S34" s="359">
        <v>3</v>
      </c>
      <c r="U34" s="332" t="s">
        <v>317</v>
      </c>
    </row>
    <row r="35" spans="1:21" ht="15" customHeight="1" x14ac:dyDescent="0.25">
      <c r="A35" s="598" t="s">
        <v>168</v>
      </c>
      <c r="B35" s="598"/>
      <c r="C35" s="190">
        <f t="shared" ref="C35:H35" si="31">ROUND((C33*C34),2)</f>
        <v>21354.62</v>
      </c>
      <c r="D35" s="457">
        <f t="shared" si="31"/>
        <v>22670.13</v>
      </c>
      <c r="E35" s="457">
        <f t="shared" si="31"/>
        <v>23037.49</v>
      </c>
      <c r="F35" s="457">
        <f t="shared" si="31"/>
        <v>19746.419999999998</v>
      </c>
      <c r="G35" s="457">
        <f t="shared" si="31"/>
        <v>19746.419999999998</v>
      </c>
      <c r="H35" s="457">
        <f t="shared" si="31"/>
        <v>19746.419999999998</v>
      </c>
      <c r="I35" s="457">
        <f t="shared" ref="I35:S35" si="32">ROUND((I33*I34),2)</f>
        <v>20541.900000000001</v>
      </c>
      <c r="J35" s="457">
        <f t="shared" si="32"/>
        <v>20558.759999999998</v>
      </c>
      <c r="K35" s="104">
        <f t="shared" si="32"/>
        <v>21255.54</v>
      </c>
      <c r="L35" s="104">
        <f t="shared" si="32"/>
        <v>8064.18</v>
      </c>
      <c r="M35" s="104">
        <f t="shared" si="32"/>
        <v>10888.41</v>
      </c>
      <c r="N35" s="104">
        <f t="shared" si="32"/>
        <v>10967.16</v>
      </c>
      <c r="O35" s="104">
        <f t="shared" si="32"/>
        <v>10899.42</v>
      </c>
      <c r="P35" s="104">
        <f t="shared" si="32"/>
        <v>10967.16</v>
      </c>
      <c r="Q35" s="104">
        <f t="shared" si="32"/>
        <v>10967.16</v>
      </c>
      <c r="R35" s="104">
        <f t="shared" si="32"/>
        <v>10981.65</v>
      </c>
      <c r="S35" s="104">
        <f t="shared" si="32"/>
        <v>11399.61</v>
      </c>
      <c r="U35" s="47" t="s">
        <v>333</v>
      </c>
    </row>
    <row r="36" spans="1:21" ht="15" customHeight="1" x14ac:dyDescent="0.25">
      <c r="U36" s="47" t="s">
        <v>319</v>
      </c>
    </row>
    <row r="37" spans="1:21" ht="15" customHeight="1" x14ac:dyDescent="0.25">
      <c r="A37" s="39"/>
      <c r="B37" s="39"/>
      <c r="C37" s="39"/>
      <c r="D37" s="39"/>
      <c r="E37" s="39"/>
      <c r="F37" s="39"/>
      <c r="G37" s="39"/>
      <c r="H37" s="39"/>
      <c r="I37" s="39"/>
      <c r="J37" s="58"/>
      <c r="U37" s="323" t="s">
        <v>320</v>
      </c>
    </row>
    <row r="38" spans="1:21" ht="15" customHeight="1" x14ac:dyDescent="0.25">
      <c r="A38" s="39"/>
      <c r="B38" s="39"/>
      <c r="C38" s="39"/>
      <c r="D38" s="39"/>
      <c r="E38" s="39"/>
      <c r="F38" s="39"/>
      <c r="G38" s="39"/>
      <c r="H38" s="39"/>
      <c r="I38" s="39"/>
      <c r="J38" s="58"/>
      <c r="U38" s="323" t="s">
        <v>321</v>
      </c>
    </row>
    <row r="39" spans="1:21" ht="15" customHeight="1" x14ac:dyDescent="0.25">
      <c r="A39" s="42"/>
      <c r="B39" s="39"/>
      <c r="C39" s="39"/>
      <c r="D39" s="39"/>
      <c r="E39" s="39"/>
      <c r="F39" s="39"/>
      <c r="G39" s="39"/>
      <c r="H39" s="39"/>
      <c r="I39" s="39"/>
      <c r="J39" s="58"/>
      <c r="U39" s="323" t="s">
        <v>322</v>
      </c>
    </row>
    <row r="40" spans="1:21" ht="15" customHeight="1" x14ac:dyDescent="0.25">
      <c r="A40" s="39"/>
      <c r="B40" s="43"/>
      <c r="C40" s="43"/>
      <c r="D40" s="43"/>
      <c r="E40" s="43"/>
      <c r="F40" s="43"/>
      <c r="G40" s="43"/>
      <c r="H40" s="43"/>
      <c r="I40" s="39"/>
      <c r="J40" s="58"/>
      <c r="U40" s="53"/>
    </row>
    <row r="41" spans="1:21" ht="15" customHeight="1" x14ac:dyDescent="0.25">
      <c r="A41" s="42"/>
      <c r="B41" s="39"/>
      <c r="C41" s="39"/>
      <c r="D41" s="39"/>
      <c r="E41" s="39"/>
      <c r="F41" s="39"/>
      <c r="G41" s="39"/>
      <c r="H41" s="39"/>
      <c r="I41" s="39"/>
      <c r="J41" s="58"/>
      <c r="U41" s="332" t="s">
        <v>323</v>
      </c>
    </row>
    <row r="42" spans="1:21" ht="102.75" customHeight="1" x14ac:dyDescent="0.25">
      <c r="A42" s="39"/>
      <c r="B42" s="39"/>
      <c r="C42" s="39"/>
      <c r="D42" s="39"/>
      <c r="E42" s="39"/>
      <c r="F42" s="39"/>
      <c r="G42" s="39"/>
      <c r="H42" s="39"/>
      <c r="I42" s="39"/>
      <c r="J42" s="58"/>
      <c r="U42" s="327" t="s">
        <v>341</v>
      </c>
    </row>
    <row r="43" spans="1:21" ht="15" customHeight="1" x14ac:dyDescent="0.25">
      <c r="A43" s="39"/>
      <c r="B43" s="39"/>
      <c r="C43" s="39"/>
      <c r="D43" s="39"/>
      <c r="E43" s="39"/>
      <c r="F43" s="39"/>
      <c r="G43" s="39"/>
      <c r="H43" s="39"/>
      <c r="I43" s="39"/>
      <c r="J43" s="58"/>
    </row>
    <row r="44" spans="1:21" ht="15" customHeight="1" x14ac:dyDescent="0.25">
      <c r="A44" s="39"/>
      <c r="B44" s="39"/>
      <c r="C44" s="39"/>
      <c r="D44" s="39"/>
      <c r="E44" s="39"/>
      <c r="F44" s="39"/>
      <c r="G44" s="39"/>
      <c r="H44" s="39"/>
      <c r="I44" s="39"/>
      <c r="J44" s="58"/>
    </row>
    <row r="45" spans="1:21" ht="15" customHeight="1" x14ac:dyDescent="0.25">
      <c r="A45" s="39"/>
      <c r="B45" s="39"/>
      <c r="C45" s="39"/>
      <c r="D45" s="39"/>
      <c r="E45" s="39"/>
      <c r="F45" s="39"/>
      <c r="G45" s="39"/>
      <c r="H45" s="39"/>
      <c r="I45" s="39"/>
      <c r="J45" s="58"/>
    </row>
    <row r="46" spans="1:21" ht="15" customHeight="1" x14ac:dyDescent="0.25">
      <c r="A46" s="39"/>
      <c r="B46" s="39"/>
      <c r="C46" s="39"/>
      <c r="D46" s="39"/>
      <c r="E46" s="39"/>
      <c r="F46" s="39"/>
      <c r="G46" s="39"/>
      <c r="H46" s="39"/>
      <c r="I46" s="39"/>
      <c r="J46" s="58"/>
    </row>
    <row r="47" spans="1:21" ht="15" customHeight="1" x14ac:dyDescent="0.25">
      <c r="A47" s="39"/>
      <c r="B47" s="39"/>
      <c r="C47" s="39"/>
      <c r="D47" s="39"/>
      <c r="E47" s="39"/>
      <c r="F47" s="39"/>
      <c r="G47" s="39"/>
      <c r="H47" s="39"/>
      <c r="I47" s="39"/>
      <c r="J47" s="58"/>
    </row>
    <row r="48" spans="1:21" ht="15" customHeight="1" x14ac:dyDescent="0.25">
      <c r="A48" s="39"/>
      <c r="B48" s="39"/>
      <c r="C48" s="39"/>
      <c r="D48" s="39"/>
      <c r="E48" s="39"/>
      <c r="F48" s="39"/>
      <c r="G48" s="39"/>
      <c r="H48" s="39"/>
      <c r="I48" s="39"/>
      <c r="J48" s="58"/>
    </row>
    <row r="49" spans="1:10" ht="15" customHeight="1" x14ac:dyDescent="0.25">
      <c r="A49" s="39"/>
      <c r="B49" s="39"/>
      <c r="C49" s="39"/>
      <c r="D49" s="39"/>
      <c r="E49" s="39"/>
      <c r="F49" s="39"/>
      <c r="G49" s="39"/>
      <c r="H49" s="39"/>
      <c r="I49" s="39"/>
      <c r="J49" s="58"/>
    </row>
    <row r="50" spans="1:10" ht="15" customHeight="1" x14ac:dyDescent="0.25">
      <c r="A50" s="39"/>
      <c r="B50" s="39"/>
      <c r="C50" s="39"/>
      <c r="D50" s="39"/>
      <c r="E50" s="39"/>
      <c r="F50" s="39"/>
      <c r="G50" s="39"/>
      <c r="H50" s="39"/>
      <c r="I50" s="39"/>
      <c r="J50" s="58"/>
    </row>
    <row r="51" spans="1:10" ht="15" customHeight="1" x14ac:dyDescent="0.25">
      <c r="A51" s="39"/>
      <c r="B51" s="39"/>
      <c r="C51" s="39"/>
      <c r="D51" s="39"/>
      <c r="E51" s="39"/>
      <c r="F51" s="39"/>
      <c r="G51" s="39"/>
      <c r="H51" s="39"/>
      <c r="I51" s="39"/>
      <c r="J51" s="58"/>
    </row>
    <row r="52" spans="1:10" ht="15" customHeight="1" x14ac:dyDescent="0.25">
      <c r="A52" s="39"/>
      <c r="B52" s="39"/>
      <c r="C52" s="39"/>
      <c r="D52" s="39"/>
      <c r="E52" s="39"/>
      <c r="F52" s="39"/>
      <c r="G52" s="39"/>
      <c r="H52" s="39"/>
      <c r="I52" s="39"/>
      <c r="J52" s="58"/>
    </row>
    <row r="53" spans="1:10" ht="15" customHeight="1" x14ac:dyDescent="0.25">
      <c r="A53" s="39"/>
      <c r="B53" s="39"/>
      <c r="C53" s="39"/>
      <c r="D53" s="39"/>
      <c r="E53" s="39"/>
      <c r="F53" s="39"/>
      <c r="G53" s="39"/>
      <c r="H53" s="39"/>
      <c r="I53" s="39"/>
      <c r="J53" s="58"/>
    </row>
    <row r="54" spans="1:10" ht="15" customHeight="1" x14ac:dyDescent="0.25">
      <c r="A54" s="39"/>
      <c r="B54" s="39"/>
      <c r="C54" s="39"/>
      <c r="D54" s="39"/>
      <c r="E54" s="39"/>
      <c r="F54" s="39"/>
      <c r="G54" s="39"/>
      <c r="H54" s="39"/>
      <c r="I54" s="39"/>
      <c r="J54" s="58"/>
    </row>
    <row r="55" spans="1:10" ht="15" customHeight="1" x14ac:dyDescent="0.25">
      <c r="A55" s="39"/>
      <c r="B55" s="39"/>
      <c r="C55" s="39"/>
      <c r="D55" s="39"/>
      <c r="E55" s="39"/>
      <c r="F55" s="39"/>
      <c r="G55" s="39"/>
      <c r="H55" s="39"/>
      <c r="I55" s="39"/>
      <c r="J55" s="58"/>
    </row>
    <row r="56" spans="1:10" ht="15" customHeight="1" x14ac:dyDescent="0.25">
      <c r="A56" s="39"/>
      <c r="B56" s="39"/>
      <c r="C56" s="39"/>
      <c r="D56" s="39"/>
      <c r="E56" s="39"/>
      <c r="F56" s="39"/>
      <c r="G56" s="39"/>
      <c r="H56" s="39"/>
      <c r="I56" s="39"/>
      <c r="J56" s="58"/>
    </row>
    <row r="57" spans="1:10" ht="15" customHeight="1" x14ac:dyDescent="0.25">
      <c r="A57" s="39"/>
      <c r="B57" s="39"/>
      <c r="C57" s="39"/>
      <c r="D57" s="39"/>
      <c r="E57" s="39"/>
      <c r="F57" s="39"/>
      <c r="G57" s="39"/>
      <c r="H57" s="39"/>
      <c r="I57" s="39"/>
      <c r="J57" s="58"/>
    </row>
    <row r="58" spans="1:10" ht="15" customHeight="1" x14ac:dyDescent="0.25">
      <c r="A58" s="42"/>
      <c r="B58" s="39"/>
      <c r="C58" s="39"/>
      <c r="D58" s="39"/>
      <c r="E58" s="39"/>
      <c r="F58" s="39"/>
      <c r="G58" s="39"/>
      <c r="H58" s="39"/>
      <c r="I58" s="39"/>
      <c r="J58" s="58"/>
    </row>
    <row r="59" spans="1:10" ht="15" customHeight="1" x14ac:dyDescent="0.25">
      <c r="A59" s="39"/>
      <c r="B59" s="39"/>
      <c r="C59" s="39"/>
      <c r="D59" s="39"/>
      <c r="E59" s="39"/>
      <c r="F59" s="39"/>
      <c r="G59" s="39"/>
      <c r="H59" s="39"/>
      <c r="I59" s="39"/>
      <c r="J59" s="58"/>
    </row>
    <row r="60" spans="1:10" ht="15" customHeight="1" x14ac:dyDescent="0.25">
      <c r="A60" s="39"/>
      <c r="B60" s="39"/>
      <c r="C60" s="39"/>
      <c r="D60" s="39"/>
      <c r="E60" s="39"/>
      <c r="F60" s="39"/>
      <c r="G60" s="39"/>
      <c r="H60" s="39"/>
      <c r="I60" s="39"/>
      <c r="J60" s="58"/>
    </row>
    <row r="61" spans="1:10" ht="15" customHeight="1" x14ac:dyDescent="0.25">
      <c r="A61" s="39"/>
      <c r="B61" s="39"/>
      <c r="C61" s="39"/>
      <c r="D61" s="39"/>
      <c r="E61" s="39"/>
      <c r="F61" s="39"/>
      <c r="G61" s="39"/>
      <c r="H61" s="39"/>
      <c r="I61" s="39"/>
      <c r="J61" s="58"/>
    </row>
    <row r="62" spans="1:10" ht="15" customHeight="1" x14ac:dyDescent="0.25">
      <c r="A62" s="39"/>
      <c r="B62" s="39"/>
      <c r="C62" s="39"/>
      <c r="D62" s="39"/>
      <c r="E62" s="39"/>
      <c r="F62" s="39"/>
      <c r="G62" s="39"/>
      <c r="H62" s="39"/>
      <c r="I62" s="39"/>
      <c r="J62" s="58"/>
    </row>
    <row r="63" spans="1:10" ht="15" customHeight="1" x14ac:dyDescent="0.25">
      <c r="A63" s="39"/>
      <c r="B63" s="39"/>
      <c r="C63" s="39"/>
      <c r="D63" s="39"/>
      <c r="E63" s="39"/>
      <c r="F63" s="39"/>
      <c r="G63" s="39"/>
      <c r="H63" s="39"/>
      <c r="I63" s="39"/>
      <c r="J63" s="58"/>
    </row>
    <row r="64" spans="1:10" ht="15" customHeight="1" x14ac:dyDescent="0.25">
      <c r="A64" s="39"/>
      <c r="B64" s="39"/>
      <c r="C64" s="39"/>
      <c r="D64" s="39"/>
      <c r="E64" s="39"/>
      <c r="F64" s="39"/>
      <c r="G64" s="39"/>
      <c r="H64" s="39"/>
      <c r="I64" s="39"/>
      <c r="J64" s="58"/>
    </row>
    <row r="65" spans="1:10" ht="15" customHeight="1" x14ac:dyDescent="0.25">
      <c r="A65" s="39"/>
      <c r="B65" s="39"/>
      <c r="C65" s="39"/>
      <c r="D65" s="39"/>
      <c r="E65" s="39"/>
      <c r="F65" s="39"/>
      <c r="G65" s="39"/>
      <c r="H65" s="39"/>
      <c r="I65" s="39"/>
      <c r="J65" s="58"/>
    </row>
    <row r="66" spans="1:10" ht="15" customHeight="1" x14ac:dyDescent="0.25">
      <c r="A66" s="39"/>
      <c r="B66" s="39"/>
      <c r="C66" s="39"/>
      <c r="D66" s="39"/>
      <c r="E66" s="39"/>
      <c r="F66" s="39"/>
      <c r="G66" s="39"/>
      <c r="H66" s="39"/>
      <c r="I66" s="39"/>
      <c r="J66" s="58"/>
    </row>
    <row r="67" spans="1:10" ht="15" customHeight="1" x14ac:dyDescent="0.25">
      <c r="A67" s="42"/>
      <c r="B67" s="39"/>
      <c r="C67" s="39"/>
      <c r="D67" s="39"/>
      <c r="E67" s="39"/>
      <c r="F67" s="39"/>
      <c r="G67" s="39"/>
      <c r="H67" s="39"/>
      <c r="I67" s="39"/>
      <c r="J67" s="58"/>
    </row>
    <row r="68" spans="1:10" ht="15" customHeight="1" x14ac:dyDescent="0.25">
      <c r="A68" s="39"/>
      <c r="B68" s="43"/>
      <c r="C68" s="43"/>
      <c r="D68" s="43"/>
      <c r="E68" s="43"/>
      <c r="F68" s="43"/>
      <c r="G68" s="43"/>
      <c r="H68" s="43"/>
      <c r="I68" s="39"/>
      <c r="J68" s="58"/>
    </row>
    <row r="69" spans="1:10" ht="15" customHeight="1" x14ac:dyDescent="0.25">
      <c r="A69" s="42"/>
      <c r="B69" s="39"/>
      <c r="C69" s="39"/>
      <c r="D69" s="39"/>
      <c r="E69" s="39"/>
      <c r="F69" s="39"/>
      <c r="G69" s="39"/>
      <c r="H69" s="39"/>
      <c r="I69" s="39"/>
      <c r="J69" s="58"/>
    </row>
    <row r="70" spans="1:10" ht="15" customHeight="1" x14ac:dyDescent="0.25">
      <c r="A70" s="39"/>
      <c r="B70" s="39"/>
      <c r="C70" s="39"/>
      <c r="D70" s="39"/>
      <c r="E70" s="39"/>
      <c r="F70" s="39"/>
      <c r="G70" s="39"/>
      <c r="H70" s="39"/>
      <c r="I70" s="39"/>
      <c r="J70" s="58"/>
    </row>
    <row r="71" spans="1:10" ht="15" customHeight="1" x14ac:dyDescent="0.25">
      <c r="A71" s="39"/>
      <c r="B71" s="39"/>
      <c r="C71" s="39"/>
      <c r="D71" s="39"/>
      <c r="E71" s="39"/>
      <c r="F71" s="39"/>
      <c r="G71" s="39"/>
      <c r="H71" s="39"/>
      <c r="I71" s="39"/>
      <c r="J71" s="58"/>
    </row>
    <row r="72" spans="1:10" ht="15" customHeight="1" x14ac:dyDescent="0.25">
      <c r="A72" s="39"/>
      <c r="B72" s="39"/>
      <c r="C72" s="39"/>
      <c r="D72" s="39"/>
      <c r="E72" s="39"/>
      <c r="F72" s="39"/>
      <c r="G72" s="39"/>
      <c r="H72" s="39"/>
      <c r="I72" s="39"/>
      <c r="J72" s="58"/>
    </row>
    <row r="73" spans="1:10" ht="15" customHeight="1" x14ac:dyDescent="0.25">
      <c r="A73" s="39"/>
      <c r="B73" s="39"/>
      <c r="C73" s="39"/>
      <c r="D73" s="39"/>
      <c r="E73" s="39"/>
      <c r="F73" s="39"/>
      <c r="G73" s="39"/>
      <c r="H73" s="39"/>
      <c r="I73" s="39"/>
      <c r="J73" s="58"/>
    </row>
    <row r="74" spans="1:10" ht="15" customHeight="1" x14ac:dyDescent="0.25">
      <c r="A74" s="39"/>
      <c r="B74" s="39"/>
      <c r="C74" s="39"/>
      <c r="D74" s="39"/>
      <c r="E74" s="39"/>
      <c r="F74" s="39"/>
      <c r="G74" s="39"/>
      <c r="H74" s="39"/>
      <c r="I74" s="39"/>
      <c r="J74" s="58"/>
    </row>
    <row r="75" spans="1:10" ht="15" customHeight="1" x14ac:dyDescent="0.25">
      <c r="A75" s="39"/>
      <c r="B75" s="39"/>
      <c r="C75" s="39"/>
      <c r="D75" s="39"/>
      <c r="E75" s="39"/>
      <c r="F75" s="39"/>
      <c r="G75" s="39"/>
      <c r="H75" s="39"/>
      <c r="I75" s="39"/>
      <c r="J75" s="58"/>
    </row>
    <row r="76" spans="1:10" ht="15" customHeight="1" x14ac:dyDescent="0.25">
      <c r="A76" s="39"/>
      <c r="B76" s="39"/>
      <c r="C76" s="39"/>
      <c r="D76" s="39"/>
      <c r="E76" s="39"/>
      <c r="F76" s="39"/>
      <c r="G76" s="39"/>
      <c r="H76" s="39"/>
      <c r="I76" s="39"/>
      <c r="J76" s="58"/>
    </row>
    <row r="77" spans="1:10" ht="15" customHeight="1" x14ac:dyDescent="0.25">
      <c r="A77" s="39"/>
      <c r="B77" s="39"/>
      <c r="C77" s="39"/>
      <c r="D77" s="39"/>
      <c r="E77" s="39"/>
      <c r="F77" s="39"/>
      <c r="G77" s="39"/>
      <c r="H77" s="39"/>
      <c r="I77" s="39"/>
      <c r="J77" s="58"/>
    </row>
    <row r="78" spans="1:10" ht="15" customHeight="1" x14ac:dyDescent="0.25">
      <c r="A78" s="39"/>
      <c r="B78" s="39"/>
      <c r="C78" s="39"/>
      <c r="D78" s="39"/>
      <c r="E78" s="39"/>
      <c r="F78" s="39"/>
      <c r="G78" s="39"/>
      <c r="H78" s="39"/>
      <c r="I78" s="39"/>
      <c r="J78" s="58"/>
    </row>
    <row r="79" spans="1:10" ht="15" customHeight="1" x14ac:dyDescent="0.25">
      <c r="A79" s="39"/>
      <c r="B79" s="39"/>
      <c r="C79" s="39"/>
      <c r="D79" s="39"/>
      <c r="E79" s="39"/>
      <c r="F79" s="39"/>
      <c r="G79" s="39"/>
      <c r="H79" s="39"/>
      <c r="I79" s="39"/>
      <c r="J79" s="58"/>
    </row>
    <row r="80" spans="1:10" ht="15" customHeight="1" x14ac:dyDescent="0.25">
      <c r="A80" s="39"/>
      <c r="B80" s="39"/>
      <c r="C80" s="39"/>
      <c r="D80" s="39"/>
      <c r="E80" s="39"/>
      <c r="F80" s="39"/>
      <c r="G80" s="39"/>
      <c r="H80" s="39"/>
      <c r="I80" s="39"/>
      <c r="J80" s="58"/>
    </row>
    <row r="81" spans="1:10" ht="15" customHeight="1" x14ac:dyDescent="0.25">
      <c r="A81" s="39"/>
      <c r="B81" s="39"/>
      <c r="C81" s="39"/>
      <c r="D81" s="39"/>
      <c r="E81" s="39"/>
      <c r="F81" s="39"/>
      <c r="G81" s="39"/>
      <c r="H81" s="39"/>
      <c r="I81" s="39"/>
      <c r="J81" s="58"/>
    </row>
    <row r="82" spans="1:10" ht="15" customHeight="1" x14ac:dyDescent="0.25">
      <c r="A82" s="39"/>
      <c r="B82" s="39"/>
      <c r="C82" s="39"/>
      <c r="D82" s="39"/>
      <c r="E82" s="39"/>
      <c r="F82" s="39"/>
      <c r="G82" s="39"/>
      <c r="H82" s="39"/>
      <c r="I82" s="39"/>
      <c r="J82" s="58"/>
    </row>
    <row r="83" spans="1:10" ht="15" customHeight="1" x14ac:dyDescent="0.25">
      <c r="A83" s="39"/>
      <c r="B83" s="39"/>
      <c r="C83" s="39"/>
      <c r="D83" s="39"/>
      <c r="E83" s="39"/>
      <c r="F83" s="39"/>
      <c r="G83" s="39"/>
      <c r="H83" s="39"/>
      <c r="I83" s="39"/>
      <c r="J83" s="58"/>
    </row>
    <row r="84" spans="1:10" ht="15" customHeight="1" x14ac:dyDescent="0.25">
      <c r="A84" s="39"/>
      <c r="B84" s="39"/>
      <c r="C84" s="39"/>
      <c r="D84" s="39"/>
      <c r="E84" s="39"/>
      <c r="F84" s="39"/>
      <c r="G84" s="39"/>
      <c r="H84" s="39"/>
      <c r="I84" s="39"/>
      <c r="J84" s="58"/>
    </row>
    <row r="85" spans="1:10" ht="15" customHeight="1" x14ac:dyDescent="0.25">
      <c r="A85" s="39"/>
      <c r="B85" s="39"/>
      <c r="C85" s="39"/>
      <c r="D85" s="39"/>
      <c r="E85" s="39"/>
      <c r="F85" s="39"/>
      <c r="G85" s="39"/>
      <c r="H85" s="39"/>
      <c r="I85" s="39"/>
      <c r="J85" s="58"/>
    </row>
    <row r="86" spans="1:10" ht="15" customHeight="1" x14ac:dyDescent="0.25">
      <c r="A86" s="42"/>
      <c r="B86" s="39"/>
      <c r="C86" s="39"/>
      <c r="D86" s="39"/>
      <c r="E86" s="39"/>
      <c r="F86" s="39"/>
      <c r="G86" s="39"/>
      <c r="H86" s="39"/>
      <c r="I86" s="39"/>
      <c r="J86" s="58"/>
    </row>
    <row r="87" spans="1:10" ht="15" customHeight="1" x14ac:dyDescent="0.25">
      <c r="A87" s="39"/>
      <c r="B87" s="39"/>
      <c r="C87" s="39"/>
      <c r="D87" s="39"/>
      <c r="E87" s="39"/>
      <c r="F87" s="39"/>
      <c r="G87" s="39"/>
      <c r="H87" s="39"/>
      <c r="I87" s="39"/>
      <c r="J87" s="58"/>
    </row>
    <row r="88" spans="1:10" ht="15" customHeight="1" x14ac:dyDescent="0.25">
      <c r="A88" s="39"/>
      <c r="B88" s="39"/>
      <c r="C88" s="39"/>
      <c r="D88" s="39"/>
      <c r="E88" s="39"/>
      <c r="F88" s="39"/>
      <c r="G88" s="39"/>
      <c r="H88" s="39"/>
      <c r="I88" s="39"/>
      <c r="J88" s="58"/>
    </row>
    <row r="89" spans="1:10" ht="15" customHeight="1" x14ac:dyDescent="0.25">
      <c r="A89" s="39"/>
      <c r="B89" s="39"/>
      <c r="C89" s="39"/>
      <c r="D89" s="39"/>
      <c r="E89" s="39"/>
      <c r="F89" s="39"/>
      <c r="G89" s="39"/>
      <c r="H89" s="39"/>
      <c r="I89" s="39"/>
      <c r="J89" s="58"/>
    </row>
    <row r="90" spans="1:10" ht="15" customHeight="1" x14ac:dyDescent="0.25">
      <c r="A90" s="39"/>
      <c r="B90" s="39"/>
      <c r="C90" s="39"/>
      <c r="D90" s="39"/>
      <c r="E90" s="39"/>
      <c r="F90" s="39"/>
      <c r="G90" s="39"/>
      <c r="H90" s="39"/>
      <c r="I90" s="39"/>
      <c r="J90" s="58"/>
    </row>
    <row r="91" spans="1:10" ht="15" customHeight="1" x14ac:dyDescent="0.25">
      <c r="A91" s="39"/>
      <c r="B91" s="39"/>
      <c r="C91" s="39"/>
      <c r="D91" s="39"/>
      <c r="E91" s="39"/>
      <c r="F91" s="39"/>
      <c r="G91" s="39"/>
      <c r="H91" s="39"/>
      <c r="I91" s="39"/>
      <c r="J91" s="58"/>
    </row>
    <row r="92" spans="1:10" ht="15" customHeight="1" x14ac:dyDescent="0.25">
      <c r="A92" s="39"/>
      <c r="B92" s="39"/>
      <c r="C92" s="39"/>
      <c r="D92" s="39"/>
      <c r="E92" s="39"/>
      <c r="F92" s="39"/>
      <c r="G92" s="39"/>
      <c r="H92" s="39"/>
      <c r="I92" s="39"/>
      <c r="J92" s="58"/>
    </row>
    <row r="93" spans="1:10" ht="15" customHeight="1" x14ac:dyDescent="0.25">
      <c r="A93" s="39"/>
      <c r="B93" s="39"/>
      <c r="C93" s="39"/>
      <c r="D93" s="39"/>
      <c r="E93" s="39"/>
      <c r="F93" s="39"/>
      <c r="G93" s="39"/>
      <c r="H93" s="39"/>
      <c r="I93" s="39"/>
      <c r="J93" s="58"/>
    </row>
    <row r="94" spans="1:10" ht="15" customHeight="1" x14ac:dyDescent="0.25">
      <c r="A94" s="39"/>
      <c r="B94" s="39"/>
      <c r="C94" s="39"/>
      <c r="D94" s="39"/>
      <c r="E94" s="39"/>
      <c r="F94" s="39"/>
      <c r="G94" s="39"/>
      <c r="H94" s="39"/>
      <c r="I94" s="39"/>
      <c r="J94" s="58"/>
    </row>
    <row r="95" spans="1:10" ht="15" customHeight="1" x14ac:dyDescent="0.25">
      <c r="A95" s="42"/>
      <c r="B95" s="39"/>
      <c r="C95" s="39"/>
      <c r="D95" s="39"/>
      <c r="E95" s="39"/>
      <c r="F95" s="39"/>
      <c r="G95" s="39"/>
      <c r="H95" s="39"/>
      <c r="I95" s="39"/>
      <c r="J95" s="58"/>
    </row>
    <row r="96" spans="1:10" ht="15" customHeight="1" x14ac:dyDescent="0.25">
      <c r="A96" s="39"/>
      <c r="B96" s="43"/>
      <c r="C96" s="43"/>
      <c r="D96" s="43"/>
      <c r="E96" s="43"/>
      <c r="F96" s="43"/>
      <c r="G96" s="43"/>
      <c r="H96" s="43"/>
      <c r="I96" s="39"/>
      <c r="J96" s="58"/>
    </row>
    <row r="97" spans="1:10" ht="15" customHeight="1" x14ac:dyDescent="0.25">
      <c r="A97" s="42"/>
      <c r="B97" s="39"/>
      <c r="C97" s="39"/>
      <c r="D97" s="39"/>
      <c r="E97" s="39"/>
      <c r="F97" s="39"/>
      <c r="G97" s="39"/>
      <c r="H97" s="39"/>
      <c r="I97" s="39"/>
      <c r="J97" s="58"/>
    </row>
    <row r="98" spans="1:10" ht="15" customHeight="1" x14ac:dyDescent="0.25">
      <c r="A98" s="39"/>
      <c r="B98" s="39"/>
      <c r="C98" s="39"/>
      <c r="D98" s="39"/>
      <c r="E98" s="39"/>
      <c r="F98" s="39"/>
      <c r="G98" s="39"/>
      <c r="H98" s="39"/>
      <c r="I98" s="39"/>
      <c r="J98" s="58"/>
    </row>
    <row r="99" spans="1:10" ht="15" customHeight="1" x14ac:dyDescent="0.25">
      <c r="A99" s="39"/>
      <c r="B99" s="39"/>
      <c r="C99" s="39"/>
      <c r="D99" s="39"/>
      <c r="E99" s="39"/>
      <c r="F99" s="39"/>
      <c r="G99" s="39"/>
      <c r="H99" s="39"/>
      <c r="I99" s="39"/>
      <c r="J99" s="58"/>
    </row>
    <row r="100" spans="1:10" ht="15" customHeight="1" x14ac:dyDescent="0.25">
      <c r="A100" s="39"/>
      <c r="B100" s="39"/>
      <c r="C100" s="39"/>
      <c r="D100" s="39"/>
      <c r="E100" s="39"/>
      <c r="F100" s="39"/>
      <c r="G100" s="39"/>
      <c r="H100" s="39"/>
      <c r="I100" s="39"/>
      <c r="J100" s="58"/>
    </row>
    <row r="101" spans="1:10" ht="15" customHeight="1" x14ac:dyDescent="0.25">
      <c r="A101" s="39"/>
      <c r="B101" s="39"/>
      <c r="C101" s="39"/>
      <c r="D101" s="39"/>
      <c r="E101" s="39"/>
      <c r="F101" s="39"/>
      <c r="G101" s="39"/>
      <c r="H101" s="39"/>
      <c r="I101" s="39"/>
      <c r="J101" s="58"/>
    </row>
    <row r="102" spans="1:10" ht="15" customHeight="1" x14ac:dyDescent="0.25">
      <c r="A102" s="39"/>
      <c r="B102" s="39"/>
      <c r="C102" s="39"/>
      <c r="D102" s="39"/>
      <c r="E102" s="39"/>
      <c r="F102" s="39"/>
      <c r="G102" s="39"/>
      <c r="H102" s="39"/>
      <c r="I102" s="39"/>
      <c r="J102" s="58"/>
    </row>
    <row r="103" spans="1:10" ht="15" customHeight="1" x14ac:dyDescent="0.25">
      <c r="A103" s="39"/>
      <c r="B103" s="39"/>
      <c r="C103" s="39"/>
      <c r="D103" s="39"/>
      <c r="E103" s="39"/>
      <c r="F103" s="39"/>
      <c r="G103" s="39"/>
      <c r="H103" s="39"/>
      <c r="I103" s="39"/>
      <c r="J103" s="58"/>
    </row>
    <row r="104" spans="1:10" ht="15" customHeight="1" x14ac:dyDescent="0.25">
      <c r="A104" s="39"/>
      <c r="B104" s="39"/>
      <c r="C104" s="39"/>
      <c r="D104" s="39"/>
      <c r="E104" s="39"/>
      <c r="F104" s="39"/>
      <c r="G104" s="39"/>
      <c r="H104" s="39"/>
      <c r="I104" s="39"/>
      <c r="J104" s="58"/>
    </row>
    <row r="105" spans="1:10" ht="15" customHeight="1" x14ac:dyDescent="0.25">
      <c r="A105" s="39"/>
      <c r="B105" s="39"/>
      <c r="C105" s="39"/>
      <c r="D105" s="39"/>
      <c r="E105" s="39"/>
      <c r="F105" s="39"/>
      <c r="G105" s="39"/>
      <c r="H105" s="39"/>
      <c r="I105" s="39"/>
      <c r="J105" s="58"/>
    </row>
    <row r="106" spans="1:10" ht="15" customHeight="1" x14ac:dyDescent="0.25">
      <c r="A106" s="39"/>
      <c r="B106" s="39"/>
      <c r="C106" s="39"/>
      <c r="D106" s="39"/>
      <c r="E106" s="39"/>
      <c r="F106" s="39"/>
      <c r="G106" s="39"/>
      <c r="H106" s="39"/>
      <c r="I106" s="39"/>
      <c r="J106" s="58"/>
    </row>
    <row r="107" spans="1:10" ht="15" customHeight="1" x14ac:dyDescent="0.25">
      <c r="A107" s="39"/>
      <c r="B107" s="39"/>
      <c r="C107" s="39"/>
      <c r="D107" s="39"/>
      <c r="E107" s="39"/>
      <c r="F107" s="39"/>
      <c r="G107" s="39"/>
      <c r="H107" s="39"/>
      <c r="I107" s="39"/>
      <c r="J107" s="58"/>
    </row>
    <row r="108" spans="1:10" ht="15" customHeight="1" x14ac:dyDescent="0.25">
      <c r="A108" s="39"/>
      <c r="B108" s="39"/>
      <c r="C108" s="39"/>
      <c r="D108" s="39"/>
      <c r="E108" s="39"/>
      <c r="F108" s="39"/>
      <c r="G108" s="39"/>
      <c r="H108" s="39"/>
      <c r="I108" s="39"/>
      <c r="J108" s="58"/>
    </row>
    <row r="109" spans="1:10" ht="15" customHeight="1" x14ac:dyDescent="0.25">
      <c r="A109" s="39"/>
      <c r="B109" s="39"/>
      <c r="C109" s="39"/>
      <c r="D109" s="39"/>
      <c r="E109" s="39"/>
      <c r="F109" s="39"/>
      <c r="G109" s="39"/>
      <c r="H109" s="39"/>
      <c r="I109" s="39"/>
      <c r="J109" s="58"/>
    </row>
    <row r="110" spans="1:10" ht="15" customHeight="1" x14ac:dyDescent="0.25">
      <c r="A110" s="39"/>
      <c r="B110" s="39"/>
      <c r="C110" s="39"/>
      <c r="D110" s="39"/>
      <c r="E110" s="39"/>
      <c r="F110" s="39"/>
      <c r="G110" s="39"/>
      <c r="H110" s="39"/>
      <c r="I110" s="39"/>
      <c r="J110" s="58"/>
    </row>
    <row r="111" spans="1:10" ht="15" customHeight="1" x14ac:dyDescent="0.25">
      <c r="A111" s="39"/>
      <c r="B111" s="39"/>
      <c r="C111" s="39"/>
      <c r="D111" s="39"/>
      <c r="E111" s="39"/>
      <c r="F111" s="39"/>
      <c r="G111" s="39"/>
      <c r="H111" s="39"/>
      <c r="I111" s="39"/>
      <c r="J111" s="58"/>
    </row>
    <row r="112" spans="1:10" ht="15" customHeight="1" x14ac:dyDescent="0.25">
      <c r="A112" s="39"/>
      <c r="B112" s="39"/>
      <c r="C112" s="39"/>
      <c r="D112" s="39"/>
      <c r="E112" s="39"/>
      <c r="F112" s="39"/>
      <c r="G112" s="39"/>
      <c r="H112" s="39"/>
      <c r="I112" s="39"/>
      <c r="J112" s="58"/>
    </row>
    <row r="113" spans="1:10" ht="15" customHeight="1" x14ac:dyDescent="0.25">
      <c r="A113" s="39"/>
      <c r="B113" s="39"/>
      <c r="C113" s="39"/>
      <c r="D113" s="39"/>
      <c r="E113" s="39"/>
      <c r="F113" s="39"/>
      <c r="G113" s="39"/>
      <c r="H113" s="39"/>
      <c r="I113" s="39"/>
      <c r="J113" s="58"/>
    </row>
    <row r="114" spans="1:10" ht="15" customHeight="1" x14ac:dyDescent="0.25">
      <c r="A114" s="42"/>
      <c r="B114" s="39"/>
      <c r="C114" s="39"/>
      <c r="D114" s="39"/>
      <c r="E114" s="39"/>
      <c r="F114" s="39"/>
      <c r="G114" s="39"/>
      <c r="H114" s="39"/>
      <c r="I114" s="39"/>
      <c r="J114" s="58"/>
    </row>
    <row r="115" spans="1:10" ht="15" customHeight="1" x14ac:dyDescent="0.25">
      <c r="A115" s="39"/>
      <c r="B115" s="39"/>
      <c r="C115" s="39"/>
      <c r="D115" s="39"/>
      <c r="E115" s="39"/>
      <c r="F115" s="39"/>
      <c r="G115" s="39"/>
      <c r="H115" s="39"/>
      <c r="I115" s="39"/>
      <c r="J115" s="58"/>
    </row>
    <row r="116" spans="1:10" ht="15" customHeight="1" x14ac:dyDescent="0.25">
      <c r="A116" s="39"/>
      <c r="B116" s="39"/>
      <c r="C116" s="39"/>
      <c r="D116" s="39"/>
      <c r="E116" s="39"/>
      <c r="F116" s="39"/>
      <c r="G116" s="39"/>
      <c r="H116" s="39"/>
      <c r="I116" s="39"/>
      <c r="J116" s="58"/>
    </row>
    <row r="117" spans="1:10" ht="15" customHeight="1" x14ac:dyDescent="0.25">
      <c r="A117" s="39"/>
      <c r="B117" s="39"/>
      <c r="C117" s="39"/>
      <c r="D117" s="39"/>
      <c r="E117" s="39"/>
      <c r="F117" s="39"/>
      <c r="G117" s="39"/>
      <c r="H117" s="39"/>
      <c r="I117" s="39"/>
      <c r="J117" s="58"/>
    </row>
    <row r="118" spans="1:10" ht="15" customHeight="1" x14ac:dyDescent="0.25">
      <c r="A118" s="39"/>
      <c r="B118" s="39"/>
      <c r="C118" s="39"/>
      <c r="D118" s="39"/>
      <c r="E118" s="39"/>
      <c r="F118" s="39"/>
      <c r="G118" s="39"/>
      <c r="H118" s="39"/>
      <c r="I118" s="39"/>
      <c r="J118" s="58"/>
    </row>
    <row r="119" spans="1:10" ht="15" customHeight="1" x14ac:dyDescent="0.25">
      <c r="A119" s="39"/>
      <c r="B119" s="39"/>
      <c r="C119" s="39"/>
      <c r="D119" s="39"/>
      <c r="E119" s="39"/>
      <c r="F119" s="39"/>
      <c r="G119" s="39"/>
      <c r="H119" s="39"/>
      <c r="I119" s="39"/>
      <c r="J119" s="58"/>
    </row>
    <row r="120" spans="1:10" ht="15" customHeight="1" x14ac:dyDescent="0.25">
      <c r="A120" s="39"/>
      <c r="B120" s="39"/>
      <c r="C120" s="39"/>
      <c r="D120" s="39"/>
      <c r="E120" s="39"/>
      <c r="F120" s="39"/>
      <c r="G120" s="39"/>
      <c r="H120" s="39"/>
      <c r="I120" s="39"/>
      <c r="J120" s="58"/>
    </row>
    <row r="121" spans="1:10" ht="15" customHeight="1" x14ac:dyDescent="0.25">
      <c r="A121" s="39"/>
      <c r="B121" s="39"/>
      <c r="C121" s="39"/>
      <c r="D121" s="39"/>
      <c r="E121" s="39"/>
      <c r="F121" s="39"/>
      <c r="G121" s="39"/>
      <c r="H121" s="39"/>
      <c r="I121" s="39"/>
      <c r="J121" s="58"/>
    </row>
    <row r="122" spans="1:10" ht="15" customHeight="1" x14ac:dyDescent="0.25">
      <c r="A122" s="39"/>
      <c r="B122" s="39"/>
      <c r="C122" s="39"/>
      <c r="D122" s="39"/>
      <c r="E122" s="39"/>
      <c r="F122" s="39"/>
      <c r="G122" s="39"/>
      <c r="H122" s="39"/>
      <c r="I122" s="39"/>
      <c r="J122" s="58"/>
    </row>
    <row r="123" spans="1:10" ht="15" customHeight="1" x14ac:dyDescent="0.25">
      <c r="A123" s="42"/>
      <c r="B123" s="39"/>
      <c r="C123" s="39"/>
      <c r="D123" s="39"/>
      <c r="E123" s="39"/>
      <c r="F123" s="39"/>
      <c r="G123" s="39"/>
      <c r="H123" s="39"/>
      <c r="I123" s="39"/>
      <c r="J123" s="58"/>
    </row>
    <row r="124" spans="1:10" ht="15" customHeight="1" x14ac:dyDescent="0.25">
      <c r="A124" s="39"/>
      <c r="B124" s="43"/>
      <c r="C124" s="43"/>
      <c r="D124" s="43"/>
      <c r="E124" s="43"/>
      <c r="F124" s="43"/>
      <c r="G124" s="43"/>
      <c r="H124" s="43"/>
      <c r="I124" s="39"/>
      <c r="J124" s="58"/>
    </row>
    <row r="125" spans="1:10" ht="15" customHeight="1" x14ac:dyDescent="0.25">
      <c r="A125" s="42"/>
      <c r="B125" s="39"/>
      <c r="C125" s="39"/>
      <c r="D125" s="39"/>
      <c r="E125" s="39"/>
      <c r="F125" s="39"/>
      <c r="G125" s="39"/>
      <c r="H125" s="39"/>
      <c r="I125" s="39"/>
      <c r="J125" s="58"/>
    </row>
    <row r="126" spans="1:10" ht="15" customHeight="1" x14ac:dyDescent="0.25">
      <c r="A126" s="39"/>
      <c r="B126" s="39"/>
      <c r="C126" s="39"/>
      <c r="D126" s="39"/>
      <c r="E126" s="39"/>
      <c r="F126" s="39"/>
      <c r="G126" s="39"/>
      <c r="H126" s="39"/>
      <c r="I126" s="39"/>
      <c r="J126" s="58"/>
    </row>
    <row r="127" spans="1:10" ht="15" customHeight="1" x14ac:dyDescent="0.25">
      <c r="A127" s="39"/>
      <c r="B127" s="39"/>
      <c r="C127" s="39"/>
      <c r="D127" s="39"/>
      <c r="E127" s="39"/>
      <c r="F127" s="39"/>
      <c r="G127" s="39"/>
      <c r="H127" s="39"/>
      <c r="I127" s="39"/>
      <c r="J127" s="58"/>
    </row>
    <row r="128" spans="1:10" ht="15" customHeight="1" x14ac:dyDescent="0.25">
      <c r="A128" s="39"/>
      <c r="B128" s="39"/>
      <c r="C128" s="39"/>
      <c r="D128" s="39"/>
      <c r="E128" s="39"/>
      <c r="F128" s="39"/>
      <c r="G128" s="39"/>
      <c r="H128" s="39"/>
      <c r="I128" s="39"/>
      <c r="J128" s="58"/>
    </row>
    <row r="129" spans="1:10" ht="15" customHeight="1" x14ac:dyDescent="0.25">
      <c r="A129" s="39"/>
      <c r="B129" s="39"/>
      <c r="C129" s="39"/>
      <c r="D129" s="39"/>
      <c r="E129" s="39"/>
      <c r="F129" s="39"/>
      <c r="G129" s="39"/>
      <c r="H129" s="39"/>
      <c r="I129" s="39"/>
      <c r="J129" s="58"/>
    </row>
    <row r="130" spans="1:10" ht="15" customHeight="1" x14ac:dyDescent="0.25">
      <c r="A130" s="39"/>
      <c r="B130" s="39"/>
      <c r="C130" s="39"/>
      <c r="D130" s="39"/>
      <c r="E130" s="39"/>
      <c r="F130" s="39"/>
      <c r="G130" s="39"/>
      <c r="H130" s="39"/>
      <c r="I130" s="39"/>
      <c r="J130" s="58"/>
    </row>
    <row r="131" spans="1:10" ht="15" customHeight="1" x14ac:dyDescent="0.25">
      <c r="A131" s="39"/>
      <c r="B131" s="39"/>
      <c r="C131" s="39"/>
      <c r="D131" s="39"/>
      <c r="E131" s="39"/>
      <c r="F131" s="39"/>
      <c r="G131" s="39"/>
      <c r="H131" s="39"/>
      <c r="I131" s="39"/>
      <c r="J131" s="58"/>
    </row>
    <row r="132" spans="1:10" ht="15" customHeight="1" x14ac:dyDescent="0.25">
      <c r="A132" s="39"/>
      <c r="B132" s="39"/>
      <c r="C132" s="39"/>
      <c r="D132" s="39"/>
      <c r="E132" s="39"/>
      <c r="F132" s="39"/>
      <c r="G132" s="39"/>
      <c r="H132" s="39"/>
      <c r="I132" s="39"/>
      <c r="J132" s="58"/>
    </row>
    <row r="133" spans="1:10" ht="15" customHeight="1" x14ac:dyDescent="0.25">
      <c r="A133" s="39"/>
      <c r="B133" s="39"/>
      <c r="C133" s="39"/>
      <c r="D133" s="39"/>
      <c r="E133" s="39"/>
      <c r="F133" s="39"/>
      <c r="G133" s="39"/>
      <c r="H133" s="39"/>
      <c r="I133" s="39"/>
      <c r="J133" s="58"/>
    </row>
    <row r="134" spans="1:10" ht="15" customHeight="1" x14ac:dyDescent="0.25">
      <c r="A134" s="39"/>
      <c r="B134" s="39"/>
      <c r="C134" s="39"/>
      <c r="D134" s="39"/>
      <c r="E134" s="39"/>
      <c r="F134" s="39"/>
      <c r="G134" s="39"/>
      <c r="H134" s="39"/>
      <c r="I134" s="39"/>
      <c r="J134" s="58"/>
    </row>
    <row r="135" spans="1:10" ht="15" customHeight="1" x14ac:dyDescent="0.25">
      <c r="A135" s="39"/>
      <c r="B135" s="39"/>
      <c r="C135" s="39"/>
      <c r="D135" s="39"/>
      <c r="E135" s="39"/>
      <c r="F135" s="39"/>
      <c r="G135" s="39"/>
      <c r="H135" s="39"/>
      <c r="I135" s="39"/>
      <c r="J135" s="58"/>
    </row>
    <row r="136" spans="1:10" ht="15" customHeight="1" x14ac:dyDescent="0.25">
      <c r="A136" s="39"/>
      <c r="B136" s="39"/>
      <c r="C136" s="39"/>
      <c r="D136" s="39"/>
      <c r="E136" s="39"/>
      <c r="F136" s="39"/>
      <c r="G136" s="39"/>
      <c r="H136" s="39"/>
      <c r="I136" s="39"/>
      <c r="J136" s="58"/>
    </row>
    <row r="137" spans="1:10" ht="15" customHeight="1" x14ac:dyDescent="0.25">
      <c r="A137" s="39"/>
      <c r="B137" s="39"/>
      <c r="C137" s="39"/>
      <c r="D137" s="39"/>
      <c r="E137" s="39"/>
      <c r="F137" s="39"/>
      <c r="G137" s="39"/>
      <c r="H137" s="39"/>
      <c r="I137" s="39"/>
      <c r="J137" s="58"/>
    </row>
    <row r="138" spans="1:10" ht="15" customHeight="1" x14ac:dyDescent="0.25">
      <c r="A138" s="39"/>
      <c r="B138" s="39"/>
      <c r="C138" s="39"/>
      <c r="D138" s="39"/>
      <c r="E138" s="39"/>
      <c r="F138" s="39"/>
      <c r="G138" s="39"/>
      <c r="H138" s="39"/>
      <c r="I138" s="39"/>
      <c r="J138" s="58"/>
    </row>
    <row r="139" spans="1:10" ht="15" customHeight="1" x14ac:dyDescent="0.25">
      <c r="A139" s="39"/>
      <c r="B139" s="39"/>
      <c r="C139" s="39"/>
      <c r="D139" s="39"/>
      <c r="E139" s="39"/>
      <c r="F139" s="39"/>
      <c r="G139" s="39"/>
      <c r="H139" s="39"/>
      <c r="I139" s="39"/>
      <c r="J139" s="58"/>
    </row>
    <row r="140" spans="1:10" ht="15" customHeight="1" x14ac:dyDescent="0.25">
      <c r="A140" s="39"/>
      <c r="B140" s="39"/>
      <c r="C140" s="39"/>
      <c r="D140" s="39"/>
      <c r="E140" s="39"/>
      <c r="F140" s="39"/>
      <c r="G140" s="39"/>
      <c r="H140" s="39"/>
      <c r="I140" s="39"/>
      <c r="J140" s="58"/>
    </row>
    <row r="141" spans="1:10" ht="15" customHeight="1" x14ac:dyDescent="0.25">
      <c r="A141" s="39"/>
      <c r="B141" s="39"/>
      <c r="C141" s="39"/>
      <c r="D141" s="39"/>
      <c r="E141" s="39"/>
      <c r="F141" s="39"/>
      <c r="G141" s="39"/>
      <c r="H141" s="39"/>
      <c r="I141" s="39"/>
      <c r="J141" s="58"/>
    </row>
    <row r="142" spans="1:10" ht="15" customHeight="1" x14ac:dyDescent="0.25">
      <c r="A142" s="42"/>
      <c r="B142" s="39"/>
      <c r="C142" s="39"/>
      <c r="D142" s="39"/>
      <c r="E142" s="39"/>
      <c r="F142" s="39"/>
      <c r="G142" s="39"/>
      <c r="H142" s="39"/>
      <c r="I142" s="39"/>
      <c r="J142" s="58"/>
    </row>
    <row r="143" spans="1:10" ht="15" customHeight="1" x14ac:dyDescent="0.25">
      <c r="A143" s="39"/>
      <c r="B143" s="39"/>
      <c r="C143" s="39"/>
      <c r="D143" s="39"/>
      <c r="E143" s="39"/>
      <c r="F143" s="39"/>
      <c r="G143" s="39"/>
      <c r="H143" s="39"/>
      <c r="I143" s="39"/>
      <c r="J143" s="58"/>
    </row>
    <row r="144" spans="1:10" ht="15" customHeight="1" x14ac:dyDescent="0.25">
      <c r="A144" s="39"/>
      <c r="B144" s="39"/>
      <c r="C144" s="39"/>
      <c r="D144" s="39"/>
      <c r="E144" s="39"/>
      <c r="F144" s="39"/>
      <c r="G144" s="39"/>
      <c r="H144" s="39"/>
      <c r="I144" s="39"/>
      <c r="J144" s="58"/>
    </row>
    <row r="145" spans="1:10" ht="15" customHeight="1" x14ac:dyDescent="0.25">
      <c r="A145" s="39"/>
      <c r="B145" s="39"/>
      <c r="C145" s="39"/>
      <c r="D145" s="39"/>
      <c r="E145" s="39"/>
      <c r="F145" s="39"/>
      <c r="G145" s="39"/>
      <c r="H145" s="39"/>
      <c r="I145" s="39"/>
      <c r="J145" s="58"/>
    </row>
    <row r="146" spans="1:10" ht="15" customHeight="1" x14ac:dyDescent="0.25">
      <c r="A146" s="39"/>
      <c r="B146" s="39"/>
      <c r="C146" s="39"/>
      <c r="D146" s="39"/>
      <c r="E146" s="39"/>
      <c r="F146" s="39"/>
      <c r="G146" s="39"/>
      <c r="H146" s="39"/>
      <c r="I146" s="39"/>
      <c r="J146" s="58"/>
    </row>
    <row r="147" spans="1:10" ht="15" customHeight="1" x14ac:dyDescent="0.25">
      <c r="A147" s="39"/>
      <c r="B147" s="39"/>
      <c r="C147" s="39"/>
      <c r="D147" s="39"/>
      <c r="E147" s="39"/>
      <c r="F147" s="39"/>
      <c r="G147" s="39"/>
      <c r="H147" s="39"/>
      <c r="I147" s="39"/>
      <c r="J147" s="58"/>
    </row>
    <row r="148" spans="1:10" ht="15" customHeight="1" x14ac:dyDescent="0.25">
      <c r="A148" s="39"/>
      <c r="B148" s="39"/>
      <c r="C148" s="39"/>
      <c r="D148" s="39"/>
      <c r="E148" s="39"/>
      <c r="F148" s="39"/>
      <c r="G148" s="39"/>
      <c r="H148" s="39"/>
      <c r="I148" s="39"/>
      <c r="J148" s="58"/>
    </row>
    <row r="149" spans="1:10" ht="15" customHeight="1" x14ac:dyDescent="0.25">
      <c r="A149" s="39"/>
      <c r="B149" s="39"/>
      <c r="C149" s="39"/>
      <c r="D149" s="39"/>
      <c r="E149" s="39"/>
      <c r="F149" s="39"/>
      <c r="G149" s="39"/>
      <c r="H149" s="39"/>
      <c r="I149" s="39"/>
      <c r="J149" s="58"/>
    </row>
    <row r="150" spans="1:10" ht="15" customHeight="1" x14ac:dyDescent="0.25">
      <c r="A150" s="39"/>
      <c r="B150" s="39"/>
      <c r="C150" s="39"/>
      <c r="D150" s="39"/>
      <c r="E150" s="39"/>
      <c r="F150" s="39"/>
      <c r="G150" s="39"/>
      <c r="H150" s="39"/>
      <c r="I150" s="39"/>
      <c r="J150" s="58"/>
    </row>
    <row r="151" spans="1:10" ht="15" customHeight="1" x14ac:dyDescent="0.25">
      <c r="A151" s="39"/>
      <c r="B151" s="39"/>
      <c r="C151" s="39"/>
      <c r="D151" s="39"/>
      <c r="E151" s="39"/>
      <c r="F151" s="39"/>
      <c r="G151" s="39"/>
      <c r="H151" s="39"/>
      <c r="I151" s="39"/>
      <c r="J151" s="58"/>
    </row>
    <row r="152" spans="1:10" ht="15" customHeight="1" x14ac:dyDescent="0.25">
      <c r="A152" s="39"/>
      <c r="B152" s="39"/>
      <c r="C152" s="39"/>
      <c r="D152" s="39"/>
      <c r="E152" s="39"/>
      <c r="F152" s="39"/>
      <c r="G152" s="39"/>
      <c r="H152" s="39"/>
      <c r="I152" s="39"/>
      <c r="J152" s="58"/>
    </row>
    <row r="153" spans="1:10" ht="15" customHeight="1" x14ac:dyDescent="0.25">
      <c r="A153" s="39"/>
      <c r="B153" s="39"/>
      <c r="C153" s="39"/>
      <c r="D153" s="39"/>
      <c r="E153" s="39"/>
      <c r="F153" s="39"/>
      <c r="G153" s="39"/>
      <c r="H153" s="39"/>
      <c r="I153" s="39"/>
      <c r="J153" s="58"/>
    </row>
    <row r="154" spans="1:10" ht="15" customHeight="1" x14ac:dyDescent="0.25">
      <c r="A154" s="39"/>
      <c r="B154" s="39"/>
      <c r="C154" s="39"/>
      <c r="D154" s="39"/>
      <c r="E154" s="39"/>
      <c r="F154" s="39"/>
      <c r="G154" s="39"/>
      <c r="H154" s="39"/>
      <c r="I154" s="39"/>
      <c r="J154" s="58"/>
    </row>
    <row r="155" spans="1:10" ht="15" customHeight="1" x14ac:dyDescent="0.25">
      <c r="A155" s="39"/>
      <c r="B155" s="39"/>
      <c r="C155" s="39"/>
      <c r="D155" s="39"/>
      <c r="E155" s="39"/>
      <c r="F155" s="39"/>
      <c r="G155" s="39"/>
      <c r="H155" s="39"/>
      <c r="I155" s="39"/>
      <c r="J155" s="58"/>
    </row>
    <row r="156" spans="1:10" ht="15" customHeight="1" x14ac:dyDescent="0.25">
      <c r="A156" s="39"/>
      <c r="B156" s="39"/>
      <c r="C156" s="39"/>
      <c r="D156" s="39"/>
      <c r="E156" s="39"/>
      <c r="F156" s="39"/>
      <c r="G156" s="39"/>
      <c r="H156" s="39"/>
      <c r="I156" s="39"/>
      <c r="J156" s="58"/>
    </row>
    <row r="157" spans="1:10" ht="15" customHeight="1" x14ac:dyDescent="0.25">
      <c r="A157" s="39"/>
      <c r="B157" s="39"/>
      <c r="C157" s="39"/>
      <c r="D157" s="39"/>
      <c r="E157" s="39"/>
      <c r="F157" s="39"/>
      <c r="G157" s="39"/>
      <c r="H157" s="39"/>
      <c r="I157" s="39"/>
      <c r="J157" s="58"/>
    </row>
    <row r="158" spans="1:10" ht="15" customHeight="1" x14ac:dyDescent="0.25">
      <c r="A158" s="39"/>
      <c r="B158" s="39"/>
      <c r="C158" s="39"/>
      <c r="D158" s="39"/>
      <c r="E158" s="39"/>
      <c r="F158" s="39"/>
      <c r="G158" s="39"/>
      <c r="H158" s="39"/>
      <c r="I158" s="39"/>
      <c r="J158" s="58"/>
    </row>
    <row r="159" spans="1:10" ht="15" customHeight="1" x14ac:dyDescent="0.25">
      <c r="A159" s="39"/>
      <c r="B159" s="39"/>
      <c r="C159" s="39"/>
      <c r="D159" s="39"/>
      <c r="E159" s="39"/>
      <c r="F159" s="39"/>
      <c r="G159" s="39"/>
      <c r="H159" s="39"/>
      <c r="I159" s="39"/>
      <c r="J159" s="58"/>
    </row>
  </sheetData>
  <mergeCells count="31">
    <mergeCell ref="A29:B29"/>
    <mergeCell ref="A26:B26"/>
    <mergeCell ref="U26:U32"/>
    <mergeCell ref="U5:U9"/>
    <mergeCell ref="A4:C4"/>
    <mergeCell ref="D4:I4"/>
    <mergeCell ref="A28:B28"/>
    <mergeCell ref="A11:B11"/>
    <mergeCell ref="A27:B27"/>
    <mergeCell ref="A25:B25"/>
    <mergeCell ref="A15:B15"/>
    <mergeCell ref="A6:B6"/>
    <mergeCell ref="A8:B8"/>
    <mergeCell ref="A13:B13"/>
    <mergeCell ref="A12:B12"/>
    <mergeCell ref="A9:B9"/>
    <mergeCell ref="A34:B34"/>
    <mergeCell ref="A35:B35"/>
    <mergeCell ref="A33:B33"/>
    <mergeCell ref="A30:B30"/>
    <mergeCell ref="A31:B31"/>
    <mergeCell ref="A32:B32"/>
    <mergeCell ref="A18:B19"/>
    <mergeCell ref="A1:K1"/>
    <mergeCell ref="A10:B10"/>
    <mergeCell ref="A14:B14"/>
    <mergeCell ref="A17:B17"/>
    <mergeCell ref="A2:K2"/>
    <mergeCell ref="A3:Q3"/>
    <mergeCell ref="K4:Q4"/>
    <mergeCell ref="A5:Q5"/>
  </mergeCells>
  <pageMargins left="0.31496062992125984" right="0.11811023622047245" top="0.78740157480314965" bottom="0.78740157480314965" header="0.31496062992125984" footer="0.31496062992125984"/>
  <pageSetup paperSize="9" scale="95" orientation="portrait" verticalDpi="4" r:id="rId1"/>
  <headerFooter>
    <oddHeader>&amp;L&amp;"-,Negrito"&amp;9PODER JUDICIÁRIO
CONSELHO DA JUSTIÇA FEDERAL</oddHeader>
  </headerFooter>
  <rowBreaks count="2" manualBreakCount="2">
    <brk id="60" max="16383" man="1"/>
    <brk id="118"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157"/>
  <sheetViews>
    <sheetView showGridLines="0" zoomScale="90" zoomScaleNormal="90" workbookViewId="0">
      <selection activeCell="Y26" sqref="Y26"/>
    </sheetView>
  </sheetViews>
  <sheetFormatPr defaultColWidth="9.140625" defaultRowHeight="15" customHeight="1" x14ac:dyDescent="0.25"/>
  <cols>
    <col min="1" max="1" width="50.7109375" style="44" customWidth="1"/>
    <col min="2" max="2" width="10.7109375" style="44" customWidth="1"/>
    <col min="3" max="3" width="16.7109375" style="44" customWidth="1"/>
    <col min="4" max="8" width="16.7109375" style="44" hidden="1" customWidth="1"/>
    <col min="9" max="9" width="16.7109375" style="53" hidden="1" customWidth="1"/>
    <col min="10" max="10" width="19.28515625" style="53" hidden="1" customWidth="1"/>
    <col min="11" max="11" width="19.42578125" style="53" hidden="1" customWidth="1"/>
    <col min="12" max="12" width="20.5703125" style="53" hidden="1" customWidth="1"/>
    <col min="13" max="13" width="18.28515625" style="53" hidden="1" customWidth="1"/>
    <col min="14" max="14" width="20.28515625" style="53" hidden="1" customWidth="1"/>
    <col min="15" max="15" width="20.140625" style="53" hidden="1" customWidth="1"/>
    <col min="16" max="16" width="19.28515625" style="53" hidden="1" customWidth="1"/>
    <col min="17" max="17" width="20.140625" style="53" hidden="1" customWidth="1"/>
    <col min="18" max="18" width="19.42578125" style="53" hidden="1" customWidth="1"/>
    <col min="19" max="19" width="20.140625" style="53" hidden="1" customWidth="1"/>
    <col min="20" max="20" width="19.5703125" style="53" hidden="1" customWidth="1"/>
    <col min="21" max="21" width="19.5703125" style="53" customWidth="1"/>
    <col min="22" max="22" width="9.140625" style="44"/>
    <col min="23" max="23" width="206" style="44" hidden="1" customWidth="1"/>
    <col min="24" max="16384" width="9.140625" style="44"/>
  </cols>
  <sheetData>
    <row r="1" spans="1:23" ht="15" customHeight="1" x14ac:dyDescent="0.25">
      <c r="A1" s="608"/>
      <c r="B1" s="608"/>
      <c r="C1" s="608"/>
      <c r="D1" s="608"/>
      <c r="E1" s="608"/>
      <c r="F1" s="608"/>
      <c r="G1" s="608"/>
      <c r="H1" s="608"/>
      <c r="I1" s="608"/>
      <c r="J1" s="609"/>
    </row>
    <row r="2" spans="1:23" ht="24" customHeight="1" x14ac:dyDescent="0.25">
      <c r="A2" s="565" t="s">
        <v>517</v>
      </c>
      <c r="B2" s="565"/>
      <c r="C2" s="565"/>
      <c r="D2" s="565"/>
      <c r="E2" s="565"/>
      <c r="F2" s="565"/>
      <c r="G2" s="565"/>
      <c r="H2" s="565"/>
      <c r="I2" s="565"/>
      <c r="J2" s="565"/>
      <c r="K2" s="44"/>
      <c r="L2" s="44"/>
      <c r="M2" s="44"/>
      <c r="N2" s="44"/>
      <c r="O2" s="44"/>
      <c r="P2" s="44"/>
      <c r="Q2" s="44"/>
      <c r="R2" s="44"/>
      <c r="S2" s="44"/>
      <c r="T2" s="44"/>
    </row>
    <row r="3" spans="1:23" ht="15" customHeight="1" x14ac:dyDescent="0.25">
      <c r="A3" s="568" t="s">
        <v>66</v>
      </c>
      <c r="B3" s="568"/>
      <c r="C3" s="568"/>
      <c r="D3" s="568"/>
      <c r="E3" s="568"/>
      <c r="F3" s="568"/>
      <c r="G3" s="568"/>
      <c r="H3" s="568"/>
      <c r="I3" s="568"/>
      <c r="J3" s="568"/>
      <c r="K3" s="568"/>
      <c r="L3" s="568"/>
      <c r="M3" s="568"/>
      <c r="N3" s="568"/>
      <c r="O3" s="568"/>
      <c r="P3" s="568"/>
      <c r="Q3" s="568"/>
      <c r="R3" s="568"/>
      <c r="S3" s="568"/>
      <c r="T3" s="568"/>
      <c r="U3" s="568"/>
    </row>
    <row r="4" spans="1:23" ht="37.5" customHeight="1" x14ac:dyDescent="0.25">
      <c r="A4" s="388" t="s">
        <v>171</v>
      </c>
      <c r="B4" s="389"/>
      <c r="C4" s="563" t="s">
        <v>172</v>
      </c>
      <c r="D4" s="388" t="s">
        <v>172</v>
      </c>
      <c r="E4" s="389"/>
      <c r="F4" s="570" t="s">
        <v>391</v>
      </c>
      <c r="G4" s="571"/>
      <c r="H4" s="571"/>
      <c r="I4" s="571"/>
      <c r="J4" s="572"/>
      <c r="K4" s="610" t="s">
        <v>457</v>
      </c>
      <c r="L4" s="610"/>
      <c r="M4" s="610"/>
      <c r="N4" s="610"/>
      <c r="O4" s="610"/>
      <c r="P4" s="610"/>
      <c r="Q4" s="610"/>
      <c r="R4" s="610"/>
      <c r="S4" s="55"/>
      <c r="T4" s="55"/>
      <c r="U4" s="564" t="s">
        <v>457</v>
      </c>
    </row>
    <row r="5" spans="1:23" ht="15" customHeight="1" x14ac:dyDescent="0.25">
      <c r="A5" s="620" t="s">
        <v>390</v>
      </c>
      <c r="B5" s="621"/>
      <c r="C5" s="621"/>
      <c r="D5" s="621"/>
      <c r="E5" s="621"/>
      <c r="F5" s="621"/>
      <c r="G5" s="621"/>
      <c r="H5" s="621"/>
      <c r="I5" s="621"/>
      <c r="J5" s="621"/>
      <c r="K5" s="607"/>
      <c r="L5" s="607"/>
      <c r="M5" s="607"/>
      <c r="N5" s="622"/>
      <c r="O5" s="382"/>
      <c r="P5" s="382"/>
      <c r="Q5" s="382"/>
      <c r="R5" s="382"/>
      <c r="S5" s="382"/>
      <c r="T5" s="382"/>
      <c r="U5" s="382"/>
      <c r="W5" s="331" t="s">
        <v>325</v>
      </c>
    </row>
    <row r="6" spans="1:23" ht="66.75" customHeight="1" x14ac:dyDescent="0.25">
      <c r="A6" s="568" t="s">
        <v>69</v>
      </c>
      <c r="B6" s="568"/>
      <c r="C6" s="123" t="s">
        <v>285</v>
      </c>
      <c r="D6" s="287" t="s">
        <v>286</v>
      </c>
      <c r="E6" s="123" t="s">
        <v>287</v>
      </c>
      <c r="F6" s="448" t="s">
        <v>290</v>
      </c>
      <c r="G6" s="439" t="s">
        <v>289</v>
      </c>
      <c r="H6" s="439" t="s">
        <v>292</v>
      </c>
      <c r="I6" s="123" t="s">
        <v>501</v>
      </c>
      <c r="J6" s="123" t="s">
        <v>502</v>
      </c>
      <c r="K6" s="123" t="s">
        <v>511</v>
      </c>
      <c r="L6" s="123" t="s">
        <v>380</v>
      </c>
      <c r="M6" s="123" t="s">
        <v>381</v>
      </c>
      <c r="N6" s="123" t="s">
        <v>512</v>
      </c>
      <c r="O6" s="123" t="s">
        <v>384</v>
      </c>
      <c r="P6" s="123" t="s">
        <v>385</v>
      </c>
      <c r="Q6" s="123" t="s">
        <v>513</v>
      </c>
      <c r="R6" s="123" t="s">
        <v>386</v>
      </c>
      <c r="S6" s="123" t="s">
        <v>404</v>
      </c>
      <c r="T6" s="450" t="s">
        <v>400</v>
      </c>
      <c r="U6" s="123" t="s">
        <v>510</v>
      </c>
      <c r="W6" s="356" t="s">
        <v>331</v>
      </c>
    </row>
    <row r="7" spans="1:23" ht="15" customHeight="1" x14ac:dyDescent="0.25">
      <c r="A7" s="95" t="s">
        <v>60</v>
      </c>
      <c r="B7" s="96"/>
      <c r="C7" s="308">
        <v>1553.46</v>
      </c>
      <c r="D7" s="101">
        <f>ROUND((1553.46*1.0657),2)</f>
        <v>1655.52</v>
      </c>
      <c r="E7" s="101">
        <f>ROUND((1553.46*1.0657),2)</f>
        <v>1655.52</v>
      </c>
      <c r="F7" s="101">
        <f>ROUND((1553.46*1.0657),2)</f>
        <v>1655.52</v>
      </c>
      <c r="G7" s="301">
        <f>ROUND((1553.46*1.0657),2)</f>
        <v>1655.52</v>
      </c>
      <c r="H7" s="101">
        <f>ROUND((1655.52*1.031),2)</f>
        <v>1706.84</v>
      </c>
      <c r="I7" s="101">
        <f>ROUND((1655.52*1.031),2)</f>
        <v>1706.84</v>
      </c>
      <c r="J7" s="101">
        <v>1770</v>
      </c>
      <c r="K7" s="101">
        <v>1770</v>
      </c>
      <c r="L7" s="101">
        <f t="shared" ref="L7:S7" si="0">ROUND(1770*1.032,2)</f>
        <v>1826.64</v>
      </c>
      <c r="M7" s="101">
        <f t="shared" si="0"/>
        <v>1826.64</v>
      </c>
      <c r="N7" s="101">
        <f t="shared" si="0"/>
        <v>1826.64</v>
      </c>
      <c r="O7" s="101">
        <f t="shared" si="0"/>
        <v>1826.64</v>
      </c>
      <c r="P7" s="101">
        <f t="shared" si="0"/>
        <v>1826.64</v>
      </c>
      <c r="Q7" s="101">
        <f t="shared" si="0"/>
        <v>1826.64</v>
      </c>
      <c r="R7" s="101">
        <f t="shared" si="0"/>
        <v>1826.64</v>
      </c>
      <c r="S7" s="101">
        <f t="shared" si="0"/>
        <v>1826.64</v>
      </c>
      <c r="T7" s="101">
        <f>ROUND(S7*1.041,2)</f>
        <v>1901.53</v>
      </c>
      <c r="U7" s="101">
        <f>ROUND(S7*1.041,2)</f>
        <v>1901.53</v>
      </c>
      <c r="W7" s="588" t="s">
        <v>332</v>
      </c>
    </row>
    <row r="8" spans="1:23" ht="15" customHeight="1" x14ac:dyDescent="0.25">
      <c r="A8" s="623" t="s">
        <v>64</v>
      </c>
      <c r="B8" s="623"/>
      <c r="C8" s="98">
        <f t="shared" ref="C8:I8" si="1">SUM(C7:C7)</f>
        <v>1553.46</v>
      </c>
      <c r="D8" s="100">
        <f t="shared" si="1"/>
        <v>1655.52</v>
      </c>
      <c r="E8" s="100">
        <f t="shared" si="1"/>
        <v>1655.52</v>
      </c>
      <c r="F8" s="100">
        <f t="shared" si="1"/>
        <v>1655.52</v>
      </c>
      <c r="G8" s="100">
        <f t="shared" si="1"/>
        <v>1655.52</v>
      </c>
      <c r="H8" s="100">
        <f t="shared" si="1"/>
        <v>1706.84</v>
      </c>
      <c r="I8" s="100">
        <f t="shared" si="1"/>
        <v>1706.84</v>
      </c>
      <c r="J8" s="100">
        <f t="shared" ref="J8:T8" si="2">SUM(J7:J7)</f>
        <v>1770</v>
      </c>
      <c r="K8" s="100">
        <f t="shared" si="2"/>
        <v>1770</v>
      </c>
      <c r="L8" s="100">
        <f t="shared" si="2"/>
        <v>1826.64</v>
      </c>
      <c r="M8" s="100">
        <f t="shared" si="2"/>
        <v>1826.64</v>
      </c>
      <c r="N8" s="100">
        <f t="shared" si="2"/>
        <v>1826.64</v>
      </c>
      <c r="O8" s="100">
        <f t="shared" si="2"/>
        <v>1826.64</v>
      </c>
      <c r="P8" s="100">
        <f t="shared" si="2"/>
        <v>1826.64</v>
      </c>
      <c r="Q8" s="100">
        <f t="shared" ref="Q8" si="3">SUM(Q7:Q7)</f>
        <v>1826.64</v>
      </c>
      <c r="R8" s="100">
        <f t="shared" si="2"/>
        <v>1826.64</v>
      </c>
      <c r="S8" s="100">
        <f t="shared" si="2"/>
        <v>1826.64</v>
      </c>
      <c r="T8" s="100">
        <f t="shared" si="2"/>
        <v>1901.53</v>
      </c>
      <c r="U8" s="100">
        <f>ROUND(S8*1.041,2)</f>
        <v>1901.53</v>
      </c>
      <c r="W8" s="589"/>
    </row>
    <row r="9" spans="1:23" ht="15" customHeight="1" x14ac:dyDescent="0.25">
      <c r="A9" s="623" t="s">
        <v>50</v>
      </c>
      <c r="B9" s="623"/>
      <c r="C9" s="97" t="s">
        <v>158</v>
      </c>
      <c r="D9" s="111" t="s">
        <v>158</v>
      </c>
      <c r="E9" s="111" t="s">
        <v>158</v>
      </c>
      <c r="F9" s="111" t="s">
        <v>158</v>
      </c>
      <c r="G9" s="111" t="s">
        <v>158</v>
      </c>
      <c r="H9" s="111" t="s">
        <v>158</v>
      </c>
      <c r="I9" s="111" t="s">
        <v>158</v>
      </c>
      <c r="J9" s="111" t="s">
        <v>158</v>
      </c>
      <c r="K9" s="111" t="s">
        <v>158</v>
      </c>
      <c r="L9" s="111" t="s">
        <v>158</v>
      </c>
      <c r="M9" s="111" t="s">
        <v>158</v>
      </c>
      <c r="N9" s="111" t="s">
        <v>158</v>
      </c>
      <c r="O9" s="111" t="s">
        <v>158</v>
      </c>
      <c r="P9" s="111" t="s">
        <v>158</v>
      </c>
      <c r="Q9" s="111" t="s">
        <v>158</v>
      </c>
      <c r="R9" s="111" t="s">
        <v>158</v>
      </c>
      <c r="S9" s="111" t="s">
        <v>158</v>
      </c>
      <c r="T9" s="111" t="s">
        <v>158</v>
      </c>
      <c r="U9" s="111" t="s">
        <v>158</v>
      </c>
      <c r="W9" s="589"/>
    </row>
    <row r="10" spans="1:23" ht="15" customHeight="1" x14ac:dyDescent="0.25">
      <c r="A10" s="599" t="s">
        <v>9</v>
      </c>
      <c r="B10" s="599"/>
      <c r="C10" s="308">
        <f>ROUND((22*8-C7*6%),2)</f>
        <v>82.79</v>
      </c>
      <c r="D10" s="101">
        <f>ROUND((22*8-D7*6%),2)</f>
        <v>76.67</v>
      </c>
      <c r="E10" s="101">
        <f t="shared" ref="E10:K10" si="4">ROUND((22*10-E7*6%),2)</f>
        <v>120.67</v>
      </c>
      <c r="F10" s="101">
        <f t="shared" si="4"/>
        <v>120.67</v>
      </c>
      <c r="G10" s="302">
        <f t="shared" si="4"/>
        <v>120.67</v>
      </c>
      <c r="H10" s="101">
        <f t="shared" si="4"/>
        <v>117.59</v>
      </c>
      <c r="I10" s="101">
        <f t="shared" si="4"/>
        <v>117.59</v>
      </c>
      <c r="J10" s="101">
        <f t="shared" si="4"/>
        <v>113.8</v>
      </c>
      <c r="K10" s="101">
        <f t="shared" si="4"/>
        <v>113.8</v>
      </c>
      <c r="L10" s="101">
        <f>ROUND((22*10-L7*6%),2)</f>
        <v>110.4</v>
      </c>
      <c r="M10" s="101">
        <f t="shared" ref="M10:U10" si="5">ROUND((22*11-M7*6%),2)</f>
        <v>132.4</v>
      </c>
      <c r="N10" s="101">
        <f t="shared" si="5"/>
        <v>132.4</v>
      </c>
      <c r="O10" s="101">
        <f t="shared" si="5"/>
        <v>132.4</v>
      </c>
      <c r="P10" s="101">
        <f t="shared" si="5"/>
        <v>132.4</v>
      </c>
      <c r="Q10" s="101">
        <f t="shared" si="5"/>
        <v>132.4</v>
      </c>
      <c r="R10" s="101">
        <f t="shared" si="5"/>
        <v>132.4</v>
      </c>
      <c r="S10" s="101">
        <f t="shared" si="5"/>
        <v>132.4</v>
      </c>
      <c r="T10" s="101">
        <f t="shared" si="5"/>
        <v>127.91</v>
      </c>
      <c r="U10" s="101">
        <f t="shared" si="5"/>
        <v>127.91</v>
      </c>
      <c r="W10" s="589"/>
    </row>
    <row r="11" spans="1:23" ht="15" customHeight="1" x14ac:dyDescent="0.25">
      <c r="A11" s="599" t="s">
        <v>70</v>
      </c>
      <c r="B11" s="599"/>
      <c r="C11" s="310">
        <f>ROUND((22*27.5),2)</f>
        <v>605</v>
      </c>
      <c r="D11" s="116">
        <f>ROUND((22*29.5),2)</f>
        <v>649</v>
      </c>
      <c r="E11" s="116">
        <f>ROUND((22*29.5),2)</f>
        <v>649</v>
      </c>
      <c r="F11" s="116">
        <f>ROUND((22*29.5),2)</f>
        <v>649</v>
      </c>
      <c r="G11" s="302">
        <f>ROUND((22*29.5),2)</f>
        <v>649</v>
      </c>
      <c r="H11" s="116">
        <f>ROUND((22*31.5),2)</f>
        <v>693</v>
      </c>
      <c r="I11" s="116">
        <f>ROUND((22*31.5),2)</f>
        <v>693</v>
      </c>
      <c r="J11" s="116">
        <f>'Anexo Transporte e Alimentacao'!E13</f>
        <v>719.4</v>
      </c>
      <c r="K11" s="116">
        <f t="shared" ref="K11:S11" si="6">22*33.62</f>
        <v>739.64</v>
      </c>
      <c r="L11" s="116">
        <f t="shared" si="6"/>
        <v>739.64</v>
      </c>
      <c r="M11" s="116">
        <f t="shared" si="6"/>
        <v>739.64</v>
      </c>
      <c r="N11" s="116">
        <f t="shared" si="6"/>
        <v>739.64</v>
      </c>
      <c r="O11" s="116">
        <f t="shared" si="6"/>
        <v>739.64</v>
      </c>
      <c r="P11" s="116">
        <f t="shared" si="6"/>
        <v>739.64</v>
      </c>
      <c r="Q11" s="116">
        <f t="shared" si="6"/>
        <v>739.64</v>
      </c>
      <c r="R11" s="116">
        <f t="shared" si="6"/>
        <v>739.64</v>
      </c>
      <c r="S11" s="116">
        <f t="shared" si="6"/>
        <v>739.64</v>
      </c>
      <c r="T11" s="116">
        <f>22*35</f>
        <v>770</v>
      </c>
      <c r="U11" s="116">
        <f>22*35</f>
        <v>770</v>
      </c>
      <c r="W11" s="589"/>
    </row>
    <row r="12" spans="1:23" ht="15" customHeight="1" x14ac:dyDescent="0.25">
      <c r="A12" s="601" t="s">
        <v>94</v>
      </c>
      <c r="B12" s="601"/>
      <c r="C12" s="310">
        <v>2.5</v>
      </c>
      <c r="D12" s="116">
        <v>1.5</v>
      </c>
      <c r="E12" s="116">
        <v>1.5</v>
      </c>
      <c r="F12" s="116">
        <v>1.5</v>
      </c>
      <c r="G12" s="303">
        <v>1.5</v>
      </c>
      <c r="H12" s="116">
        <v>1.5</v>
      </c>
      <c r="I12" s="116">
        <v>1.5</v>
      </c>
      <c r="J12" s="116">
        <v>0</v>
      </c>
      <c r="K12" s="116">
        <v>0</v>
      </c>
      <c r="L12" s="116">
        <v>0</v>
      </c>
      <c r="M12" s="116">
        <v>0</v>
      </c>
      <c r="N12" s="116">
        <v>0</v>
      </c>
      <c r="O12" s="116">
        <v>0</v>
      </c>
      <c r="P12" s="116">
        <v>0</v>
      </c>
      <c r="Q12" s="116">
        <v>0</v>
      </c>
      <c r="R12" s="116">
        <v>0</v>
      </c>
      <c r="S12" s="116">
        <v>0</v>
      </c>
      <c r="T12" s="116">
        <v>0</v>
      </c>
      <c r="U12" s="116">
        <v>0</v>
      </c>
      <c r="W12" s="590"/>
    </row>
    <row r="13" spans="1:23" ht="15" customHeight="1" x14ac:dyDescent="0.25">
      <c r="A13" s="601" t="s">
        <v>95</v>
      </c>
      <c r="B13" s="601"/>
      <c r="C13" s="310">
        <v>5</v>
      </c>
      <c r="D13" s="116">
        <v>5</v>
      </c>
      <c r="E13" s="116">
        <v>5</v>
      </c>
      <c r="F13" s="116">
        <v>5</v>
      </c>
      <c r="G13" s="303">
        <v>5</v>
      </c>
      <c r="H13" s="116">
        <v>9.9</v>
      </c>
      <c r="I13" s="116">
        <v>9.9</v>
      </c>
      <c r="J13" s="116">
        <v>10.3</v>
      </c>
      <c r="K13" s="116">
        <v>10.63</v>
      </c>
      <c r="L13" s="116">
        <v>10.63</v>
      </c>
      <c r="M13" s="116">
        <v>10.63</v>
      </c>
      <c r="N13" s="116">
        <v>10.63</v>
      </c>
      <c r="O13" s="116">
        <v>10.63</v>
      </c>
      <c r="P13" s="116">
        <v>10.63</v>
      </c>
      <c r="Q13" s="116">
        <v>10.63</v>
      </c>
      <c r="R13" s="116">
        <v>10.63</v>
      </c>
      <c r="S13" s="116">
        <v>10.63</v>
      </c>
      <c r="T13" s="116">
        <v>10.63</v>
      </c>
      <c r="U13" s="116">
        <v>10.63</v>
      </c>
      <c r="W13" s="357"/>
    </row>
    <row r="14" spans="1:23" ht="15" customHeight="1" x14ac:dyDescent="0.25">
      <c r="A14" s="623" t="s">
        <v>63</v>
      </c>
      <c r="B14" s="623"/>
      <c r="C14" s="98">
        <f t="shared" ref="C14:I14" si="7">ROUND(SUM(C10:C13),2)</f>
        <v>695.29</v>
      </c>
      <c r="D14" s="100">
        <f t="shared" si="7"/>
        <v>732.17</v>
      </c>
      <c r="E14" s="100">
        <f t="shared" si="7"/>
        <v>776.17</v>
      </c>
      <c r="F14" s="100">
        <f t="shared" si="7"/>
        <v>776.17</v>
      </c>
      <c r="G14" s="100">
        <f t="shared" si="7"/>
        <v>776.17</v>
      </c>
      <c r="H14" s="100">
        <f t="shared" si="7"/>
        <v>821.99</v>
      </c>
      <c r="I14" s="100">
        <f t="shared" si="7"/>
        <v>821.99</v>
      </c>
      <c r="J14" s="100">
        <f t="shared" ref="J14:U14" si="8">ROUND(SUM(J10:J13),2)</f>
        <v>843.5</v>
      </c>
      <c r="K14" s="100">
        <f t="shared" si="8"/>
        <v>864.07</v>
      </c>
      <c r="L14" s="100">
        <f t="shared" si="8"/>
        <v>860.67</v>
      </c>
      <c r="M14" s="100">
        <f t="shared" si="8"/>
        <v>882.67</v>
      </c>
      <c r="N14" s="100">
        <f t="shared" si="8"/>
        <v>882.67</v>
      </c>
      <c r="O14" s="100">
        <f t="shared" si="8"/>
        <v>882.67</v>
      </c>
      <c r="P14" s="100">
        <f t="shared" si="8"/>
        <v>882.67</v>
      </c>
      <c r="Q14" s="100">
        <f t="shared" ref="Q14" si="9">ROUND(SUM(Q10:Q13),2)</f>
        <v>882.67</v>
      </c>
      <c r="R14" s="100">
        <f t="shared" si="8"/>
        <v>882.67</v>
      </c>
      <c r="S14" s="100">
        <f t="shared" si="8"/>
        <v>882.67</v>
      </c>
      <c r="T14" s="100">
        <f t="shared" si="8"/>
        <v>908.54</v>
      </c>
      <c r="U14" s="100">
        <f t="shared" si="8"/>
        <v>908.54</v>
      </c>
      <c r="W14" s="332" t="s">
        <v>301</v>
      </c>
    </row>
    <row r="15" spans="1:23" ht="15" customHeight="1" x14ac:dyDescent="0.25">
      <c r="A15" s="623" t="s">
        <v>51</v>
      </c>
      <c r="B15" s="623"/>
      <c r="C15" s="97" t="s">
        <v>158</v>
      </c>
      <c r="D15" s="111" t="s">
        <v>158</v>
      </c>
      <c r="E15" s="111" t="s">
        <v>158</v>
      </c>
      <c r="F15" s="111" t="s">
        <v>158</v>
      </c>
      <c r="G15" s="111" t="s">
        <v>158</v>
      </c>
      <c r="H15" s="111" t="s">
        <v>158</v>
      </c>
      <c r="I15" s="111" t="s">
        <v>158</v>
      </c>
      <c r="J15" s="111" t="s">
        <v>158</v>
      </c>
      <c r="K15" s="111" t="s">
        <v>158</v>
      </c>
      <c r="L15" s="111" t="s">
        <v>158</v>
      </c>
      <c r="M15" s="111" t="s">
        <v>158</v>
      </c>
      <c r="N15" s="111" t="s">
        <v>158</v>
      </c>
      <c r="O15" s="111" t="s">
        <v>158</v>
      </c>
      <c r="P15" s="111" t="s">
        <v>158</v>
      </c>
      <c r="Q15" s="111" t="s">
        <v>158</v>
      </c>
      <c r="R15" s="111" t="s">
        <v>158</v>
      </c>
      <c r="S15" s="111" t="s">
        <v>158</v>
      </c>
      <c r="T15" s="111" t="s">
        <v>158</v>
      </c>
      <c r="U15" s="111" t="s">
        <v>158</v>
      </c>
      <c r="W15" s="47" t="s">
        <v>306</v>
      </c>
    </row>
    <row r="16" spans="1:23" ht="15" customHeight="1" x14ac:dyDescent="0.25">
      <c r="A16" s="49" t="s">
        <v>0</v>
      </c>
      <c r="B16" s="48"/>
      <c r="C16" s="309">
        <f t="shared" ref="C16:H16" si="10">(68+30+40+120+24+77.2)/12</f>
        <v>29.933333333333334</v>
      </c>
      <c r="D16" s="301">
        <f t="shared" si="10"/>
        <v>29.933333333333334</v>
      </c>
      <c r="E16" s="301">
        <f t="shared" si="10"/>
        <v>29.933333333333334</v>
      </c>
      <c r="F16" s="301">
        <f t="shared" si="10"/>
        <v>29.933333333333334</v>
      </c>
      <c r="G16" s="301">
        <f t="shared" si="10"/>
        <v>29.933333333333334</v>
      </c>
      <c r="H16" s="301">
        <f t="shared" si="10"/>
        <v>29.933333333333334</v>
      </c>
      <c r="I16" s="101">
        <v>32.79</v>
      </c>
      <c r="J16" s="101">
        <v>32.79</v>
      </c>
      <c r="K16" s="101">
        <f t="shared" ref="K16:P16" si="11">J16</f>
        <v>32.79</v>
      </c>
      <c r="L16" s="101">
        <f t="shared" si="11"/>
        <v>32.79</v>
      </c>
      <c r="M16" s="101">
        <f t="shared" si="11"/>
        <v>32.79</v>
      </c>
      <c r="N16" s="101">
        <f t="shared" si="11"/>
        <v>32.79</v>
      </c>
      <c r="O16" s="101">
        <f t="shared" si="11"/>
        <v>32.79</v>
      </c>
      <c r="P16" s="101">
        <f t="shared" si="11"/>
        <v>32.79</v>
      </c>
      <c r="Q16" s="101">
        <f>O16</f>
        <v>32.79</v>
      </c>
      <c r="R16" s="101">
        <f>P16</f>
        <v>32.79</v>
      </c>
      <c r="S16" s="101">
        <f>37.7</f>
        <v>37.700000000000003</v>
      </c>
      <c r="T16" s="101">
        <f>37.7</f>
        <v>37.700000000000003</v>
      </c>
      <c r="U16" s="101">
        <f>37.7</f>
        <v>37.700000000000003</v>
      </c>
      <c r="W16" s="357"/>
    </row>
    <row r="17" spans="1:23" ht="15" customHeight="1" x14ac:dyDescent="0.25">
      <c r="A17" s="623" t="s">
        <v>54</v>
      </c>
      <c r="B17" s="623"/>
      <c r="C17" s="98">
        <f t="shared" ref="C17:I17" si="12">SUM(C16)</f>
        <v>29.933333333333334</v>
      </c>
      <c r="D17" s="100">
        <f t="shared" si="12"/>
        <v>29.933333333333334</v>
      </c>
      <c r="E17" s="100">
        <f t="shared" si="12"/>
        <v>29.933333333333334</v>
      </c>
      <c r="F17" s="100">
        <f t="shared" si="12"/>
        <v>29.933333333333334</v>
      </c>
      <c r="G17" s="100">
        <f t="shared" si="12"/>
        <v>29.933333333333334</v>
      </c>
      <c r="H17" s="100">
        <f t="shared" si="12"/>
        <v>29.933333333333334</v>
      </c>
      <c r="I17" s="100">
        <f t="shared" si="12"/>
        <v>32.79</v>
      </c>
      <c r="J17" s="100">
        <f t="shared" ref="J17:U17" si="13">SUM(J16)</f>
        <v>32.79</v>
      </c>
      <c r="K17" s="100">
        <f t="shared" si="13"/>
        <v>32.79</v>
      </c>
      <c r="L17" s="100">
        <f t="shared" si="13"/>
        <v>32.79</v>
      </c>
      <c r="M17" s="100">
        <f t="shared" si="13"/>
        <v>32.79</v>
      </c>
      <c r="N17" s="100">
        <f t="shared" si="13"/>
        <v>32.79</v>
      </c>
      <c r="O17" s="100">
        <f t="shared" si="13"/>
        <v>32.79</v>
      </c>
      <c r="P17" s="100">
        <f t="shared" si="13"/>
        <v>32.79</v>
      </c>
      <c r="Q17" s="100">
        <f t="shared" ref="Q17" si="14">SUM(Q16)</f>
        <v>32.79</v>
      </c>
      <c r="R17" s="100">
        <f t="shared" si="13"/>
        <v>32.79</v>
      </c>
      <c r="S17" s="100">
        <f t="shared" si="13"/>
        <v>37.700000000000003</v>
      </c>
      <c r="T17" s="100">
        <f t="shared" si="13"/>
        <v>37.700000000000003</v>
      </c>
      <c r="U17" s="100">
        <f t="shared" si="13"/>
        <v>37.700000000000003</v>
      </c>
      <c r="W17" s="331" t="s">
        <v>304</v>
      </c>
    </row>
    <row r="18" spans="1:23" ht="15" customHeight="1" x14ac:dyDescent="0.25">
      <c r="A18" s="591" t="s">
        <v>52</v>
      </c>
      <c r="B18" s="592"/>
      <c r="C18" s="111" t="s">
        <v>229</v>
      </c>
      <c r="D18" s="111" t="s">
        <v>229</v>
      </c>
      <c r="E18" s="111" t="s">
        <v>229</v>
      </c>
      <c r="F18" s="111" t="s">
        <v>229</v>
      </c>
      <c r="G18" s="111" t="s">
        <v>229</v>
      </c>
      <c r="H18" s="111" t="s">
        <v>229</v>
      </c>
      <c r="I18" s="111" t="s">
        <v>229</v>
      </c>
      <c r="J18" s="111" t="s">
        <v>229</v>
      </c>
      <c r="K18" s="111" t="s">
        <v>229</v>
      </c>
      <c r="L18" s="111" t="s">
        <v>229</v>
      </c>
      <c r="M18" s="111" t="s">
        <v>229</v>
      </c>
      <c r="N18" s="111" t="s">
        <v>229</v>
      </c>
      <c r="O18" s="111" t="s">
        <v>229</v>
      </c>
      <c r="P18" s="111" t="s">
        <v>229</v>
      </c>
      <c r="Q18" s="111" t="s">
        <v>229</v>
      </c>
      <c r="R18" s="111" t="s">
        <v>229</v>
      </c>
      <c r="S18" s="111" t="s">
        <v>229</v>
      </c>
      <c r="T18" s="111" t="s">
        <v>229</v>
      </c>
      <c r="U18" s="111" t="s">
        <v>229</v>
      </c>
      <c r="W18" s="47" t="s">
        <v>327</v>
      </c>
    </row>
    <row r="19" spans="1:23" ht="15" customHeight="1" x14ac:dyDescent="0.25">
      <c r="A19" s="593"/>
      <c r="B19" s="594"/>
      <c r="C19" s="311">
        <v>0.71779999999999999</v>
      </c>
      <c r="D19" s="118">
        <v>0.71779999999999999</v>
      </c>
      <c r="E19" s="118">
        <v>0.71779999999999999</v>
      </c>
      <c r="F19" s="118">
        <v>0.71779999999999999</v>
      </c>
      <c r="G19" s="118">
        <v>0.71779999999999999</v>
      </c>
      <c r="H19" s="118">
        <v>0.7218</v>
      </c>
      <c r="I19" s="118">
        <v>0.7218</v>
      </c>
      <c r="J19" s="118">
        <v>0.72260000000000002</v>
      </c>
      <c r="K19" s="118">
        <v>0.72260000000000002</v>
      </c>
      <c r="L19" s="118">
        <v>0.71330000000000005</v>
      </c>
      <c r="M19" s="118">
        <v>0.71330000000000005</v>
      </c>
      <c r="N19" s="118">
        <v>0.71330000000000005</v>
      </c>
      <c r="O19" s="118">
        <v>0.69799999999999995</v>
      </c>
      <c r="P19" s="118">
        <v>0.71330000000000005</v>
      </c>
      <c r="Q19" s="118">
        <v>0.71330000000000005</v>
      </c>
      <c r="R19" s="118">
        <v>0.71330000000000005</v>
      </c>
      <c r="S19" s="118">
        <v>0.71330000000000005</v>
      </c>
      <c r="T19" s="118">
        <v>0.71530000000000005</v>
      </c>
      <c r="U19" s="118">
        <v>0.71530000000000005</v>
      </c>
    </row>
    <row r="20" spans="1:23" ht="15" customHeight="1" x14ac:dyDescent="0.25">
      <c r="A20" s="595" t="s">
        <v>55</v>
      </c>
      <c r="B20" s="596"/>
      <c r="C20" s="100">
        <f t="shared" ref="C20:I20" si="15">ROUND((C8*C19),2)</f>
        <v>1115.07</v>
      </c>
      <c r="D20" s="100">
        <f t="shared" si="15"/>
        <v>1188.33</v>
      </c>
      <c r="E20" s="100">
        <f t="shared" si="15"/>
        <v>1188.33</v>
      </c>
      <c r="F20" s="100">
        <f t="shared" si="15"/>
        <v>1188.33</v>
      </c>
      <c r="G20" s="100">
        <f t="shared" si="15"/>
        <v>1188.33</v>
      </c>
      <c r="H20" s="100">
        <f t="shared" si="15"/>
        <v>1232</v>
      </c>
      <c r="I20" s="100">
        <f t="shared" si="15"/>
        <v>1232</v>
      </c>
      <c r="J20" s="100">
        <f t="shared" ref="J20:U20" si="16">ROUND((J8*J19),2)</f>
        <v>1279</v>
      </c>
      <c r="K20" s="100">
        <f t="shared" si="16"/>
        <v>1279</v>
      </c>
      <c r="L20" s="100">
        <f t="shared" si="16"/>
        <v>1302.94</v>
      </c>
      <c r="M20" s="100">
        <f t="shared" si="16"/>
        <v>1302.94</v>
      </c>
      <c r="N20" s="100">
        <f t="shared" si="16"/>
        <v>1302.94</v>
      </c>
      <c r="O20" s="100">
        <f t="shared" si="16"/>
        <v>1274.99</v>
      </c>
      <c r="P20" s="100">
        <f t="shared" si="16"/>
        <v>1302.94</v>
      </c>
      <c r="Q20" s="100">
        <f t="shared" ref="Q20" si="17">ROUND((Q8*Q19),2)</f>
        <v>1302.94</v>
      </c>
      <c r="R20" s="100">
        <f t="shared" si="16"/>
        <v>1302.94</v>
      </c>
      <c r="S20" s="100">
        <f t="shared" si="16"/>
        <v>1302.94</v>
      </c>
      <c r="T20" s="100">
        <f t="shared" si="16"/>
        <v>1360.16</v>
      </c>
      <c r="U20" s="100">
        <f t="shared" si="16"/>
        <v>1360.16</v>
      </c>
      <c r="W20" s="332" t="s">
        <v>324</v>
      </c>
    </row>
    <row r="21" spans="1:23" ht="15" customHeight="1" x14ac:dyDescent="0.25">
      <c r="A21" s="125" t="s">
        <v>58</v>
      </c>
      <c r="B21" s="46" t="s">
        <v>1</v>
      </c>
      <c r="C21" s="97" t="s">
        <v>5</v>
      </c>
      <c r="D21" s="111" t="s">
        <v>5</v>
      </c>
      <c r="E21" s="111" t="s">
        <v>5</v>
      </c>
      <c r="F21" s="111" t="s">
        <v>5</v>
      </c>
      <c r="G21" s="111" t="s">
        <v>5</v>
      </c>
      <c r="H21" s="111" t="s">
        <v>5</v>
      </c>
      <c r="I21" s="111" t="s">
        <v>5</v>
      </c>
      <c r="J21" s="111" t="s">
        <v>5</v>
      </c>
      <c r="K21" s="111" t="s">
        <v>5</v>
      </c>
      <c r="L21" s="111" t="s">
        <v>5</v>
      </c>
      <c r="M21" s="111" t="s">
        <v>5</v>
      </c>
      <c r="N21" s="111" t="s">
        <v>5</v>
      </c>
      <c r="O21" s="111" t="s">
        <v>5</v>
      </c>
      <c r="P21" s="111" t="s">
        <v>5</v>
      </c>
      <c r="Q21" s="111" t="s">
        <v>5</v>
      </c>
      <c r="R21" s="111" t="s">
        <v>5</v>
      </c>
      <c r="S21" s="111" t="s">
        <v>5</v>
      </c>
      <c r="T21" s="111" t="s">
        <v>5</v>
      </c>
      <c r="U21" s="111" t="s">
        <v>5</v>
      </c>
      <c r="W21" s="47" t="s">
        <v>328</v>
      </c>
    </row>
    <row r="22" spans="1:23" ht="15" customHeight="1" x14ac:dyDescent="0.25">
      <c r="A22" s="47" t="s">
        <v>2</v>
      </c>
      <c r="B22" s="50">
        <v>1.2699999999999999E-2</v>
      </c>
      <c r="C22" s="308">
        <f>ROUND((C8+C14+C17+C20)*B22,2)</f>
        <v>43.1</v>
      </c>
      <c r="D22" s="304">
        <f>ROUND((D8+D14+D17+D20)*B22,2)</f>
        <v>45.8</v>
      </c>
      <c r="E22" s="304">
        <f>ROUND((E8+E14+E17+E20)*B22,2)</f>
        <v>46.35</v>
      </c>
      <c r="F22" s="304">
        <f>ROUND((F8+F14+F17+F20)*B22,2)</f>
        <v>46.35</v>
      </c>
      <c r="G22" s="304">
        <f>ROUND((G8+G14+G17+G20)*B22,2)</f>
        <v>46.35</v>
      </c>
      <c r="H22" s="304">
        <f>ROUND((H8+H14+H17+H20)*B22,2)</f>
        <v>48.14</v>
      </c>
      <c r="I22" s="304">
        <f>ROUND((I8+I14+I17+I20)*B22,2)</f>
        <v>48.18</v>
      </c>
      <c r="J22" s="101">
        <f>ROUND((J8+J14+J17+J20)*B22,2)</f>
        <v>49.85</v>
      </c>
      <c r="K22" s="101">
        <f>ROUND((K8+K14+K17+K20)*B22,2)</f>
        <v>50.11</v>
      </c>
      <c r="L22" s="101">
        <f>ROUND((L8+L14+L17+L20)*B22,2)</f>
        <v>51.09</v>
      </c>
      <c r="M22" s="101">
        <f>ROUND((M8+M14+M17+M20)*B22,2)</f>
        <v>51.37</v>
      </c>
      <c r="N22" s="101">
        <f>ROUND((N8+N14+N17+N20)*B22,2)</f>
        <v>51.37</v>
      </c>
      <c r="O22" s="101">
        <f>ROUND((O8+O14+O17+O20)*B22,2)</f>
        <v>51.02</v>
      </c>
      <c r="P22" s="101">
        <f>ROUND((P8+P14+P17+P20)*B22,2)</f>
        <v>51.37</v>
      </c>
      <c r="Q22" s="101">
        <f>ROUND((Q8+Q14+Q17+Q20)*B22,2)</f>
        <v>51.37</v>
      </c>
      <c r="R22" s="101">
        <f>ROUND((R8+R14+R17+R20)*B22,2)</f>
        <v>51.37</v>
      </c>
      <c r="S22" s="101">
        <f>ROUND((S8+S14+S17+S20)*B22,2)</f>
        <v>51.43</v>
      </c>
      <c r="T22" s="101">
        <f>ROUND((T8+T14+T17+T20)*B22,2)</f>
        <v>53.44</v>
      </c>
      <c r="U22" s="101">
        <f>ROUND((U8+U14+U17+U20)*B22,2)</f>
        <v>53.44</v>
      </c>
      <c r="W22" s="323" t="s">
        <v>329</v>
      </c>
    </row>
    <row r="23" spans="1:23" ht="15" customHeight="1" x14ac:dyDescent="0.25">
      <c r="A23" s="47" t="s">
        <v>3</v>
      </c>
      <c r="B23" s="50">
        <v>0.14249999999999999</v>
      </c>
      <c r="C23" s="304">
        <f t="shared" ref="C23:I23" si="18">ROUND((C7+C14+C17+C20+C22+C24)*14.25/85.75,2)</f>
        <v>576.85</v>
      </c>
      <c r="D23" s="304">
        <f t="shared" si="18"/>
        <v>612.91999999999996</v>
      </c>
      <c r="E23" s="304">
        <f t="shared" si="18"/>
        <v>620.4</v>
      </c>
      <c r="F23" s="304">
        <f t="shared" si="18"/>
        <v>620.4</v>
      </c>
      <c r="G23" s="304">
        <f t="shared" si="18"/>
        <v>620.4</v>
      </c>
      <c r="H23" s="304">
        <f t="shared" si="18"/>
        <v>644.33000000000004</v>
      </c>
      <c r="I23" s="304">
        <f t="shared" si="18"/>
        <v>644.82000000000005</v>
      </c>
      <c r="J23" s="101">
        <f t="shared" ref="J23:U23" si="19">ROUND((J8+J14+J17+J20+J22+J24)*14.25/85.75,2)</f>
        <v>667.2</v>
      </c>
      <c r="K23" s="101">
        <f t="shared" si="19"/>
        <v>670.69</v>
      </c>
      <c r="L23" s="101">
        <f t="shared" si="19"/>
        <v>683.81</v>
      </c>
      <c r="M23" s="101">
        <f t="shared" si="19"/>
        <v>687.55</v>
      </c>
      <c r="N23" s="101">
        <f t="shared" si="19"/>
        <v>687.55</v>
      </c>
      <c r="O23" s="101">
        <f t="shared" si="19"/>
        <v>682.8</v>
      </c>
      <c r="P23" s="101">
        <f t="shared" si="19"/>
        <v>687.55</v>
      </c>
      <c r="Q23" s="101">
        <f>ROUND((Q8+Q14+Q17+Q20+Q22+Q24)*14.25/85.75,2)</f>
        <v>687.55</v>
      </c>
      <c r="R23" s="101">
        <f t="shared" si="19"/>
        <v>687.55</v>
      </c>
      <c r="S23" s="101">
        <f t="shared" si="19"/>
        <v>688.39</v>
      </c>
      <c r="T23" s="101">
        <f t="shared" si="19"/>
        <v>715.24</v>
      </c>
      <c r="U23" s="101">
        <f t="shared" si="19"/>
        <v>715.24</v>
      </c>
      <c r="W23" s="47" t="s">
        <v>310</v>
      </c>
    </row>
    <row r="24" spans="1:23" ht="15" customHeight="1" x14ac:dyDescent="0.25">
      <c r="A24" s="47" t="s">
        <v>4</v>
      </c>
      <c r="B24" s="50">
        <v>0.01</v>
      </c>
      <c r="C24" s="308">
        <f>ROUND((C7+C14+C17+C20+C22)*B24,2)</f>
        <v>34.369999999999997</v>
      </c>
      <c r="D24" s="304">
        <f>ROUND((D7+D14+D17+D20+D22)*B24,2)</f>
        <v>36.520000000000003</v>
      </c>
      <c r="E24" s="304">
        <f>ROUND((E7+E14+E17+E20+E22)*B24,2)</f>
        <v>36.96</v>
      </c>
      <c r="F24" s="304">
        <f>ROUND((F7+F14+F17+F20+F22)*B24,2)</f>
        <v>36.96</v>
      </c>
      <c r="G24" s="304">
        <f>ROUND((G7+G14+G17+G20+G22)*B24,2)</f>
        <v>36.96</v>
      </c>
      <c r="H24" s="304">
        <f>ROUND((H7+H14+H17+H20+H22)*B24,2)</f>
        <v>38.39</v>
      </c>
      <c r="I24" s="304">
        <f>ROUND((I7+I14+I17+I20+I22)*B24,2)</f>
        <v>38.42</v>
      </c>
      <c r="J24" s="101">
        <f>ROUND((J8+J14+J17+J20+J22)*B24,2)</f>
        <v>39.75</v>
      </c>
      <c r="K24" s="101">
        <f>ROUND((K8+K14+K17+K20+K22)*B24,2)</f>
        <v>39.96</v>
      </c>
      <c r="L24" s="101">
        <f>ROUND((L8+L14+L17+L20+L22)*B24,2)</f>
        <v>40.74</v>
      </c>
      <c r="M24" s="101">
        <f>ROUND((M8+M14+M17+M20+M22)*B24,2)</f>
        <v>40.96</v>
      </c>
      <c r="N24" s="101">
        <f>ROUND((N8+N14+N17+N20+N22)*B24,2)</f>
        <v>40.96</v>
      </c>
      <c r="O24" s="101">
        <f>ROUND((O8+O14+O17+O20+O22)*B24,2)</f>
        <v>40.68</v>
      </c>
      <c r="P24" s="101">
        <f>ROUND((P8+P14+P17+P20+P22)*B24,2)</f>
        <v>40.96</v>
      </c>
      <c r="Q24" s="101">
        <f>ROUND((Q8+Q14+Q17+Q20+Q22)*B24,2)</f>
        <v>40.96</v>
      </c>
      <c r="R24" s="101">
        <f>ROUND((R8+R14+R17+R20+R22)*B24,2)</f>
        <v>40.96</v>
      </c>
      <c r="S24" s="101">
        <f>ROUND((S8+S14+S17+S20+S22)*B24,2)</f>
        <v>41.01</v>
      </c>
      <c r="T24" s="101">
        <f>ROUND((T8+T14+T17+T20+T22)*B24,2)</f>
        <v>42.61</v>
      </c>
      <c r="U24" s="101">
        <f>ROUND((U8+U14+U17+U20+U22)*B24,2)</f>
        <v>42.61</v>
      </c>
      <c r="W24" s="47" t="s">
        <v>311</v>
      </c>
    </row>
    <row r="25" spans="1:23" ht="15" customHeight="1" x14ac:dyDescent="0.25">
      <c r="A25" s="623" t="s">
        <v>56</v>
      </c>
      <c r="B25" s="623"/>
      <c r="C25" s="98">
        <f t="shared" ref="C25:I25" si="20">ROUND(SUM(C22:C24),2)</f>
        <v>654.32000000000005</v>
      </c>
      <c r="D25" s="100">
        <f t="shared" si="20"/>
        <v>695.24</v>
      </c>
      <c r="E25" s="100">
        <f t="shared" si="20"/>
        <v>703.71</v>
      </c>
      <c r="F25" s="100">
        <f t="shared" si="20"/>
        <v>703.71</v>
      </c>
      <c r="G25" s="100">
        <f t="shared" si="20"/>
        <v>703.71</v>
      </c>
      <c r="H25" s="100">
        <f t="shared" si="20"/>
        <v>730.86</v>
      </c>
      <c r="I25" s="100">
        <f t="shared" si="20"/>
        <v>731.42</v>
      </c>
      <c r="J25" s="100">
        <f t="shared" ref="J25:U25" si="21">ROUND(SUM(J22:J24),2)</f>
        <v>756.8</v>
      </c>
      <c r="K25" s="100">
        <f t="shared" si="21"/>
        <v>760.76</v>
      </c>
      <c r="L25" s="100">
        <f t="shared" si="21"/>
        <v>775.64</v>
      </c>
      <c r="M25" s="100">
        <f t="shared" si="21"/>
        <v>779.88</v>
      </c>
      <c r="N25" s="100">
        <f t="shared" si="21"/>
        <v>779.88</v>
      </c>
      <c r="O25" s="100">
        <f t="shared" si="21"/>
        <v>774.5</v>
      </c>
      <c r="P25" s="100">
        <f t="shared" si="21"/>
        <v>779.88</v>
      </c>
      <c r="Q25" s="100">
        <f t="shared" ref="Q25" si="22">ROUND(SUM(Q22:Q24),2)</f>
        <v>779.88</v>
      </c>
      <c r="R25" s="100">
        <f t="shared" si="21"/>
        <v>779.88</v>
      </c>
      <c r="S25" s="100">
        <f t="shared" si="21"/>
        <v>780.83</v>
      </c>
      <c r="T25" s="100">
        <f t="shared" si="21"/>
        <v>811.29</v>
      </c>
      <c r="U25" s="100">
        <f t="shared" si="21"/>
        <v>811.29</v>
      </c>
      <c r="W25" s="39"/>
    </row>
    <row r="26" spans="1:23" ht="63.75" customHeight="1" x14ac:dyDescent="0.25">
      <c r="A26" s="595" t="s">
        <v>59</v>
      </c>
      <c r="B26" s="596"/>
      <c r="C26" s="123" t="s">
        <v>285</v>
      </c>
      <c r="D26" s="287" t="s">
        <v>286</v>
      </c>
      <c r="E26" s="123" t="s">
        <v>287</v>
      </c>
      <c r="F26" s="448" t="s">
        <v>290</v>
      </c>
      <c r="G26" s="439" t="s">
        <v>290</v>
      </c>
      <c r="H26" s="439" t="s">
        <v>292</v>
      </c>
      <c r="I26" s="123" t="s">
        <v>501</v>
      </c>
      <c r="J26" s="123" t="s">
        <v>502</v>
      </c>
      <c r="K26" s="123" t="s">
        <v>511</v>
      </c>
      <c r="L26" s="123" t="s">
        <v>380</v>
      </c>
      <c r="M26" s="123" t="s">
        <v>381</v>
      </c>
      <c r="N26" s="123" t="s">
        <v>512</v>
      </c>
      <c r="O26" s="123" t="s">
        <v>384</v>
      </c>
      <c r="P26" s="123" t="s">
        <v>385</v>
      </c>
      <c r="Q26" s="123" t="s">
        <v>513</v>
      </c>
      <c r="R26" s="123" t="s">
        <v>386</v>
      </c>
      <c r="S26" s="123" t="s">
        <v>404</v>
      </c>
      <c r="T26" s="450" t="s">
        <v>400</v>
      </c>
      <c r="U26" s="123" t="s">
        <v>510</v>
      </c>
      <c r="W26" s="332" t="s">
        <v>312</v>
      </c>
    </row>
    <row r="27" spans="1:23" ht="15" customHeight="1" x14ac:dyDescent="0.25">
      <c r="A27" s="601" t="s">
        <v>57</v>
      </c>
      <c r="B27" s="599"/>
      <c r="C27" s="103">
        <f t="shared" ref="C27:I27" si="23">C8</f>
        <v>1553.46</v>
      </c>
      <c r="D27" s="119">
        <f t="shared" si="23"/>
        <v>1655.52</v>
      </c>
      <c r="E27" s="119">
        <f t="shared" si="23"/>
        <v>1655.52</v>
      </c>
      <c r="F27" s="119">
        <f t="shared" si="23"/>
        <v>1655.52</v>
      </c>
      <c r="G27" s="119">
        <f>G8</f>
        <v>1655.52</v>
      </c>
      <c r="H27" s="119">
        <f t="shared" si="23"/>
        <v>1706.84</v>
      </c>
      <c r="I27" s="119">
        <f t="shared" si="23"/>
        <v>1706.84</v>
      </c>
      <c r="J27" s="119">
        <f t="shared" ref="J27:U27" si="24">J8</f>
        <v>1770</v>
      </c>
      <c r="K27" s="119">
        <f t="shared" si="24"/>
        <v>1770</v>
      </c>
      <c r="L27" s="119">
        <f t="shared" si="24"/>
        <v>1826.64</v>
      </c>
      <c r="M27" s="119">
        <f t="shared" si="24"/>
        <v>1826.64</v>
      </c>
      <c r="N27" s="119">
        <f t="shared" si="24"/>
        <v>1826.64</v>
      </c>
      <c r="O27" s="119">
        <f t="shared" si="24"/>
        <v>1826.64</v>
      </c>
      <c r="P27" s="119">
        <f t="shared" si="24"/>
        <v>1826.64</v>
      </c>
      <c r="Q27" s="119">
        <f t="shared" ref="Q27" si="25">Q8</f>
        <v>1826.64</v>
      </c>
      <c r="R27" s="119">
        <f t="shared" si="24"/>
        <v>1826.64</v>
      </c>
      <c r="S27" s="119">
        <f t="shared" si="24"/>
        <v>1826.64</v>
      </c>
      <c r="T27" s="119">
        <f t="shared" si="24"/>
        <v>1901.53</v>
      </c>
      <c r="U27" s="119">
        <f t="shared" si="24"/>
        <v>1901.53</v>
      </c>
      <c r="W27" s="588" t="s">
        <v>330</v>
      </c>
    </row>
    <row r="28" spans="1:23" ht="15" customHeight="1" x14ac:dyDescent="0.25">
      <c r="A28" s="599" t="s">
        <v>50</v>
      </c>
      <c r="B28" s="599"/>
      <c r="C28" s="103">
        <f t="shared" ref="C28:I28" si="26">C14</f>
        <v>695.29</v>
      </c>
      <c r="D28" s="119">
        <f t="shared" si="26"/>
        <v>732.17</v>
      </c>
      <c r="E28" s="119">
        <f t="shared" si="26"/>
        <v>776.17</v>
      </c>
      <c r="F28" s="119">
        <f t="shared" si="26"/>
        <v>776.17</v>
      </c>
      <c r="G28" s="119">
        <f>G14</f>
        <v>776.17</v>
      </c>
      <c r="H28" s="119">
        <f t="shared" si="26"/>
        <v>821.99</v>
      </c>
      <c r="I28" s="119">
        <f t="shared" si="26"/>
        <v>821.99</v>
      </c>
      <c r="J28" s="119">
        <f t="shared" ref="J28:U28" si="27">J14</f>
        <v>843.5</v>
      </c>
      <c r="K28" s="119">
        <f t="shared" si="27"/>
        <v>864.07</v>
      </c>
      <c r="L28" s="119">
        <f t="shared" si="27"/>
        <v>860.67</v>
      </c>
      <c r="M28" s="119">
        <f t="shared" si="27"/>
        <v>882.67</v>
      </c>
      <c r="N28" s="119">
        <f t="shared" si="27"/>
        <v>882.67</v>
      </c>
      <c r="O28" s="119">
        <f t="shared" si="27"/>
        <v>882.67</v>
      </c>
      <c r="P28" s="119">
        <f t="shared" si="27"/>
        <v>882.67</v>
      </c>
      <c r="Q28" s="119">
        <f t="shared" ref="Q28" si="28">Q14</f>
        <v>882.67</v>
      </c>
      <c r="R28" s="119">
        <f t="shared" si="27"/>
        <v>882.67</v>
      </c>
      <c r="S28" s="119">
        <f t="shared" si="27"/>
        <v>882.67</v>
      </c>
      <c r="T28" s="119">
        <f t="shared" si="27"/>
        <v>908.54</v>
      </c>
      <c r="U28" s="119">
        <f t="shared" si="27"/>
        <v>908.54</v>
      </c>
      <c r="W28" s="589"/>
    </row>
    <row r="29" spans="1:23" ht="15" customHeight="1" x14ac:dyDescent="0.25">
      <c r="A29" s="599" t="s">
        <v>51</v>
      </c>
      <c r="B29" s="599"/>
      <c r="C29" s="103">
        <f t="shared" ref="C29:I29" si="29">C17</f>
        <v>29.933333333333334</v>
      </c>
      <c r="D29" s="119">
        <f t="shared" si="29"/>
        <v>29.933333333333334</v>
      </c>
      <c r="E29" s="119">
        <f t="shared" si="29"/>
        <v>29.933333333333334</v>
      </c>
      <c r="F29" s="119">
        <f t="shared" si="29"/>
        <v>29.933333333333334</v>
      </c>
      <c r="G29" s="119">
        <f>G17</f>
        <v>29.933333333333334</v>
      </c>
      <c r="H29" s="119">
        <f t="shared" si="29"/>
        <v>29.933333333333334</v>
      </c>
      <c r="I29" s="119">
        <f t="shared" si="29"/>
        <v>32.79</v>
      </c>
      <c r="J29" s="119">
        <f t="shared" ref="J29:U29" si="30">J17</f>
        <v>32.79</v>
      </c>
      <c r="K29" s="119">
        <f t="shared" si="30"/>
        <v>32.79</v>
      </c>
      <c r="L29" s="119">
        <f t="shared" si="30"/>
        <v>32.79</v>
      </c>
      <c r="M29" s="119">
        <f t="shared" si="30"/>
        <v>32.79</v>
      </c>
      <c r="N29" s="119">
        <f t="shared" si="30"/>
        <v>32.79</v>
      </c>
      <c r="O29" s="119">
        <f t="shared" si="30"/>
        <v>32.79</v>
      </c>
      <c r="P29" s="119">
        <f t="shared" si="30"/>
        <v>32.79</v>
      </c>
      <c r="Q29" s="119">
        <f t="shared" ref="Q29" si="31">Q17</f>
        <v>32.79</v>
      </c>
      <c r="R29" s="119">
        <f t="shared" si="30"/>
        <v>32.79</v>
      </c>
      <c r="S29" s="119">
        <f t="shared" si="30"/>
        <v>37.700000000000003</v>
      </c>
      <c r="T29" s="119">
        <f t="shared" si="30"/>
        <v>37.700000000000003</v>
      </c>
      <c r="U29" s="119">
        <f t="shared" si="30"/>
        <v>37.700000000000003</v>
      </c>
      <c r="W29" s="589"/>
    </row>
    <row r="30" spans="1:23" ht="15" customHeight="1" x14ac:dyDescent="0.25">
      <c r="A30" s="599" t="s">
        <v>52</v>
      </c>
      <c r="B30" s="599"/>
      <c r="C30" s="103">
        <f t="shared" ref="C30:I30" si="32">C20</f>
        <v>1115.07</v>
      </c>
      <c r="D30" s="119">
        <f t="shared" si="32"/>
        <v>1188.33</v>
      </c>
      <c r="E30" s="119">
        <f t="shared" si="32"/>
        <v>1188.33</v>
      </c>
      <c r="F30" s="119">
        <f t="shared" si="32"/>
        <v>1188.33</v>
      </c>
      <c r="G30" s="119">
        <f>G20</f>
        <v>1188.33</v>
      </c>
      <c r="H30" s="119">
        <f t="shared" si="32"/>
        <v>1232</v>
      </c>
      <c r="I30" s="119">
        <f t="shared" si="32"/>
        <v>1232</v>
      </c>
      <c r="J30" s="119">
        <f t="shared" ref="J30:U30" si="33">J20</f>
        <v>1279</v>
      </c>
      <c r="K30" s="119">
        <f t="shared" si="33"/>
        <v>1279</v>
      </c>
      <c r="L30" s="119">
        <f t="shared" si="33"/>
        <v>1302.94</v>
      </c>
      <c r="M30" s="119">
        <f t="shared" si="33"/>
        <v>1302.94</v>
      </c>
      <c r="N30" s="119">
        <f t="shared" si="33"/>
        <v>1302.94</v>
      </c>
      <c r="O30" s="119">
        <f t="shared" si="33"/>
        <v>1274.99</v>
      </c>
      <c r="P30" s="119">
        <f t="shared" si="33"/>
        <v>1302.94</v>
      </c>
      <c r="Q30" s="119">
        <f t="shared" ref="Q30" si="34">Q20</f>
        <v>1302.94</v>
      </c>
      <c r="R30" s="119">
        <f t="shared" si="33"/>
        <v>1302.94</v>
      </c>
      <c r="S30" s="119">
        <f t="shared" si="33"/>
        <v>1302.94</v>
      </c>
      <c r="T30" s="119">
        <f t="shared" si="33"/>
        <v>1360.16</v>
      </c>
      <c r="U30" s="119">
        <f t="shared" si="33"/>
        <v>1360.16</v>
      </c>
      <c r="W30" s="589"/>
    </row>
    <row r="31" spans="1:23" ht="15" customHeight="1" x14ac:dyDescent="0.25">
      <c r="A31" s="619" t="s">
        <v>74</v>
      </c>
      <c r="B31" s="619"/>
      <c r="C31" s="102">
        <f t="shared" ref="C31:I31" si="35">ROUND(SUM(C27:C30),2)</f>
        <v>3393.75</v>
      </c>
      <c r="D31" s="104">
        <f t="shared" si="35"/>
        <v>3605.95</v>
      </c>
      <c r="E31" s="104">
        <f t="shared" si="35"/>
        <v>3649.95</v>
      </c>
      <c r="F31" s="104">
        <f t="shared" si="35"/>
        <v>3649.95</v>
      </c>
      <c r="G31" s="104">
        <f t="shared" si="35"/>
        <v>3649.95</v>
      </c>
      <c r="H31" s="104">
        <f t="shared" si="35"/>
        <v>3790.76</v>
      </c>
      <c r="I31" s="104">
        <f t="shared" si="35"/>
        <v>3793.62</v>
      </c>
      <c r="J31" s="104">
        <f t="shared" ref="J31:U31" si="36">ROUND(SUM(J27:J30),2)</f>
        <v>3925.29</v>
      </c>
      <c r="K31" s="104">
        <f t="shared" si="36"/>
        <v>3945.86</v>
      </c>
      <c r="L31" s="104">
        <f t="shared" si="36"/>
        <v>4023.04</v>
      </c>
      <c r="M31" s="104">
        <f t="shared" si="36"/>
        <v>4045.04</v>
      </c>
      <c r="N31" s="104">
        <f t="shared" si="36"/>
        <v>4045.04</v>
      </c>
      <c r="O31" s="104">
        <f t="shared" si="36"/>
        <v>4017.09</v>
      </c>
      <c r="P31" s="104">
        <f t="shared" si="36"/>
        <v>4045.04</v>
      </c>
      <c r="Q31" s="104">
        <f t="shared" ref="Q31" si="37">ROUND(SUM(Q27:Q30),2)</f>
        <v>4045.04</v>
      </c>
      <c r="R31" s="104">
        <f t="shared" si="36"/>
        <v>4045.04</v>
      </c>
      <c r="S31" s="104">
        <f t="shared" si="36"/>
        <v>4049.95</v>
      </c>
      <c r="T31" s="104">
        <f t="shared" si="36"/>
        <v>4207.93</v>
      </c>
      <c r="U31" s="104">
        <f t="shared" si="36"/>
        <v>4207.93</v>
      </c>
      <c r="W31" s="590"/>
    </row>
    <row r="32" spans="1:23" ht="15" customHeight="1" x14ac:dyDescent="0.25">
      <c r="A32" s="599" t="s">
        <v>58</v>
      </c>
      <c r="B32" s="599"/>
      <c r="C32" s="103">
        <f t="shared" ref="C32:I32" si="38">C25</f>
        <v>654.32000000000005</v>
      </c>
      <c r="D32" s="119">
        <f t="shared" si="38"/>
        <v>695.24</v>
      </c>
      <c r="E32" s="119">
        <f t="shared" si="38"/>
        <v>703.71</v>
      </c>
      <c r="F32" s="119">
        <f t="shared" si="38"/>
        <v>703.71</v>
      </c>
      <c r="G32" s="119">
        <f>G25</f>
        <v>703.71</v>
      </c>
      <c r="H32" s="119">
        <f t="shared" si="38"/>
        <v>730.86</v>
      </c>
      <c r="I32" s="119">
        <f t="shared" si="38"/>
        <v>731.42</v>
      </c>
      <c r="J32" s="119">
        <f t="shared" ref="J32:U32" si="39">J25</f>
        <v>756.8</v>
      </c>
      <c r="K32" s="119">
        <f t="shared" si="39"/>
        <v>760.76</v>
      </c>
      <c r="L32" s="119">
        <f t="shared" si="39"/>
        <v>775.64</v>
      </c>
      <c r="M32" s="119">
        <f t="shared" si="39"/>
        <v>779.88</v>
      </c>
      <c r="N32" s="119">
        <f t="shared" si="39"/>
        <v>779.88</v>
      </c>
      <c r="O32" s="119">
        <f t="shared" si="39"/>
        <v>774.5</v>
      </c>
      <c r="P32" s="119">
        <f t="shared" si="39"/>
        <v>779.88</v>
      </c>
      <c r="Q32" s="119">
        <f t="shared" ref="Q32" si="40">Q25</f>
        <v>779.88</v>
      </c>
      <c r="R32" s="119">
        <f t="shared" si="39"/>
        <v>779.88</v>
      </c>
      <c r="S32" s="119">
        <f t="shared" si="39"/>
        <v>780.83</v>
      </c>
      <c r="T32" s="119">
        <f t="shared" si="39"/>
        <v>811.29</v>
      </c>
      <c r="U32" s="119">
        <f t="shared" si="39"/>
        <v>811.29</v>
      </c>
    </row>
    <row r="33" spans="1:23" ht="15" customHeight="1" x14ac:dyDescent="0.25">
      <c r="A33" s="619" t="s">
        <v>161</v>
      </c>
      <c r="B33" s="619"/>
      <c r="C33" s="104">
        <f t="shared" ref="C33:I33" si="41">ROUND(SUM(C31:C32),2)</f>
        <v>4048.07</v>
      </c>
      <c r="D33" s="104">
        <f t="shared" si="41"/>
        <v>4301.1899999999996</v>
      </c>
      <c r="E33" s="104">
        <f t="shared" si="41"/>
        <v>4353.66</v>
      </c>
      <c r="F33" s="104">
        <f t="shared" si="41"/>
        <v>4353.66</v>
      </c>
      <c r="G33" s="104">
        <f t="shared" si="41"/>
        <v>4353.66</v>
      </c>
      <c r="H33" s="104">
        <f t="shared" si="41"/>
        <v>4521.62</v>
      </c>
      <c r="I33" s="104">
        <f t="shared" si="41"/>
        <v>4525.04</v>
      </c>
      <c r="J33" s="104">
        <f t="shared" ref="J33:U33" si="42">ROUND(SUM(J31:J32),2)</f>
        <v>4682.09</v>
      </c>
      <c r="K33" s="104">
        <f t="shared" si="42"/>
        <v>4706.62</v>
      </c>
      <c r="L33" s="104">
        <f t="shared" si="42"/>
        <v>4798.68</v>
      </c>
      <c r="M33" s="104">
        <f t="shared" si="42"/>
        <v>4824.92</v>
      </c>
      <c r="N33" s="104">
        <f t="shared" si="42"/>
        <v>4824.92</v>
      </c>
      <c r="O33" s="104">
        <f t="shared" si="42"/>
        <v>4791.59</v>
      </c>
      <c r="P33" s="104">
        <f t="shared" si="42"/>
        <v>4824.92</v>
      </c>
      <c r="Q33" s="104">
        <f t="shared" ref="Q33" si="43">ROUND(SUM(Q31:Q32),2)</f>
        <v>4824.92</v>
      </c>
      <c r="R33" s="104">
        <f t="shared" si="42"/>
        <v>4824.92</v>
      </c>
      <c r="S33" s="104">
        <f t="shared" si="42"/>
        <v>4830.78</v>
      </c>
      <c r="T33" s="104">
        <f t="shared" si="42"/>
        <v>5019.22</v>
      </c>
      <c r="U33" s="104">
        <f t="shared" si="42"/>
        <v>5019.22</v>
      </c>
      <c r="W33" s="332" t="s">
        <v>317</v>
      </c>
    </row>
    <row r="34" spans="1:23" ht="15" customHeight="1" x14ac:dyDescent="0.25">
      <c r="A34" s="600" t="s">
        <v>48</v>
      </c>
      <c r="B34" s="600"/>
      <c r="C34" s="105">
        <v>24</v>
      </c>
      <c r="D34" s="120">
        <v>24</v>
      </c>
      <c r="E34" s="120">
        <v>24</v>
      </c>
      <c r="F34" s="120">
        <v>24</v>
      </c>
      <c r="G34" s="120">
        <v>24</v>
      </c>
      <c r="H34" s="120">
        <v>24</v>
      </c>
      <c r="I34" s="120">
        <v>24</v>
      </c>
      <c r="J34" s="120">
        <v>24</v>
      </c>
      <c r="K34" s="120">
        <v>16</v>
      </c>
      <c r="L34" s="120">
        <v>16</v>
      </c>
      <c r="M34" s="120">
        <v>16</v>
      </c>
      <c r="N34" s="120">
        <v>19</v>
      </c>
      <c r="O34" s="120">
        <v>16</v>
      </c>
      <c r="P34" s="120">
        <v>16</v>
      </c>
      <c r="Q34" s="120">
        <v>19</v>
      </c>
      <c r="R34" s="120">
        <v>19</v>
      </c>
      <c r="S34" s="120">
        <v>19</v>
      </c>
      <c r="T34" s="120">
        <v>19</v>
      </c>
      <c r="U34" s="120">
        <v>18</v>
      </c>
      <c r="W34" s="47" t="s">
        <v>333</v>
      </c>
    </row>
    <row r="35" spans="1:23" ht="15" customHeight="1" x14ac:dyDescent="0.25">
      <c r="A35" s="598" t="s">
        <v>169</v>
      </c>
      <c r="B35" s="598"/>
      <c r="C35" s="98">
        <f t="shared" ref="C35:I35" si="44">ROUND((C33*C34),2)</f>
        <v>97153.68</v>
      </c>
      <c r="D35" s="100">
        <f t="shared" si="44"/>
        <v>103228.56</v>
      </c>
      <c r="E35" s="100">
        <f t="shared" si="44"/>
        <v>104487.84</v>
      </c>
      <c r="F35" s="100">
        <f t="shared" si="44"/>
        <v>104487.84</v>
      </c>
      <c r="G35" s="100">
        <f t="shared" si="44"/>
        <v>104487.84</v>
      </c>
      <c r="H35" s="100">
        <f t="shared" si="44"/>
        <v>108518.88</v>
      </c>
      <c r="I35" s="100">
        <f t="shared" si="44"/>
        <v>108600.96000000001</v>
      </c>
      <c r="J35" s="100">
        <f t="shared" ref="J35:U35" si="45">ROUND((J33*J34),2)</f>
        <v>112370.16</v>
      </c>
      <c r="K35" s="100">
        <f t="shared" si="45"/>
        <v>75305.919999999998</v>
      </c>
      <c r="L35" s="100">
        <f t="shared" si="45"/>
        <v>76778.880000000005</v>
      </c>
      <c r="M35" s="100">
        <f t="shared" si="45"/>
        <v>77198.720000000001</v>
      </c>
      <c r="N35" s="100">
        <f t="shared" si="45"/>
        <v>91673.48</v>
      </c>
      <c r="O35" s="100">
        <f t="shared" si="45"/>
        <v>76665.440000000002</v>
      </c>
      <c r="P35" s="100">
        <f t="shared" si="45"/>
        <v>77198.720000000001</v>
      </c>
      <c r="Q35" s="100">
        <f t="shared" ref="Q35" si="46">ROUND((Q33*Q34),2)</f>
        <v>91673.48</v>
      </c>
      <c r="R35" s="100">
        <f t="shared" si="45"/>
        <v>91673.48</v>
      </c>
      <c r="S35" s="100">
        <f t="shared" si="45"/>
        <v>91784.82</v>
      </c>
      <c r="T35" s="100">
        <f t="shared" si="45"/>
        <v>95365.18</v>
      </c>
      <c r="U35" s="100">
        <f t="shared" si="45"/>
        <v>90345.96</v>
      </c>
      <c r="W35" s="47" t="s">
        <v>319</v>
      </c>
    </row>
    <row r="36" spans="1:23" ht="15" customHeight="1" x14ac:dyDescent="0.25">
      <c r="A36" s="39"/>
      <c r="B36" s="39"/>
      <c r="C36" s="39"/>
      <c r="D36" s="39"/>
      <c r="E36" s="39"/>
      <c r="F36" s="39"/>
      <c r="G36" s="39"/>
      <c r="H36" s="39"/>
      <c r="I36" s="58"/>
      <c r="W36" s="323" t="s">
        <v>320</v>
      </c>
    </row>
    <row r="37" spans="1:23" ht="15" customHeight="1" x14ac:dyDescent="0.25">
      <c r="A37" s="42"/>
      <c r="B37" s="39"/>
      <c r="C37" s="39"/>
      <c r="D37" s="39"/>
      <c r="E37" s="39"/>
      <c r="F37" s="39"/>
      <c r="G37" s="39"/>
      <c r="H37" s="39"/>
      <c r="I37" s="58"/>
      <c r="W37" s="323" t="s">
        <v>321</v>
      </c>
    </row>
    <row r="38" spans="1:23" ht="15" customHeight="1" x14ac:dyDescent="0.25">
      <c r="A38" s="39"/>
      <c r="B38" s="43"/>
      <c r="C38" s="43"/>
      <c r="D38" s="43"/>
      <c r="E38" s="43"/>
      <c r="F38" s="43"/>
      <c r="G38" s="43"/>
      <c r="H38" s="43"/>
      <c r="I38" s="545"/>
      <c r="W38" s="323" t="s">
        <v>322</v>
      </c>
    </row>
    <row r="39" spans="1:23" ht="15" customHeight="1" x14ac:dyDescent="0.25">
      <c r="A39" s="42"/>
      <c r="B39" s="39"/>
      <c r="C39" s="39"/>
      <c r="D39" s="39"/>
      <c r="E39" s="39"/>
      <c r="F39" s="39"/>
      <c r="G39" s="39"/>
      <c r="H39" s="39"/>
      <c r="I39" s="58"/>
      <c r="J39" s="61"/>
      <c r="K39" s="59"/>
    </row>
    <row r="40" spans="1:23" ht="15" customHeight="1" x14ac:dyDescent="0.25">
      <c r="A40" s="39"/>
      <c r="B40" s="39"/>
      <c r="C40" s="39"/>
      <c r="D40" s="39"/>
      <c r="E40" s="39"/>
      <c r="F40" s="39"/>
      <c r="G40" s="39"/>
      <c r="H40" s="39"/>
      <c r="I40" s="58"/>
      <c r="W40" s="332" t="s">
        <v>323</v>
      </c>
    </row>
    <row r="41" spans="1:23" ht="96" customHeight="1" x14ac:dyDescent="0.25">
      <c r="A41" s="39"/>
      <c r="B41" s="39"/>
      <c r="C41" s="39"/>
      <c r="D41" s="39"/>
      <c r="E41" s="39"/>
      <c r="F41" s="39"/>
      <c r="G41" s="39"/>
      <c r="H41" s="39"/>
      <c r="I41" s="58"/>
      <c r="W41" s="327" t="s">
        <v>340</v>
      </c>
    </row>
    <row r="42" spans="1:23" ht="15" customHeight="1" x14ac:dyDescent="0.25">
      <c r="A42" s="39"/>
      <c r="B42" s="39"/>
      <c r="C42" s="39"/>
      <c r="D42" s="39"/>
      <c r="E42" s="39"/>
      <c r="F42" s="39"/>
      <c r="G42" s="39"/>
      <c r="H42" s="39"/>
      <c r="I42" s="58"/>
    </row>
    <row r="43" spans="1:23" ht="15" customHeight="1" x14ac:dyDescent="0.25">
      <c r="A43" s="39"/>
      <c r="B43" s="39"/>
      <c r="C43" s="39"/>
      <c r="D43" s="39"/>
      <c r="E43" s="39"/>
      <c r="F43" s="39"/>
      <c r="G43" s="39"/>
      <c r="H43" s="39"/>
      <c r="I43" s="58"/>
    </row>
    <row r="44" spans="1:23" ht="15" customHeight="1" x14ac:dyDescent="0.25">
      <c r="A44" s="39"/>
      <c r="B44" s="39"/>
      <c r="C44" s="39"/>
      <c r="D44" s="39"/>
      <c r="E44" s="39"/>
      <c r="F44" s="39"/>
      <c r="G44" s="39"/>
      <c r="H44" s="39"/>
      <c r="I44" s="58"/>
    </row>
    <row r="45" spans="1:23" ht="15" customHeight="1" x14ac:dyDescent="0.25">
      <c r="A45" s="39"/>
      <c r="B45" s="39"/>
      <c r="C45" s="39"/>
      <c r="D45" s="39"/>
      <c r="E45" s="39"/>
      <c r="F45" s="39"/>
      <c r="G45" s="39"/>
      <c r="H45" s="39"/>
      <c r="I45" s="58"/>
    </row>
    <row r="46" spans="1:23" ht="15" customHeight="1" x14ac:dyDescent="0.25">
      <c r="A46" s="39"/>
      <c r="B46" s="39"/>
      <c r="C46" s="39"/>
      <c r="D46" s="39"/>
      <c r="E46" s="39"/>
      <c r="F46" s="39"/>
      <c r="G46" s="39"/>
      <c r="H46" s="39"/>
      <c r="I46" s="58"/>
    </row>
    <row r="47" spans="1:23" ht="15" customHeight="1" x14ac:dyDescent="0.25">
      <c r="A47" s="39"/>
      <c r="B47" s="39"/>
      <c r="C47" s="39"/>
      <c r="D47" s="39"/>
      <c r="E47" s="39"/>
      <c r="F47" s="39"/>
      <c r="G47" s="39"/>
      <c r="H47" s="39"/>
      <c r="I47" s="58"/>
    </row>
    <row r="48" spans="1:23" ht="15" customHeight="1" x14ac:dyDescent="0.25">
      <c r="A48" s="39"/>
      <c r="B48" s="39"/>
      <c r="C48" s="39"/>
      <c r="D48" s="39"/>
      <c r="E48" s="39"/>
      <c r="F48" s="39"/>
      <c r="G48" s="39"/>
      <c r="H48" s="39"/>
      <c r="I48" s="58"/>
    </row>
    <row r="49" spans="1:9" ht="15" customHeight="1" x14ac:dyDescent="0.25">
      <c r="A49" s="39"/>
      <c r="B49" s="39"/>
      <c r="C49" s="39"/>
      <c r="D49" s="39"/>
      <c r="E49" s="39"/>
      <c r="F49" s="39"/>
      <c r="G49" s="39"/>
      <c r="H49" s="39"/>
      <c r="I49" s="58"/>
    </row>
    <row r="50" spans="1:9" ht="15" customHeight="1" x14ac:dyDescent="0.25">
      <c r="A50" s="39"/>
      <c r="B50" s="39"/>
      <c r="C50" s="39"/>
      <c r="D50" s="39"/>
      <c r="E50" s="39"/>
      <c r="F50" s="39"/>
      <c r="G50" s="39"/>
      <c r="H50" s="39"/>
      <c r="I50" s="58"/>
    </row>
    <row r="51" spans="1:9" ht="15" customHeight="1" x14ac:dyDescent="0.25">
      <c r="A51" s="39"/>
      <c r="B51" s="39"/>
      <c r="C51" s="39"/>
      <c r="D51" s="39"/>
      <c r="E51" s="39"/>
      <c r="F51" s="39"/>
      <c r="G51" s="39"/>
      <c r="H51" s="39"/>
      <c r="I51" s="58"/>
    </row>
    <row r="52" spans="1:9" ht="15" customHeight="1" x14ac:dyDescent="0.25">
      <c r="A52" s="39"/>
      <c r="B52" s="39"/>
      <c r="C52" s="39"/>
      <c r="D52" s="39"/>
      <c r="E52" s="39"/>
      <c r="F52" s="39"/>
      <c r="G52" s="39"/>
      <c r="H52" s="39"/>
      <c r="I52" s="58"/>
    </row>
    <row r="53" spans="1:9" ht="15" customHeight="1" x14ac:dyDescent="0.25">
      <c r="A53" s="39"/>
      <c r="B53" s="39"/>
      <c r="C53" s="39"/>
      <c r="D53" s="39"/>
      <c r="E53" s="39"/>
      <c r="F53" s="39"/>
      <c r="G53" s="39"/>
      <c r="H53" s="39"/>
      <c r="I53" s="58"/>
    </row>
    <row r="54" spans="1:9" ht="15" customHeight="1" x14ac:dyDescent="0.25">
      <c r="A54" s="39"/>
      <c r="B54" s="39"/>
      <c r="C54" s="39"/>
      <c r="D54" s="39"/>
      <c r="E54" s="39"/>
      <c r="F54" s="39"/>
      <c r="G54" s="39"/>
      <c r="H54" s="39"/>
      <c r="I54" s="58"/>
    </row>
    <row r="55" spans="1:9" ht="15" customHeight="1" x14ac:dyDescent="0.25">
      <c r="A55" s="39"/>
      <c r="B55" s="39"/>
      <c r="C55" s="39"/>
      <c r="D55" s="39"/>
      <c r="E55" s="39"/>
      <c r="F55" s="39"/>
      <c r="G55" s="39"/>
      <c r="H55" s="39"/>
      <c r="I55" s="58"/>
    </row>
    <row r="56" spans="1:9" ht="15" customHeight="1" x14ac:dyDescent="0.25">
      <c r="A56" s="42"/>
      <c r="B56" s="39"/>
      <c r="C56" s="39"/>
      <c r="D56" s="39"/>
      <c r="E56" s="39"/>
      <c r="F56" s="39"/>
      <c r="G56" s="39"/>
      <c r="H56" s="39"/>
      <c r="I56" s="58"/>
    </row>
    <row r="57" spans="1:9" ht="15" customHeight="1" x14ac:dyDescent="0.25">
      <c r="A57" s="39"/>
      <c r="B57" s="39"/>
      <c r="C57" s="39"/>
      <c r="D57" s="39"/>
      <c r="E57" s="39"/>
      <c r="F57" s="39"/>
      <c r="G57" s="39"/>
      <c r="H57" s="39"/>
      <c r="I57" s="58"/>
    </row>
    <row r="58" spans="1:9" ht="15" customHeight="1" x14ac:dyDescent="0.25">
      <c r="A58" s="39"/>
      <c r="B58" s="39"/>
      <c r="C58" s="39"/>
      <c r="D58" s="39"/>
      <c r="E58" s="39"/>
      <c r="F58" s="39"/>
      <c r="G58" s="39"/>
      <c r="H58" s="39"/>
      <c r="I58" s="58"/>
    </row>
    <row r="59" spans="1:9" ht="15" customHeight="1" x14ac:dyDescent="0.25">
      <c r="A59" s="39"/>
      <c r="B59" s="39"/>
      <c r="C59" s="39"/>
      <c r="D59" s="39"/>
      <c r="E59" s="39"/>
      <c r="F59" s="39"/>
      <c r="G59" s="39"/>
      <c r="H59" s="39"/>
      <c r="I59" s="58"/>
    </row>
    <row r="60" spans="1:9" ht="15" customHeight="1" x14ac:dyDescent="0.25">
      <c r="A60" s="39"/>
      <c r="B60" s="39"/>
      <c r="C60" s="39"/>
      <c r="D60" s="39"/>
      <c r="E60" s="39"/>
      <c r="F60" s="39"/>
      <c r="G60" s="39"/>
      <c r="H60" s="39"/>
      <c r="I60" s="58"/>
    </row>
    <row r="61" spans="1:9" ht="15" customHeight="1" x14ac:dyDescent="0.25">
      <c r="A61" s="39"/>
      <c r="B61" s="39"/>
      <c r="C61" s="39"/>
      <c r="D61" s="39"/>
      <c r="E61" s="39"/>
      <c r="F61" s="39"/>
      <c r="G61" s="39"/>
      <c r="H61" s="39"/>
      <c r="I61" s="58"/>
    </row>
    <row r="62" spans="1:9" ht="15" customHeight="1" x14ac:dyDescent="0.25">
      <c r="A62" s="39"/>
      <c r="B62" s="39"/>
      <c r="C62" s="39"/>
      <c r="D62" s="39"/>
      <c r="E62" s="39"/>
      <c r="F62" s="39"/>
      <c r="G62" s="39"/>
      <c r="H62" s="39"/>
      <c r="I62" s="58"/>
    </row>
    <row r="63" spans="1:9" ht="15" customHeight="1" x14ac:dyDescent="0.25">
      <c r="A63" s="39"/>
      <c r="B63" s="39"/>
      <c r="C63" s="39"/>
      <c r="D63" s="39"/>
      <c r="E63" s="39"/>
      <c r="F63" s="39"/>
      <c r="G63" s="39"/>
      <c r="H63" s="39"/>
      <c r="I63" s="58"/>
    </row>
    <row r="64" spans="1:9" ht="15" customHeight="1" x14ac:dyDescent="0.25">
      <c r="A64" s="39"/>
      <c r="B64" s="39"/>
      <c r="C64" s="39"/>
      <c r="D64" s="39"/>
      <c r="E64" s="39"/>
      <c r="F64" s="39"/>
      <c r="G64" s="39"/>
      <c r="H64" s="39"/>
      <c r="I64" s="58"/>
    </row>
    <row r="65" spans="1:9" ht="15" customHeight="1" x14ac:dyDescent="0.25">
      <c r="A65" s="42"/>
      <c r="B65" s="39"/>
      <c r="C65" s="39"/>
      <c r="D65" s="39"/>
      <c r="E65" s="39"/>
      <c r="F65" s="39"/>
      <c r="G65" s="39"/>
      <c r="H65" s="39"/>
      <c r="I65" s="58"/>
    </row>
    <row r="66" spans="1:9" ht="15" customHeight="1" x14ac:dyDescent="0.25">
      <c r="A66" s="39"/>
      <c r="B66" s="43"/>
      <c r="C66" s="43"/>
      <c r="D66" s="43"/>
      <c r="E66" s="43"/>
      <c r="F66" s="43"/>
      <c r="G66" s="43"/>
      <c r="H66" s="43"/>
      <c r="I66" s="545"/>
    </row>
    <row r="67" spans="1:9" ht="15" customHeight="1" x14ac:dyDescent="0.25">
      <c r="A67" s="42"/>
      <c r="B67" s="39"/>
      <c r="C67" s="39"/>
      <c r="D67" s="39"/>
      <c r="E67" s="39"/>
      <c r="F67" s="39"/>
      <c r="G67" s="39"/>
      <c r="H67" s="39"/>
      <c r="I67" s="58"/>
    </row>
    <row r="68" spans="1:9" ht="15" customHeight="1" x14ac:dyDescent="0.25">
      <c r="A68" s="39"/>
      <c r="B68" s="39"/>
      <c r="C68" s="39"/>
      <c r="D68" s="39"/>
      <c r="E68" s="39"/>
      <c r="F68" s="39"/>
      <c r="G68" s="39"/>
      <c r="H68" s="39"/>
      <c r="I68" s="58"/>
    </row>
    <row r="69" spans="1:9" ht="15" customHeight="1" x14ac:dyDescent="0.25">
      <c r="A69" s="39"/>
      <c r="B69" s="39"/>
      <c r="C69" s="39"/>
      <c r="D69" s="39"/>
      <c r="E69" s="39"/>
      <c r="F69" s="39"/>
      <c r="G69" s="39"/>
      <c r="H69" s="39"/>
      <c r="I69" s="58"/>
    </row>
    <row r="70" spans="1:9" ht="15" customHeight="1" x14ac:dyDescent="0.25">
      <c r="A70" s="39"/>
      <c r="B70" s="39"/>
      <c r="C70" s="39"/>
      <c r="D70" s="39"/>
      <c r="E70" s="39"/>
      <c r="F70" s="39"/>
      <c r="G70" s="39"/>
      <c r="H70" s="39"/>
      <c r="I70" s="58"/>
    </row>
    <row r="71" spans="1:9" ht="15" customHeight="1" x14ac:dyDescent="0.25">
      <c r="A71" s="39"/>
      <c r="B71" s="39"/>
      <c r="C71" s="39"/>
      <c r="D71" s="39"/>
      <c r="E71" s="39"/>
      <c r="F71" s="39"/>
      <c r="G71" s="39"/>
      <c r="H71" s="39"/>
      <c r="I71" s="58"/>
    </row>
    <row r="72" spans="1:9" ht="15" customHeight="1" x14ac:dyDescent="0.25">
      <c r="A72" s="39"/>
      <c r="B72" s="39"/>
      <c r="C72" s="39"/>
      <c r="D72" s="39"/>
      <c r="E72" s="39"/>
      <c r="F72" s="39"/>
      <c r="G72" s="39"/>
      <c r="H72" s="39"/>
      <c r="I72" s="58"/>
    </row>
    <row r="73" spans="1:9" ht="15" customHeight="1" x14ac:dyDescent="0.25">
      <c r="A73" s="39"/>
      <c r="B73" s="39"/>
      <c r="C73" s="39"/>
      <c r="D73" s="39"/>
      <c r="E73" s="39"/>
      <c r="F73" s="39"/>
      <c r="G73" s="39"/>
      <c r="H73" s="39"/>
      <c r="I73" s="58"/>
    </row>
    <row r="74" spans="1:9" ht="15" customHeight="1" x14ac:dyDescent="0.25">
      <c r="A74" s="39"/>
      <c r="B74" s="39"/>
      <c r="C74" s="39"/>
      <c r="D74" s="39"/>
      <c r="E74" s="39"/>
      <c r="F74" s="39"/>
      <c r="G74" s="39"/>
      <c r="H74" s="39"/>
      <c r="I74" s="58"/>
    </row>
    <row r="75" spans="1:9" ht="15" customHeight="1" x14ac:dyDescent="0.25">
      <c r="A75" s="39"/>
      <c r="B75" s="39"/>
      <c r="C75" s="39"/>
      <c r="D75" s="39"/>
      <c r="E75" s="39"/>
      <c r="F75" s="39"/>
      <c r="G75" s="39"/>
      <c r="H75" s="39"/>
      <c r="I75" s="58"/>
    </row>
    <row r="76" spans="1:9" ht="15" customHeight="1" x14ac:dyDescent="0.25">
      <c r="A76" s="39"/>
      <c r="B76" s="39"/>
      <c r="C76" s="39"/>
      <c r="D76" s="39"/>
      <c r="E76" s="39"/>
      <c r="F76" s="39"/>
      <c r="G76" s="39"/>
      <c r="H76" s="39"/>
      <c r="I76" s="58"/>
    </row>
    <row r="77" spans="1:9" ht="15" customHeight="1" x14ac:dyDescent="0.25">
      <c r="A77" s="39"/>
      <c r="B77" s="39"/>
      <c r="C77" s="39"/>
      <c r="D77" s="39"/>
      <c r="E77" s="39"/>
      <c r="F77" s="39"/>
      <c r="G77" s="39"/>
      <c r="H77" s="39"/>
      <c r="I77" s="58"/>
    </row>
    <row r="78" spans="1:9" ht="15" customHeight="1" x14ac:dyDescent="0.25">
      <c r="A78" s="39"/>
      <c r="B78" s="39"/>
      <c r="C78" s="39"/>
      <c r="D78" s="39"/>
      <c r="E78" s="39"/>
      <c r="F78" s="39"/>
      <c r="G78" s="39"/>
      <c r="H78" s="39"/>
      <c r="I78" s="58"/>
    </row>
    <row r="79" spans="1:9" ht="15" customHeight="1" x14ac:dyDescent="0.25">
      <c r="A79" s="39"/>
      <c r="B79" s="39"/>
      <c r="C79" s="39"/>
      <c r="D79" s="39"/>
      <c r="E79" s="39"/>
      <c r="F79" s="39"/>
      <c r="G79" s="39"/>
      <c r="H79" s="39"/>
      <c r="I79" s="58"/>
    </row>
    <row r="80" spans="1:9" ht="15" customHeight="1" x14ac:dyDescent="0.25">
      <c r="A80" s="39"/>
      <c r="B80" s="39"/>
      <c r="C80" s="39"/>
      <c r="D80" s="39"/>
      <c r="E80" s="39"/>
      <c r="F80" s="39"/>
      <c r="G80" s="39"/>
      <c r="H80" s="39"/>
      <c r="I80" s="58"/>
    </row>
    <row r="81" spans="1:9" ht="15" customHeight="1" x14ac:dyDescent="0.25">
      <c r="A81" s="39"/>
      <c r="B81" s="39"/>
      <c r="C81" s="39"/>
      <c r="D81" s="39"/>
      <c r="E81" s="39"/>
      <c r="F81" s="39"/>
      <c r="G81" s="39"/>
      <c r="H81" s="39"/>
      <c r="I81" s="58"/>
    </row>
    <row r="82" spans="1:9" ht="15" customHeight="1" x14ac:dyDescent="0.25">
      <c r="A82" s="39"/>
      <c r="B82" s="39"/>
      <c r="C82" s="39"/>
      <c r="D82" s="39"/>
      <c r="E82" s="39"/>
      <c r="F82" s="39"/>
      <c r="G82" s="39"/>
      <c r="H82" s="39"/>
      <c r="I82" s="58"/>
    </row>
    <row r="83" spans="1:9" ht="15" customHeight="1" x14ac:dyDescent="0.25">
      <c r="A83" s="39"/>
      <c r="B83" s="39"/>
      <c r="C83" s="39"/>
      <c r="D83" s="39"/>
      <c r="E83" s="39"/>
      <c r="F83" s="39"/>
      <c r="G83" s="39"/>
      <c r="H83" s="39"/>
      <c r="I83" s="58"/>
    </row>
    <row r="84" spans="1:9" ht="15" customHeight="1" x14ac:dyDescent="0.25">
      <c r="A84" s="42"/>
      <c r="B84" s="39"/>
      <c r="C84" s="39"/>
      <c r="D84" s="39"/>
      <c r="E84" s="39"/>
      <c r="F84" s="39"/>
      <c r="G84" s="39"/>
      <c r="H84" s="39"/>
      <c r="I84" s="58"/>
    </row>
    <row r="85" spans="1:9" ht="15" customHeight="1" x14ac:dyDescent="0.25">
      <c r="A85" s="39"/>
      <c r="B85" s="39"/>
      <c r="C85" s="39"/>
      <c r="D85" s="39"/>
      <c r="E85" s="39"/>
      <c r="F85" s="39"/>
      <c r="G85" s="39"/>
      <c r="H85" s="39"/>
      <c r="I85" s="58"/>
    </row>
    <row r="86" spans="1:9" ht="15" customHeight="1" x14ac:dyDescent="0.25">
      <c r="A86" s="39"/>
      <c r="B86" s="39"/>
      <c r="C86" s="39"/>
      <c r="D86" s="39"/>
      <c r="E86" s="39"/>
      <c r="F86" s="39"/>
      <c r="G86" s="39"/>
      <c r="H86" s="39"/>
      <c r="I86" s="58"/>
    </row>
    <row r="87" spans="1:9" ht="15" customHeight="1" x14ac:dyDescent="0.25">
      <c r="A87" s="39"/>
      <c r="B87" s="39"/>
      <c r="C87" s="39"/>
      <c r="D87" s="39"/>
      <c r="E87" s="39"/>
      <c r="F87" s="39"/>
      <c r="G87" s="39"/>
      <c r="H87" s="39"/>
      <c r="I87" s="58"/>
    </row>
    <row r="88" spans="1:9" ht="15" customHeight="1" x14ac:dyDescent="0.25">
      <c r="A88" s="39"/>
      <c r="B88" s="39"/>
      <c r="C88" s="39"/>
      <c r="D88" s="39"/>
      <c r="E88" s="39"/>
      <c r="F88" s="39"/>
      <c r="G88" s="39"/>
      <c r="H88" s="39"/>
      <c r="I88" s="58"/>
    </row>
    <row r="89" spans="1:9" ht="15" customHeight="1" x14ac:dyDescent="0.25">
      <c r="A89" s="39"/>
      <c r="B89" s="39"/>
      <c r="C89" s="39"/>
      <c r="D89" s="39"/>
      <c r="E89" s="39"/>
      <c r="F89" s="39"/>
      <c r="G89" s="39"/>
      <c r="H89" s="39"/>
      <c r="I89" s="58"/>
    </row>
    <row r="90" spans="1:9" ht="15" customHeight="1" x14ac:dyDescent="0.25">
      <c r="A90" s="39"/>
      <c r="B90" s="39"/>
      <c r="C90" s="39"/>
      <c r="D90" s="39"/>
      <c r="E90" s="39"/>
      <c r="F90" s="39"/>
      <c r="G90" s="39"/>
      <c r="H90" s="39"/>
      <c r="I90" s="58"/>
    </row>
    <row r="91" spans="1:9" ht="15" customHeight="1" x14ac:dyDescent="0.25">
      <c r="A91" s="39"/>
      <c r="B91" s="39"/>
      <c r="C91" s="39"/>
      <c r="D91" s="39"/>
      <c r="E91" s="39"/>
      <c r="F91" s="39"/>
      <c r="G91" s="39"/>
      <c r="H91" s="39"/>
      <c r="I91" s="58"/>
    </row>
    <row r="92" spans="1:9" ht="15" customHeight="1" x14ac:dyDescent="0.25">
      <c r="A92" s="39"/>
      <c r="B92" s="39"/>
      <c r="C92" s="39"/>
      <c r="D92" s="39"/>
      <c r="E92" s="39"/>
      <c r="F92" s="39"/>
      <c r="G92" s="39"/>
      <c r="H92" s="39"/>
      <c r="I92" s="58"/>
    </row>
    <row r="93" spans="1:9" ht="15" customHeight="1" x14ac:dyDescent="0.25">
      <c r="A93" s="42"/>
      <c r="B93" s="39"/>
      <c r="C93" s="39"/>
      <c r="D93" s="39"/>
      <c r="E93" s="39"/>
      <c r="F93" s="39"/>
      <c r="G93" s="39"/>
      <c r="H93" s="39"/>
      <c r="I93" s="58"/>
    </row>
    <row r="94" spans="1:9" ht="15" customHeight="1" x14ac:dyDescent="0.25">
      <c r="A94" s="39"/>
      <c r="B94" s="43"/>
      <c r="C94" s="43"/>
      <c r="D94" s="43"/>
      <c r="E94" s="43"/>
      <c r="F94" s="43"/>
      <c r="G94" s="43"/>
      <c r="H94" s="43"/>
      <c r="I94" s="545"/>
    </row>
    <row r="95" spans="1:9" ht="15" customHeight="1" x14ac:dyDescent="0.25">
      <c r="A95" s="42"/>
      <c r="B95" s="39"/>
      <c r="C95" s="39"/>
      <c r="D95" s="39"/>
      <c r="E95" s="39"/>
      <c r="F95" s="39"/>
      <c r="G95" s="39"/>
      <c r="H95" s="39"/>
      <c r="I95" s="58"/>
    </row>
    <row r="96" spans="1:9" ht="15" customHeight="1" x14ac:dyDescent="0.25">
      <c r="A96" s="39"/>
      <c r="B96" s="39"/>
      <c r="C96" s="39"/>
      <c r="D96" s="39"/>
      <c r="E96" s="39"/>
      <c r="F96" s="39"/>
      <c r="G96" s="39"/>
      <c r="H96" s="39"/>
      <c r="I96" s="58"/>
    </row>
    <row r="97" spans="1:9" ht="15" customHeight="1" x14ac:dyDescent="0.25">
      <c r="A97" s="39"/>
      <c r="B97" s="39"/>
      <c r="C97" s="39"/>
      <c r="D97" s="39"/>
      <c r="E97" s="39"/>
      <c r="F97" s="39"/>
      <c r="G97" s="39"/>
      <c r="H97" s="39"/>
      <c r="I97" s="58"/>
    </row>
    <row r="98" spans="1:9" ht="15" customHeight="1" x14ac:dyDescent="0.25">
      <c r="A98" s="39"/>
      <c r="B98" s="39"/>
      <c r="C98" s="39"/>
      <c r="D98" s="39"/>
      <c r="E98" s="39"/>
      <c r="F98" s="39"/>
      <c r="G98" s="39"/>
      <c r="H98" s="39"/>
      <c r="I98" s="58"/>
    </row>
    <row r="99" spans="1:9" ht="15" customHeight="1" x14ac:dyDescent="0.25">
      <c r="A99" s="39"/>
      <c r="B99" s="39"/>
      <c r="C99" s="39"/>
      <c r="D99" s="39"/>
      <c r="E99" s="39"/>
      <c r="F99" s="39"/>
      <c r="G99" s="39"/>
      <c r="H99" s="39"/>
      <c r="I99" s="58"/>
    </row>
    <row r="100" spans="1:9" ht="15" customHeight="1" x14ac:dyDescent="0.25">
      <c r="A100" s="39"/>
      <c r="B100" s="39"/>
      <c r="C100" s="39"/>
      <c r="D100" s="39"/>
      <c r="E100" s="39"/>
      <c r="F100" s="39"/>
      <c r="G100" s="39"/>
      <c r="H100" s="39"/>
      <c r="I100" s="58"/>
    </row>
    <row r="101" spans="1:9" ht="15" customHeight="1" x14ac:dyDescent="0.25">
      <c r="A101" s="39"/>
      <c r="B101" s="39"/>
      <c r="C101" s="39"/>
      <c r="D101" s="39"/>
      <c r="E101" s="39"/>
      <c r="F101" s="39"/>
      <c r="G101" s="39"/>
      <c r="H101" s="39"/>
      <c r="I101" s="58"/>
    </row>
    <row r="102" spans="1:9" ht="15" customHeight="1" x14ac:dyDescent="0.25">
      <c r="A102" s="39"/>
      <c r="B102" s="39"/>
      <c r="C102" s="39"/>
      <c r="D102" s="39"/>
      <c r="E102" s="39"/>
      <c r="F102" s="39"/>
      <c r="G102" s="39"/>
      <c r="H102" s="39"/>
      <c r="I102" s="58"/>
    </row>
    <row r="103" spans="1:9" ht="15" customHeight="1" x14ac:dyDescent="0.25">
      <c r="A103" s="39"/>
      <c r="B103" s="39"/>
      <c r="C103" s="39"/>
      <c r="D103" s="39"/>
      <c r="E103" s="39"/>
      <c r="F103" s="39"/>
      <c r="G103" s="39"/>
      <c r="H103" s="39"/>
      <c r="I103" s="58"/>
    </row>
    <row r="104" spans="1:9" ht="15" customHeight="1" x14ac:dyDescent="0.25">
      <c r="A104" s="39"/>
      <c r="B104" s="39"/>
      <c r="C104" s="39"/>
      <c r="D104" s="39"/>
      <c r="E104" s="39"/>
      <c r="F104" s="39"/>
      <c r="G104" s="39"/>
      <c r="H104" s="39"/>
      <c r="I104" s="58"/>
    </row>
    <row r="105" spans="1:9" ht="15" customHeight="1" x14ac:dyDescent="0.25">
      <c r="A105" s="39"/>
      <c r="B105" s="39"/>
      <c r="C105" s="39"/>
      <c r="D105" s="39"/>
      <c r="E105" s="39"/>
      <c r="F105" s="39"/>
      <c r="G105" s="39"/>
      <c r="H105" s="39"/>
      <c r="I105" s="58"/>
    </row>
    <row r="106" spans="1:9" ht="15" customHeight="1" x14ac:dyDescent="0.25">
      <c r="A106" s="39"/>
      <c r="B106" s="39"/>
      <c r="C106" s="39"/>
      <c r="D106" s="39"/>
      <c r="E106" s="39"/>
      <c r="F106" s="39"/>
      <c r="G106" s="39"/>
      <c r="H106" s="39"/>
      <c r="I106" s="58"/>
    </row>
    <row r="107" spans="1:9" ht="15" customHeight="1" x14ac:dyDescent="0.25">
      <c r="A107" s="39"/>
      <c r="B107" s="39"/>
      <c r="C107" s="39"/>
      <c r="D107" s="39"/>
      <c r="E107" s="39"/>
      <c r="F107" s="39"/>
      <c r="G107" s="39"/>
      <c r="H107" s="39"/>
      <c r="I107" s="58"/>
    </row>
    <row r="108" spans="1:9" ht="15" customHeight="1" x14ac:dyDescent="0.25">
      <c r="A108" s="39"/>
      <c r="B108" s="39"/>
      <c r="C108" s="39"/>
      <c r="D108" s="39"/>
      <c r="E108" s="39"/>
      <c r="F108" s="39"/>
      <c r="G108" s="39"/>
      <c r="H108" s="39"/>
      <c r="I108" s="58"/>
    </row>
    <row r="109" spans="1:9" ht="15" customHeight="1" x14ac:dyDescent="0.25">
      <c r="A109" s="39"/>
      <c r="B109" s="39"/>
      <c r="C109" s="39"/>
      <c r="D109" s="39"/>
      <c r="E109" s="39"/>
      <c r="F109" s="39"/>
      <c r="G109" s="39"/>
      <c r="H109" s="39"/>
      <c r="I109" s="58"/>
    </row>
    <row r="110" spans="1:9" ht="15" customHeight="1" x14ac:dyDescent="0.25">
      <c r="A110" s="39"/>
      <c r="B110" s="39"/>
      <c r="C110" s="39"/>
      <c r="D110" s="39"/>
      <c r="E110" s="39"/>
      <c r="F110" s="39"/>
      <c r="G110" s="39"/>
      <c r="H110" s="39"/>
      <c r="I110" s="58"/>
    </row>
    <row r="111" spans="1:9" ht="15" customHeight="1" x14ac:dyDescent="0.25">
      <c r="A111" s="39"/>
      <c r="B111" s="39"/>
      <c r="C111" s="39"/>
      <c r="D111" s="39"/>
      <c r="E111" s="39"/>
      <c r="F111" s="39"/>
      <c r="G111" s="39"/>
      <c r="H111" s="39"/>
      <c r="I111" s="58"/>
    </row>
    <row r="112" spans="1:9" ht="15" customHeight="1" x14ac:dyDescent="0.25">
      <c r="A112" s="42"/>
      <c r="B112" s="39"/>
      <c r="C112" s="39"/>
      <c r="D112" s="39"/>
      <c r="E112" s="39"/>
      <c r="F112" s="39"/>
      <c r="G112" s="39"/>
      <c r="H112" s="39"/>
      <c r="I112" s="58"/>
    </row>
    <row r="113" spans="1:9" ht="15" customHeight="1" x14ac:dyDescent="0.25">
      <c r="A113" s="39"/>
      <c r="B113" s="39"/>
      <c r="C113" s="39"/>
      <c r="D113" s="39"/>
      <c r="E113" s="39"/>
      <c r="F113" s="39"/>
      <c r="G113" s="39"/>
      <c r="H113" s="39"/>
      <c r="I113" s="58"/>
    </row>
    <row r="114" spans="1:9" ht="15" customHeight="1" x14ac:dyDescent="0.25">
      <c r="A114" s="39"/>
      <c r="B114" s="39"/>
      <c r="C114" s="39"/>
      <c r="D114" s="39"/>
      <c r="E114" s="39"/>
      <c r="F114" s="39"/>
      <c r="G114" s="39"/>
      <c r="H114" s="39"/>
      <c r="I114" s="58"/>
    </row>
    <row r="115" spans="1:9" ht="15" customHeight="1" x14ac:dyDescent="0.25">
      <c r="A115" s="39"/>
      <c r="B115" s="39"/>
      <c r="C115" s="39"/>
      <c r="D115" s="39"/>
      <c r="E115" s="39"/>
      <c r="F115" s="39"/>
      <c r="G115" s="39"/>
      <c r="H115" s="39"/>
      <c r="I115" s="58"/>
    </row>
    <row r="116" spans="1:9" ht="15" customHeight="1" x14ac:dyDescent="0.25">
      <c r="A116" s="39"/>
      <c r="B116" s="39"/>
      <c r="C116" s="39"/>
      <c r="D116" s="39"/>
      <c r="E116" s="39"/>
      <c r="F116" s="39"/>
      <c r="G116" s="39"/>
      <c r="H116" s="39"/>
      <c r="I116" s="58"/>
    </row>
    <row r="117" spans="1:9" ht="15" customHeight="1" x14ac:dyDescent="0.25">
      <c r="A117" s="39"/>
      <c r="B117" s="39"/>
      <c r="C117" s="39"/>
      <c r="D117" s="39"/>
      <c r="E117" s="39"/>
      <c r="F117" s="39"/>
      <c r="G117" s="39"/>
      <c r="H117" s="39"/>
      <c r="I117" s="58"/>
    </row>
    <row r="118" spans="1:9" ht="15" customHeight="1" x14ac:dyDescent="0.25">
      <c r="A118" s="39"/>
      <c r="B118" s="39"/>
      <c r="C118" s="39"/>
      <c r="D118" s="39"/>
      <c r="E118" s="39"/>
      <c r="F118" s="39"/>
      <c r="G118" s="39"/>
      <c r="H118" s="39"/>
      <c r="I118" s="58"/>
    </row>
    <row r="119" spans="1:9" ht="15" customHeight="1" x14ac:dyDescent="0.25">
      <c r="A119" s="39"/>
      <c r="B119" s="39"/>
      <c r="C119" s="39"/>
      <c r="D119" s="39"/>
      <c r="E119" s="39"/>
      <c r="F119" s="39"/>
      <c r="G119" s="39"/>
      <c r="H119" s="39"/>
      <c r="I119" s="58"/>
    </row>
    <row r="120" spans="1:9" ht="15" customHeight="1" x14ac:dyDescent="0.25">
      <c r="A120" s="39"/>
      <c r="B120" s="39"/>
      <c r="C120" s="39"/>
      <c r="D120" s="39"/>
      <c r="E120" s="39"/>
      <c r="F120" s="39"/>
      <c r="G120" s="39"/>
      <c r="H120" s="39"/>
      <c r="I120" s="58"/>
    </row>
    <row r="121" spans="1:9" ht="15" customHeight="1" x14ac:dyDescent="0.25">
      <c r="A121" s="42"/>
      <c r="B121" s="39"/>
      <c r="C121" s="39"/>
      <c r="D121" s="39"/>
      <c r="E121" s="39"/>
      <c r="F121" s="39"/>
      <c r="G121" s="39"/>
      <c r="H121" s="39"/>
      <c r="I121" s="58"/>
    </row>
    <row r="122" spans="1:9" ht="15" customHeight="1" x14ac:dyDescent="0.25">
      <c r="A122" s="39"/>
      <c r="B122" s="43"/>
      <c r="C122" s="43"/>
      <c r="D122" s="43"/>
      <c r="E122" s="43"/>
      <c r="F122" s="43"/>
      <c r="G122" s="43"/>
      <c r="H122" s="43"/>
      <c r="I122" s="545"/>
    </row>
    <row r="123" spans="1:9" ht="15" customHeight="1" x14ac:dyDescent="0.25">
      <c r="A123" s="42"/>
      <c r="B123" s="39"/>
      <c r="C123" s="39"/>
      <c r="D123" s="39"/>
      <c r="E123" s="39"/>
      <c r="F123" s="39"/>
      <c r="G123" s="39"/>
      <c r="H123" s="39"/>
      <c r="I123" s="58"/>
    </row>
    <row r="124" spans="1:9" ht="15" customHeight="1" x14ac:dyDescent="0.25">
      <c r="A124" s="39"/>
      <c r="B124" s="39"/>
      <c r="C124" s="39"/>
      <c r="D124" s="39"/>
      <c r="E124" s="39"/>
      <c r="F124" s="39"/>
      <c r="G124" s="39"/>
      <c r="H124" s="39"/>
      <c r="I124" s="58"/>
    </row>
    <row r="125" spans="1:9" ht="15" customHeight="1" x14ac:dyDescent="0.25">
      <c r="A125" s="39"/>
      <c r="B125" s="39"/>
      <c r="C125" s="39"/>
      <c r="D125" s="39"/>
      <c r="E125" s="39"/>
      <c r="F125" s="39"/>
      <c r="G125" s="39"/>
      <c r="H125" s="39"/>
      <c r="I125" s="58"/>
    </row>
    <row r="126" spans="1:9" ht="15" customHeight="1" x14ac:dyDescent="0.25">
      <c r="A126" s="39"/>
      <c r="B126" s="39"/>
      <c r="C126" s="39"/>
      <c r="D126" s="39"/>
      <c r="E126" s="39"/>
      <c r="F126" s="39"/>
      <c r="G126" s="39"/>
      <c r="H126" s="39"/>
      <c r="I126" s="58"/>
    </row>
    <row r="127" spans="1:9" ht="15" customHeight="1" x14ac:dyDescent="0.25">
      <c r="A127" s="39"/>
      <c r="B127" s="39"/>
      <c r="C127" s="39"/>
      <c r="D127" s="39"/>
      <c r="E127" s="39"/>
      <c r="F127" s="39"/>
      <c r="G127" s="39"/>
      <c r="H127" s="39"/>
      <c r="I127" s="58"/>
    </row>
    <row r="128" spans="1:9" ht="15" customHeight="1" x14ac:dyDescent="0.25">
      <c r="A128" s="39"/>
      <c r="B128" s="39"/>
      <c r="C128" s="39"/>
      <c r="D128" s="39"/>
      <c r="E128" s="39"/>
      <c r="F128" s="39"/>
      <c r="G128" s="39"/>
      <c r="H128" s="39"/>
      <c r="I128" s="58"/>
    </row>
    <row r="129" spans="1:9" ht="15" customHeight="1" x14ac:dyDescent="0.25">
      <c r="A129" s="39"/>
      <c r="B129" s="39"/>
      <c r="C129" s="39"/>
      <c r="D129" s="39"/>
      <c r="E129" s="39"/>
      <c r="F129" s="39"/>
      <c r="G129" s="39"/>
      <c r="H129" s="39"/>
      <c r="I129" s="58"/>
    </row>
    <row r="130" spans="1:9" ht="15" customHeight="1" x14ac:dyDescent="0.25">
      <c r="A130" s="39"/>
      <c r="B130" s="39"/>
      <c r="C130" s="39"/>
      <c r="D130" s="39"/>
      <c r="E130" s="39"/>
      <c r="F130" s="39"/>
      <c r="G130" s="39"/>
      <c r="H130" s="39"/>
      <c r="I130" s="58"/>
    </row>
    <row r="131" spans="1:9" ht="15" customHeight="1" x14ac:dyDescent="0.25">
      <c r="A131" s="39"/>
      <c r="B131" s="39"/>
      <c r="C131" s="39"/>
      <c r="D131" s="39"/>
      <c r="E131" s="39"/>
      <c r="F131" s="39"/>
      <c r="G131" s="39"/>
      <c r="H131" s="39"/>
      <c r="I131" s="58"/>
    </row>
    <row r="132" spans="1:9" ht="15" customHeight="1" x14ac:dyDescent="0.25">
      <c r="A132" s="39"/>
      <c r="B132" s="39"/>
      <c r="C132" s="39"/>
      <c r="D132" s="39"/>
      <c r="E132" s="39"/>
      <c r="F132" s="39"/>
      <c r="G132" s="39"/>
      <c r="H132" s="39"/>
      <c r="I132" s="58"/>
    </row>
    <row r="133" spans="1:9" ht="15" customHeight="1" x14ac:dyDescent="0.25">
      <c r="A133" s="39"/>
      <c r="B133" s="39"/>
      <c r="C133" s="39"/>
      <c r="D133" s="39"/>
      <c r="E133" s="39"/>
      <c r="F133" s="39"/>
      <c r="G133" s="39"/>
      <c r="H133" s="39"/>
      <c r="I133" s="58"/>
    </row>
    <row r="134" spans="1:9" ht="15" customHeight="1" x14ac:dyDescent="0.25">
      <c r="A134" s="39"/>
      <c r="B134" s="39"/>
      <c r="C134" s="39"/>
      <c r="D134" s="39"/>
      <c r="E134" s="39"/>
      <c r="F134" s="39"/>
      <c r="G134" s="39"/>
      <c r="H134" s="39"/>
      <c r="I134" s="58"/>
    </row>
    <row r="135" spans="1:9" ht="15" customHeight="1" x14ac:dyDescent="0.25">
      <c r="A135" s="39"/>
      <c r="B135" s="39"/>
      <c r="C135" s="39"/>
      <c r="D135" s="39"/>
      <c r="E135" s="39"/>
      <c r="F135" s="39"/>
      <c r="G135" s="39"/>
      <c r="H135" s="39"/>
      <c r="I135" s="58"/>
    </row>
    <row r="136" spans="1:9" ht="15" customHeight="1" x14ac:dyDescent="0.25">
      <c r="A136" s="39"/>
      <c r="B136" s="39"/>
      <c r="C136" s="39"/>
      <c r="D136" s="39"/>
      <c r="E136" s="39"/>
      <c r="F136" s="39"/>
      <c r="G136" s="39"/>
      <c r="H136" s="39"/>
      <c r="I136" s="58"/>
    </row>
    <row r="137" spans="1:9" ht="15" customHeight="1" x14ac:dyDescent="0.25">
      <c r="A137" s="39"/>
      <c r="B137" s="39"/>
      <c r="C137" s="39"/>
      <c r="D137" s="39"/>
      <c r="E137" s="39"/>
      <c r="F137" s="39"/>
      <c r="G137" s="39"/>
      <c r="H137" s="39"/>
      <c r="I137" s="58"/>
    </row>
    <row r="138" spans="1:9" ht="15" customHeight="1" x14ac:dyDescent="0.25">
      <c r="A138" s="39"/>
      <c r="B138" s="39"/>
      <c r="C138" s="39"/>
      <c r="D138" s="39"/>
      <c r="E138" s="39"/>
      <c r="F138" s="39"/>
      <c r="G138" s="39"/>
      <c r="H138" s="39"/>
      <c r="I138" s="58"/>
    </row>
    <row r="139" spans="1:9" ht="15" customHeight="1" x14ac:dyDescent="0.25">
      <c r="A139" s="39"/>
      <c r="B139" s="39"/>
      <c r="C139" s="39"/>
      <c r="D139" s="39"/>
      <c r="E139" s="39"/>
      <c r="F139" s="39"/>
      <c r="G139" s="39"/>
      <c r="H139" s="39"/>
      <c r="I139" s="58"/>
    </row>
    <row r="140" spans="1:9" ht="15" customHeight="1" x14ac:dyDescent="0.25">
      <c r="A140" s="42"/>
      <c r="B140" s="39"/>
      <c r="C140" s="39"/>
      <c r="D140" s="39"/>
      <c r="E140" s="39"/>
      <c r="F140" s="39"/>
      <c r="G140" s="39"/>
      <c r="H140" s="39"/>
      <c r="I140" s="58"/>
    </row>
    <row r="141" spans="1:9" ht="15" customHeight="1" x14ac:dyDescent="0.25">
      <c r="A141" s="39"/>
      <c r="B141" s="39"/>
      <c r="C141" s="39"/>
      <c r="D141" s="39"/>
      <c r="E141" s="39"/>
      <c r="F141" s="39"/>
      <c r="G141" s="39"/>
      <c r="H141" s="39"/>
      <c r="I141" s="58"/>
    </row>
    <row r="142" spans="1:9" ht="15" customHeight="1" x14ac:dyDescent="0.25">
      <c r="A142" s="39"/>
      <c r="B142" s="39"/>
      <c r="C142" s="39"/>
      <c r="D142" s="39"/>
      <c r="E142" s="39"/>
      <c r="F142" s="39"/>
      <c r="G142" s="39"/>
      <c r="H142" s="39"/>
      <c r="I142" s="58"/>
    </row>
    <row r="143" spans="1:9" ht="15" customHeight="1" x14ac:dyDescent="0.25">
      <c r="A143" s="39"/>
      <c r="B143" s="39"/>
      <c r="C143" s="39"/>
      <c r="D143" s="39"/>
      <c r="E143" s="39"/>
      <c r="F143" s="39"/>
      <c r="G143" s="39"/>
      <c r="H143" s="39"/>
      <c r="I143" s="58"/>
    </row>
    <row r="144" spans="1:9" ht="15" customHeight="1" x14ac:dyDescent="0.25">
      <c r="A144" s="39"/>
      <c r="B144" s="39"/>
      <c r="C144" s="39"/>
      <c r="D144" s="39"/>
      <c r="E144" s="39"/>
      <c r="F144" s="39"/>
      <c r="G144" s="39"/>
      <c r="H144" s="39"/>
      <c r="I144" s="58"/>
    </row>
    <row r="145" spans="1:9" ht="15" customHeight="1" x14ac:dyDescent="0.25">
      <c r="A145" s="39"/>
      <c r="B145" s="39"/>
      <c r="C145" s="39"/>
      <c r="D145" s="39"/>
      <c r="E145" s="39"/>
      <c r="F145" s="39"/>
      <c r="G145" s="39"/>
      <c r="H145" s="39"/>
      <c r="I145" s="58"/>
    </row>
    <row r="146" spans="1:9" ht="15" customHeight="1" x14ac:dyDescent="0.25">
      <c r="A146" s="39"/>
      <c r="B146" s="39"/>
      <c r="C146" s="39"/>
      <c r="D146" s="39"/>
      <c r="E146" s="39"/>
      <c r="F146" s="39"/>
      <c r="G146" s="39"/>
      <c r="H146" s="39"/>
      <c r="I146" s="58"/>
    </row>
    <row r="147" spans="1:9" ht="15" customHeight="1" x14ac:dyDescent="0.25">
      <c r="A147" s="39"/>
      <c r="B147" s="39"/>
      <c r="C147" s="39"/>
      <c r="D147" s="39"/>
      <c r="E147" s="39"/>
      <c r="F147" s="39"/>
      <c r="G147" s="39"/>
      <c r="H147" s="39"/>
      <c r="I147" s="58"/>
    </row>
    <row r="148" spans="1:9" ht="15" customHeight="1" x14ac:dyDescent="0.25">
      <c r="A148" s="39"/>
      <c r="B148" s="39"/>
      <c r="C148" s="39"/>
      <c r="D148" s="39"/>
      <c r="E148" s="39"/>
      <c r="F148" s="39"/>
      <c r="G148" s="39"/>
      <c r="H148" s="39"/>
      <c r="I148" s="58"/>
    </row>
    <row r="149" spans="1:9" ht="15" customHeight="1" x14ac:dyDescent="0.25">
      <c r="A149" s="39"/>
      <c r="B149" s="39"/>
      <c r="C149" s="39"/>
      <c r="D149" s="39"/>
      <c r="E149" s="39"/>
      <c r="F149" s="39"/>
      <c r="G149" s="39"/>
      <c r="H149" s="39"/>
      <c r="I149" s="58"/>
    </row>
    <row r="150" spans="1:9" ht="15" customHeight="1" x14ac:dyDescent="0.25">
      <c r="A150" s="39"/>
      <c r="B150" s="39"/>
      <c r="C150" s="39"/>
      <c r="D150" s="39"/>
      <c r="E150" s="39"/>
      <c r="F150" s="39"/>
      <c r="G150" s="39"/>
      <c r="H150" s="39"/>
      <c r="I150" s="58"/>
    </row>
    <row r="151" spans="1:9" ht="15" customHeight="1" x14ac:dyDescent="0.25">
      <c r="A151" s="39"/>
      <c r="B151" s="39"/>
      <c r="C151" s="39"/>
      <c r="D151" s="39"/>
      <c r="E151" s="39"/>
      <c r="F151" s="39"/>
      <c r="G151" s="39"/>
      <c r="H151" s="39"/>
      <c r="I151" s="58"/>
    </row>
    <row r="152" spans="1:9" ht="15" customHeight="1" x14ac:dyDescent="0.25">
      <c r="A152" s="39"/>
      <c r="B152" s="39"/>
      <c r="C152" s="39"/>
      <c r="D152" s="39"/>
      <c r="E152" s="39"/>
      <c r="F152" s="39"/>
      <c r="G152" s="39"/>
      <c r="H152" s="39"/>
      <c r="I152" s="58"/>
    </row>
    <row r="153" spans="1:9" ht="15" customHeight="1" x14ac:dyDescent="0.25">
      <c r="A153" s="39"/>
      <c r="B153" s="39"/>
      <c r="C153" s="39"/>
      <c r="D153" s="39"/>
      <c r="E153" s="39"/>
      <c r="F153" s="39"/>
      <c r="G153" s="39"/>
      <c r="H153" s="39"/>
      <c r="I153" s="58"/>
    </row>
    <row r="154" spans="1:9" ht="15" customHeight="1" x14ac:dyDescent="0.25">
      <c r="A154" s="39"/>
      <c r="B154" s="39"/>
      <c r="C154" s="39"/>
      <c r="D154" s="39"/>
      <c r="E154" s="39"/>
      <c r="F154" s="39"/>
      <c r="G154" s="39"/>
      <c r="H154" s="39"/>
      <c r="I154" s="58"/>
    </row>
    <row r="155" spans="1:9" ht="15" customHeight="1" x14ac:dyDescent="0.25">
      <c r="A155" s="39"/>
      <c r="B155" s="39"/>
      <c r="C155" s="39"/>
      <c r="D155" s="39"/>
      <c r="E155" s="39"/>
      <c r="F155" s="39"/>
      <c r="G155" s="39"/>
      <c r="H155" s="39"/>
      <c r="I155" s="58"/>
    </row>
    <row r="156" spans="1:9" ht="15" customHeight="1" x14ac:dyDescent="0.25">
      <c r="A156" s="39"/>
      <c r="B156" s="39"/>
      <c r="C156" s="39"/>
      <c r="D156" s="39"/>
      <c r="E156" s="39"/>
      <c r="F156" s="39"/>
      <c r="G156" s="39"/>
      <c r="H156" s="39"/>
      <c r="I156" s="58"/>
    </row>
    <row r="157" spans="1:9" ht="15" customHeight="1" x14ac:dyDescent="0.25">
      <c r="A157" s="39"/>
      <c r="B157" s="39"/>
      <c r="C157" s="39"/>
      <c r="D157" s="39"/>
      <c r="E157" s="39"/>
      <c r="F157" s="39"/>
      <c r="G157" s="39"/>
      <c r="H157" s="39"/>
      <c r="I157" s="58"/>
    </row>
  </sheetData>
  <mergeCells count="31">
    <mergeCell ref="W7:W12"/>
    <mergeCell ref="W27:W31"/>
    <mergeCell ref="A26:B26"/>
    <mergeCell ref="A28:B28"/>
    <mergeCell ref="A8:B8"/>
    <mergeCell ref="A18:B19"/>
    <mergeCell ref="A20:B20"/>
    <mergeCell ref="A27:B27"/>
    <mergeCell ref="A14:B14"/>
    <mergeCell ref="A17:B17"/>
    <mergeCell ref="A25:B25"/>
    <mergeCell ref="A15:B15"/>
    <mergeCell ref="A33:B33"/>
    <mergeCell ref="A34:B34"/>
    <mergeCell ref="A35:B35"/>
    <mergeCell ref="A32:B32"/>
    <mergeCell ref="A29:B29"/>
    <mergeCell ref="A30:B30"/>
    <mergeCell ref="A31:B31"/>
    <mergeCell ref="A1:J1"/>
    <mergeCell ref="A11:B11"/>
    <mergeCell ref="A12:B12"/>
    <mergeCell ref="A13:B13"/>
    <mergeCell ref="A2:J2"/>
    <mergeCell ref="A10:B10"/>
    <mergeCell ref="A5:N5"/>
    <mergeCell ref="A6:B6"/>
    <mergeCell ref="A9:B9"/>
    <mergeCell ref="K4:R4"/>
    <mergeCell ref="F4:J4"/>
    <mergeCell ref="A3:U3"/>
  </mergeCells>
  <pageMargins left="0.31496062992125984" right="0.11811023622047245" top="0.78740157480314965" bottom="0.78740157480314965" header="0.31496062992125984" footer="0.31496062992125984"/>
  <pageSetup paperSize="9" scale="95" orientation="portrait" verticalDpi="4" r:id="rId1"/>
  <rowBreaks count="2" manualBreakCount="2">
    <brk id="58" max="16383" man="1"/>
    <brk id="11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21</vt:i4>
      </vt:variant>
      <vt:variant>
        <vt:lpstr>Intervalos Nomeados</vt:lpstr>
      </vt:variant>
      <vt:variant>
        <vt:i4>17</vt:i4>
      </vt:variant>
    </vt:vector>
  </HeadingPairs>
  <TitlesOfParts>
    <vt:vector size="38" baseType="lpstr">
      <vt:lpstr>SALARIOS</vt:lpstr>
      <vt:lpstr>encarregado</vt:lpstr>
      <vt:lpstr>servente</vt:lpstr>
      <vt:lpstr>servente setor de saúde</vt:lpstr>
      <vt:lpstr>mensageiro</vt:lpstr>
      <vt:lpstr>op.maq.reprografica</vt:lpstr>
      <vt:lpstr>garcom</vt:lpstr>
      <vt:lpstr>copeira</vt:lpstr>
      <vt:lpstr>recepcionista</vt:lpstr>
      <vt:lpstr>recepcionista setor de saúde</vt:lpstr>
      <vt:lpstr>telefonista</vt:lpstr>
      <vt:lpstr>jauzeiro</vt:lpstr>
      <vt:lpstr>Anexo Transporte e Alimentacao</vt:lpstr>
      <vt:lpstr>Anexo EPI</vt:lpstr>
      <vt:lpstr>Anexo Uniformes</vt:lpstr>
      <vt:lpstr>Quadro Resumo </vt:lpstr>
      <vt:lpstr>Base de cálculo supr e acresc</vt:lpstr>
      <vt:lpstr>Encargos Sociais</vt:lpstr>
      <vt:lpstr>calculos reajuste uniformes</vt:lpstr>
      <vt:lpstr>cálculo garantia</vt:lpstr>
      <vt:lpstr>acrescimo</vt:lpstr>
      <vt:lpstr>'Anexo Uniformes'!Area_de_impressao</vt:lpstr>
      <vt:lpstr>'calculos reajuste uniformes'!Area_de_impressao</vt:lpstr>
      <vt:lpstr>'Quadro Resumo '!Area_de_impressao</vt:lpstr>
      <vt:lpstr>'Anexo EPI'!Print_Area</vt:lpstr>
      <vt:lpstr>'Anexo Uniformes'!Print_Area</vt:lpstr>
      <vt:lpstr>'Encargos Sociais'!Print_Area</vt:lpstr>
      <vt:lpstr>encarregado!Print_Area</vt:lpstr>
      <vt:lpstr>garcom!Print_Area</vt:lpstr>
      <vt:lpstr>jauzeiro!Print_Area</vt:lpstr>
      <vt:lpstr>mensageiro!Print_Area</vt:lpstr>
      <vt:lpstr>op.maq.reprografica!Print_Area</vt:lpstr>
      <vt:lpstr>'Quadro Resumo '!Print_Area</vt:lpstr>
      <vt:lpstr>recepcionista!Print_Area</vt:lpstr>
      <vt:lpstr>'recepcionista setor de saúde'!Print_Area</vt:lpstr>
      <vt:lpstr>servente!Print_Area</vt:lpstr>
      <vt:lpstr>'servente setor de saúde'!Print_Area</vt:lpstr>
      <vt:lpstr>telefonista!Print_Area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mfarias</dc:creator>
  <cp:lastModifiedBy>Fernanda Mateus Kawano</cp:lastModifiedBy>
  <cp:lastPrinted>2019-11-08T11:04:56Z</cp:lastPrinted>
  <dcterms:created xsi:type="dcterms:W3CDTF">2009-05-26T13:22:20Z</dcterms:created>
  <dcterms:modified xsi:type="dcterms:W3CDTF">2022-04-06T18:16:58Z</dcterms:modified>
</cp:coreProperties>
</file>