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mc:Ignorable="x15" conformance="strict">
  <fileVersion appName="xl" lastEdited="7" lowestEdited="5" rupBuild="19029"/>
  <workbookPr dateCompatibility="0" codeName="EstaPasta_de_trabalho" defaultThemeVersion="124226"/>
  <mc:AlternateContent xmlns:mc="http://schemas.openxmlformats.org/markup-compatibility/2006">
    <mc:Choice Requires="x15">
      <x15ac:absPath xmlns:x15ac="http://schemas.microsoft.com/office/spreadsheetml/2010/11/ac" url="E:\Diligencias Brasfort\"/>
    </mc:Choice>
  </mc:AlternateContent>
  <workbookProtection workbookAlgorithmName="SHA-512" workbookHashValue="nZvwrw7TnDOUy/8B6nklLMvkeKhq+roHtzOAzezzCv8e1g6UFLNaA3P/uYnrcfM/uGsvYETJWhl6BzFRSwoCYQ==" workbookSaltValue="mWzixylLSsRwwPaVdDuzEg==" workbookSpinCount="100000" lockStructure="1"/>
  <bookViews>
    <workbookView xWindow="-120" yWindow="-120" windowWidth="29040" windowHeight="15840" tabRatio="742" firstSheet="7" activeTab="7"/>
  </bookViews>
  <sheets>
    <sheet name="CCT'S" sheetId="24" state="hidden" r:id="rId1"/>
    <sheet name="rascunho" sheetId="29" state="hidden" r:id="rId2"/>
    <sheet name="SALÁRIOS" sheetId="26" state="hidden" r:id="rId3"/>
    <sheet name="BENEFÍCIOS" sheetId="27" state="hidden" r:id="rId4"/>
    <sheet name="ENCARGOS" sheetId="22" state="hidden" r:id="rId5"/>
    <sheet name="LIMPEZA" sheetId="34" state="hidden" r:id="rId6"/>
    <sheet name="Dados" sheetId="8" state="hidden" r:id="rId7"/>
    <sheet name="Proposta" sheetId="9" r:id="rId8"/>
    <sheet name="Carta" sheetId="33" state="hidden" r:id="rId9"/>
    <sheet name="01" sheetId="18" r:id="rId10"/>
    <sheet name="Uniformes " sheetId="21" state="hidden" r:id="rId11"/>
    <sheet name="02" sheetId="37" r:id="rId12"/>
    <sheet name="03" sheetId="38" r:id="rId13"/>
    <sheet name="04" sheetId="39" r:id="rId14"/>
    <sheet name="05" sheetId="40" r:id="rId15"/>
    <sheet name="06" sheetId="41" r:id="rId16"/>
    <sheet name="07" sheetId="42" r:id="rId17"/>
    <sheet name="08" sheetId="43" r:id="rId18"/>
    <sheet name="09" sheetId="44" r:id="rId19"/>
    <sheet name="Mem.Submódulo 2.3" sheetId="13" r:id="rId20"/>
    <sheet name="Mem.Encargos" sheetId="15" r:id="rId21"/>
    <sheet name="Mem.Módulo 6" sheetId="28" r:id="rId22"/>
    <sheet name="Metragem" sheetId="31" state="hidden" r:id="rId23"/>
    <sheet name="Áreas Limpeza" sheetId="32" state="hidden" r:id="rId24"/>
    <sheet name=" UNIFORMES" sheetId="35" r:id="rId25"/>
    <sheet name=" EPIS" sheetId="36" r:id="rId26"/>
    <sheet name="Resumo" sheetId="10" r:id="rId27"/>
    <sheet name="Tributos" sheetId="23" r:id="rId28"/>
    <sheet name="k" sheetId="11" state="hidden" r:id="rId29"/>
  </sheets>
  <externalReferences>
    <externalReference r:id="rId30"/>
    <externalReference r:id="rId31"/>
    <externalReference r:id="rId32"/>
    <externalReference r:id="rId33"/>
    <externalReference r:id="rId34"/>
  </externalReferences>
  <definedNames>
    <definedName name="_xlnm._FilterDatabase" localSheetId="6" hidden="1">Dados!$L$83:$U$94</definedName>
    <definedName name="_xlnm.Print_Area" localSheetId="25">' EPIS'!$A$1:$E$38</definedName>
    <definedName name="_xlnm.Print_Area" localSheetId="24">' UNIFORMES'!$A$1:$E$94</definedName>
    <definedName name="_xlnm.Print_Area" localSheetId="9">'01'!$A$1:$G$215</definedName>
    <definedName name="_xlnm.Print_Area" localSheetId="11">'02'!$A$1:$G$220</definedName>
    <definedName name="_xlnm.Print_Area" localSheetId="12">'03'!$A$1:$G$215</definedName>
    <definedName name="_xlnm.Print_Area" localSheetId="13">'04'!$A$1:$G$215</definedName>
    <definedName name="_xlnm.Print_Area" localSheetId="14">'05'!$A$1:$G$215</definedName>
    <definedName name="_xlnm.Print_Area" localSheetId="15">'06'!$A$1:$G$215</definedName>
    <definedName name="_xlnm.Print_Area" localSheetId="16">'07'!$A$1:$G$215</definedName>
    <definedName name="_xlnm.Print_Area" localSheetId="17">'08'!$A$1:$G$215</definedName>
    <definedName name="_xlnm.Print_Area" localSheetId="18">'09'!$A$1:$G$215</definedName>
    <definedName name="_xlnm.Print_Area" localSheetId="23">'Áreas Limpeza'!$A$1:$G$107</definedName>
    <definedName name="_xlnm.Print_Area" localSheetId="8">Carta!$A$1:$K$61</definedName>
    <definedName name="_xlnm.Print_Area" localSheetId="0">'CCT''S'!$A$1:$L$138</definedName>
    <definedName name="_xlnm.Print_Area" localSheetId="6">Dados!$A$1:$U$135</definedName>
    <definedName name="_xlnm.Print_Area" localSheetId="4">ENCARGOS!$A$1:$W$61</definedName>
    <definedName name="_xlnm.Print_Area" localSheetId="5">LIMPEZA!$A$1:$N$84</definedName>
    <definedName name="_xlnm.Print_Area" localSheetId="20">Mem.Encargos!$A$1:$E$59</definedName>
    <definedName name="_xlnm.Print_Area" localSheetId="21">'Mem.Módulo 6'!$A$1:$E$25</definedName>
    <definedName name="_xlnm.Print_Area" localSheetId="19">'Mem.Submódulo 2.3'!$A$1:$G$88</definedName>
    <definedName name="_xlnm.Print_Area" localSheetId="22">Metragem!$A$1:$E$56</definedName>
    <definedName name="_xlnm.Print_Area" localSheetId="7">Proposta!$A$1:$K$107</definedName>
    <definedName name="_xlnm.Print_Area" localSheetId="1">rascunho!$A$1:$A$290</definedName>
    <definedName name="_xlnm.Print_Area" localSheetId="26">Resumo!$A$1:$H$32</definedName>
    <definedName name="_xlnm.Print_Area" localSheetId="2">SALÁRIOS!$A$1:$F$330</definedName>
    <definedName name="_xlnm.Print_Area" localSheetId="27">Tributos!$A$1:$F$48</definedName>
    <definedName name="_xlnm.Print_Area" localSheetId="10">'Uniformes '!$A$1:$I$34</definedName>
    <definedName name="Excel_BuiltIn_Print_Area_1" localSheetId="3">#REF!</definedName>
    <definedName name="Excel_BuiltIn_Print_Area_1" localSheetId="8">#REF!</definedName>
    <definedName name="Excel_BuiltIn_Print_Area_1" localSheetId="5">#REF!</definedName>
    <definedName name="Excel_BuiltIn_Print_Area_1" localSheetId="2">#REF!</definedName>
    <definedName name="Excel_BuiltIn_Print_Area_1">#REF!</definedName>
    <definedName name="Excel_BuiltIn_Print_Area_2" localSheetId="3">#REF!</definedName>
    <definedName name="Excel_BuiltIn_Print_Area_2" localSheetId="8">#REF!</definedName>
    <definedName name="Excel_BuiltIn_Print_Area_2" localSheetId="5">#REF!</definedName>
    <definedName name="Excel_BuiltIn_Print_Area_2" localSheetId="2">#REF!</definedName>
    <definedName name="Excel_BuiltIn_Print_Area_2">#REF!</definedName>
    <definedName name="Print_Area" localSheetId="25">' EPIS'!$A$7:$E$7</definedName>
    <definedName name="Print_Area" localSheetId="24">' UNIFORMES'!$A$6:$E$94</definedName>
    <definedName name="Tipo_de_Joranda_de_Trabalho" localSheetId="3">OFFSET([1]Apoio!$A$1,1,0,COUNTA([1]Apoio!$A$1:$A$65536)-1,1)</definedName>
    <definedName name="Tipo_de_Joranda_de_Trabalho" localSheetId="8">OFFSET([2]Apoio!$A$1,1,0,COUNTA([2]Apoio!$A:$A)-1,1)</definedName>
    <definedName name="Tipo_de_Joranda_de_Trabalho" localSheetId="0">OFFSET([1]Apoio!$A$1,1,0,COUNTA([1]Apoio!$A$1:$A$65536)-1,1)</definedName>
    <definedName name="Tipo_de_Joranda_de_Trabalho" localSheetId="4">OFFSET([1]Apoio!$A$1,1,0,COUNTA([1]Apoio!$A$1:$A$65536)-1,1)</definedName>
    <definedName name="Tipo_de_Joranda_de_Trabalho" localSheetId="5">OFFSET([1]Apoio!$A$1,1,0,COUNTA([1]Apoio!$A$1:$A$65536)-1,1)</definedName>
    <definedName name="Tipo_de_Joranda_de_Trabalho" localSheetId="21">OFFSET([3]Apoio!$A$1,1,0,COUNTA([3]Apoio!$A:$A)-1,1)</definedName>
    <definedName name="Tipo_de_Joranda_de_Trabalho" localSheetId="2">OFFSET([1]Apoio!$A$1,1,0,COUNTA([1]Apoio!$A$1:$A$65536)-1,1)</definedName>
    <definedName name="Tipo_de_Joranda_de_Trabalho" localSheetId="27">OFFSET([4]Apoio!$A$1,1,0,COUNTA([4]Apoio!$A:$A)-1,1)</definedName>
    <definedName name="Tipo_de_Joranda_de_Trabalho">OFFSET([5]Apoio!$A$1,1,0,COUNTA([5]Apoio!$A$1:$A$65536)-1,1)</definedName>
    <definedName name="_xlnm.Print_Titles" localSheetId="24">' UNIFORMES'!$1:$6</definedName>
    <definedName name="_xlnm.Print_Titles" localSheetId="23">'Áreas Limpeza'!$2:$17</definedName>
    <definedName name="UN" localSheetId="3">#REF!</definedName>
    <definedName name="UN" localSheetId="8">#REF!</definedName>
    <definedName name="UN" localSheetId="0">#REF!</definedName>
    <definedName name="UN" localSheetId="5">#REF!</definedName>
    <definedName name="UN" localSheetId="22">#REF!</definedName>
    <definedName name="UN" localSheetId="2">#REF!</definedName>
    <definedName name="UN">#REF!</definedName>
  </definedNames>
  <calcPr calcId="171027" fullPrecision="0"/>
  <extLst>
    <ext xmlns:x14="http://schemas.microsoft.com/office/spreadsheetml/2009/9/main" uri="{79F54976-1DA5-4618-B147-4CDE4B953A38}">
      <x14:workbookPr/>
    </ext>
    <ext xmlns="http://schemas.openxmlformats.org/spreadsheetml/2006/main"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purl.oclc.org/ooxml/spreadsheetml/main">
  <c r="D85" i="35" l="1"/>
  <c r="D86" i="35"/>
  <c r="D87" i="35"/>
  <c r="D88" i="35"/>
  <c r="D89" i="35"/>
  <c r="D90" i="35"/>
  <c r="D91" i="35"/>
  <c r="D84" i="35"/>
  <c r="D74" i="35"/>
  <c r="D75" i="35"/>
  <c r="D76" i="35"/>
  <c r="D77" i="35"/>
  <c r="D78" i="35"/>
  <c r="D73" i="35"/>
  <c r="D66" i="35"/>
  <c r="D64" i="35"/>
  <c r="D67" i="35"/>
  <c r="D32" i="35"/>
  <c r="D33" i="35"/>
  <c r="D34" i="35"/>
  <c r="D35" i="35"/>
  <c r="D36" i="35"/>
  <c r="D21" i="35"/>
  <c r="D22" i="35"/>
  <c r="D23" i="35"/>
  <c r="D24" i="35"/>
  <c r="D25" i="35"/>
  <c r="D20" i="35"/>
  <c r="D31" i="35"/>
  <c r="D53" i="35"/>
  <c r="D62" i="35" s="1"/>
  <c r="D54" i="35"/>
  <c r="D63" i="35" s="1"/>
  <c r="D55" i="35"/>
  <c r="D65" i="35" s="1"/>
  <c r="D56" i="35"/>
  <c r="A33" i="13"/>
  <c r="A35" i="13"/>
  <c r="A32" i="13"/>
  <c r="A31" i="13"/>
  <c r="D43" i="35"/>
  <c r="D44" i="35"/>
  <c r="D45" i="35"/>
  <c r="D46" i="35"/>
  <c r="D47" i="35"/>
  <c r="D42" i="35"/>
  <c r="C47" i="35"/>
  <c r="C46" i="35"/>
  <c r="C45" i="35"/>
  <c r="C44" i="35"/>
  <c r="C43" i="35"/>
  <c r="C42" i="35"/>
  <c r="C25" i="35"/>
  <c r="C24" i="35"/>
  <c r="C23" i="35"/>
  <c r="C22" i="35"/>
  <c r="C21" i="35"/>
  <c r="C20" i="35"/>
  <c r="P16" i="8"/>
  <c r="E45" i="35" l="1"/>
  <c r="E44" i="35"/>
  <c r="E47" i="35"/>
  <c r="E42" i="35"/>
  <c r="E43" i="35"/>
  <c r="E46" i="35"/>
  <c r="E23" i="35"/>
  <c r="E21" i="35"/>
  <c r="E20" i="35"/>
  <c r="E22" i="35"/>
  <c r="E24" i="35"/>
  <c r="E25" i="35"/>
  <c r="E48" i="35" l="1"/>
  <c r="E49" i="35" s="1"/>
  <c r="J69" i="8" s="1"/>
  <c r="F165" i="44" s="1"/>
  <c r="E26" i="35"/>
  <c r="E27" i="35" s="1"/>
  <c r="J70" i="8" s="1"/>
  <c r="F165" i="39" l="1"/>
  <c r="F165" i="38"/>
  <c r="S14" i="8" l="1"/>
  <c r="U14" i="8"/>
  <c r="S15" i="8"/>
  <c r="U15" i="8"/>
  <c r="S13" i="8"/>
  <c r="C36" i="35" l="1"/>
  <c r="C35" i="35"/>
  <c r="C34" i="35"/>
  <c r="C33" i="35"/>
  <c r="C32" i="35"/>
  <c r="C31" i="35"/>
  <c r="A107" i="9"/>
  <c r="J65" i="9"/>
  <c r="J64" i="9"/>
  <c r="J63" i="9"/>
  <c r="J62" i="9"/>
  <c r="J61" i="9"/>
  <c r="J60" i="9"/>
  <c r="K65" i="9"/>
  <c r="K64" i="9"/>
  <c r="K63" i="9"/>
  <c r="K62" i="9"/>
  <c r="K61" i="9"/>
  <c r="K60" i="9"/>
  <c r="K59" i="9"/>
  <c r="K58" i="9"/>
  <c r="K57" i="9"/>
  <c r="J59" i="9"/>
  <c r="J58" i="9"/>
  <c r="J57" i="9"/>
  <c r="K56" i="9"/>
  <c r="J56" i="9"/>
  <c r="E36" i="35" l="1"/>
  <c r="E33" i="35"/>
  <c r="E32" i="35"/>
  <c r="E35" i="35"/>
  <c r="E34" i="35"/>
  <c r="E31" i="35"/>
  <c r="J66" i="9"/>
  <c r="J67" i="9" s="1"/>
  <c r="K66" i="9"/>
  <c r="K67" i="9" s="1"/>
  <c r="R78" i="8"/>
  <c r="R77" i="8"/>
  <c r="E37" i="35" l="1"/>
  <c r="E38" i="35" s="1"/>
  <c r="J68" i="8" s="1"/>
  <c r="F106" i="44"/>
  <c r="F107" i="44"/>
  <c r="F108" i="44"/>
  <c r="D9" i="35"/>
  <c r="F165" i="42" l="1"/>
  <c r="E41" i="22"/>
  <c r="E40" i="22"/>
  <c r="E39" i="22"/>
  <c r="E32" i="22"/>
  <c r="E34" i="22" s="1"/>
  <c r="E29" i="22"/>
  <c r="E31" i="22" s="1"/>
  <c r="E15" i="22"/>
  <c r="E16" i="22" s="1"/>
  <c r="E30" i="22" l="1"/>
  <c r="F176" i="44"/>
  <c r="F175" i="44"/>
  <c r="F176" i="43"/>
  <c r="F175" i="43"/>
  <c r="F176" i="42"/>
  <c r="F175" i="42"/>
  <c r="F176" i="41"/>
  <c r="F175" i="41"/>
  <c r="F176" i="40"/>
  <c r="F175" i="40"/>
  <c r="F176" i="39"/>
  <c r="F175" i="39"/>
  <c r="F176" i="38"/>
  <c r="F175" i="38"/>
  <c r="F176" i="37"/>
  <c r="F175" i="37"/>
  <c r="D25" i="36"/>
  <c r="D12" i="36"/>
  <c r="D24" i="36"/>
  <c r="D31" i="36"/>
  <c r="D22" i="36"/>
  <c r="R93" i="8"/>
  <c r="F32" i="22"/>
  <c r="G32" i="22"/>
  <c r="H32" i="22"/>
  <c r="I32" i="22"/>
  <c r="J32" i="22"/>
  <c r="K32" i="22"/>
  <c r="L32" i="22"/>
  <c r="S45" i="8"/>
  <c r="U33" i="8"/>
  <c r="U34" i="8"/>
  <c r="U35" i="8"/>
  <c r="U37" i="8"/>
  <c r="U38" i="8"/>
  <c r="U39" i="8"/>
  <c r="U40" i="8"/>
  <c r="U41" i="8"/>
  <c r="D23" i="36"/>
  <c r="D26" i="36"/>
  <c r="D27" i="36"/>
  <c r="D28" i="36"/>
  <c r="D29" i="36"/>
  <c r="D30" i="36"/>
  <c r="D32" i="36"/>
  <c r="D11" i="36"/>
  <c r="D13" i="36"/>
  <c r="D14" i="36"/>
  <c r="D15" i="36"/>
  <c r="D16" i="36"/>
  <c r="D11" i="35"/>
  <c r="D12" i="35"/>
  <c r="D13" i="35"/>
  <c r="D14" i="35"/>
  <c r="L41" i="22" l="1"/>
  <c r="L40" i="22"/>
  <c r="L39" i="22"/>
  <c r="B69" i="13"/>
  <c r="E69" i="13" s="1"/>
  <c r="B18" i="13"/>
  <c r="B19" i="13"/>
  <c r="B20" i="13"/>
  <c r="B21" i="13"/>
  <c r="D21" i="13"/>
  <c r="B22" i="13"/>
  <c r="D22" i="13"/>
  <c r="B23" i="13"/>
  <c r="D23" i="13"/>
  <c r="B24" i="13"/>
  <c r="B25" i="13"/>
  <c r="D25" i="13"/>
  <c r="D10" i="36" l="1"/>
  <c r="D10" i="35"/>
  <c r="F23" i="9" l="1"/>
  <c r="F24" i="9"/>
  <c r="F25" i="9"/>
  <c r="F26" i="9"/>
  <c r="F27" i="9"/>
  <c r="F28" i="9"/>
  <c r="F29" i="9"/>
  <c r="F30" i="9"/>
  <c r="B23" i="9"/>
  <c r="B24" i="9"/>
  <c r="B25" i="9"/>
  <c r="B26" i="9"/>
  <c r="B27" i="9"/>
  <c r="B28" i="9"/>
  <c r="B29" i="9"/>
  <c r="B30" i="9"/>
  <c r="B10" i="11"/>
  <c r="B11" i="11"/>
  <c r="B12" i="11"/>
  <c r="B13" i="11"/>
  <c r="B14" i="11"/>
  <c r="B15" i="11"/>
  <c r="B16" i="11"/>
  <c r="B17" i="11"/>
  <c r="E13" i="10"/>
  <c r="E14" i="10"/>
  <c r="E15" i="10"/>
  <c r="E16" i="10"/>
  <c r="E17" i="10"/>
  <c r="E18" i="10"/>
  <c r="E19" i="10"/>
  <c r="E20" i="10"/>
  <c r="B13" i="10"/>
  <c r="B14" i="10"/>
  <c r="B15" i="10"/>
  <c r="B16" i="10"/>
  <c r="B17" i="10"/>
  <c r="B18" i="10"/>
  <c r="B19" i="10"/>
  <c r="B20" i="10"/>
  <c r="F40" i="44"/>
  <c r="B205" i="44" s="1"/>
  <c r="B221" i="44" s="1"/>
  <c r="F39" i="44"/>
  <c r="G47" i="44" s="1"/>
  <c r="F38" i="44"/>
  <c r="N102" i="8"/>
  <c r="C65" i="13" s="1"/>
  <c r="F26" i="44"/>
  <c r="D205" i="44" s="1"/>
  <c r="E26" i="44"/>
  <c r="F205" i="44" s="1"/>
  <c r="F221" i="44" s="1"/>
  <c r="A26" i="44"/>
  <c r="F37" i="44" s="1"/>
  <c r="A221" i="44"/>
  <c r="B197" i="44"/>
  <c r="B195" i="44"/>
  <c r="B194" i="44"/>
  <c r="B193" i="44"/>
  <c r="B192" i="44"/>
  <c r="B191" i="44"/>
  <c r="F168" i="44"/>
  <c r="B168" i="44"/>
  <c r="G167" i="44"/>
  <c r="B167" i="44"/>
  <c r="G166" i="44"/>
  <c r="B166" i="44"/>
  <c r="B165" i="44"/>
  <c r="B160" i="44"/>
  <c r="B159" i="44"/>
  <c r="G152" i="44"/>
  <c r="G153" i="44" s="1"/>
  <c r="G160" i="44" s="1"/>
  <c r="B120" i="44"/>
  <c r="B119" i="44"/>
  <c r="B118" i="44"/>
  <c r="B97" i="44"/>
  <c r="B75" i="44"/>
  <c r="B74" i="44"/>
  <c r="B48" i="44"/>
  <c r="D26" i="44"/>
  <c r="C26" i="44"/>
  <c r="E96" i="44" s="1"/>
  <c r="F22" i="44"/>
  <c r="F19" i="44"/>
  <c r="A15" i="44"/>
  <c r="C14" i="44"/>
  <c r="C13" i="44"/>
  <c r="A9" i="44"/>
  <c r="A6" i="44"/>
  <c r="A5" i="44"/>
  <c r="A2" i="44"/>
  <c r="A1" i="44"/>
  <c r="F40" i="43"/>
  <c r="B205" i="43" s="1"/>
  <c r="B221" i="43" s="1"/>
  <c r="F38" i="43"/>
  <c r="F26" i="43"/>
  <c r="E26" i="43"/>
  <c r="F205" i="43" s="1"/>
  <c r="F221" i="43" s="1"/>
  <c r="A26" i="43"/>
  <c r="F37" i="43" s="1"/>
  <c r="A221" i="43"/>
  <c r="B197" i="43"/>
  <c r="B195" i="43"/>
  <c r="B194" i="43"/>
  <c r="B193" i="43"/>
  <c r="B192" i="43"/>
  <c r="B191" i="43"/>
  <c r="F168" i="43"/>
  <c r="B168" i="43"/>
  <c r="G167" i="43"/>
  <c r="B167" i="43"/>
  <c r="B166" i="43"/>
  <c r="B165" i="43"/>
  <c r="B160" i="43"/>
  <c r="B159" i="43"/>
  <c r="G152" i="43"/>
  <c r="G153" i="43" s="1"/>
  <c r="G160" i="43" s="1"/>
  <c r="B120" i="43"/>
  <c r="B119" i="43"/>
  <c r="B118" i="43"/>
  <c r="B97" i="43"/>
  <c r="B75" i="43"/>
  <c r="B74" i="43"/>
  <c r="B48" i="43"/>
  <c r="D26" i="43"/>
  <c r="C26" i="43"/>
  <c r="E98" i="43" s="1"/>
  <c r="F22" i="43"/>
  <c r="F19" i="43"/>
  <c r="A15" i="43"/>
  <c r="C14" i="43"/>
  <c r="C13" i="43"/>
  <c r="A9" i="43"/>
  <c r="A6" i="43"/>
  <c r="A5" i="43"/>
  <c r="A2" i="43"/>
  <c r="A1" i="43"/>
  <c r="F40" i="42"/>
  <c r="B205" i="42" s="1"/>
  <c r="B221" i="42" s="1"/>
  <c r="F39" i="42"/>
  <c r="G47" i="42" s="1"/>
  <c r="F38" i="42"/>
  <c r="F26" i="42"/>
  <c r="D205" i="42" s="1"/>
  <c r="E26" i="42"/>
  <c r="F205" i="42" s="1"/>
  <c r="F221" i="42" s="1"/>
  <c r="A26" i="42"/>
  <c r="F37" i="42" s="1"/>
  <c r="A221" i="42"/>
  <c r="B197" i="42"/>
  <c r="B195" i="42"/>
  <c r="B194" i="42"/>
  <c r="B193" i="42"/>
  <c r="B192" i="42"/>
  <c r="B191" i="42"/>
  <c r="F168" i="42"/>
  <c r="B168" i="42"/>
  <c r="G167" i="42"/>
  <c r="B167" i="42"/>
  <c r="G166" i="42"/>
  <c r="B166" i="42"/>
  <c r="B165" i="42"/>
  <c r="B160" i="42"/>
  <c r="B159" i="42"/>
  <c r="G152" i="42"/>
  <c r="G153" i="42" s="1"/>
  <c r="G160" i="42" s="1"/>
  <c r="B120" i="42"/>
  <c r="B119" i="42"/>
  <c r="B118" i="42"/>
  <c r="B97" i="42"/>
  <c r="B75" i="42"/>
  <c r="B74" i="42"/>
  <c r="B48" i="42"/>
  <c r="D26" i="42"/>
  <c r="C26" i="42"/>
  <c r="E98" i="42" s="1"/>
  <c r="F22" i="42"/>
  <c r="F19" i="42"/>
  <c r="A15" i="42"/>
  <c r="C14" i="42"/>
  <c r="C13" i="42"/>
  <c r="A9" i="42"/>
  <c r="A6" i="42"/>
  <c r="A5" i="42"/>
  <c r="A2" i="42"/>
  <c r="A1" i="42"/>
  <c r="F40" i="41"/>
  <c r="B205" i="41" s="1"/>
  <c r="B221" i="41" s="1"/>
  <c r="F39" i="41"/>
  <c r="G47" i="41" s="1"/>
  <c r="G53" i="41" s="1"/>
  <c r="C14" i="11" s="1"/>
  <c r="F38" i="41"/>
  <c r="F26" i="41"/>
  <c r="E26" i="41"/>
  <c r="F205" i="41" s="1"/>
  <c r="F221" i="41" s="1"/>
  <c r="A26" i="41"/>
  <c r="F37" i="41" s="1"/>
  <c r="A221" i="41"/>
  <c r="B197" i="41"/>
  <c r="B195" i="41"/>
  <c r="B194" i="41"/>
  <c r="B193" i="41"/>
  <c r="B192" i="41"/>
  <c r="B191" i="41"/>
  <c r="F168" i="41"/>
  <c r="B168" i="41"/>
  <c r="G167" i="41"/>
  <c r="B167" i="41"/>
  <c r="G166" i="41"/>
  <c r="B166" i="41"/>
  <c r="B165" i="41"/>
  <c r="B160" i="41"/>
  <c r="B159" i="41"/>
  <c r="G152" i="41"/>
  <c r="G153" i="41" s="1"/>
  <c r="G160" i="41" s="1"/>
  <c r="B120" i="41"/>
  <c r="B119" i="41"/>
  <c r="B118" i="41"/>
  <c r="B97" i="41"/>
  <c r="B75" i="41"/>
  <c r="B74" i="41"/>
  <c r="B48" i="41"/>
  <c r="D26" i="41"/>
  <c r="C26" i="41"/>
  <c r="E98" i="41" s="1"/>
  <c r="F22" i="41"/>
  <c r="F19" i="41"/>
  <c r="A15" i="41"/>
  <c r="C14" i="41"/>
  <c r="C13" i="41"/>
  <c r="A9" i="41"/>
  <c r="A6" i="41"/>
  <c r="A5" i="41"/>
  <c r="A2" i="41"/>
  <c r="A1" i="41"/>
  <c r="F40" i="40"/>
  <c r="B205" i="40" s="1"/>
  <c r="B221" i="40" s="1"/>
  <c r="F39" i="40"/>
  <c r="G47" i="40" s="1"/>
  <c r="G53" i="40" s="1"/>
  <c r="C13" i="11" s="1"/>
  <c r="F38" i="40"/>
  <c r="F26" i="40"/>
  <c r="D205" i="40" s="1"/>
  <c r="E26" i="40"/>
  <c r="D26" i="40"/>
  <c r="C26" i="40"/>
  <c r="E96" i="40" s="1"/>
  <c r="A26" i="40"/>
  <c r="F37" i="40" s="1"/>
  <c r="A221" i="40"/>
  <c r="B197" i="40"/>
  <c r="B195" i="40"/>
  <c r="B194" i="40"/>
  <c r="B193" i="40"/>
  <c r="B192" i="40"/>
  <c r="B191" i="40"/>
  <c r="F168" i="40"/>
  <c r="B168" i="40"/>
  <c r="G167" i="40"/>
  <c r="B167" i="40"/>
  <c r="G166" i="40"/>
  <c r="B166" i="40"/>
  <c r="B165" i="40"/>
  <c r="B160" i="40"/>
  <c r="B159" i="40"/>
  <c r="G152" i="40"/>
  <c r="G153" i="40" s="1"/>
  <c r="G160" i="40" s="1"/>
  <c r="B120" i="40"/>
  <c r="B119" i="40"/>
  <c r="B118" i="40"/>
  <c r="B97" i="40"/>
  <c r="B75" i="40"/>
  <c r="B74" i="40"/>
  <c r="B48" i="40"/>
  <c r="F22" i="40"/>
  <c r="F19" i="40"/>
  <c r="A15" i="40"/>
  <c r="C14" i="40"/>
  <c r="C13" i="40"/>
  <c r="A9" i="40"/>
  <c r="A6" i="40"/>
  <c r="A5" i="40"/>
  <c r="A2" i="40"/>
  <c r="A1" i="40"/>
  <c r="F40" i="39"/>
  <c r="B205" i="39" s="1"/>
  <c r="B221" i="39" s="1"/>
  <c r="F38" i="39"/>
  <c r="F26" i="39"/>
  <c r="D205" i="39" s="1"/>
  <c r="E26" i="39"/>
  <c r="F205" i="39" s="1"/>
  <c r="F221" i="39" s="1"/>
  <c r="D26" i="39"/>
  <c r="C26" i="39"/>
  <c r="E98" i="39" s="1"/>
  <c r="A26" i="39"/>
  <c r="F37" i="39" s="1"/>
  <c r="A221" i="39"/>
  <c r="B197" i="39"/>
  <c r="B195" i="39"/>
  <c r="B194" i="39"/>
  <c r="B193" i="39"/>
  <c r="B192" i="39"/>
  <c r="B191" i="39"/>
  <c r="F168" i="39"/>
  <c r="B168" i="39"/>
  <c r="G167" i="39"/>
  <c r="B167" i="39"/>
  <c r="G166" i="39"/>
  <c r="B166" i="39"/>
  <c r="B165" i="39"/>
  <c r="B160" i="39"/>
  <c r="B159" i="39"/>
  <c r="G152" i="39"/>
  <c r="G153" i="39" s="1"/>
  <c r="G160" i="39" s="1"/>
  <c r="B120" i="39"/>
  <c r="B119" i="39"/>
  <c r="B118" i="39"/>
  <c r="B97" i="39"/>
  <c r="B75" i="39"/>
  <c r="B74" i="39"/>
  <c r="B48" i="39"/>
  <c r="F22" i="39"/>
  <c r="F19" i="39"/>
  <c r="A15" i="39"/>
  <c r="C14" i="39"/>
  <c r="C13" i="39"/>
  <c r="A9" i="39"/>
  <c r="A6" i="39"/>
  <c r="A5" i="39"/>
  <c r="A2" i="39"/>
  <c r="A1" i="39"/>
  <c r="F40" i="38"/>
  <c r="B205" i="38" s="1"/>
  <c r="B221" i="38" s="1"/>
  <c r="F38" i="38"/>
  <c r="F26" i="38"/>
  <c r="D205" i="38" s="1"/>
  <c r="E26" i="38"/>
  <c r="F205" i="38" s="1"/>
  <c r="F221" i="38" s="1"/>
  <c r="D26" i="38"/>
  <c r="C26" i="38"/>
  <c r="E96" i="38" s="1"/>
  <c r="A26" i="38"/>
  <c r="F37" i="38" s="1"/>
  <c r="A221" i="38"/>
  <c r="B197" i="38"/>
  <c r="B195" i="38"/>
  <c r="B194" i="38"/>
  <c r="B193" i="38"/>
  <c r="B192" i="38"/>
  <c r="B191" i="38"/>
  <c r="F168" i="38"/>
  <c r="B168" i="38"/>
  <c r="G167" i="38"/>
  <c r="B167" i="38"/>
  <c r="G166" i="38"/>
  <c r="B166" i="38"/>
  <c r="B165" i="38"/>
  <c r="B160" i="38"/>
  <c r="B159" i="38"/>
  <c r="G152" i="38"/>
  <c r="G153" i="38" s="1"/>
  <c r="G160" i="38" s="1"/>
  <c r="B120" i="38"/>
  <c r="B119" i="38"/>
  <c r="B118" i="38"/>
  <c r="B97" i="38"/>
  <c r="B75" i="38"/>
  <c r="B74" i="38"/>
  <c r="B48" i="38"/>
  <c r="F22" i="38"/>
  <c r="F19" i="38"/>
  <c r="A15" i="38"/>
  <c r="C14" i="38"/>
  <c r="C13" i="38"/>
  <c r="A9" i="38"/>
  <c r="A6" i="38"/>
  <c r="A5" i="38"/>
  <c r="A2" i="38"/>
  <c r="A1" i="38"/>
  <c r="F40" i="37"/>
  <c r="B205" i="37" s="1"/>
  <c r="B221" i="37" s="1"/>
  <c r="F38" i="37"/>
  <c r="F26" i="37"/>
  <c r="D205" i="37" s="1"/>
  <c r="E26" i="37"/>
  <c r="D26" i="37"/>
  <c r="C26" i="37"/>
  <c r="E98" i="37" s="1"/>
  <c r="A26" i="37"/>
  <c r="F37" i="37" s="1"/>
  <c r="A221" i="37"/>
  <c r="B197" i="37"/>
  <c r="B195" i="37"/>
  <c r="B194" i="37"/>
  <c r="B193" i="37"/>
  <c r="B192" i="37"/>
  <c r="B191" i="37"/>
  <c r="F168" i="37"/>
  <c r="B168" i="37"/>
  <c r="G167" i="37"/>
  <c r="B167" i="37"/>
  <c r="B166" i="37"/>
  <c r="B165" i="37"/>
  <c r="B160" i="37"/>
  <c r="B159" i="37"/>
  <c r="G152" i="37"/>
  <c r="G153" i="37" s="1"/>
  <c r="G160" i="37" s="1"/>
  <c r="B120" i="37"/>
  <c r="B119" i="37"/>
  <c r="B118" i="37"/>
  <c r="B97" i="37"/>
  <c r="B75" i="37"/>
  <c r="B74" i="37"/>
  <c r="B48" i="37"/>
  <c r="F22" i="37"/>
  <c r="F19" i="37"/>
  <c r="A15" i="37"/>
  <c r="C14" i="37"/>
  <c r="C13" i="37"/>
  <c r="A9" i="37"/>
  <c r="A6" i="37"/>
  <c r="A5" i="37"/>
  <c r="A2" i="37"/>
  <c r="A1" i="37"/>
  <c r="F30" i="36"/>
  <c r="A3" i="36"/>
  <c r="A2" i="36"/>
  <c r="A3" i="35"/>
  <c r="A2" i="35"/>
  <c r="H77" i="36"/>
  <c r="C32" i="36"/>
  <c r="C31" i="36"/>
  <c r="C30" i="36"/>
  <c r="E30" i="36" s="1"/>
  <c r="C29" i="36"/>
  <c r="E29" i="36" s="1"/>
  <c r="C28" i="36"/>
  <c r="E28" i="36" s="1"/>
  <c r="C27" i="36"/>
  <c r="C26" i="36"/>
  <c r="E26" i="36" s="1"/>
  <c r="C25" i="36"/>
  <c r="E25" i="36" s="1"/>
  <c r="C24" i="36"/>
  <c r="C23" i="36"/>
  <c r="C22" i="36"/>
  <c r="C16" i="36"/>
  <c r="C15" i="36"/>
  <c r="C14" i="36"/>
  <c r="C13" i="36"/>
  <c r="E13" i="36" s="1"/>
  <c r="C12" i="36"/>
  <c r="C11" i="36"/>
  <c r="C10" i="36"/>
  <c r="E10" i="36" s="1"/>
  <c r="C91" i="35"/>
  <c r="C90" i="35"/>
  <c r="E90" i="35" s="1"/>
  <c r="C89" i="35"/>
  <c r="C88" i="35"/>
  <c r="E88" i="35" s="1"/>
  <c r="C87" i="35"/>
  <c r="C86" i="35"/>
  <c r="E86" i="35" s="1"/>
  <c r="C85" i="35"/>
  <c r="E85" i="35" s="1"/>
  <c r="C84" i="35"/>
  <c r="C78" i="35"/>
  <c r="E78" i="35" s="1"/>
  <c r="C77" i="35"/>
  <c r="C76" i="35"/>
  <c r="C75" i="35"/>
  <c r="C74" i="35"/>
  <c r="C73" i="35"/>
  <c r="E73" i="35" s="1"/>
  <c r="C67" i="35"/>
  <c r="C66" i="35"/>
  <c r="C65" i="35"/>
  <c r="C64" i="35"/>
  <c r="E64" i="35" s="1"/>
  <c r="C63" i="35"/>
  <c r="C62" i="35"/>
  <c r="E62" i="35" s="1"/>
  <c r="C56" i="35"/>
  <c r="C55" i="35"/>
  <c r="C54" i="35"/>
  <c r="E54" i="35" s="1"/>
  <c r="C53" i="35"/>
  <c r="C14" i="35"/>
  <c r="C13" i="35"/>
  <c r="E13" i="35" s="1"/>
  <c r="C12" i="35"/>
  <c r="C11" i="35"/>
  <c r="E11" i="35" s="1"/>
  <c r="C10" i="35"/>
  <c r="E10" i="35" s="1"/>
  <c r="C9" i="35"/>
  <c r="E9" i="35" s="1"/>
  <c r="T85" i="8"/>
  <c r="T86" i="8"/>
  <c r="T87" i="8"/>
  <c r="T88" i="8"/>
  <c r="T89" i="8"/>
  <c r="T90" i="8"/>
  <c r="T91" i="8"/>
  <c r="T92" i="8"/>
  <c r="U87" i="8"/>
  <c r="D20" i="13" s="1"/>
  <c r="U91" i="8"/>
  <c r="B117" i="8"/>
  <c r="K41" i="22"/>
  <c r="Q102" i="8" l="1"/>
  <c r="C66" i="13" s="1"/>
  <c r="F20" i="44"/>
  <c r="F21" i="44" s="1"/>
  <c r="B37" i="15"/>
  <c r="B131" i="38"/>
  <c r="B131" i="42"/>
  <c r="B131" i="39"/>
  <c r="B131" i="43"/>
  <c r="B131" i="37"/>
  <c r="B131" i="18"/>
  <c r="B131" i="40"/>
  <c r="B131" i="44"/>
  <c r="B131" i="41"/>
  <c r="E96" i="39"/>
  <c r="G26" i="41"/>
  <c r="D24" i="13"/>
  <c r="F39" i="43"/>
  <c r="G47" i="43" s="1"/>
  <c r="R64" i="8"/>
  <c r="G28" i="9"/>
  <c r="D15" i="11"/>
  <c r="F18" i="10"/>
  <c r="R60" i="8"/>
  <c r="G24" i="9"/>
  <c r="D11" i="11"/>
  <c r="F14" i="10"/>
  <c r="R61" i="8"/>
  <c r="G25" i="9"/>
  <c r="D12" i="11"/>
  <c r="F15" i="10"/>
  <c r="F39" i="39"/>
  <c r="G47" i="39" s="1"/>
  <c r="G53" i="39" s="1"/>
  <c r="C12" i="11" s="1"/>
  <c r="R65" i="8"/>
  <c r="G29" i="9"/>
  <c r="D16" i="11"/>
  <c r="F19" i="10"/>
  <c r="R66" i="8"/>
  <c r="D17" i="11"/>
  <c r="G30" i="9"/>
  <c r="F20" i="10"/>
  <c r="R62" i="8"/>
  <c r="G26" i="9"/>
  <c r="F16" i="10"/>
  <c r="D13" i="11"/>
  <c r="E13" i="11" s="1"/>
  <c r="R63" i="8"/>
  <c r="G27" i="9"/>
  <c r="D14" i="11"/>
  <c r="E14" i="11" s="1"/>
  <c r="F17" i="10"/>
  <c r="R59" i="8"/>
  <c r="G23" i="9"/>
  <c r="D10" i="11"/>
  <c r="F13" i="10"/>
  <c r="G26" i="37"/>
  <c r="D78" i="9"/>
  <c r="L102" i="8"/>
  <c r="C78" i="9" s="1"/>
  <c r="G168" i="37"/>
  <c r="D205" i="41"/>
  <c r="G26" i="39"/>
  <c r="G26" i="40"/>
  <c r="G168" i="42"/>
  <c r="E96" i="43"/>
  <c r="F205" i="40"/>
  <c r="F221" i="40" s="1"/>
  <c r="E98" i="44"/>
  <c r="E53" i="35"/>
  <c r="E96" i="37"/>
  <c r="G168" i="43"/>
  <c r="G168" i="41"/>
  <c r="G26" i="42"/>
  <c r="G168" i="40"/>
  <c r="E56" i="35"/>
  <c r="G168" i="38"/>
  <c r="G26" i="38"/>
  <c r="E96" i="42"/>
  <c r="G168" i="39"/>
  <c r="E96" i="41"/>
  <c r="G53" i="42"/>
  <c r="C15" i="11" s="1"/>
  <c r="G26" i="43"/>
  <c r="G168" i="44"/>
  <c r="G53" i="44"/>
  <c r="T102" i="8"/>
  <c r="U102" i="8" s="1"/>
  <c r="I78" i="9" s="1"/>
  <c r="G26" i="44"/>
  <c r="D205" i="43"/>
  <c r="G191" i="41"/>
  <c r="G74" i="41"/>
  <c r="E98" i="40"/>
  <c r="G191" i="40"/>
  <c r="G74" i="40"/>
  <c r="E98" i="38"/>
  <c r="F205" i="37"/>
  <c r="F221" i="37" s="1"/>
  <c r="E87" i="35"/>
  <c r="E14" i="36"/>
  <c r="E91" i="35"/>
  <c r="E11" i="36"/>
  <c r="E15" i="36"/>
  <c r="E31" i="36"/>
  <c r="E23" i="36"/>
  <c r="E27" i="36"/>
  <c r="E24" i="36"/>
  <c r="E32" i="36"/>
  <c r="E22" i="36"/>
  <c r="E12" i="36"/>
  <c r="E16" i="36"/>
  <c r="E65" i="35"/>
  <c r="E74" i="35"/>
  <c r="E55" i="35"/>
  <c r="E63" i="35"/>
  <c r="E14" i="35"/>
  <c r="E67" i="35"/>
  <c r="E76" i="35"/>
  <c r="E89" i="35"/>
  <c r="E84" i="35"/>
  <c r="E77" i="35"/>
  <c r="E75" i="35"/>
  <c r="E66" i="35"/>
  <c r="E12" i="35"/>
  <c r="L29" i="22"/>
  <c r="D15" i="22"/>
  <c r="D16" i="22" s="1"/>
  <c r="F15" i="22"/>
  <c r="F16" i="22" s="1"/>
  <c r="G15" i="22"/>
  <c r="G16" i="22" s="1"/>
  <c r="H15" i="22"/>
  <c r="H16" i="22" s="1"/>
  <c r="I15" i="22"/>
  <c r="I16" i="22" s="1"/>
  <c r="J15" i="22"/>
  <c r="J16" i="22" s="1"/>
  <c r="K15" i="22"/>
  <c r="K16" i="22" s="1"/>
  <c r="L15" i="22"/>
  <c r="L16" i="22" s="1"/>
  <c r="E44" i="23"/>
  <c r="F44" i="23" s="1"/>
  <c r="E43" i="23"/>
  <c r="F43" i="23" s="1"/>
  <c r="E42" i="23"/>
  <c r="F42" i="23" s="1"/>
  <c r="E41" i="23"/>
  <c r="F41" i="23" s="1"/>
  <c r="E40" i="23"/>
  <c r="F40" i="23" s="1"/>
  <c r="E39" i="23"/>
  <c r="F39" i="23" s="1"/>
  <c r="E38" i="23"/>
  <c r="F38" i="23" s="1"/>
  <c r="E37" i="23"/>
  <c r="F37" i="23" s="1"/>
  <c r="E36" i="23"/>
  <c r="B36" i="23"/>
  <c r="E35" i="23"/>
  <c r="F35" i="23" s="1"/>
  <c r="E34" i="23"/>
  <c r="F34" i="23" s="1"/>
  <c r="E33" i="23"/>
  <c r="F33" i="23" s="1"/>
  <c r="E25" i="23"/>
  <c r="F25" i="23" s="1"/>
  <c r="E24" i="23"/>
  <c r="F24" i="23" s="1"/>
  <c r="E23" i="23"/>
  <c r="F23" i="23" s="1"/>
  <c r="E22" i="23"/>
  <c r="F22" i="23" s="1"/>
  <c r="E21" i="23"/>
  <c r="F21" i="23" s="1"/>
  <c r="E20" i="23"/>
  <c r="F20" i="23" s="1"/>
  <c r="E19" i="23"/>
  <c r="F19" i="23" s="1"/>
  <c r="E18" i="23"/>
  <c r="F18" i="23" s="1"/>
  <c r="E17" i="23"/>
  <c r="F17" i="23" s="1"/>
  <c r="E16" i="23"/>
  <c r="F16" i="23" s="1"/>
  <c r="E15" i="23"/>
  <c r="F15" i="23" s="1"/>
  <c r="E14" i="23"/>
  <c r="F14" i="23" s="1"/>
  <c r="G39" i="22"/>
  <c r="F41" i="44" l="1"/>
  <c r="G191" i="39"/>
  <c r="F36" i="23"/>
  <c r="F45" i="23" s="1"/>
  <c r="F78" i="9"/>
  <c r="G74" i="39"/>
  <c r="L42" i="22"/>
  <c r="E42" i="22"/>
  <c r="E12" i="11"/>
  <c r="E15" i="11"/>
  <c r="F26" i="23"/>
  <c r="E57" i="35"/>
  <c r="E58" i="35" s="1"/>
  <c r="J64" i="8" s="1"/>
  <c r="F165" i="37" s="1"/>
  <c r="G165" i="37" s="1"/>
  <c r="G74" i="42"/>
  <c r="G191" i="42"/>
  <c r="C17" i="11"/>
  <c r="E17" i="11" s="1"/>
  <c r="G74" i="44"/>
  <c r="G191" i="44"/>
  <c r="E17" i="36"/>
  <c r="E18" i="36" s="1"/>
  <c r="J71" i="8" s="1"/>
  <c r="F166" i="37" s="1"/>
  <c r="G166" i="37" s="1"/>
  <c r="E33" i="36"/>
  <c r="E34" i="36" s="1"/>
  <c r="J72" i="8" s="1"/>
  <c r="F166" i="43" s="1"/>
  <c r="G166" i="43" s="1"/>
  <c r="E68" i="35"/>
  <c r="E69" i="35" s="1"/>
  <c r="J65" i="8" s="1"/>
  <c r="F165" i="43" s="1"/>
  <c r="G165" i="43" s="1"/>
  <c r="E15" i="35"/>
  <c r="E16" i="35" s="1"/>
  <c r="J63" i="8" s="1"/>
  <c r="E79" i="35"/>
  <c r="E92" i="35"/>
  <c r="E93" i="35" s="1"/>
  <c r="J67" i="8" s="1"/>
  <c r="F165" i="41" s="1"/>
  <c r="G165" i="41" s="1"/>
  <c r="G170" i="41" s="1"/>
  <c r="J10" i="27"/>
  <c r="G170" i="37" l="1"/>
  <c r="G195" i="37" s="1"/>
  <c r="E80" i="35"/>
  <c r="J66" i="8" s="1"/>
  <c r="F165" i="40" s="1"/>
  <c r="G165" i="40" s="1"/>
  <c r="G170" i="40" s="1"/>
  <c r="G170" i="43"/>
  <c r="G195" i="43" s="1"/>
  <c r="G195" i="41"/>
  <c r="L14" i="11"/>
  <c r="M14" i="11" s="1"/>
  <c r="G165" i="38"/>
  <c r="G170" i="38" s="1"/>
  <c r="G165" i="42"/>
  <c r="G170" i="42" s="1"/>
  <c r="G165" i="44"/>
  <c r="G170" i="44" s="1"/>
  <c r="G165" i="39"/>
  <c r="G170" i="39" s="1"/>
  <c r="F165" i="18"/>
  <c r="C289" i="26"/>
  <c r="C288" i="26"/>
  <c r="L10" i="11" l="1"/>
  <c r="M10" i="11" s="1"/>
  <c r="L13" i="11"/>
  <c r="M13" i="11" s="1"/>
  <c r="G195" i="40"/>
  <c r="L16" i="11"/>
  <c r="M16" i="11" s="1"/>
  <c r="G195" i="42"/>
  <c r="L15" i="11"/>
  <c r="M15" i="11" s="1"/>
  <c r="G195" i="38"/>
  <c r="L11" i="11"/>
  <c r="M11" i="11" s="1"/>
  <c r="G195" i="39"/>
  <c r="L12" i="11"/>
  <c r="M12" i="11" s="1"/>
  <c r="G195" i="44"/>
  <c r="L17" i="11"/>
  <c r="M17" i="11" s="1"/>
  <c r="G16" i="21"/>
  <c r="G17" i="21"/>
  <c r="G18" i="21"/>
  <c r="G15" i="21"/>
  <c r="E10" i="27"/>
  <c r="A32" i="10" l="1"/>
  <c r="A31" i="10"/>
  <c r="J16" i="24" l="1"/>
  <c r="N8" i="27" l="1"/>
  <c r="N25" i="27" s="1"/>
  <c r="C291" i="26"/>
  <c r="C290" i="26"/>
  <c r="J16" i="27"/>
  <c r="C287" i="26" l="1"/>
  <c r="E139" i="27" l="1"/>
  <c r="U85" i="8" l="1"/>
  <c r="U86" i="8"/>
  <c r="D19" i="13" l="1"/>
  <c r="F39" i="38"/>
  <c r="G47" i="38" s="1"/>
  <c r="G53" i="38" s="1"/>
  <c r="D18" i="13"/>
  <c r="F39" i="37"/>
  <c r="G47" i="37" s="1"/>
  <c r="G53" i="37" s="1"/>
  <c r="D17" i="31"/>
  <c r="E17" i="31" s="1"/>
  <c r="C10" i="11" l="1"/>
  <c r="E10" i="11" s="1"/>
  <c r="G191" i="37"/>
  <c r="G74" i="37"/>
  <c r="C11" i="11"/>
  <c r="E11" i="11" s="1"/>
  <c r="G191" i="38"/>
  <c r="G74" i="38"/>
  <c r="F16" i="27"/>
  <c r="M8" i="27" l="1"/>
  <c r="M25" i="27" s="1"/>
  <c r="C137" i="26"/>
  <c r="C142" i="26"/>
  <c r="C228" i="26"/>
  <c r="C277" i="26"/>
  <c r="C317" i="26"/>
  <c r="C307" i="26"/>
  <c r="C301" i="26"/>
  <c r="L8" i="27" l="1"/>
  <c r="L25" i="27" s="1"/>
  <c r="A53" i="8" l="1"/>
  <c r="A52" i="8"/>
  <c r="B145" i="27" l="1"/>
  <c r="B143" i="27"/>
  <c r="B148" i="27"/>
  <c r="B139" i="27"/>
  <c r="C139" i="27" s="1"/>
  <c r="E140" i="27"/>
  <c r="B140" i="27"/>
  <c r="C140" i="27" s="1"/>
  <c r="D70" i="24" l="1"/>
  <c r="U13" i="8" s="1"/>
  <c r="G165" i="18" l="1"/>
  <c r="B97" i="18"/>
  <c r="A15" i="18" l="1"/>
  <c r="C13" i="18"/>
  <c r="C14" i="18"/>
  <c r="A9" i="18"/>
  <c r="K16" i="27" l="1"/>
  <c r="D29" i="22" l="1"/>
  <c r="M30" i="22" s="1"/>
  <c r="A30" i="15"/>
  <c r="D32" i="22"/>
  <c r="K29" i="22"/>
  <c r="J29" i="22"/>
  <c r="I29" i="22"/>
  <c r="H29" i="22"/>
  <c r="G29" i="22"/>
  <c r="F29" i="22"/>
  <c r="D31" i="22" l="1"/>
  <c r="D30" i="22"/>
  <c r="F38" i="18" l="1"/>
  <c r="C26" i="18" l="1"/>
  <c r="B9" i="11" l="1"/>
  <c r="D29" i="31" l="1"/>
  <c r="E29" i="31" s="1"/>
  <c r="D20" i="31"/>
  <c r="C138" i="24" l="1"/>
  <c r="D138" i="24"/>
  <c r="C82" i="8"/>
  <c r="B12" i="33" l="1"/>
  <c r="B14" i="33"/>
  <c r="E104" i="32" l="1"/>
  <c r="E103" i="32"/>
  <c r="E102" i="32"/>
  <c r="E101" i="32"/>
  <c r="E100" i="32"/>
  <c r="D80" i="34"/>
  <c r="M23" i="34"/>
  <c r="L23" i="34"/>
  <c r="K23" i="34"/>
  <c r="J23" i="34"/>
  <c r="I23" i="34"/>
  <c r="K22" i="34"/>
  <c r="L22" i="34"/>
  <c r="M22" i="34"/>
  <c r="J22" i="34"/>
  <c r="K21" i="34"/>
  <c r="L21" i="34"/>
  <c r="M21" i="34"/>
  <c r="J21" i="34"/>
  <c r="J20" i="34"/>
  <c r="K20" i="34"/>
  <c r="L20" i="34"/>
  <c r="M20" i="34"/>
  <c r="I20" i="34"/>
  <c r="D28" i="31" l="1"/>
  <c r="E28" i="31" s="1"/>
  <c r="A75" i="32"/>
  <c r="A89" i="32"/>
  <c r="A82" i="32"/>
  <c r="A104" i="32"/>
  <c r="D27" i="31"/>
  <c r="D26" i="31"/>
  <c r="E79" i="32" s="1"/>
  <c r="D25" i="31"/>
  <c r="D24" i="31"/>
  <c r="D23" i="31"/>
  <c r="D22" i="31"/>
  <c r="D21" i="31"/>
  <c r="D19" i="31"/>
  <c r="A19" i="32"/>
  <c r="D18" i="31"/>
  <c r="D16" i="31"/>
  <c r="D15" i="31"/>
  <c r="D14" i="31"/>
  <c r="D13" i="31"/>
  <c r="D12" i="31"/>
  <c r="F22" i="32" s="1"/>
  <c r="D81" i="34"/>
  <c r="H77" i="34"/>
  <c r="I77" i="34"/>
  <c r="J77" i="34"/>
  <c r="K77" i="34"/>
  <c r="L77" i="34"/>
  <c r="M77" i="34"/>
  <c r="H78" i="34"/>
  <c r="I78" i="34"/>
  <c r="J78" i="34"/>
  <c r="K78" i="34"/>
  <c r="L78" i="34"/>
  <c r="M78" i="34"/>
  <c r="I74" i="34"/>
  <c r="J74" i="34"/>
  <c r="K74" i="34"/>
  <c r="L74" i="34"/>
  <c r="M74" i="34"/>
  <c r="I75" i="34"/>
  <c r="J75" i="34"/>
  <c r="K75" i="34"/>
  <c r="L75" i="34"/>
  <c r="M75" i="34"/>
  <c r="I71" i="34"/>
  <c r="J71" i="34"/>
  <c r="K71" i="34"/>
  <c r="L71" i="34"/>
  <c r="M71" i="34"/>
  <c r="I72" i="34"/>
  <c r="J72" i="34"/>
  <c r="K72" i="34"/>
  <c r="L72" i="34"/>
  <c r="M72" i="34"/>
  <c r="D75" i="34"/>
  <c r="D74" i="34"/>
  <c r="D72" i="34"/>
  <c r="D71" i="34"/>
  <c r="F93" i="32" l="1"/>
  <c r="F92" i="32"/>
  <c r="E78" i="32"/>
  <c r="F23" i="32"/>
  <c r="C79" i="34"/>
  <c r="C76" i="34"/>
  <c r="C73" i="34"/>
  <c r="C70" i="34"/>
  <c r="C67" i="34"/>
  <c r="E65" i="34"/>
  <c r="F65" i="34"/>
  <c r="G65" i="34"/>
  <c r="H65" i="34"/>
  <c r="I65" i="34"/>
  <c r="J65" i="34"/>
  <c r="K65" i="34"/>
  <c r="L65" i="34"/>
  <c r="M65" i="34"/>
  <c r="E66" i="34"/>
  <c r="F66" i="34"/>
  <c r="G66" i="34"/>
  <c r="H66" i="34"/>
  <c r="I66" i="34"/>
  <c r="J66" i="34"/>
  <c r="K66" i="34"/>
  <c r="L66" i="34"/>
  <c r="M66" i="34"/>
  <c r="D66" i="34"/>
  <c r="D65" i="34"/>
  <c r="D63" i="34"/>
  <c r="D62" i="34"/>
  <c r="D60" i="34"/>
  <c r="D59" i="34"/>
  <c r="E12" i="31"/>
  <c r="E13" i="31"/>
  <c r="E14" i="31"/>
  <c r="E15" i="31"/>
  <c r="E16" i="31"/>
  <c r="E18" i="31"/>
  <c r="E19" i="31"/>
  <c r="E20" i="31"/>
  <c r="E21" i="31"/>
  <c r="E22" i="31"/>
  <c r="E23" i="31"/>
  <c r="E24" i="31"/>
  <c r="E26" i="31"/>
  <c r="E27" i="31"/>
  <c r="D11" i="31"/>
  <c r="A68" i="32"/>
  <c r="D57" i="34"/>
  <c r="D56" i="34"/>
  <c r="D54" i="34"/>
  <c r="D53" i="34"/>
  <c r="D51" i="34"/>
  <c r="D50" i="34"/>
  <c r="C64" i="34"/>
  <c r="C61" i="34"/>
  <c r="C58" i="34"/>
  <c r="C55" i="34"/>
  <c r="C52" i="34"/>
  <c r="C49" i="34"/>
  <c r="D48" i="34"/>
  <c r="D47" i="34"/>
  <c r="D45" i="34"/>
  <c r="D44" i="34"/>
  <c r="D42" i="34"/>
  <c r="D41" i="34"/>
  <c r="M38" i="34"/>
  <c r="M39" i="34"/>
  <c r="D39" i="34"/>
  <c r="D38" i="34"/>
  <c r="D36" i="34"/>
  <c r="D35" i="34"/>
  <c r="C46" i="34"/>
  <c r="C43" i="34"/>
  <c r="C40" i="34"/>
  <c r="C37" i="34"/>
  <c r="C34" i="34"/>
  <c r="D33" i="34"/>
  <c r="D32" i="34"/>
  <c r="M5" i="34"/>
  <c r="C31" i="34"/>
  <c r="C28" i="34"/>
  <c r="F94" i="32" l="1"/>
  <c r="C104" i="32" s="1"/>
  <c r="F104" i="32" s="1"/>
  <c r="M11" i="34"/>
  <c r="M12" i="34"/>
  <c r="M13" i="34"/>
  <c r="M15" i="34"/>
  <c r="M16" i="34"/>
  <c r="M17" i="34"/>
  <c r="M18" i="34"/>
  <c r="M8" i="34"/>
  <c r="M7" i="34"/>
  <c r="M14" i="34"/>
  <c r="M47" i="34" l="1"/>
  <c r="M48" i="34"/>
  <c r="M44" i="34"/>
  <c r="M45" i="34"/>
  <c r="M32" i="34"/>
  <c r="M33" i="34"/>
  <c r="M53" i="34"/>
  <c r="M54" i="34"/>
  <c r="M62" i="34"/>
  <c r="M63" i="34"/>
  <c r="M50" i="34"/>
  <c r="M51" i="34"/>
  <c r="M59" i="34"/>
  <c r="M60" i="34"/>
  <c r="M56" i="34"/>
  <c r="M57" i="34"/>
  <c r="M41" i="34"/>
  <c r="M42" i="34"/>
  <c r="M69" i="34"/>
  <c r="M68" i="34"/>
  <c r="J41" i="22"/>
  <c r="I41" i="22"/>
  <c r="H41" i="22"/>
  <c r="G41" i="22"/>
  <c r="F41" i="22"/>
  <c r="D41" i="22"/>
  <c r="K40" i="22"/>
  <c r="J40" i="22"/>
  <c r="I40" i="22"/>
  <c r="H40" i="22"/>
  <c r="G40" i="22"/>
  <c r="F40" i="22"/>
  <c r="D40" i="22"/>
  <c r="K39" i="22"/>
  <c r="J39" i="22"/>
  <c r="I39" i="22"/>
  <c r="H39" i="22"/>
  <c r="F39" i="22"/>
  <c r="D39" i="22"/>
  <c r="K38" i="22"/>
  <c r="J38" i="22"/>
  <c r="I38" i="22"/>
  <c r="H38" i="22"/>
  <c r="G38" i="22"/>
  <c r="F38" i="22"/>
  <c r="D38" i="22"/>
  <c r="E53" i="22" l="1"/>
  <c r="F53" i="22"/>
  <c r="G53" i="22"/>
  <c r="H53" i="22"/>
  <c r="I53" i="22"/>
  <c r="J53" i="22"/>
  <c r="L53" i="22"/>
  <c r="F168" i="18" l="1"/>
  <c r="G166" i="18"/>
  <c r="G167" i="18"/>
  <c r="B168" i="18"/>
  <c r="B166" i="18"/>
  <c r="B167" i="18"/>
  <c r="G168" i="18" l="1"/>
  <c r="C19" i="32"/>
  <c r="E27" i="34"/>
  <c r="F27" i="34"/>
  <c r="G27" i="34"/>
  <c r="H27" i="34"/>
  <c r="I27" i="34"/>
  <c r="J27" i="34"/>
  <c r="K27" i="34"/>
  <c r="L27" i="34"/>
  <c r="M27" i="34"/>
  <c r="L5" i="34" l="1"/>
  <c r="K5" i="34"/>
  <c r="J5" i="34"/>
  <c r="I5" i="34"/>
  <c r="H5" i="34"/>
  <c r="G5" i="34"/>
  <c r="F5" i="34"/>
  <c r="E5" i="34"/>
  <c r="M29" i="34"/>
  <c r="M30" i="34"/>
  <c r="D77" i="34"/>
  <c r="D78" i="34"/>
  <c r="D69" i="34"/>
  <c r="D68" i="34"/>
  <c r="D30" i="34"/>
  <c r="D29" i="34"/>
  <c r="D27" i="34"/>
  <c r="C93" i="32" s="1"/>
  <c r="E85" i="32"/>
  <c r="F71" i="32"/>
  <c r="B85" i="32" l="1"/>
  <c r="C72" i="32"/>
  <c r="J15" i="34"/>
  <c r="J16" i="34"/>
  <c r="J17" i="34"/>
  <c r="J18" i="34"/>
  <c r="J10" i="34"/>
  <c r="J8" i="34"/>
  <c r="J11" i="34"/>
  <c r="J12" i="34"/>
  <c r="J13" i="34"/>
  <c r="G22" i="34"/>
  <c r="G21" i="34"/>
  <c r="G11" i="34"/>
  <c r="G12" i="34"/>
  <c r="G13" i="34"/>
  <c r="G15" i="34"/>
  <c r="G16" i="34"/>
  <c r="G17" i="34"/>
  <c r="G18" i="34"/>
  <c r="G10" i="34"/>
  <c r="G8" i="34"/>
  <c r="G9" i="34"/>
  <c r="K11" i="34"/>
  <c r="K12" i="34"/>
  <c r="K13" i="34"/>
  <c r="K15" i="34"/>
  <c r="K16" i="34"/>
  <c r="K17" i="34"/>
  <c r="K18" i="34"/>
  <c r="K10" i="34"/>
  <c r="K8" i="34"/>
  <c r="C22" i="32"/>
  <c r="B86" i="32"/>
  <c r="H21" i="34"/>
  <c r="H22" i="34"/>
  <c r="H11" i="34"/>
  <c r="H12" i="34"/>
  <c r="H13" i="34"/>
  <c r="H15" i="34"/>
  <c r="H16" i="34"/>
  <c r="H17" i="34"/>
  <c r="H18" i="34"/>
  <c r="H10" i="34"/>
  <c r="H8" i="34"/>
  <c r="H9" i="34"/>
  <c r="L11" i="34"/>
  <c r="L12" i="34"/>
  <c r="L13" i="34"/>
  <c r="L15" i="34"/>
  <c r="L16" i="34"/>
  <c r="L17" i="34"/>
  <c r="L18" i="34"/>
  <c r="L10" i="34"/>
  <c r="L8" i="34"/>
  <c r="C23" i="32"/>
  <c r="B78" i="32"/>
  <c r="F21" i="34"/>
  <c r="F22" i="34"/>
  <c r="F15" i="34"/>
  <c r="F16" i="34"/>
  <c r="F17" i="34"/>
  <c r="F18" i="34"/>
  <c r="F10" i="34"/>
  <c r="F8" i="34"/>
  <c r="F9" i="34"/>
  <c r="F11" i="34"/>
  <c r="F12" i="34"/>
  <c r="F13" i="34"/>
  <c r="E18" i="34"/>
  <c r="E12" i="34"/>
  <c r="E8" i="34"/>
  <c r="E17" i="34"/>
  <c r="E11" i="34"/>
  <c r="E22" i="34"/>
  <c r="E16" i="34"/>
  <c r="E10" i="34"/>
  <c r="E21" i="34"/>
  <c r="E15" i="34"/>
  <c r="E13" i="34"/>
  <c r="E9" i="34"/>
  <c r="I11" i="34"/>
  <c r="I12" i="34"/>
  <c r="I13" i="34"/>
  <c r="I15" i="34"/>
  <c r="I16" i="34"/>
  <c r="I17" i="34"/>
  <c r="I18" i="34"/>
  <c r="I10" i="34"/>
  <c r="I8" i="34"/>
  <c r="C71" i="32"/>
  <c r="B79" i="32"/>
  <c r="C92" i="32"/>
  <c r="I7" i="34"/>
  <c r="I29" i="34" s="1"/>
  <c r="F14" i="34"/>
  <c r="F24" i="34"/>
  <c r="J14" i="34"/>
  <c r="E7" i="34"/>
  <c r="E30" i="34" s="1"/>
  <c r="E24" i="34"/>
  <c r="G20" i="34"/>
  <c r="G24" i="34"/>
  <c r="H24" i="34"/>
  <c r="G23" i="34"/>
  <c r="I14" i="34"/>
  <c r="E14" i="34"/>
  <c r="L7" i="34"/>
  <c r="H7" i="34"/>
  <c r="H29" i="34" s="1"/>
  <c r="E20" i="34"/>
  <c r="F23" i="34"/>
  <c r="L14" i="34"/>
  <c r="H14" i="34"/>
  <c r="K7" i="34"/>
  <c r="G7" i="34"/>
  <c r="E23" i="34"/>
  <c r="K14" i="34"/>
  <c r="G14" i="34"/>
  <c r="J7" i="34"/>
  <c r="F7" i="34"/>
  <c r="F20" i="34"/>
  <c r="E11" i="31"/>
  <c r="F72" i="32"/>
  <c r="E86" i="32"/>
  <c r="E145" i="27"/>
  <c r="E144" i="27"/>
  <c r="E143" i="27"/>
  <c r="E142" i="27"/>
  <c r="E141" i="27"/>
  <c r="I30" i="34" l="1"/>
  <c r="H30" i="34"/>
  <c r="E29" i="34"/>
  <c r="G50" i="34"/>
  <c r="G51" i="34"/>
  <c r="H80" i="34"/>
  <c r="J24" i="34"/>
  <c r="I24" i="34"/>
  <c r="H81" i="34"/>
  <c r="K24" i="34"/>
  <c r="L24" i="34"/>
  <c r="M24" i="34"/>
  <c r="I32" i="34"/>
  <c r="I33" i="34"/>
  <c r="I56" i="34"/>
  <c r="I57" i="34"/>
  <c r="I41" i="34"/>
  <c r="I42" i="34"/>
  <c r="E71" i="34"/>
  <c r="E72" i="34"/>
  <c r="E41" i="34"/>
  <c r="E42" i="34"/>
  <c r="E62" i="34"/>
  <c r="E63" i="34"/>
  <c r="F35" i="34"/>
  <c r="F36" i="34"/>
  <c r="F60" i="34"/>
  <c r="F59" i="34"/>
  <c r="F72" i="34"/>
  <c r="F71" i="34"/>
  <c r="L39" i="34"/>
  <c r="L38" i="34"/>
  <c r="L53" i="34"/>
  <c r="L54" i="34"/>
  <c r="J9" i="34"/>
  <c r="I9" i="34"/>
  <c r="K9" i="34"/>
  <c r="L9" i="34"/>
  <c r="M9" i="34"/>
  <c r="H36" i="34"/>
  <c r="H35" i="34"/>
  <c r="H59" i="34"/>
  <c r="H60" i="34"/>
  <c r="H45" i="34"/>
  <c r="H44" i="34"/>
  <c r="K62" i="34"/>
  <c r="K63" i="34"/>
  <c r="K47" i="34"/>
  <c r="K48" i="34"/>
  <c r="G33" i="34"/>
  <c r="G32" i="34"/>
  <c r="G56" i="34"/>
  <c r="G57" i="34"/>
  <c r="G41" i="34"/>
  <c r="G42" i="34"/>
  <c r="J44" i="34"/>
  <c r="J45" i="34"/>
  <c r="J62" i="34"/>
  <c r="J63" i="34"/>
  <c r="K50" i="34"/>
  <c r="K51" i="34"/>
  <c r="E50" i="34"/>
  <c r="E51" i="34"/>
  <c r="G81" i="34"/>
  <c r="G80" i="34"/>
  <c r="J51" i="34"/>
  <c r="J50" i="34"/>
  <c r="I38" i="34"/>
  <c r="I39" i="34"/>
  <c r="I53" i="34"/>
  <c r="I54" i="34"/>
  <c r="E35" i="34"/>
  <c r="E36" i="34"/>
  <c r="E38" i="34"/>
  <c r="E39" i="34"/>
  <c r="E59" i="34"/>
  <c r="E60" i="34"/>
  <c r="F47" i="34"/>
  <c r="F48" i="34"/>
  <c r="F32" i="34"/>
  <c r="F33" i="34"/>
  <c r="F57" i="34"/>
  <c r="F56" i="34"/>
  <c r="L63" i="34"/>
  <c r="L62" i="34"/>
  <c r="L48" i="34"/>
  <c r="L47" i="34"/>
  <c r="H32" i="34"/>
  <c r="H33" i="34"/>
  <c r="H56" i="34"/>
  <c r="H57" i="34"/>
  <c r="H42" i="34"/>
  <c r="H41" i="34"/>
  <c r="K59" i="34"/>
  <c r="K60" i="34"/>
  <c r="K44" i="34"/>
  <c r="K45" i="34"/>
  <c r="G38" i="34"/>
  <c r="G39" i="34"/>
  <c r="G53" i="34"/>
  <c r="G54" i="34"/>
  <c r="G71" i="34"/>
  <c r="G72" i="34"/>
  <c r="J41" i="34"/>
  <c r="J42" i="34"/>
  <c r="J60" i="34"/>
  <c r="J59" i="34"/>
  <c r="E77" i="34"/>
  <c r="E78" i="34"/>
  <c r="L50" i="34"/>
  <c r="L51" i="34"/>
  <c r="I50" i="34"/>
  <c r="I51" i="34"/>
  <c r="F81" i="34"/>
  <c r="F80" i="34"/>
  <c r="I62" i="34"/>
  <c r="I63" i="34"/>
  <c r="I47" i="34"/>
  <c r="I48" i="34"/>
  <c r="E47" i="34"/>
  <c r="E48" i="34"/>
  <c r="E56" i="34"/>
  <c r="E57" i="34"/>
  <c r="E32" i="34"/>
  <c r="E33" i="34"/>
  <c r="F44" i="34"/>
  <c r="F45" i="34"/>
  <c r="F38" i="34"/>
  <c r="F39" i="34"/>
  <c r="F54" i="34"/>
  <c r="F53" i="34"/>
  <c r="L59" i="34"/>
  <c r="L60" i="34"/>
  <c r="L45" i="34"/>
  <c r="L44" i="34"/>
  <c r="H39" i="34"/>
  <c r="H38" i="34"/>
  <c r="H53" i="34"/>
  <c r="H54" i="34"/>
  <c r="H75" i="34"/>
  <c r="H74" i="34"/>
  <c r="K33" i="34"/>
  <c r="K32" i="34"/>
  <c r="K56" i="34"/>
  <c r="K57" i="34"/>
  <c r="K41" i="34"/>
  <c r="K42" i="34"/>
  <c r="G62" i="34"/>
  <c r="G63" i="34"/>
  <c r="G47" i="34"/>
  <c r="G48" i="34"/>
  <c r="G74" i="34"/>
  <c r="G75" i="34"/>
  <c r="J32" i="34"/>
  <c r="J33" i="34"/>
  <c r="J57" i="34"/>
  <c r="J56" i="34"/>
  <c r="H50" i="34"/>
  <c r="H51" i="34"/>
  <c r="F78" i="34"/>
  <c r="F77" i="34"/>
  <c r="G77" i="34"/>
  <c r="G78" i="34"/>
  <c r="E80" i="34"/>
  <c r="E81" i="34"/>
  <c r="F51" i="34"/>
  <c r="F50" i="34"/>
  <c r="I59" i="34"/>
  <c r="I60" i="34"/>
  <c r="I44" i="34"/>
  <c r="I45" i="34"/>
  <c r="E53" i="34"/>
  <c r="E54" i="34"/>
  <c r="E74" i="34"/>
  <c r="E75" i="34"/>
  <c r="E44" i="34"/>
  <c r="E45" i="34"/>
  <c r="F41" i="34"/>
  <c r="F42" i="34"/>
  <c r="F62" i="34"/>
  <c r="F63" i="34"/>
  <c r="F74" i="34"/>
  <c r="F75" i="34"/>
  <c r="L32" i="34"/>
  <c r="L33" i="34"/>
  <c r="L56" i="34"/>
  <c r="L57" i="34"/>
  <c r="L42" i="34"/>
  <c r="L41" i="34"/>
  <c r="H63" i="34"/>
  <c r="H62" i="34"/>
  <c r="H48" i="34"/>
  <c r="H47" i="34"/>
  <c r="H72" i="34"/>
  <c r="H71" i="34"/>
  <c r="K38" i="34"/>
  <c r="K39" i="34"/>
  <c r="K53" i="34"/>
  <c r="K54" i="34"/>
  <c r="G35" i="34"/>
  <c r="G36" i="34"/>
  <c r="G59" i="34"/>
  <c r="G60" i="34"/>
  <c r="G44" i="34"/>
  <c r="G45" i="34"/>
  <c r="J47" i="34"/>
  <c r="J48" i="34"/>
  <c r="J38" i="34"/>
  <c r="J39" i="34"/>
  <c r="J54" i="34"/>
  <c r="J53" i="34"/>
  <c r="H68" i="34"/>
  <c r="H69" i="34"/>
  <c r="I69" i="34"/>
  <c r="I68" i="34"/>
  <c r="L68" i="34"/>
  <c r="L69" i="34"/>
  <c r="K68" i="34"/>
  <c r="K69" i="34"/>
  <c r="F68" i="34"/>
  <c r="F69" i="34"/>
  <c r="J68" i="34"/>
  <c r="J69" i="34"/>
  <c r="E69" i="34"/>
  <c r="E68" i="34"/>
  <c r="G68" i="34"/>
  <c r="G69" i="34"/>
  <c r="L30" i="34"/>
  <c r="L29" i="34"/>
  <c r="J29" i="34"/>
  <c r="J30" i="34"/>
  <c r="K29" i="34"/>
  <c r="K30" i="34"/>
  <c r="F30" i="34"/>
  <c r="F29" i="34"/>
  <c r="G30" i="34"/>
  <c r="G29" i="34"/>
  <c r="A5" i="11"/>
  <c r="A4" i="11"/>
  <c r="A5" i="10"/>
  <c r="A4" i="10"/>
  <c r="A5" i="23"/>
  <c r="A4" i="23"/>
  <c r="A5" i="28"/>
  <c r="A4" i="28"/>
  <c r="A5" i="15"/>
  <c r="A4" i="15"/>
  <c r="A5" i="13"/>
  <c r="A4" i="13"/>
  <c r="A5" i="21"/>
  <c r="A4" i="21"/>
  <c r="A6" i="18"/>
  <c r="A5" i="18"/>
  <c r="G3" i="33"/>
  <c r="A3" i="33"/>
  <c r="A9" i="33"/>
  <c r="A8" i="33"/>
  <c r="A7" i="33"/>
  <c r="M36" i="34" l="1"/>
  <c r="M35" i="34"/>
  <c r="J35" i="34"/>
  <c r="J36" i="34"/>
  <c r="L80" i="34"/>
  <c r="L81" i="34"/>
  <c r="J80" i="34"/>
  <c r="J81" i="34"/>
  <c r="L36" i="34"/>
  <c r="L35" i="34"/>
  <c r="K81" i="34"/>
  <c r="K80" i="34"/>
  <c r="K35" i="34"/>
  <c r="K36" i="34"/>
  <c r="I36" i="34"/>
  <c r="I35" i="34"/>
  <c r="M80" i="34"/>
  <c r="M81" i="34"/>
  <c r="I80" i="34"/>
  <c r="I81" i="34"/>
  <c r="A103" i="32"/>
  <c r="A102" i="32"/>
  <c r="A101" i="32"/>
  <c r="A100" i="32"/>
  <c r="G86" i="32"/>
  <c r="G85" i="32"/>
  <c r="G79" i="32"/>
  <c r="G78" i="32"/>
  <c r="F73" i="32"/>
  <c r="C101" i="32" s="1"/>
  <c r="F24" i="32"/>
  <c r="C100" i="32" s="1"/>
  <c r="E25" i="31"/>
  <c r="E30" i="31" s="1"/>
  <c r="E31" i="31" l="1"/>
  <c r="F100" i="32"/>
  <c r="G87" i="32"/>
  <c r="C103" i="32" s="1"/>
  <c r="G80" i="32"/>
  <c r="C102" i="32" s="1"/>
  <c r="F102" i="32" s="1"/>
  <c r="F101" i="32"/>
  <c r="F103" i="32" l="1"/>
  <c r="F105" i="32" s="1"/>
  <c r="F106" i="32" s="1"/>
  <c r="D8" i="22"/>
  <c r="E21" i="22" s="1"/>
  <c r="H21" i="22" l="1"/>
  <c r="F21" i="22"/>
  <c r="J21" i="22"/>
  <c r="G21" i="22"/>
  <c r="L21" i="22"/>
  <c r="I21" i="22"/>
  <c r="K21" i="22"/>
  <c r="K30" i="8"/>
  <c r="U12" i="8"/>
  <c r="I45" i="8" s="1"/>
  <c r="A37" i="13" s="1"/>
  <c r="S12" i="8"/>
  <c r="B44" i="13" l="1"/>
  <c r="B12" i="13"/>
  <c r="E48" i="13" l="1"/>
  <c r="E73" i="13"/>
  <c r="E44" i="13"/>
  <c r="A7" i="9"/>
  <c r="G152" i="18" l="1"/>
  <c r="E96" i="18" l="1"/>
  <c r="A221" i="18" l="1"/>
  <c r="B75" i="18"/>
  <c r="B74" i="18"/>
  <c r="A140" i="27" l="1"/>
  <c r="A141" i="27"/>
  <c r="B141" i="27"/>
  <c r="C141" i="27" s="1"/>
  <c r="A142" i="27"/>
  <c r="B142" i="27"/>
  <c r="C142" i="27" s="1"/>
  <c r="A143" i="27"/>
  <c r="A144" i="27"/>
  <c r="B144" i="27"/>
  <c r="C144" i="27" s="1"/>
  <c r="A145" i="27"/>
  <c r="A139" i="27"/>
  <c r="O8" i="27"/>
  <c r="O25" i="27" s="1"/>
  <c r="A136" i="27" s="1"/>
  <c r="K8" i="27"/>
  <c r="K25" i="27" s="1"/>
  <c r="A131" i="27" s="1"/>
  <c r="J8" i="27"/>
  <c r="J25" i="27" s="1"/>
  <c r="A122" i="27" s="1"/>
  <c r="I8" i="27"/>
  <c r="I25" i="27" s="1"/>
  <c r="A85" i="27" s="1"/>
  <c r="H8" i="27"/>
  <c r="H25" i="27" s="1"/>
  <c r="A82" i="27" s="1"/>
  <c r="G8" i="27"/>
  <c r="G25" i="27" s="1"/>
  <c r="A78" i="27" s="1"/>
  <c r="F8" i="27"/>
  <c r="F25" i="27" s="1"/>
  <c r="A58" i="27" s="1"/>
  <c r="E8" i="27"/>
  <c r="E25" i="27" s="1"/>
  <c r="A54" i="27" s="1"/>
  <c r="D8" i="27"/>
  <c r="D25" i="27" s="1"/>
  <c r="A50" i="27" s="1"/>
  <c r="C8" i="27"/>
  <c r="C25" i="27" s="1"/>
  <c r="A45" i="27" s="1"/>
  <c r="B8" i="27"/>
  <c r="D148" i="27"/>
  <c r="F148" i="27" s="1"/>
  <c r="D147" i="27"/>
  <c r="F147" i="27" s="1"/>
  <c r="E137" i="24"/>
  <c r="F137" i="24" s="1"/>
  <c r="E136" i="24"/>
  <c r="F136" i="24" s="1"/>
  <c r="K51" i="8" l="1"/>
  <c r="J51" i="8"/>
  <c r="F73" i="13"/>
  <c r="E83" i="13"/>
  <c r="E79" i="13"/>
  <c r="K53" i="8"/>
  <c r="F103" i="44" s="1"/>
  <c r="K49" i="8"/>
  <c r="F99" i="44" s="1"/>
  <c r="E86" i="13"/>
  <c r="K52" i="8"/>
  <c r="F102" i="44" s="1"/>
  <c r="K48" i="8"/>
  <c r="E82" i="13"/>
  <c r="F69" i="13"/>
  <c r="G69" i="13" s="1"/>
  <c r="K55" i="8"/>
  <c r="G105" i="44" s="1"/>
  <c r="G101" i="44"/>
  <c r="K54" i="8"/>
  <c r="K50" i="8"/>
  <c r="F100" i="44" s="1"/>
  <c r="J52" i="8"/>
  <c r="J53" i="8"/>
  <c r="J56" i="8"/>
  <c r="J59" i="8"/>
  <c r="J55" i="8"/>
  <c r="J58" i="8"/>
  <c r="J54" i="8"/>
  <c r="J57" i="8"/>
  <c r="J49" i="8"/>
  <c r="J50" i="8"/>
  <c r="J46" i="8"/>
  <c r="C143" i="27"/>
  <c r="C145" i="27"/>
  <c r="B25" i="27"/>
  <c r="J48" i="8"/>
  <c r="A47" i="15"/>
  <c r="A17" i="15"/>
  <c r="A10" i="15"/>
  <c r="F104" i="44" l="1"/>
  <c r="G104" i="44" s="1"/>
  <c r="B105" i="44"/>
  <c r="B101" i="44"/>
  <c r="F98" i="44"/>
  <c r="G98" i="44" s="1"/>
  <c r="G199" i="39"/>
  <c r="G199" i="43"/>
  <c r="G199" i="40"/>
  <c r="G199" i="18"/>
  <c r="G199" i="37"/>
  <c r="G199" i="41"/>
  <c r="G199" i="38"/>
  <c r="G199" i="42"/>
  <c r="G199" i="44"/>
  <c r="A67" i="13"/>
  <c r="B109" i="44"/>
  <c r="B99" i="44"/>
  <c r="B102" i="44"/>
  <c r="B108" i="44"/>
  <c r="B104" i="44"/>
  <c r="B103" i="44"/>
  <c r="B106" i="44"/>
  <c r="B96" i="44"/>
  <c r="B107" i="44"/>
  <c r="B100" i="44"/>
  <c r="B98" i="44"/>
  <c r="F104" i="42"/>
  <c r="G104" i="42" s="1"/>
  <c r="F104" i="41"/>
  <c r="G104" i="41" s="1"/>
  <c r="F104" i="40"/>
  <c r="G104" i="40" s="1"/>
  <c r="F104" i="43"/>
  <c r="G104" i="43" s="1"/>
  <c r="F104" i="38"/>
  <c r="G104" i="38" s="1"/>
  <c r="F104" i="39"/>
  <c r="G104" i="39" s="1"/>
  <c r="F104" i="37"/>
  <c r="G104" i="37" s="1"/>
  <c r="G106" i="44"/>
  <c r="F106" i="41"/>
  <c r="G106" i="41" s="1"/>
  <c r="F106" i="40"/>
  <c r="G106" i="40" s="1"/>
  <c r="F106" i="43"/>
  <c r="G106" i="43" s="1"/>
  <c r="F106" i="42"/>
  <c r="G106" i="42" s="1"/>
  <c r="F106" i="39"/>
  <c r="G106" i="39" s="1"/>
  <c r="F106" i="37"/>
  <c r="G106" i="37" s="1"/>
  <c r="F106" i="38"/>
  <c r="G106" i="38" s="1"/>
  <c r="G101" i="42"/>
  <c r="G101" i="41"/>
  <c r="G101" i="40"/>
  <c r="G101" i="43"/>
  <c r="G101" i="38"/>
  <c r="G101" i="39"/>
  <c r="G101" i="37"/>
  <c r="F103" i="18"/>
  <c r="G103" i="18" s="1"/>
  <c r="F103" i="43"/>
  <c r="G103" i="43" s="1"/>
  <c r="F103" i="39"/>
  <c r="G103" i="39" s="1"/>
  <c r="F103" i="37"/>
  <c r="G103" i="37" s="1"/>
  <c r="F103" i="42"/>
  <c r="G103" i="42" s="1"/>
  <c r="F103" i="41"/>
  <c r="G103" i="41" s="1"/>
  <c r="F103" i="40"/>
  <c r="G103" i="40" s="1"/>
  <c r="F103" i="38"/>
  <c r="G103" i="38" s="1"/>
  <c r="G103" i="44"/>
  <c r="F99" i="43"/>
  <c r="G99" i="43" s="1"/>
  <c r="G99" i="44"/>
  <c r="F99" i="39"/>
  <c r="G99" i="39" s="1"/>
  <c r="F99" i="37"/>
  <c r="G99" i="37" s="1"/>
  <c r="F99" i="38"/>
  <c r="G99" i="38" s="1"/>
  <c r="F99" i="40"/>
  <c r="G99" i="40" s="1"/>
  <c r="F99" i="42"/>
  <c r="G99" i="42" s="1"/>
  <c r="F99" i="41"/>
  <c r="G99" i="41" s="1"/>
  <c r="G105" i="42"/>
  <c r="G105" i="41"/>
  <c r="G105" i="40"/>
  <c r="G105" i="43"/>
  <c r="G105" i="38"/>
  <c r="G105" i="39"/>
  <c r="G105" i="37"/>
  <c r="F102" i="18"/>
  <c r="G102" i="18" s="1"/>
  <c r="G102" i="44"/>
  <c r="F102" i="41"/>
  <c r="G102" i="41" s="1"/>
  <c r="F102" i="40"/>
  <c r="G102" i="40" s="1"/>
  <c r="F102" i="43"/>
  <c r="G102" i="43" s="1"/>
  <c r="F102" i="39"/>
  <c r="G102" i="39" s="1"/>
  <c r="F102" i="37"/>
  <c r="G102" i="37" s="1"/>
  <c r="F102" i="42"/>
  <c r="G102" i="42" s="1"/>
  <c r="F102" i="38"/>
  <c r="G102" i="38" s="1"/>
  <c r="F100" i="42"/>
  <c r="G100" i="42" s="1"/>
  <c r="G100" i="44"/>
  <c r="F100" i="38"/>
  <c r="G100" i="38" s="1"/>
  <c r="F100" i="43"/>
  <c r="G100" i="43" s="1"/>
  <c r="F100" i="41"/>
  <c r="G100" i="41" s="1"/>
  <c r="F100" i="40"/>
  <c r="G100" i="40" s="1"/>
  <c r="F100" i="37"/>
  <c r="G100" i="37" s="1"/>
  <c r="F100" i="39"/>
  <c r="G100" i="39" s="1"/>
  <c r="F108" i="42"/>
  <c r="G108" i="42" s="1"/>
  <c r="G108" i="44"/>
  <c r="F108" i="43"/>
  <c r="G108" i="43" s="1"/>
  <c r="F108" i="38"/>
  <c r="G108" i="38" s="1"/>
  <c r="F108" i="41"/>
  <c r="G108" i="41" s="1"/>
  <c r="F108" i="40"/>
  <c r="G108" i="40" s="1"/>
  <c r="F108" i="39"/>
  <c r="G108" i="39" s="1"/>
  <c r="F108" i="37"/>
  <c r="G108" i="37" s="1"/>
  <c r="F98" i="41"/>
  <c r="G98" i="41" s="1"/>
  <c r="F98" i="40"/>
  <c r="G98" i="40" s="1"/>
  <c r="F98" i="43"/>
  <c r="G98" i="43" s="1"/>
  <c r="F98" i="42"/>
  <c r="G98" i="42" s="1"/>
  <c r="F98" i="39"/>
  <c r="G98" i="39" s="1"/>
  <c r="F98" i="37"/>
  <c r="G98" i="37" s="1"/>
  <c r="F98" i="38"/>
  <c r="G98" i="38" s="1"/>
  <c r="F25" i="13"/>
  <c r="F22" i="13"/>
  <c r="F21" i="13"/>
  <c r="F23" i="13"/>
  <c r="F97" i="44"/>
  <c r="F97" i="42"/>
  <c r="F97" i="41"/>
  <c r="F97" i="40"/>
  <c r="F97" i="43"/>
  <c r="F97" i="38"/>
  <c r="F97" i="39"/>
  <c r="F97" i="37"/>
  <c r="F20" i="13"/>
  <c r="F24" i="13"/>
  <c r="F19" i="13"/>
  <c r="F18" i="13"/>
  <c r="F107" i="43"/>
  <c r="G107" i="43" s="1"/>
  <c r="F107" i="37"/>
  <c r="G107" i="37" s="1"/>
  <c r="F107" i="38"/>
  <c r="G107" i="38" s="1"/>
  <c r="G107" i="44"/>
  <c r="F107" i="42"/>
  <c r="G107" i="42" s="1"/>
  <c r="F107" i="41"/>
  <c r="G107" i="41" s="1"/>
  <c r="F107" i="39"/>
  <c r="G107" i="39" s="1"/>
  <c r="F107" i="40"/>
  <c r="G107" i="40" s="1"/>
  <c r="F109" i="42"/>
  <c r="G109" i="42" s="1"/>
  <c r="F109" i="44"/>
  <c r="G109" i="44" s="1"/>
  <c r="F109" i="41"/>
  <c r="G109" i="41" s="1"/>
  <c r="F109" i="40"/>
  <c r="G109" i="40" s="1"/>
  <c r="F109" i="43"/>
  <c r="G109" i="43" s="1"/>
  <c r="F109" i="39"/>
  <c r="G109" i="39" s="1"/>
  <c r="F109" i="37"/>
  <c r="G109" i="37" s="1"/>
  <c r="F109" i="38"/>
  <c r="G109" i="38" s="1"/>
  <c r="F98" i="18"/>
  <c r="G101" i="18"/>
  <c r="F97" i="18"/>
  <c r="F99" i="18"/>
  <c r="G24" i="33"/>
  <c r="F108" i="18"/>
  <c r="G108" i="18" s="1"/>
  <c r="G32" i="33"/>
  <c r="F106" i="18"/>
  <c r="G106" i="18" s="1"/>
  <c r="G30" i="33"/>
  <c r="G31" i="33"/>
  <c r="F107" i="18"/>
  <c r="G107" i="18" s="1"/>
  <c r="F109" i="18"/>
  <c r="G109" i="18" s="1"/>
  <c r="G33" i="33"/>
  <c r="F104" i="18"/>
  <c r="G28" i="33"/>
  <c r="G27" i="33"/>
  <c r="G25" i="33"/>
  <c r="G26" i="33"/>
  <c r="F100" i="18"/>
  <c r="G29" i="33"/>
  <c r="A42" i="27"/>
  <c r="D53" i="22"/>
  <c r="B197" i="18" l="1"/>
  <c r="B195" i="18"/>
  <c r="B194" i="18"/>
  <c r="B193" i="18"/>
  <c r="B192" i="18"/>
  <c r="B191" i="18"/>
  <c r="B160" i="18"/>
  <c r="B159" i="18"/>
  <c r="B120" i="18"/>
  <c r="B119" i="18"/>
  <c r="B118" i="18"/>
  <c r="B99" i="8" l="1"/>
  <c r="B100" i="8"/>
  <c r="B101" i="8"/>
  <c r="B102" i="8"/>
  <c r="B103" i="8"/>
  <c r="B104" i="8"/>
  <c r="B105" i="8"/>
  <c r="B87" i="44" l="1"/>
  <c r="B87" i="42"/>
  <c r="B87" i="41"/>
  <c r="B87" i="40"/>
  <c r="B87" i="43"/>
  <c r="B87" i="38"/>
  <c r="B87" i="37"/>
  <c r="B87" i="39"/>
  <c r="B86" i="43"/>
  <c r="B86" i="44"/>
  <c r="B86" i="42"/>
  <c r="B86" i="37"/>
  <c r="B86" i="39"/>
  <c r="B86" i="38"/>
  <c r="B86" i="41"/>
  <c r="B86" i="40"/>
  <c r="B82" i="43"/>
  <c r="B82" i="44"/>
  <c r="B82" i="42"/>
  <c r="B82" i="37"/>
  <c r="B82" i="39"/>
  <c r="B82" i="38"/>
  <c r="B82" i="41"/>
  <c r="B82" i="40"/>
  <c r="B84" i="43"/>
  <c r="B84" i="44"/>
  <c r="B84" i="37"/>
  <c r="B84" i="41"/>
  <c r="B84" i="40"/>
  <c r="B84" i="39"/>
  <c r="B84" i="42"/>
  <c r="B84" i="38"/>
  <c r="B83" i="44"/>
  <c r="B83" i="42"/>
  <c r="B83" i="41"/>
  <c r="B83" i="40"/>
  <c r="B83" i="43"/>
  <c r="B83" i="38"/>
  <c r="B83" i="37"/>
  <c r="B83" i="39"/>
  <c r="B85" i="44"/>
  <c r="B85" i="42"/>
  <c r="B85" i="41"/>
  <c r="B85" i="40"/>
  <c r="B85" i="43"/>
  <c r="B85" i="38"/>
  <c r="B85" i="37"/>
  <c r="B85" i="39"/>
  <c r="B81" i="44"/>
  <c r="B81" i="42"/>
  <c r="B81" i="41"/>
  <c r="B81" i="40"/>
  <c r="B81" i="43"/>
  <c r="B81" i="38"/>
  <c r="B81" i="37"/>
  <c r="B81" i="39"/>
  <c r="B121" i="8"/>
  <c r="B47" i="15" s="1"/>
  <c r="B110" i="8"/>
  <c r="B30" i="15" s="1"/>
  <c r="B97" i="8"/>
  <c r="B17" i="15" s="1"/>
  <c r="B91" i="8"/>
  <c r="B10" i="15" s="1"/>
  <c r="H50" i="22" l="1"/>
  <c r="B127" i="8" l="1"/>
  <c r="B123" i="8"/>
  <c r="B124" i="8"/>
  <c r="B125" i="8"/>
  <c r="B126" i="8"/>
  <c r="B122" i="8"/>
  <c r="B112" i="8"/>
  <c r="B113" i="8"/>
  <c r="B114" i="8"/>
  <c r="B115" i="8"/>
  <c r="B116" i="8"/>
  <c r="B111" i="8"/>
  <c r="B93" i="8"/>
  <c r="B92" i="8"/>
  <c r="B98" i="8"/>
  <c r="B127" i="42" l="1"/>
  <c r="B127" i="44"/>
  <c r="B127" i="41"/>
  <c r="B127" i="40"/>
  <c r="B127" i="43"/>
  <c r="B127" i="39"/>
  <c r="B127" i="37"/>
  <c r="B127" i="38"/>
  <c r="B80" i="43"/>
  <c r="B80" i="44"/>
  <c r="B80" i="37"/>
  <c r="B80" i="41"/>
  <c r="B80" i="40"/>
  <c r="B80" i="39"/>
  <c r="B80" i="42"/>
  <c r="B80" i="38"/>
  <c r="B125" i="42"/>
  <c r="B125" i="44"/>
  <c r="B125" i="41"/>
  <c r="B125" i="40"/>
  <c r="B125" i="43"/>
  <c r="B125" i="39"/>
  <c r="B125" i="37"/>
  <c r="B125" i="38"/>
  <c r="B143" i="43"/>
  <c r="B143" i="37"/>
  <c r="B143" i="38"/>
  <c r="B143" i="44"/>
  <c r="B143" i="42"/>
  <c r="B143" i="41"/>
  <c r="B143" i="40"/>
  <c r="B143" i="39"/>
  <c r="B130" i="43"/>
  <c r="B130" i="44"/>
  <c r="B130" i="37"/>
  <c r="B130" i="38"/>
  <c r="B130" i="42"/>
  <c r="B130" i="41"/>
  <c r="B130" i="40"/>
  <c r="B130" i="39"/>
  <c r="B126" i="43"/>
  <c r="B126" i="37"/>
  <c r="B126" i="38"/>
  <c r="B126" i="44"/>
  <c r="B126" i="42"/>
  <c r="B126" i="41"/>
  <c r="B126" i="40"/>
  <c r="B126" i="39"/>
  <c r="B142" i="42"/>
  <c r="B142" i="44"/>
  <c r="B142" i="41"/>
  <c r="B142" i="40"/>
  <c r="B142" i="43"/>
  <c r="B142" i="39"/>
  <c r="B142" i="37"/>
  <c r="B142" i="38"/>
  <c r="B62" i="44"/>
  <c r="B62" i="42"/>
  <c r="B62" i="41"/>
  <c r="B62" i="40"/>
  <c r="B62" i="43"/>
  <c r="B62" i="38"/>
  <c r="B62" i="37"/>
  <c r="B62" i="39"/>
  <c r="B129" i="42"/>
  <c r="B129" i="44"/>
  <c r="B129" i="41"/>
  <c r="B129" i="40"/>
  <c r="B129" i="43"/>
  <c r="B129" i="39"/>
  <c r="B129" i="37"/>
  <c r="B129" i="38"/>
  <c r="B140" i="42"/>
  <c r="B140" i="44"/>
  <c r="B140" i="41"/>
  <c r="B140" i="40"/>
  <c r="B140" i="43"/>
  <c r="B140" i="39"/>
  <c r="B140" i="37"/>
  <c r="B140" i="38"/>
  <c r="B141" i="43"/>
  <c r="B141" i="42"/>
  <c r="B141" i="41"/>
  <c r="B141" i="40"/>
  <c r="B141" i="37"/>
  <c r="B141" i="38"/>
  <c r="B141" i="39"/>
  <c r="B141" i="44"/>
  <c r="B63" i="43"/>
  <c r="B63" i="44"/>
  <c r="B63" i="37"/>
  <c r="B63" i="42"/>
  <c r="B63" i="41"/>
  <c r="B63" i="40"/>
  <c r="B63" i="39"/>
  <c r="B63" i="38"/>
  <c r="B128" i="43"/>
  <c r="B128" i="42"/>
  <c r="B128" i="41"/>
  <c r="B128" i="40"/>
  <c r="B128" i="37"/>
  <c r="B128" i="44"/>
  <c r="B128" i="38"/>
  <c r="B128" i="39"/>
  <c r="B144" i="42"/>
  <c r="B144" i="44"/>
  <c r="B144" i="41"/>
  <c r="B144" i="40"/>
  <c r="B144" i="43"/>
  <c r="B144" i="39"/>
  <c r="B144" i="37"/>
  <c r="B144" i="38"/>
  <c r="B145" i="43"/>
  <c r="B145" i="42"/>
  <c r="B145" i="41"/>
  <c r="B145" i="40"/>
  <c r="B145" i="37"/>
  <c r="B145" i="44"/>
  <c r="B145" i="38"/>
  <c r="B145" i="39"/>
  <c r="B36" i="15"/>
  <c r="B32" i="15"/>
  <c r="B33" i="15"/>
  <c r="B31" i="15"/>
  <c r="B35" i="15"/>
  <c r="B34" i="15"/>
  <c r="A12" i="9"/>
  <c r="L24" i="22" l="1"/>
  <c r="L26" i="22"/>
  <c r="L20" i="22"/>
  <c r="L25" i="22"/>
  <c r="L23" i="22"/>
  <c r="L22" i="22"/>
  <c r="L19" i="22"/>
  <c r="L34" i="22" l="1"/>
  <c r="L30" i="22"/>
  <c r="D34" i="22"/>
  <c r="H34" i="22"/>
  <c r="I34" i="22"/>
  <c r="G34" i="22"/>
  <c r="F34" i="22"/>
  <c r="J34" i="22"/>
  <c r="K34" i="22"/>
  <c r="L31" i="22"/>
  <c r="L44" i="22"/>
  <c r="K53" i="22"/>
  <c r="U30" i="22"/>
  <c r="K52" i="22"/>
  <c r="L17" i="22"/>
  <c r="L35" i="22" s="1"/>
  <c r="F88" i="8"/>
  <c r="C88" i="8"/>
  <c r="J50" i="22"/>
  <c r="I43" i="22"/>
  <c r="I42" i="22"/>
  <c r="I24" i="22"/>
  <c r="I26" i="22"/>
  <c r="I20" i="22"/>
  <c r="I25" i="22"/>
  <c r="I23" i="22"/>
  <c r="I22" i="22"/>
  <c r="I19" i="22"/>
  <c r="F18" i="41" l="1"/>
  <c r="F18" i="43"/>
  <c r="F18" i="42"/>
  <c r="F18" i="39"/>
  <c r="F18" i="40"/>
  <c r="F18" i="38"/>
  <c r="F18" i="44"/>
  <c r="F18" i="37"/>
  <c r="I31" i="22"/>
  <c r="F184" i="43"/>
  <c r="F184" i="42"/>
  <c r="F184" i="41"/>
  <c r="F184" i="40"/>
  <c r="F184" i="39"/>
  <c r="F184" i="37"/>
  <c r="F184" i="44"/>
  <c r="F184" i="38"/>
  <c r="F179" i="44"/>
  <c r="F179" i="43"/>
  <c r="F179" i="42"/>
  <c r="F179" i="41"/>
  <c r="F179" i="38"/>
  <c r="F179" i="40"/>
  <c r="F179" i="39"/>
  <c r="F179" i="37"/>
  <c r="R30" i="22"/>
  <c r="I30" i="22"/>
  <c r="A103" i="9"/>
  <c r="A26" i="10" s="1"/>
  <c r="H52" i="22"/>
  <c r="H51" i="22"/>
  <c r="K54" i="22"/>
  <c r="I17" i="22"/>
  <c r="I35" i="22" s="1"/>
  <c r="I44" i="22"/>
  <c r="K50" i="22"/>
  <c r="K51" i="22" s="1"/>
  <c r="H43" i="22"/>
  <c r="H42" i="22"/>
  <c r="H24" i="22"/>
  <c r="H26" i="22"/>
  <c r="H20" i="22"/>
  <c r="H25" i="22"/>
  <c r="H23" i="22"/>
  <c r="H22" i="22"/>
  <c r="H19" i="22"/>
  <c r="H31" i="22" l="1"/>
  <c r="Q30" i="22"/>
  <c r="H30" i="22"/>
  <c r="I52" i="22"/>
  <c r="H17" i="22"/>
  <c r="H35" i="22" s="1"/>
  <c r="A5" i="9"/>
  <c r="A6" i="9"/>
  <c r="H44" i="22" l="1"/>
  <c r="C12" i="28"/>
  <c r="C11" i="28"/>
  <c r="A3" i="28"/>
  <c r="A2" i="28"/>
  <c r="F39" i="18" l="1"/>
  <c r="C322" i="26"/>
  <c r="G42" i="22"/>
  <c r="G43" i="22"/>
  <c r="G24" i="22"/>
  <c r="G26" i="22"/>
  <c r="G20" i="22"/>
  <c r="G25" i="22"/>
  <c r="G23" i="22"/>
  <c r="G22" i="22"/>
  <c r="G19" i="22"/>
  <c r="I50" i="22"/>
  <c r="I51" i="22" s="1"/>
  <c r="E50" i="22"/>
  <c r="E51" i="22" s="1"/>
  <c r="G31" i="22" l="1"/>
  <c r="N30" i="22"/>
  <c r="P30" i="22"/>
  <c r="G30" i="22"/>
  <c r="G52" i="22"/>
  <c r="E52" i="22"/>
  <c r="E17" i="22"/>
  <c r="E35" i="22" s="1"/>
  <c r="G17" i="22"/>
  <c r="G35" i="22" s="1"/>
  <c r="E54" i="22" l="1"/>
  <c r="E55" i="22" s="1"/>
  <c r="G54" i="22"/>
  <c r="G44" i="22"/>
  <c r="E44" i="22"/>
  <c r="C293" i="26" l="1"/>
  <c r="N101" i="8" l="1"/>
  <c r="F20" i="40" l="1"/>
  <c r="F20" i="42"/>
  <c r="F20" i="37"/>
  <c r="F20" i="41"/>
  <c r="F20" i="39"/>
  <c r="F20" i="38"/>
  <c r="F20" i="43"/>
  <c r="D77" i="9"/>
  <c r="C40" i="13"/>
  <c r="A33" i="33"/>
  <c r="A32" i="33"/>
  <c r="A31" i="33"/>
  <c r="A26" i="33"/>
  <c r="C36" i="33"/>
  <c r="A24" i="33"/>
  <c r="A30" i="33"/>
  <c r="A29" i="33"/>
  <c r="A27" i="33"/>
  <c r="A25" i="33"/>
  <c r="A28" i="33"/>
  <c r="Q101" i="8"/>
  <c r="T101" i="8"/>
  <c r="L101" i="8"/>
  <c r="M15" i="8"/>
  <c r="B279" i="26"/>
  <c r="B280" i="26"/>
  <c r="B281" i="26"/>
  <c r="B278" i="26"/>
  <c r="D12" i="13"/>
  <c r="F18" i="18"/>
  <c r="B83" i="13" l="1"/>
  <c r="B79" i="13"/>
  <c r="B58" i="13"/>
  <c r="B54" i="13"/>
  <c r="B105" i="41"/>
  <c r="B101" i="41"/>
  <c r="B101" i="43"/>
  <c r="B105" i="43"/>
  <c r="B105" i="37"/>
  <c r="B101" i="37"/>
  <c r="B105" i="38"/>
  <c r="B101" i="38"/>
  <c r="B105" i="42"/>
  <c r="B101" i="42"/>
  <c r="B101" i="39"/>
  <c r="B105" i="39"/>
  <c r="B105" i="40"/>
  <c r="B101" i="40"/>
  <c r="B106" i="43"/>
  <c r="B109" i="43"/>
  <c r="B100" i="43"/>
  <c r="B98" i="43"/>
  <c r="B96" i="43"/>
  <c r="B104" i="43"/>
  <c r="B99" i="43"/>
  <c r="B102" i="43"/>
  <c r="F21" i="43"/>
  <c r="B108" i="43"/>
  <c r="B103" i="43"/>
  <c r="F41" i="43"/>
  <c r="B107" i="43"/>
  <c r="B107" i="37"/>
  <c r="B99" i="37"/>
  <c r="B106" i="37"/>
  <c r="B109" i="37"/>
  <c r="B96" i="37"/>
  <c r="B100" i="37"/>
  <c r="F21" i="37"/>
  <c r="B103" i="37"/>
  <c r="B102" i="37"/>
  <c r="B104" i="37"/>
  <c r="F41" i="37"/>
  <c r="B108" i="37"/>
  <c r="B98" i="37"/>
  <c r="B109" i="38"/>
  <c r="B108" i="38"/>
  <c r="F21" i="38"/>
  <c r="B107" i="38"/>
  <c r="B106" i="38"/>
  <c r="B103" i="38"/>
  <c r="B96" i="38"/>
  <c r="B104" i="38"/>
  <c r="B99" i="38"/>
  <c r="B100" i="38"/>
  <c r="F41" i="38"/>
  <c r="B98" i="38"/>
  <c r="B102" i="38"/>
  <c r="B106" i="42"/>
  <c r="F21" i="42"/>
  <c r="B103" i="42"/>
  <c r="B99" i="42"/>
  <c r="B100" i="42"/>
  <c r="F41" i="42"/>
  <c r="B107" i="42"/>
  <c r="B109" i="42"/>
  <c r="B104" i="42"/>
  <c r="B98" i="42"/>
  <c r="B96" i="42"/>
  <c r="B108" i="42"/>
  <c r="B102" i="42"/>
  <c r="B106" i="41"/>
  <c r="B109" i="41"/>
  <c r="B100" i="41"/>
  <c r="F41" i="41"/>
  <c r="B107" i="41"/>
  <c r="B103" i="41"/>
  <c r="F21" i="41"/>
  <c r="B102" i="41"/>
  <c r="B104" i="41"/>
  <c r="B98" i="41"/>
  <c r="B96" i="41"/>
  <c r="B108" i="41"/>
  <c r="B99" i="41"/>
  <c r="G73" i="13"/>
  <c r="E85" i="13"/>
  <c r="E80" i="13"/>
  <c r="B78" i="13"/>
  <c r="B87" i="13"/>
  <c r="E84" i="13"/>
  <c r="E81" i="13"/>
  <c r="B84" i="13"/>
  <c r="E78" i="13"/>
  <c r="B73" i="13"/>
  <c r="E87" i="13"/>
  <c r="B85" i="13"/>
  <c r="B82" i="13"/>
  <c r="B80" i="13"/>
  <c r="B86" i="13"/>
  <c r="B81" i="13"/>
  <c r="B106" i="39"/>
  <c r="B104" i="39"/>
  <c r="F41" i="39"/>
  <c r="B107" i="39"/>
  <c r="F21" i="39"/>
  <c r="B109" i="39"/>
  <c r="B108" i="39"/>
  <c r="B98" i="39"/>
  <c r="B96" i="39"/>
  <c r="B100" i="39"/>
  <c r="B103" i="39"/>
  <c r="B99" i="39"/>
  <c r="B102" i="39"/>
  <c r="B106" i="40"/>
  <c r="B109" i="40"/>
  <c r="B104" i="40"/>
  <c r="B107" i="40"/>
  <c r="B102" i="40"/>
  <c r="F41" i="40"/>
  <c r="B108" i="40"/>
  <c r="B98" i="40"/>
  <c r="B100" i="40"/>
  <c r="B103" i="40"/>
  <c r="F21" i="40"/>
  <c r="B99" i="40"/>
  <c r="B96" i="40"/>
  <c r="E62" i="13"/>
  <c r="E57" i="13"/>
  <c r="B61" i="13"/>
  <c r="B57" i="13"/>
  <c r="E60" i="13"/>
  <c r="E56" i="13"/>
  <c r="B60" i="13"/>
  <c r="B56" i="13"/>
  <c r="E59" i="13"/>
  <c r="E55" i="13"/>
  <c r="B59" i="13"/>
  <c r="B55" i="13"/>
  <c r="E61" i="13"/>
  <c r="E58" i="13"/>
  <c r="B62" i="13"/>
  <c r="E54" i="13"/>
  <c r="C35" i="33"/>
  <c r="C77" i="9"/>
  <c r="C34" i="33"/>
  <c r="F77" i="9"/>
  <c r="B53" i="13"/>
  <c r="E53" i="13"/>
  <c r="F48" i="13"/>
  <c r="G48" i="13" s="1"/>
  <c r="B48" i="13"/>
  <c r="A19" i="33"/>
  <c r="C9" i="15"/>
  <c r="G35" i="8" l="1"/>
  <c r="G40" i="8"/>
  <c r="G37" i="8"/>
  <c r="G38" i="8"/>
  <c r="C103" i="26" l="1"/>
  <c r="F20" i="18"/>
  <c r="B105" i="18" l="1"/>
  <c r="B101" i="18"/>
  <c r="B109" i="18"/>
  <c r="B108" i="18"/>
  <c r="B107" i="18"/>
  <c r="B106" i="18"/>
  <c r="B104" i="18"/>
  <c r="B103" i="18"/>
  <c r="B102" i="18"/>
  <c r="F41" i="18"/>
  <c r="B99" i="18"/>
  <c r="B98" i="18"/>
  <c r="B96" i="18"/>
  <c r="B100" i="18"/>
  <c r="F21" i="18"/>
  <c r="C94" i="26"/>
  <c r="C8" i="26"/>
  <c r="C89" i="26"/>
  <c r="U101" i="8"/>
  <c r="I77" i="9" s="1"/>
  <c r="C41" i="13"/>
  <c r="G24" i="8"/>
  <c r="S76" i="8"/>
  <c r="E88" i="8"/>
  <c r="G34" i="8"/>
  <c r="G36" i="8"/>
  <c r="F48" i="43" s="1"/>
  <c r="G48" i="43" s="1"/>
  <c r="G53" i="43" s="1"/>
  <c r="G39" i="8"/>
  <c r="F50" i="44" s="1"/>
  <c r="G41" i="8"/>
  <c r="G33" i="8"/>
  <c r="C16" i="11" l="1"/>
  <c r="E16" i="11" s="1"/>
  <c r="G74" i="43"/>
  <c r="G191" i="43"/>
  <c r="F180" i="38"/>
  <c r="F185" i="38" s="1"/>
  <c r="F180" i="40"/>
  <c r="F185" i="40" s="1"/>
  <c r="F180" i="37"/>
  <c r="F185" i="37" s="1"/>
  <c r="F180" i="44"/>
  <c r="F185" i="44" s="1"/>
  <c r="F180" i="43"/>
  <c r="F185" i="43" s="1"/>
  <c r="F180" i="42"/>
  <c r="F185" i="42" s="1"/>
  <c r="F180" i="41"/>
  <c r="F185" i="41" s="1"/>
  <c r="F180" i="39"/>
  <c r="F185" i="39" s="1"/>
  <c r="F48" i="42"/>
  <c r="F48" i="41"/>
  <c r="F48" i="39"/>
  <c r="F48" i="38"/>
  <c r="F48" i="40"/>
  <c r="F48" i="37"/>
  <c r="F50" i="38"/>
  <c r="F50" i="43"/>
  <c r="F50" i="42"/>
  <c r="F50" i="41"/>
  <c r="F50" i="40"/>
  <c r="F50" i="37"/>
  <c r="F50" i="39"/>
  <c r="F44" i="13"/>
  <c r="F184" i="18"/>
  <c r="C18" i="28"/>
  <c r="F180" i="18"/>
  <c r="C15" i="28"/>
  <c r="F179" i="18"/>
  <c r="C16" i="28"/>
  <c r="M14" i="8"/>
  <c r="A10" i="13" l="1"/>
  <c r="G105" i="18"/>
  <c r="A42" i="13"/>
  <c r="G44" i="13"/>
  <c r="F50" i="18" l="1"/>
  <c r="L50" i="22" l="1"/>
  <c r="J42" i="22"/>
  <c r="K42" i="22"/>
  <c r="F42" i="22"/>
  <c r="A8" i="23"/>
  <c r="A3" i="23"/>
  <c r="A2" i="23"/>
  <c r="D42" i="22" l="1"/>
  <c r="F52" i="22"/>
  <c r="L52" i="22"/>
  <c r="J52" i="22"/>
  <c r="K17" i="22"/>
  <c r="J17" i="22"/>
  <c r="D17" i="22"/>
  <c r="D35" i="22" s="1"/>
  <c r="F17" i="22"/>
  <c r="E138" i="24" l="1"/>
  <c r="F138" i="24" s="1"/>
  <c r="F50" i="22"/>
  <c r="G50" i="22"/>
  <c r="G51" i="22" s="1"/>
  <c r="D50" i="22"/>
  <c r="D51" i="22" s="1"/>
  <c r="D52" i="22" l="1"/>
  <c r="K43" i="22"/>
  <c r="F43" i="22"/>
  <c r="J43" i="22" s="1"/>
  <c r="K24" i="22"/>
  <c r="F24" i="22"/>
  <c r="K26" i="22"/>
  <c r="F26" i="22"/>
  <c r="K20" i="22"/>
  <c r="F20" i="22"/>
  <c r="K25" i="22"/>
  <c r="F25" i="22"/>
  <c r="K23" i="22"/>
  <c r="F23" i="22"/>
  <c r="K22" i="22"/>
  <c r="F22" i="22"/>
  <c r="K19" i="22"/>
  <c r="L51" i="22" s="1"/>
  <c r="F19" i="22"/>
  <c r="K35" i="22" l="1"/>
  <c r="K31" i="22"/>
  <c r="F35" i="22"/>
  <c r="F31" i="22"/>
  <c r="T30" i="22"/>
  <c r="K30" i="22"/>
  <c r="O30" i="22"/>
  <c r="F30" i="22"/>
  <c r="F51" i="22"/>
  <c r="J44" i="22"/>
  <c r="J22" i="22"/>
  <c r="J25" i="22"/>
  <c r="J19" i="22"/>
  <c r="J23" i="22"/>
  <c r="J20" i="22"/>
  <c r="J24" i="22"/>
  <c r="J26" i="22"/>
  <c r="D21" i="22"/>
  <c r="D27" i="22" s="1"/>
  <c r="D54" i="22"/>
  <c r="D55" i="22" s="1"/>
  <c r="F27" i="22"/>
  <c r="F44" i="22"/>
  <c r="D44" i="22"/>
  <c r="K44" i="22"/>
  <c r="J35" i="22" l="1"/>
  <c r="J31" i="22"/>
  <c r="O33" i="22"/>
  <c r="F33" i="22"/>
  <c r="F36" i="22" s="1"/>
  <c r="M33" i="22"/>
  <c r="D33" i="22"/>
  <c r="D36" i="22" s="1"/>
  <c r="S30" i="22"/>
  <c r="J30" i="22"/>
  <c r="H54" i="22"/>
  <c r="H55" i="22" s="1"/>
  <c r="L54" i="22"/>
  <c r="J51" i="22"/>
  <c r="J56" i="22" s="1"/>
  <c r="F54" i="22"/>
  <c r="F55" i="22" s="1"/>
  <c r="I54" i="22"/>
  <c r="I55" i="22" s="1"/>
  <c r="K27" i="22"/>
  <c r="G56" i="22"/>
  <c r="I27" i="22"/>
  <c r="L27" i="22"/>
  <c r="L33" i="22" s="1"/>
  <c r="L36" i="22" s="1"/>
  <c r="H56" i="22"/>
  <c r="D56" i="22"/>
  <c r="D59" i="22" s="1"/>
  <c r="F56" i="22"/>
  <c r="G27" i="22"/>
  <c r="I56" i="22"/>
  <c r="E27" i="22"/>
  <c r="E33" i="22" s="1"/>
  <c r="E36" i="22" s="1"/>
  <c r="E56" i="22"/>
  <c r="E59" i="22" s="1"/>
  <c r="H27" i="22"/>
  <c r="K56" i="22"/>
  <c r="G55" i="22"/>
  <c r="L56" i="22"/>
  <c r="J27" i="22"/>
  <c r="S33" i="22" l="1"/>
  <c r="J33" i="22"/>
  <c r="J36" i="22" s="1"/>
  <c r="I33" i="22"/>
  <c r="I36" i="22" s="1"/>
  <c r="R33" i="22"/>
  <c r="N33" i="22"/>
  <c r="H33" i="22"/>
  <c r="H36" i="22" s="1"/>
  <c r="Q33" i="22"/>
  <c r="T33" i="22"/>
  <c r="K33" i="22"/>
  <c r="K36" i="22" s="1"/>
  <c r="K45" i="22" s="1"/>
  <c r="G33" i="22"/>
  <c r="G36" i="22" s="1"/>
  <c r="P33" i="22"/>
  <c r="U33" i="22"/>
  <c r="I59" i="22"/>
  <c r="J54" i="22"/>
  <c r="J55" i="22" s="1"/>
  <c r="J59" i="22" s="1"/>
  <c r="F59" i="22"/>
  <c r="G59" i="22"/>
  <c r="H59" i="22"/>
  <c r="L55" i="22"/>
  <c r="L59" i="22" s="1"/>
  <c r="K55" i="22"/>
  <c r="K59" i="22" s="1"/>
  <c r="J45" i="22"/>
  <c r="B17" i="13"/>
  <c r="L45" i="22" l="1"/>
  <c r="L13" i="22" s="1"/>
  <c r="U13" i="22" s="1"/>
  <c r="J13" i="22"/>
  <c r="S13" i="22" s="1"/>
  <c r="F45" i="22"/>
  <c r="F13" i="22" s="1"/>
  <c r="O13" i="22" s="1"/>
  <c r="E45" i="22"/>
  <c r="E13" i="22" s="1"/>
  <c r="N13" i="22" s="1"/>
  <c r="D45" i="22"/>
  <c r="D13" i="22" s="1"/>
  <c r="I45" i="22"/>
  <c r="I13" i="22" s="1"/>
  <c r="R13" i="22" s="1"/>
  <c r="K13" i="22"/>
  <c r="T13" i="22" s="1"/>
  <c r="G45" i="22"/>
  <c r="G13" i="22" s="1"/>
  <c r="P13" i="22" s="1"/>
  <c r="H45" i="22"/>
  <c r="H13" i="22" s="1"/>
  <c r="Q13" i="22" s="1"/>
  <c r="A2" i="18"/>
  <c r="A1" i="18"/>
  <c r="F26" i="18"/>
  <c r="D205" i="18" s="1"/>
  <c r="G126" i="8" l="1"/>
  <c r="G122" i="8"/>
  <c r="G125" i="8"/>
  <c r="G117" i="8"/>
  <c r="G123" i="8"/>
  <c r="G124" i="8"/>
  <c r="G127" i="8"/>
  <c r="M13" i="22"/>
  <c r="D12" i="15" s="1"/>
  <c r="G99" i="8"/>
  <c r="G104" i="8"/>
  <c r="G98" i="8"/>
  <c r="G93" i="8"/>
  <c r="G102" i="8"/>
  <c r="G116" i="8"/>
  <c r="G101" i="8"/>
  <c r="G103" i="8"/>
  <c r="G114" i="8"/>
  <c r="G113" i="8"/>
  <c r="G105" i="8"/>
  <c r="G111" i="8"/>
  <c r="G92" i="8"/>
  <c r="G100" i="8"/>
  <c r="E98" i="18"/>
  <c r="G88" i="8"/>
  <c r="C37" i="15" l="1"/>
  <c r="F131" i="39"/>
  <c r="G131" i="39" s="1"/>
  <c r="F131" i="42"/>
  <c r="G131" i="42" s="1"/>
  <c r="F131" i="44"/>
  <c r="G131" i="44" s="1"/>
  <c r="F131" i="41"/>
  <c r="G131" i="41" s="1"/>
  <c r="F131" i="37"/>
  <c r="G131" i="37" s="1"/>
  <c r="F131" i="18"/>
  <c r="F131" i="38"/>
  <c r="G131" i="38" s="1"/>
  <c r="F131" i="40"/>
  <c r="G131" i="40" s="1"/>
  <c r="F131" i="43"/>
  <c r="G131" i="43" s="1"/>
  <c r="F125" i="44"/>
  <c r="F125" i="41"/>
  <c r="F125" i="40"/>
  <c r="F125" i="43"/>
  <c r="F125" i="39"/>
  <c r="F125" i="37"/>
  <c r="F125" i="38"/>
  <c r="F125" i="42"/>
  <c r="F63" i="44"/>
  <c r="G63" i="44" s="1"/>
  <c r="F63" i="42"/>
  <c r="G63" i="42" s="1"/>
  <c r="F63" i="41"/>
  <c r="G63" i="41" s="1"/>
  <c r="F63" i="40"/>
  <c r="G63" i="40" s="1"/>
  <c r="F63" i="39"/>
  <c r="G63" i="39" s="1"/>
  <c r="F63" i="38"/>
  <c r="G63" i="38" s="1"/>
  <c r="F63" i="43"/>
  <c r="F63" i="37"/>
  <c r="G63" i="37" s="1"/>
  <c r="D33" i="15"/>
  <c r="D20" i="15"/>
  <c r="D48" i="15"/>
  <c r="D31" i="15"/>
  <c r="D37" i="15"/>
  <c r="D36" i="15"/>
  <c r="D51" i="15"/>
  <c r="D49" i="15"/>
  <c r="D50" i="15"/>
  <c r="D32" i="15"/>
  <c r="D34" i="15"/>
  <c r="D52" i="15"/>
  <c r="D35" i="15"/>
  <c r="D11" i="15"/>
  <c r="F83" i="41"/>
  <c r="F83" i="40"/>
  <c r="F83" i="43"/>
  <c r="F83" i="44"/>
  <c r="F83" i="37"/>
  <c r="F83" i="39"/>
  <c r="F83" i="42"/>
  <c r="F83" i="38"/>
  <c r="F80" i="44"/>
  <c r="F80" i="42"/>
  <c r="F80" i="41"/>
  <c r="F80" i="40"/>
  <c r="F80" i="39"/>
  <c r="F80" i="38"/>
  <c r="F80" i="37"/>
  <c r="F80" i="43"/>
  <c r="F145" i="42"/>
  <c r="G145" i="42" s="1"/>
  <c r="F145" i="44"/>
  <c r="G145" i="44" s="1"/>
  <c r="F145" i="38"/>
  <c r="G145" i="38" s="1"/>
  <c r="F145" i="39"/>
  <c r="G145" i="39" s="1"/>
  <c r="F145" i="40"/>
  <c r="G145" i="40" s="1"/>
  <c r="F145" i="37"/>
  <c r="G145" i="37" s="1"/>
  <c r="F145" i="43"/>
  <c r="G145" i="43" s="1"/>
  <c r="F145" i="41"/>
  <c r="G145" i="41" s="1"/>
  <c r="F143" i="42"/>
  <c r="G143" i="42" s="1"/>
  <c r="F143" i="44"/>
  <c r="G143" i="44" s="1"/>
  <c r="F143" i="43"/>
  <c r="G143" i="43" s="1"/>
  <c r="F143" i="38"/>
  <c r="G143" i="38" s="1"/>
  <c r="F143" i="41"/>
  <c r="G143" i="41" s="1"/>
  <c r="F143" i="40"/>
  <c r="G143" i="40" s="1"/>
  <c r="F143" i="39"/>
  <c r="G143" i="39" s="1"/>
  <c r="F143" i="37"/>
  <c r="G143" i="37" s="1"/>
  <c r="F82" i="44"/>
  <c r="F82" i="42"/>
  <c r="F82" i="39"/>
  <c r="F82" i="38"/>
  <c r="F82" i="43"/>
  <c r="F82" i="41"/>
  <c r="F82" i="40"/>
  <c r="F82" i="37"/>
  <c r="F127" i="44"/>
  <c r="G127" i="44" s="1"/>
  <c r="F127" i="41"/>
  <c r="G127" i="41" s="1"/>
  <c r="F127" i="40"/>
  <c r="G127" i="40" s="1"/>
  <c r="F127" i="43"/>
  <c r="G127" i="43" s="1"/>
  <c r="F127" i="39"/>
  <c r="G127" i="39" s="1"/>
  <c r="F127" i="42"/>
  <c r="G127" i="42" s="1"/>
  <c r="F127" i="37"/>
  <c r="G127" i="37" s="1"/>
  <c r="F127" i="38"/>
  <c r="G127" i="38" s="1"/>
  <c r="F130" i="42"/>
  <c r="G130" i="42" s="1"/>
  <c r="F130" i="44"/>
  <c r="G130" i="44" s="1"/>
  <c r="F130" i="38"/>
  <c r="G130" i="38" s="1"/>
  <c r="F130" i="41"/>
  <c r="G130" i="41" s="1"/>
  <c r="F130" i="40"/>
  <c r="G130" i="40" s="1"/>
  <c r="F130" i="43"/>
  <c r="G130" i="43" s="1"/>
  <c r="F130" i="39"/>
  <c r="G130" i="39" s="1"/>
  <c r="F130" i="37"/>
  <c r="G130" i="37" s="1"/>
  <c r="F86" i="44"/>
  <c r="F86" i="42"/>
  <c r="F86" i="43"/>
  <c r="F86" i="39"/>
  <c r="F86" i="38"/>
  <c r="F86" i="41"/>
  <c r="F86" i="40"/>
  <c r="F86" i="37"/>
  <c r="F142" i="44"/>
  <c r="G142" i="44" s="1"/>
  <c r="F142" i="41"/>
  <c r="G142" i="41" s="1"/>
  <c r="F142" i="40"/>
  <c r="G142" i="40" s="1"/>
  <c r="F142" i="43"/>
  <c r="G142" i="43" s="1"/>
  <c r="F142" i="39"/>
  <c r="G142" i="39" s="1"/>
  <c r="F142" i="37"/>
  <c r="G142" i="37" s="1"/>
  <c r="F142" i="38"/>
  <c r="G142" i="38" s="1"/>
  <c r="F142" i="42"/>
  <c r="G142" i="42" s="1"/>
  <c r="F140" i="44"/>
  <c r="F140" i="41"/>
  <c r="F140" i="40"/>
  <c r="F140" i="43"/>
  <c r="F140" i="39"/>
  <c r="F140" i="42"/>
  <c r="F140" i="37"/>
  <c r="F140" i="38"/>
  <c r="G129" i="8"/>
  <c r="F85" i="41"/>
  <c r="F85" i="40"/>
  <c r="F85" i="43"/>
  <c r="F85" i="42"/>
  <c r="F85" i="37"/>
  <c r="F85" i="39"/>
  <c r="F85" i="44"/>
  <c r="F85" i="38"/>
  <c r="F87" i="41"/>
  <c r="F87" i="40"/>
  <c r="F87" i="43"/>
  <c r="F87" i="37"/>
  <c r="F87" i="44"/>
  <c r="F87" i="39"/>
  <c r="F87" i="42"/>
  <c r="F87" i="38"/>
  <c r="F62" i="41"/>
  <c r="F62" i="40"/>
  <c r="F62" i="43"/>
  <c r="G62" i="43" s="1"/>
  <c r="F62" i="44"/>
  <c r="F62" i="37"/>
  <c r="F62" i="42"/>
  <c r="F62" i="39"/>
  <c r="F62" i="38"/>
  <c r="F128" i="42"/>
  <c r="G128" i="42" s="1"/>
  <c r="F128" i="44"/>
  <c r="G128" i="44" s="1"/>
  <c r="F128" i="38"/>
  <c r="G128" i="38" s="1"/>
  <c r="F128" i="39"/>
  <c r="G128" i="39" s="1"/>
  <c r="F128" i="37"/>
  <c r="G128" i="37" s="1"/>
  <c r="F128" i="41"/>
  <c r="G128" i="41" s="1"/>
  <c r="F128" i="43"/>
  <c r="G128" i="43" s="1"/>
  <c r="F128" i="40"/>
  <c r="G128" i="40" s="1"/>
  <c r="F84" i="44"/>
  <c r="F84" i="42"/>
  <c r="F84" i="41"/>
  <c r="F84" i="40"/>
  <c r="F84" i="39"/>
  <c r="F84" i="43"/>
  <c r="F84" i="38"/>
  <c r="F84" i="37"/>
  <c r="F81" i="41"/>
  <c r="F81" i="40"/>
  <c r="F81" i="43"/>
  <c r="F81" i="44"/>
  <c r="F81" i="42"/>
  <c r="F81" i="37"/>
  <c r="F81" i="39"/>
  <c r="F81" i="38"/>
  <c r="F141" i="42"/>
  <c r="G141" i="42" s="1"/>
  <c r="F141" i="44"/>
  <c r="G141" i="44" s="1"/>
  <c r="F141" i="38"/>
  <c r="G141" i="38" s="1"/>
  <c r="F141" i="43"/>
  <c r="G141" i="43" s="1"/>
  <c r="F141" i="39"/>
  <c r="G141" i="39" s="1"/>
  <c r="F141" i="41"/>
  <c r="G141" i="41" s="1"/>
  <c r="F141" i="40"/>
  <c r="G141" i="40" s="1"/>
  <c r="F141" i="37"/>
  <c r="G141" i="37" s="1"/>
  <c r="F144" i="44"/>
  <c r="G144" i="44" s="1"/>
  <c r="F144" i="41"/>
  <c r="G144" i="41" s="1"/>
  <c r="F144" i="40"/>
  <c r="G144" i="40" s="1"/>
  <c r="F144" i="43"/>
  <c r="G144" i="43" s="1"/>
  <c r="F144" i="39"/>
  <c r="G144" i="39" s="1"/>
  <c r="F144" i="42"/>
  <c r="G144" i="42" s="1"/>
  <c r="F144" i="37"/>
  <c r="G144" i="37" s="1"/>
  <c r="F144" i="38"/>
  <c r="G144" i="38" s="1"/>
  <c r="C31" i="15"/>
  <c r="C33" i="15"/>
  <c r="G98" i="18"/>
  <c r="G99" i="18"/>
  <c r="C34" i="15"/>
  <c r="C36" i="15"/>
  <c r="G95" i="8"/>
  <c r="F144" i="18"/>
  <c r="F141" i="18"/>
  <c r="F140" i="18"/>
  <c r="F63" i="18"/>
  <c r="F143" i="18"/>
  <c r="F142" i="18"/>
  <c r="F145" i="18"/>
  <c r="G108" i="8"/>
  <c r="G115" i="8" s="1"/>
  <c r="G112" i="8"/>
  <c r="T84" i="8"/>
  <c r="A26" i="18"/>
  <c r="T93" i="8" l="1"/>
  <c r="G119" i="8"/>
  <c r="F88" i="38"/>
  <c r="F64" i="37"/>
  <c r="G62" i="37"/>
  <c r="G64" i="37" s="1"/>
  <c r="F146" i="42"/>
  <c r="G140" i="42"/>
  <c r="G146" i="42" s="1"/>
  <c r="G159" i="42" s="1"/>
  <c r="G161" i="42" s="1"/>
  <c r="F88" i="42"/>
  <c r="G125" i="43"/>
  <c r="G62" i="38"/>
  <c r="G64" i="38" s="1"/>
  <c r="F64" i="38"/>
  <c r="F146" i="44"/>
  <c r="G140" i="44"/>
  <c r="G146" i="44" s="1"/>
  <c r="G159" i="44" s="1"/>
  <c r="G161" i="44" s="1"/>
  <c r="F88" i="39"/>
  <c r="F88" i="44"/>
  <c r="F64" i="43"/>
  <c r="G63" i="43"/>
  <c r="G64" i="43" s="1"/>
  <c r="G125" i="40"/>
  <c r="F129" i="44"/>
  <c r="G129" i="44" s="1"/>
  <c r="F129" i="41"/>
  <c r="G129" i="41" s="1"/>
  <c r="F129" i="40"/>
  <c r="G129" i="40" s="1"/>
  <c r="F129" i="43"/>
  <c r="G129" i="43" s="1"/>
  <c r="F129" i="39"/>
  <c r="G129" i="39" s="1"/>
  <c r="F129" i="37"/>
  <c r="G129" i="37" s="1"/>
  <c r="F129" i="38"/>
  <c r="G129" i="38" s="1"/>
  <c r="F129" i="42"/>
  <c r="G129" i="42" s="1"/>
  <c r="F146" i="38"/>
  <c r="G140" i="38"/>
  <c r="G146" i="38" s="1"/>
  <c r="G159" i="38" s="1"/>
  <c r="G161" i="38" s="1"/>
  <c r="F88" i="43"/>
  <c r="F88" i="40"/>
  <c r="G125" i="37"/>
  <c r="G125" i="41"/>
  <c r="G62" i="41"/>
  <c r="G64" i="41" s="1"/>
  <c r="F64" i="41"/>
  <c r="F146" i="41"/>
  <c r="G140" i="41"/>
  <c r="G146" i="41" s="1"/>
  <c r="G159" i="41" s="1"/>
  <c r="G161" i="41" s="1"/>
  <c r="G125" i="42"/>
  <c r="G131" i="8"/>
  <c r="F126" i="42"/>
  <c r="G126" i="42" s="1"/>
  <c r="F126" i="44"/>
  <c r="G126" i="44" s="1"/>
  <c r="F126" i="43"/>
  <c r="G126" i="43" s="1"/>
  <c r="F126" i="38"/>
  <c r="G126" i="38" s="1"/>
  <c r="F126" i="41"/>
  <c r="G126" i="41" s="1"/>
  <c r="F126" i="40"/>
  <c r="G126" i="40" s="1"/>
  <c r="F126" i="39"/>
  <c r="G126" i="39" s="1"/>
  <c r="F126" i="37"/>
  <c r="G126" i="37" s="1"/>
  <c r="F64" i="44"/>
  <c r="G62" i="44"/>
  <c r="G64" i="44" s="1"/>
  <c r="G140" i="39"/>
  <c r="G146" i="39" s="1"/>
  <c r="G159" i="39" s="1"/>
  <c r="G161" i="39" s="1"/>
  <c r="F146" i="39"/>
  <c r="G125" i="38"/>
  <c r="F64" i="39"/>
  <c r="G62" i="39"/>
  <c r="G64" i="39" s="1"/>
  <c r="F146" i="43"/>
  <c r="G140" i="43"/>
  <c r="G146" i="43" s="1"/>
  <c r="G159" i="43" s="1"/>
  <c r="G161" i="43" s="1"/>
  <c r="F64" i="42"/>
  <c r="G62" i="42"/>
  <c r="G64" i="42" s="1"/>
  <c r="G62" i="40"/>
  <c r="G64" i="40" s="1"/>
  <c r="F64" i="40"/>
  <c r="F146" i="37"/>
  <c r="G140" i="37"/>
  <c r="G146" i="37" s="1"/>
  <c r="G159" i="37" s="1"/>
  <c r="G161" i="37" s="1"/>
  <c r="G140" i="40"/>
  <c r="G146" i="40" s="1"/>
  <c r="G159" i="40" s="1"/>
  <c r="G161" i="40" s="1"/>
  <c r="F146" i="40"/>
  <c r="F88" i="37"/>
  <c r="F88" i="41"/>
  <c r="G125" i="39"/>
  <c r="G125" i="44"/>
  <c r="G21" i="8"/>
  <c r="R58" i="8"/>
  <c r="C32" i="15"/>
  <c r="C35" i="15"/>
  <c r="D9" i="11"/>
  <c r="D18" i="11" s="1"/>
  <c r="J45" i="8"/>
  <c r="F96" i="37" s="1"/>
  <c r="G100" i="18"/>
  <c r="F132" i="43" l="1"/>
  <c r="G132" i="44"/>
  <c r="G132" i="38"/>
  <c r="G193" i="38" s="1"/>
  <c r="G132" i="37"/>
  <c r="C38" i="15"/>
  <c r="G132" i="39"/>
  <c r="G132" i="40"/>
  <c r="F132" i="37"/>
  <c r="F132" i="42"/>
  <c r="G132" i="42"/>
  <c r="G132" i="43"/>
  <c r="H16" i="11" s="1"/>
  <c r="I16" i="11" s="1"/>
  <c r="F132" i="40"/>
  <c r="G132" i="41"/>
  <c r="F132" i="38"/>
  <c r="F132" i="44"/>
  <c r="F132" i="41"/>
  <c r="F132" i="39"/>
  <c r="G118" i="44"/>
  <c r="G75" i="44"/>
  <c r="G76" i="44" s="1"/>
  <c r="G118" i="43"/>
  <c r="G75" i="43"/>
  <c r="G76" i="43" s="1"/>
  <c r="J16" i="11"/>
  <c r="K16" i="11" s="1"/>
  <c r="G194" i="43"/>
  <c r="J17" i="11"/>
  <c r="K17" i="11" s="1"/>
  <c r="G194" i="44"/>
  <c r="G194" i="40"/>
  <c r="J13" i="11"/>
  <c r="K13" i="11" s="1"/>
  <c r="G194" i="41"/>
  <c r="J14" i="11"/>
  <c r="K14" i="11" s="1"/>
  <c r="G75" i="41"/>
  <c r="G76" i="41" s="1"/>
  <c r="G118" i="41"/>
  <c r="G118" i="40"/>
  <c r="G75" i="40"/>
  <c r="G76" i="40" s="1"/>
  <c r="G75" i="37"/>
  <c r="G76" i="37" s="1"/>
  <c r="G118" i="37"/>
  <c r="B149" i="27"/>
  <c r="D149" i="27" s="1"/>
  <c r="F149" i="27" s="1"/>
  <c r="F150" i="27" s="1"/>
  <c r="F151" i="27" s="1"/>
  <c r="F96" i="43"/>
  <c r="G96" i="43" s="1"/>
  <c r="G96" i="44"/>
  <c r="F96" i="39"/>
  <c r="G96" i="39" s="1"/>
  <c r="G96" i="37"/>
  <c r="F96" i="41"/>
  <c r="G96" i="41" s="1"/>
  <c r="G96" i="40"/>
  <c r="G96" i="42"/>
  <c r="F96" i="38"/>
  <c r="G96" i="38" s="1"/>
  <c r="G194" i="37"/>
  <c r="J10" i="11"/>
  <c r="K10" i="11" s="1"/>
  <c r="G75" i="42"/>
  <c r="G76" i="42" s="1"/>
  <c r="G118" i="42"/>
  <c r="G75" i="39"/>
  <c r="G76" i="39" s="1"/>
  <c r="G118" i="39"/>
  <c r="G194" i="39"/>
  <c r="J12" i="11"/>
  <c r="K12" i="11" s="1"/>
  <c r="G194" i="38"/>
  <c r="J11" i="11"/>
  <c r="K11" i="11" s="1"/>
  <c r="G118" i="38"/>
  <c r="G75" i="38"/>
  <c r="G76" i="38" s="1"/>
  <c r="G194" i="42"/>
  <c r="J15" i="11"/>
  <c r="K15" i="11" s="1"/>
  <c r="G96" i="18"/>
  <c r="G104" i="18"/>
  <c r="H11" i="11" l="1"/>
  <c r="I11" i="11" s="1"/>
  <c r="G193" i="43"/>
  <c r="H12" i="11"/>
  <c r="I12" i="11" s="1"/>
  <c r="G193" i="39"/>
  <c r="G83" i="39"/>
  <c r="G82" i="39"/>
  <c r="G85" i="39"/>
  <c r="G87" i="39"/>
  <c r="G86" i="39"/>
  <c r="G84" i="39"/>
  <c r="G81" i="39"/>
  <c r="G80" i="39"/>
  <c r="G97" i="40"/>
  <c r="G111" i="40" s="1"/>
  <c r="G120" i="40" s="1"/>
  <c r="G97" i="44"/>
  <c r="G111" i="44" s="1"/>
  <c r="G120" i="44" s="1"/>
  <c r="G81" i="37"/>
  <c r="G87" i="37"/>
  <c r="G80" i="37"/>
  <c r="G83" i="37"/>
  <c r="G85" i="37"/>
  <c r="G82" i="37"/>
  <c r="G86" i="37"/>
  <c r="G84" i="37"/>
  <c r="G86" i="40"/>
  <c r="G81" i="40"/>
  <c r="G87" i="40"/>
  <c r="G82" i="40"/>
  <c r="G80" i="40"/>
  <c r="G85" i="40"/>
  <c r="G84" i="40"/>
  <c r="G83" i="40"/>
  <c r="G85" i="43"/>
  <c r="G82" i="43"/>
  <c r="G84" i="43"/>
  <c r="G81" i="43"/>
  <c r="G87" i="43"/>
  <c r="G86" i="43"/>
  <c r="G80" i="43"/>
  <c r="G83" i="43"/>
  <c r="G193" i="42"/>
  <c r="H15" i="11"/>
  <c r="I15" i="11" s="1"/>
  <c r="G193" i="40"/>
  <c r="H13" i="11"/>
  <c r="I13" i="11" s="1"/>
  <c r="G97" i="41"/>
  <c r="G111" i="41" s="1"/>
  <c r="G120" i="41" s="1"/>
  <c r="G97" i="43"/>
  <c r="G111" i="43" s="1"/>
  <c r="G120" i="43" s="1"/>
  <c r="G193" i="41"/>
  <c r="H14" i="11"/>
  <c r="I14" i="11" s="1"/>
  <c r="H10" i="11"/>
  <c r="I10" i="11" s="1"/>
  <c r="G193" i="37"/>
  <c r="G81" i="42"/>
  <c r="G82" i="42"/>
  <c r="G84" i="42"/>
  <c r="G87" i="42"/>
  <c r="G85" i="42"/>
  <c r="G86" i="42"/>
  <c r="G80" i="42"/>
  <c r="G83" i="42"/>
  <c r="G97" i="38"/>
  <c r="G111" i="38" s="1"/>
  <c r="G120" i="38" s="1"/>
  <c r="G97" i="37"/>
  <c r="G111" i="37" s="1"/>
  <c r="G120" i="37" s="1"/>
  <c r="H17" i="11"/>
  <c r="I17" i="11" s="1"/>
  <c r="G193" i="44"/>
  <c r="G84" i="44"/>
  <c r="G81" i="44"/>
  <c r="G85" i="44"/>
  <c r="G83" i="44"/>
  <c r="G86" i="44"/>
  <c r="G87" i="44"/>
  <c r="G82" i="44"/>
  <c r="G80" i="44"/>
  <c r="G83" i="38"/>
  <c r="G81" i="38"/>
  <c r="G85" i="38"/>
  <c r="G84" i="38"/>
  <c r="G86" i="38"/>
  <c r="G87" i="38"/>
  <c r="G80" i="38"/>
  <c r="G82" i="38"/>
  <c r="G97" i="42"/>
  <c r="G111" i="42" s="1"/>
  <c r="G120" i="42" s="1"/>
  <c r="G97" i="39"/>
  <c r="G111" i="39" s="1"/>
  <c r="G120" i="39" s="1"/>
  <c r="G80" i="41"/>
  <c r="G82" i="41"/>
  <c r="G84" i="41"/>
  <c r="G85" i="41"/>
  <c r="G87" i="41"/>
  <c r="G86" i="41"/>
  <c r="G81" i="41"/>
  <c r="G83" i="41"/>
  <c r="D26" i="18"/>
  <c r="E26" i="18"/>
  <c r="G88" i="44" l="1"/>
  <c r="G119" i="44" s="1"/>
  <c r="G121" i="44" s="1"/>
  <c r="G88" i="38"/>
  <c r="G119" i="38" s="1"/>
  <c r="G121" i="38" s="1"/>
  <c r="G88" i="40"/>
  <c r="G119" i="40" s="1"/>
  <c r="G121" i="40" s="1"/>
  <c r="G88" i="39"/>
  <c r="G119" i="39" s="1"/>
  <c r="G121" i="39" s="1"/>
  <c r="G88" i="41"/>
  <c r="G119" i="41" s="1"/>
  <c r="G121" i="41" s="1"/>
  <c r="G88" i="42"/>
  <c r="G119" i="42" s="1"/>
  <c r="G121" i="42" s="1"/>
  <c r="G88" i="43"/>
  <c r="G119" i="43" s="1"/>
  <c r="G121" i="43" s="1"/>
  <c r="G88" i="37"/>
  <c r="G119" i="37" s="1"/>
  <c r="G121" i="37" s="1"/>
  <c r="F205" i="18"/>
  <c r="F221" i="18" s="1"/>
  <c r="G26" i="18"/>
  <c r="G192" i="37" l="1"/>
  <c r="G196" i="37" s="1"/>
  <c r="F10" i="11"/>
  <c r="G10" i="11" s="1"/>
  <c r="G192" i="39"/>
  <c r="G196" i="39" s="1"/>
  <c r="F12" i="11"/>
  <c r="G12" i="11" s="1"/>
  <c r="F16" i="11"/>
  <c r="G16" i="11" s="1"/>
  <c r="G192" i="43"/>
  <c r="G196" i="43" s="1"/>
  <c r="G192" i="40"/>
  <c r="G196" i="40" s="1"/>
  <c r="F13" i="11"/>
  <c r="G13" i="11" s="1"/>
  <c r="F15" i="11"/>
  <c r="G15" i="11" s="1"/>
  <c r="G192" i="42"/>
  <c r="G196" i="42" s="1"/>
  <c r="G192" i="38"/>
  <c r="G196" i="38" s="1"/>
  <c r="F11" i="11"/>
  <c r="G11" i="11" s="1"/>
  <c r="F14" i="11"/>
  <c r="G14" i="11" s="1"/>
  <c r="G192" i="41"/>
  <c r="G196" i="41" s="1"/>
  <c r="G192" i="44"/>
  <c r="G196" i="44" s="1"/>
  <c r="F17" i="11"/>
  <c r="G17" i="11" s="1"/>
  <c r="F48" i="18"/>
  <c r="B22" i="9"/>
  <c r="F40" i="18"/>
  <c r="B205" i="18" s="1"/>
  <c r="B221" i="18" s="1"/>
  <c r="B12" i="10"/>
  <c r="E12" i="13"/>
  <c r="G175" i="44" l="1"/>
  <c r="G176" i="44" s="1"/>
  <c r="G177" i="44" s="1"/>
  <c r="N17" i="11" s="1"/>
  <c r="O17" i="11" s="1"/>
  <c r="G175" i="38"/>
  <c r="G176" i="38" s="1"/>
  <c r="G175" i="40"/>
  <c r="G176" i="40" s="1"/>
  <c r="G175" i="39"/>
  <c r="G176" i="39" s="1"/>
  <c r="G175" i="41"/>
  <c r="G176" i="41" s="1"/>
  <c r="G175" i="42"/>
  <c r="G176" i="42" s="1"/>
  <c r="G175" i="43"/>
  <c r="G176" i="43" s="1"/>
  <c r="G175" i="37"/>
  <c r="G176" i="37" s="1"/>
  <c r="G177" i="37" s="1"/>
  <c r="N10" i="11" s="1"/>
  <c r="O10" i="11" s="1"/>
  <c r="G47" i="18"/>
  <c r="F22" i="18"/>
  <c r="A3" i="21"/>
  <c r="A2" i="21"/>
  <c r="B141" i="18"/>
  <c r="B142" i="18"/>
  <c r="B143" i="18"/>
  <c r="B144" i="18"/>
  <c r="B145" i="18"/>
  <c r="B140" i="18"/>
  <c r="F128" i="18"/>
  <c r="B126" i="18"/>
  <c r="B127" i="18"/>
  <c r="B128" i="18"/>
  <c r="B129" i="18"/>
  <c r="B130" i="18"/>
  <c r="F125" i="18"/>
  <c r="B125" i="18"/>
  <c r="B63" i="18"/>
  <c r="F62" i="18"/>
  <c r="B62" i="18"/>
  <c r="F81" i="18"/>
  <c r="F82" i="18"/>
  <c r="F83" i="18"/>
  <c r="F84" i="18"/>
  <c r="F85" i="18"/>
  <c r="F86" i="18"/>
  <c r="F87" i="18"/>
  <c r="B81" i="18"/>
  <c r="B82" i="18"/>
  <c r="B83" i="18"/>
  <c r="B84" i="18"/>
  <c r="B85" i="18"/>
  <c r="B86" i="18"/>
  <c r="B87" i="18"/>
  <c r="B80" i="18"/>
  <c r="B49" i="15"/>
  <c r="B50" i="15"/>
  <c r="B51" i="15"/>
  <c r="B52" i="15"/>
  <c r="B53" i="15"/>
  <c r="B48" i="15"/>
  <c r="C48" i="15"/>
  <c r="C49" i="15"/>
  <c r="C50" i="15"/>
  <c r="C51" i="15"/>
  <c r="C52" i="15"/>
  <c r="C53" i="15"/>
  <c r="C19" i="15"/>
  <c r="C20" i="15"/>
  <c r="C21" i="15"/>
  <c r="C22" i="15"/>
  <c r="C23" i="15"/>
  <c r="C24" i="15"/>
  <c r="C25" i="15"/>
  <c r="B19" i="15"/>
  <c r="B20" i="15"/>
  <c r="B21" i="15"/>
  <c r="B22" i="15"/>
  <c r="B23" i="15"/>
  <c r="B24" i="15"/>
  <c r="B25" i="15"/>
  <c r="B18" i="15"/>
  <c r="C11" i="15"/>
  <c r="B12" i="15"/>
  <c r="B11" i="15"/>
  <c r="G22" i="9"/>
  <c r="G31" i="9" s="1"/>
  <c r="F130" i="18"/>
  <c r="F127" i="18"/>
  <c r="F18" i="21"/>
  <c r="F17" i="21"/>
  <c r="F16" i="21"/>
  <c r="F15" i="21"/>
  <c r="F19" i="18"/>
  <c r="F12" i="13"/>
  <c r="F176" i="18"/>
  <c r="F175" i="18"/>
  <c r="A2" i="11"/>
  <c r="A3" i="11"/>
  <c r="A2" i="10"/>
  <c r="A3" i="10"/>
  <c r="E12" i="10"/>
  <c r="E21" i="10" s="1"/>
  <c r="A2" i="15"/>
  <c r="A3" i="15"/>
  <c r="A2" i="13"/>
  <c r="A3" i="13"/>
  <c r="F37" i="18"/>
  <c r="B48" i="18"/>
  <c r="B165" i="18"/>
  <c r="A1" i="9"/>
  <c r="A4" i="9"/>
  <c r="B11" i="9"/>
  <c r="F22" i="9"/>
  <c r="F31" i="9" s="1"/>
  <c r="H88" i="8"/>
  <c r="C54" i="15" l="1"/>
  <c r="G177" i="42"/>
  <c r="N15" i="11" s="1"/>
  <c r="O15" i="11" s="1"/>
  <c r="G177" i="39"/>
  <c r="N12" i="11" s="1"/>
  <c r="O12" i="11" s="1"/>
  <c r="G177" i="38"/>
  <c r="N11" i="11" s="1"/>
  <c r="O11" i="11" s="1"/>
  <c r="G177" i="43"/>
  <c r="N16" i="11" s="1"/>
  <c r="O16" i="11" s="1"/>
  <c r="G177" i="41"/>
  <c r="N14" i="11" s="1"/>
  <c r="O14" i="11" s="1"/>
  <c r="G177" i="40"/>
  <c r="N13" i="11" s="1"/>
  <c r="O13" i="11" s="1"/>
  <c r="G180" i="37"/>
  <c r="G184" i="38"/>
  <c r="G179" i="41"/>
  <c r="G184" i="37"/>
  <c r="G180" i="44"/>
  <c r="G179" i="37"/>
  <c r="G184" i="41"/>
  <c r="G180" i="41"/>
  <c r="G180" i="38"/>
  <c r="G179" i="38"/>
  <c r="G184" i="40"/>
  <c r="G179" i="40"/>
  <c r="G180" i="39"/>
  <c r="G179" i="44"/>
  <c r="G179" i="43"/>
  <c r="G184" i="39"/>
  <c r="G184" i="43"/>
  <c r="G184" i="42"/>
  <c r="G180" i="40"/>
  <c r="G179" i="39"/>
  <c r="G180" i="42"/>
  <c r="G184" i="44"/>
  <c r="G179" i="42"/>
  <c r="G180" i="43"/>
  <c r="G97" i="18"/>
  <c r="G111" i="18" s="1"/>
  <c r="F185" i="18"/>
  <c r="F64" i="18"/>
  <c r="F126" i="18"/>
  <c r="H15" i="21"/>
  <c r="H17" i="21"/>
  <c r="I17" i="21" s="1"/>
  <c r="H18" i="21"/>
  <c r="I18" i="21" s="1"/>
  <c r="G12" i="13"/>
  <c r="H16" i="21"/>
  <c r="I16" i="21" s="1"/>
  <c r="D17" i="13"/>
  <c r="F17" i="13" s="1"/>
  <c r="F12" i="10"/>
  <c r="F21" i="10" s="1"/>
  <c r="G185" i="40" l="1"/>
  <c r="G197" i="40" s="1"/>
  <c r="G198" i="40" s="1"/>
  <c r="G185" i="39"/>
  <c r="G197" i="39" s="1"/>
  <c r="G198" i="39" s="1"/>
  <c r="G185" i="38"/>
  <c r="G197" i="38" s="1"/>
  <c r="G198" i="38" s="1"/>
  <c r="G185" i="42"/>
  <c r="G197" i="42" s="1"/>
  <c r="G198" i="42" s="1"/>
  <c r="G200" i="42" s="1"/>
  <c r="D18" i="10" s="1"/>
  <c r="G185" i="43"/>
  <c r="G197" i="43" s="1"/>
  <c r="G198" i="43" s="1"/>
  <c r="G200" i="43" s="1"/>
  <c r="D19" i="10" s="1"/>
  <c r="G185" i="41"/>
  <c r="G197" i="41" s="1"/>
  <c r="G198" i="41" s="1"/>
  <c r="G200" i="41" s="1"/>
  <c r="D17" i="10" s="1"/>
  <c r="G185" i="44"/>
  <c r="G197" i="44" s="1"/>
  <c r="G198" i="44" s="1"/>
  <c r="G200" i="44" s="1"/>
  <c r="D20" i="10" s="1"/>
  <c r="G185" i="37"/>
  <c r="G197" i="37" s="1"/>
  <c r="G198" i="37" s="1"/>
  <c r="G200" i="37" s="1"/>
  <c r="D13" i="10" s="1"/>
  <c r="E17" i="13"/>
  <c r="G17" i="13" s="1"/>
  <c r="E24" i="13"/>
  <c r="G24" i="13" s="1"/>
  <c r="E18" i="13"/>
  <c r="G18" i="13" s="1"/>
  <c r="E20" i="13"/>
  <c r="G20" i="13" s="1"/>
  <c r="E21" i="13"/>
  <c r="G21" i="13" s="1"/>
  <c r="G23" i="13"/>
  <c r="E19" i="13"/>
  <c r="G19" i="13" s="1"/>
  <c r="E22" i="13"/>
  <c r="G22" i="13" s="1"/>
  <c r="E25" i="13"/>
  <c r="G25" i="13" s="1"/>
  <c r="G120" i="18"/>
  <c r="G53" i="18"/>
  <c r="I15" i="21"/>
  <c r="I19" i="21" s="1"/>
  <c r="H19" i="21"/>
  <c r="G200" i="38" l="1"/>
  <c r="D14" i="10" s="1"/>
  <c r="G14" i="10" s="1"/>
  <c r="H14" i="10" s="1"/>
  <c r="G211" i="39"/>
  <c r="G200" i="39"/>
  <c r="D15" i="10" s="1"/>
  <c r="G15" i="10" s="1"/>
  <c r="H15" i="10" s="1"/>
  <c r="G211" i="40"/>
  <c r="G200" i="40"/>
  <c r="D16" i="10" s="1"/>
  <c r="E26" i="9" s="1"/>
  <c r="H26" i="9" s="1"/>
  <c r="J26" i="9" s="1"/>
  <c r="U62" i="8" s="1"/>
  <c r="C9" i="11"/>
  <c r="G131" i="18"/>
  <c r="G211" i="38"/>
  <c r="C205" i="40"/>
  <c r="E205" i="40" s="1"/>
  <c r="E221" i="40" s="1"/>
  <c r="G221" i="40" s="1"/>
  <c r="G222" i="40" s="1"/>
  <c r="C205" i="39"/>
  <c r="E205" i="39" s="1"/>
  <c r="G205" i="39" s="1"/>
  <c r="C205" i="38"/>
  <c r="E205" i="38" s="1"/>
  <c r="E221" i="38" s="1"/>
  <c r="G221" i="38" s="1"/>
  <c r="G222" i="38" s="1"/>
  <c r="C205" i="42"/>
  <c r="E205" i="42" s="1"/>
  <c r="G211" i="42"/>
  <c r="G211" i="37"/>
  <c r="C205" i="37"/>
  <c r="E205" i="37" s="1"/>
  <c r="G211" i="44"/>
  <c r="C205" i="44"/>
  <c r="E205" i="44" s="1"/>
  <c r="G211" i="41"/>
  <c r="C205" i="41"/>
  <c r="E205" i="41" s="1"/>
  <c r="C205" i="43"/>
  <c r="E205" i="43" s="1"/>
  <c r="G211" i="43"/>
  <c r="G141" i="18"/>
  <c r="G145" i="18"/>
  <c r="G144" i="18"/>
  <c r="G142" i="18"/>
  <c r="G143" i="18"/>
  <c r="E9" i="11"/>
  <c r="E18" i="11" s="1"/>
  <c r="G74" i="18"/>
  <c r="G125" i="18"/>
  <c r="G130" i="18"/>
  <c r="G62" i="18"/>
  <c r="G128" i="18"/>
  <c r="G127" i="18"/>
  <c r="G126" i="18"/>
  <c r="G170" i="18"/>
  <c r="L9" i="11" s="1"/>
  <c r="G191" i="18"/>
  <c r="E24" i="9" l="1"/>
  <c r="H24" i="9" s="1"/>
  <c r="J24" i="9" s="1"/>
  <c r="U60" i="8" s="1"/>
  <c r="S60" i="8" s="1"/>
  <c r="G205" i="38"/>
  <c r="G206" i="38" s="1"/>
  <c r="G16" i="10"/>
  <c r="H16" i="10" s="1"/>
  <c r="E221" i="39"/>
  <c r="G221" i="39" s="1"/>
  <c r="G222" i="39" s="1"/>
  <c r="E25" i="9"/>
  <c r="H25" i="9" s="1"/>
  <c r="J25" i="9" s="1"/>
  <c r="U61" i="8" s="1"/>
  <c r="S61" i="8" s="1"/>
  <c r="G205" i="40"/>
  <c r="G206" i="40" s="1"/>
  <c r="S62" i="8"/>
  <c r="T32" i="8"/>
  <c r="U32" i="8" s="1"/>
  <c r="G205" i="44"/>
  <c r="E221" i="44"/>
  <c r="G221" i="44" s="1"/>
  <c r="G222" i="44" s="1"/>
  <c r="E221" i="37"/>
  <c r="G221" i="37" s="1"/>
  <c r="G222" i="37" s="1"/>
  <c r="G205" i="37"/>
  <c r="G18" i="10"/>
  <c r="H18" i="10" s="1"/>
  <c r="E28" i="9"/>
  <c r="H28" i="9" s="1"/>
  <c r="G206" i="39"/>
  <c r="G212" i="39"/>
  <c r="G213" i="39" s="1"/>
  <c r="E27" i="9"/>
  <c r="H27" i="9" s="1"/>
  <c r="J27" i="9" s="1"/>
  <c r="U63" i="8" s="1"/>
  <c r="G17" i="10"/>
  <c r="H17" i="10" s="1"/>
  <c r="G205" i="41"/>
  <c r="E221" i="41"/>
  <c r="G221" i="41" s="1"/>
  <c r="G222" i="41" s="1"/>
  <c r="E23" i="9"/>
  <c r="H23" i="9" s="1"/>
  <c r="J23" i="9" s="1"/>
  <c r="U59" i="8" s="1"/>
  <c r="G13" i="10"/>
  <c r="H13" i="10" s="1"/>
  <c r="G205" i="43"/>
  <c r="E221" i="43"/>
  <c r="G221" i="43" s="1"/>
  <c r="G222" i="43" s="1"/>
  <c r="G19" i="10"/>
  <c r="H19" i="10" s="1"/>
  <c r="E29" i="9"/>
  <c r="H29" i="9" s="1"/>
  <c r="J29" i="9" s="1"/>
  <c r="U65" i="8" s="1"/>
  <c r="E30" i="9"/>
  <c r="H30" i="9" s="1"/>
  <c r="J30" i="9" s="1"/>
  <c r="U66" i="8" s="1"/>
  <c r="G20" i="10"/>
  <c r="H20" i="10" s="1"/>
  <c r="E221" i="42"/>
  <c r="G221" i="42" s="1"/>
  <c r="G222" i="42" s="1"/>
  <c r="G205" i="42"/>
  <c r="G195" i="18"/>
  <c r="T30" i="8" l="1"/>
  <c r="U30" i="8" s="1"/>
  <c r="J28" i="9"/>
  <c r="G212" i="38"/>
  <c r="G213" i="38" s="1"/>
  <c r="T31" i="8"/>
  <c r="U31" i="8" s="1"/>
  <c r="G212" i="40"/>
  <c r="G213" i="40" s="1"/>
  <c r="S65" i="8"/>
  <c r="T43" i="8"/>
  <c r="U43" i="8" s="1"/>
  <c r="K67" i="35" s="1"/>
  <c r="S66" i="8"/>
  <c r="T44" i="8"/>
  <c r="U44" i="8" s="1"/>
  <c r="K47" i="35" s="1"/>
  <c r="S59" i="8"/>
  <c r="T29" i="8"/>
  <c r="U29" i="8" s="1"/>
  <c r="K57" i="35" s="1"/>
  <c r="S63" i="8"/>
  <c r="T36" i="8"/>
  <c r="U36" i="8" s="1"/>
  <c r="G206" i="43"/>
  <c r="G212" i="43"/>
  <c r="G213" i="43" s="1"/>
  <c r="G212" i="44"/>
  <c r="G213" i="44" s="1"/>
  <c r="G206" i="44"/>
  <c r="G212" i="37"/>
  <c r="G213" i="37" s="1"/>
  <c r="G206" i="37"/>
  <c r="G206" i="42"/>
  <c r="G212" i="42"/>
  <c r="G213" i="42" s="1"/>
  <c r="G212" i="41"/>
  <c r="G213" i="41" s="1"/>
  <c r="G206" i="41"/>
  <c r="C18" i="15"/>
  <c r="C26" i="15" s="1"/>
  <c r="F80" i="18"/>
  <c r="F88" i="18" s="1"/>
  <c r="U64" i="8" l="1"/>
  <c r="C12" i="15"/>
  <c r="C13" i="15" s="1"/>
  <c r="T42" i="8" l="1"/>
  <c r="U42" i="8" s="1"/>
  <c r="K34" i="35" s="1"/>
  <c r="S64" i="8"/>
  <c r="F129" i="18"/>
  <c r="F132" i="18" s="1"/>
  <c r="C57" i="15"/>
  <c r="G63" i="18"/>
  <c r="G129" i="18" l="1"/>
  <c r="G132" i="18" s="1"/>
  <c r="G64" i="18"/>
  <c r="G75" i="18" l="1"/>
  <c r="G76" i="18" s="1"/>
  <c r="H9" i="11"/>
  <c r="G118" i="18"/>
  <c r="G193" i="18" l="1"/>
  <c r="G86" i="18" l="1"/>
  <c r="I9" i="11" l="1"/>
  <c r="I18" i="11" s="1"/>
  <c r="G82" i="18"/>
  <c r="G80" i="18"/>
  <c r="G81" i="18"/>
  <c r="G87" i="18"/>
  <c r="G83" i="18"/>
  <c r="G85" i="18"/>
  <c r="G84" i="18"/>
  <c r="G88" i="18" l="1"/>
  <c r="G119" i="18" s="1"/>
  <c r="G121" i="18" s="1"/>
  <c r="F9" i="11" s="1"/>
  <c r="G153" i="18" l="1"/>
  <c r="G160" i="18" s="1"/>
  <c r="G192" i="18"/>
  <c r="G9" i="11"/>
  <c r="G18" i="11" s="1"/>
  <c r="M9" i="11" l="1"/>
  <c r="M18" i="11" s="1"/>
  <c r="F146" i="18" l="1"/>
  <c r="G140" i="18"/>
  <c r="G146" i="18" s="1"/>
  <c r="G159" i="18" s="1"/>
  <c r="G161" i="18" s="1"/>
  <c r="J9" i="11" s="1"/>
  <c r="K9" i="11" l="1"/>
  <c r="K18" i="11" s="1"/>
  <c r="G194" i="18"/>
  <c r="G196" i="18" s="1"/>
  <c r="G175" i="18" l="1"/>
  <c r="G176" i="18" l="1"/>
  <c r="G179" i="18" s="1"/>
  <c r="G177" i="18" l="1"/>
  <c r="G180" i="18"/>
  <c r="G184" i="18"/>
  <c r="N9" i="11" l="1"/>
  <c r="O9" i="11" s="1"/>
  <c r="G185" i="18"/>
  <c r="G197" i="18" s="1"/>
  <c r="G198" i="18" s="1"/>
  <c r="G200" i="18" s="1"/>
  <c r="D12" i="10" l="1"/>
  <c r="O18" i="11"/>
  <c r="D22" i="11" s="1"/>
  <c r="D23" i="11" s="1"/>
  <c r="G211" i="18"/>
  <c r="C205" i="18"/>
  <c r="E205" i="18" s="1"/>
  <c r="G12" i="10" l="1"/>
  <c r="G21" i="10" s="1"/>
  <c r="E22" i="9"/>
  <c r="H22" i="9" s="1"/>
  <c r="H31" i="9" s="1"/>
  <c r="E221" i="18"/>
  <c r="G221" i="18" s="1"/>
  <c r="G222" i="18" s="1"/>
  <c r="G205" i="18"/>
  <c r="G206" i="18" l="1"/>
  <c r="G212" i="18"/>
  <c r="G213" i="18" s="1"/>
  <c r="J22" i="9"/>
  <c r="J31" i="9" s="1"/>
  <c r="H12" i="10"/>
  <c r="H21" i="10" s="1"/>
  <c r="D21" i="11"/>
  <c r="A33" i="9"/>
  <c r="T78" i="8" l="1"/>
  <c r="U58" i="8"/>
  <c r="D20" i="11"/>
  <c r="D24" i="11"/>
  <c r="U67" i="8" l="1"/>
  <c r="V74" i="8" s="1"/>
  <c r="T28" i="8"/>
  <c r="S58" i="8"/>
  <c r="U79" i="8"/>
  <c r="T77" i="8"/>
  <c r="A34" i="9"/>
  <c r="U28" i="8" l="1"/>
  <c r="T45" i="8"/>
  <c r="U45" i="8" l="1"/>
  <c r="K10" i="35"/>
</calcChain>
</file>

<file path=xl/comments1.xml><?xml version="1.0" encoding="utf-8"?>
<comments xmlns="http://purl.oclc.org/ooxml/spreadsheetml/main" xmlns:xdr="http://purl.oclc.org/ooxml/drawingml/spreadsheetDrawing" xmlns:v="urn:schemas-microsoft-com:vml">
  <authors>
    <author>Regislane Duarte | BRASFORT</author>
  </authors>
  <commentList>
    <comment ref="H9" authorId="0" shapeId="4098">
      <text>
        <r>
          <rPr>
            <sz val="9"/>
            <color indexed="81"/>
            <rFont val="Segoe UI"/>
            <family val="2"/>
          </rPr>
          <t xml:space="preserve">Parágrafo Quarto – Em cumprimento à legislação que regulamenta o benefício do PAT, aos trabalhadores associados ao STIG/DF, fica estabelecido que as empresas procederão ao desconto no valor facial do vale alimentação, limitado ao valor de até R$ 0,30 (trinta centavos),  que deverá ser multiplicado pelo número total de vales alimentação fornecidos ao profissional, descontado no contracheque. 
</t>
        </r>
        <r>
          <rPr>
            <b/>
            <sz val="9"/>
            <color indexed="81"/>
            <rFont val="Segoe UI"/>
            <family val="2"/>
          </rPr>
          <t xml:space="preserve">Parágrafo Quinto </t>
        </r>
        <r>
          <rPr>
            <sz val="9"/>
            <color indexed="81"/>
            <rFont val="Segoe UI"/>
            <family val="2"/>
          </rPr>
          <t xml:space="preserve">- Em cumprimento à legislação que regulamenta o benefício do PAT, fica estabelecido que as empresas procederão ao desconto no valor facial do vale alimentação, </t>
        </r>
        <r>
          <rPr>
            <b/>
            <u/>
            <sz val="9"/>
            <color indexed="81"/>
            <rFont val="Segoe UI"/>
            <family val="2"/>
          </rPr>
          <t>limitado ao valor de até R$ 0,70 (setenta centavos), aos profissionais não associados ao  STIG/DF</t>
        </r>
        <r>
          <rPr>
            <sz val="9"/>
            <color indexed="81"/>
            <rFont val="Segoe UI"/>
            <family val="2"/>
          </rPr>
          <t>, que deverá ser multiplicado pelo número total de vales alimentação fornecidos ao profissional, descontado no contracheque.</t>
        </r>
      </text>
      <mc:AlternateContent xmlns:mc="http://schemas.openxmlformats.org/markup-compatibility/2006">
        <mc:Choice Requires="v"/>
        <mc:Fallback>
          <commentPr defaultSize="0" autoFill="0" autoLine="0">
            <anchor>
              <from>
                <xdr:col>8</xdr:col>
                <xdr:colOff>142875</xdr:colOff>
                <xdr:row>7</xdr:row>
                <xdr:rowOff>57150</xdr:rowOff>
              </from>
              <to>
                <xdr:col>10</xdr:col>
                <xdr:colOff>571500</xdr:colOff>
                <xdr:row>19</xdr:row>
                <xdr:rowOff>123825</xdr:rowOff>
              </to>
            </anchor>
          </commentPr>
        </mc:Fallback>
      </mc:AlternateContent>
    </comment>
    <comment ref="C10" authorId="0" shapeId="4097">
      <text>
        <r>
          <rPr>
            <b/>
            <sz val="9"/>
            <color indexed="81"/>
            <rFont val="Tahoma"/>
            <family val="2"/>
          </rPr>
          <t>CCT 2021/2021:</t>
        </r>
        <r>
          <rPr>
            <sz val="9"/>
            <color indexed="81"/>
            <rFont val="Tahoma"/>
            <family val="2"/>
          </rPr>
          <t xml:space="preserve">
- Limitado ao valor de até R$ 0,70 (setenta centavos), aos trabalhadores </t>
        </r>
        <r>
          <rPr>
            <b/>
            <u/>
            <sz val="9"/>
            <color indexed="81"/>
            <rFont val="Tahoma"/>
            <family val="2"/>
          </rPr>
          <t>não associados ao SISDF</t>
        </r>
        <r>
          <rPr>
            <sz val="9"/>
            <color indexed="81"/>
            <rFont val="Tahoma"/>
            <family val="2"/>
          </rPr>
          <t>.
- Limitado ao valor de até R$ 0,30 (trinta centavos), aos trabalhadores associados ao SISDF</t>
        </r>
      </text>
      <mc:AlternateContent xmlns:mc="http://schemas.openxmlformats.org/markup-compatibility/2006">
        <mc:Choice Requires="v"/>
        <mc:Fallback>
          <commentPr defaultSize="0" autoFill="0" autoLine="0">
            <anchor>
              <from>
                <xdr:col>2</xdr:col>
                <xdr:colOff>180975</xdr:colOff>
                <xdr:row>1</xdr:row>
                <xdr:rowOff>57150</xdr:rowOff>
              </from>
              <to>
                <xdr:col>3</xdr:col>
                <xdr:colOff>1504950</xdr:colOff>
                <xdr:row>6</xdr:row>
                <xdr:rowOff>9525</xdr:rowOff>
              </to>
            </anchor>
          </commentPr>
        </mc:Fallback>
      </mc:AlternateContent>
    </comment>
    <comment ref="G13" authorId="0" shapeId="4100">
      <text>
        <r>
          <rPr>
            <b/>
            <sz val="9"/>
            <color indexed="81"/>
            <rFont val="Segoe UI"/>
            <family val="2"/>
          </rPr>
          <t>DF000198/2021 - CLÁUSULA DÉCIMA QUINTA - PLANO AMBULATORIAL:</t>
        </r>
        <r>
          <rPr>
            <sz val="9"/>
            <color indexed="81"/>
            <rFont val="Segoe UI"/>
            <family val="2"/>
          </rPr>
          <t xml:space="preserve">
Parágrafo Quarto – A partir da assinatura e registro desta Convenção Coletiva de Trabalho no Sistema Mediador do Ministério do Trabalho e Emprego, as empresas representadas pelo SEAC/DF ficam obrigadas a incluir nas suas planilhas de custos e formação de preços, como também nas propostas, o valor destinado ao plano de saúde ambulatorial, nas próximas licitações e contratações públicas, como também nas contratações privadas.</t>
        </r>
      </text>
      <mc:AlternateContent xmlns:mc="http://schemas.openxmlformats.org/markup-compatibility/2006">
        <mc:Choice Requires="v"/>
        <mc:Fallback>
          <commentPr defaultSize="0" autoFill="0" autoLine="0">
            <anchor>
              <from>
                <xdr:col>7</xdr:col>
                <xdr:colOff>142875</xdr:colOff>
                <xdr:row>11</xdr:row>
                <xdr:rowOff>66675</xdr:rowOff>
              </from>
              <to>
                <xdr:col>9</xdr:col>
                <xdr:colOff>1495425</xdr:colOff>
                <xdr:row>17</xdr:row>
                <xdr:rowOff>66675</xdr:rowOff>
              </to>
            </anchor>
          </commentPr>
        </mc:Fallback>
      </mc:AlternateContent>
    </comment>
    <comment ref="H13" authorId="0" shapeId="4099">
      <text>
        <r>
          <rPr>
            <b/>
            <sz val="9"/>
            <color indexed="81"/>
            <rFont val="Segoe UI"/>
            <family val="2"/>
          </rPr>
          <t>DF000234/2021 - CLÁUSULA DÉCIMA QUINTA - PLANO AMBULATORIAL:</t>
        </r>
        <r>
          <rPr>
            <sz val="9"/>
            <color indexed="81"/>
            <rFont val="Segoe UI"/>
            <family val="2"/>
          </rPr>
          <t xml:space="preserve">
Parágrafo Quarto – A partir da assinatura e registro desta Convenção Coletiva de Trabalho no Sistema Mediador do Ministério do Trabalho e Emprego, as empresas representadas pelo SEAC/DF ficam obrigadas a incluir nas suas planilhas de custos e formação de preços, como também nas propostas, o valor destinado ao plano ambulatorial, nas próximas licitações e contratações públicas, como também nas contratações privadas.</t>
        </r>
      </text>
      <mc:AlternateContent xmlns:mc="http://schemas.openxmlformats.org/markup-compatibility/2006">
        <mc:Choice Requires="v"/>
        <mc:Fallback>
          <commentPr defaultSize="0" autoFill="0" autoLine="0">
            <anchor>
              <from>
                <xdr:col>8</xdr:col>
                <xdr:colOff>142875</xdr:colOff>
                <xdr:row>11</xdr:row>
                <xdr:rowOff>57150</xdr:rowOff>
              </from>
              <to>
                <xdr:col>11</xdr:col>
                <xdr:colOff>323850</xdr:colOff>
                <xdr:row>18</xdr:row>
                <xdr:rowOff>247650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authors>
    <author>Administrador</author>
  </authors>
  <commentList>
    <comment ref="J45" authorId="0" shapeId="10242">
      <text>
        <r>
          <rPr>
            <b/>
            <sz val="9"/>
            <color indexed="81"/>
            <rFont val="Segoe UI"/>
            <family val="2"/>
          </rPr>
          <t>Administrador:</t>
        </r>
        <r>
          <rPr>
            <sz val="9"/>
            <color indexed="81"/>
            <rFont val="Segoe UI"/>
            <family val="2"/>
          </rPr>
          <t xml:space="preserve">
No estimado foi considerado R$18,60.</t>
        </r>
      </text>
      <mc:AlternateContent xmlns:mc="http://schemas.openxmlformats.org/markup-compatibility/2006">
        <mc:Choice Requires="v"/>
        <mc:Fallback>
          <commentPr defaultSize="0" autoFill="0" autoLine="0">
            <anchor>
              <from>
                <xdr:col>10</xdr:col>
                <xdr:colOff>142875</xdr:colOff>
                <xdr:row>42</xdr:row>
                <xdr:rowOff>85725</xdr:rowOff>
              </from>
              <to>
                <xdr:col>11</xdr:col>
                <xdr:colOff>1114425</xdr:colOff>
                <xdr:row>44</xdr:row>
                <xdr:rowOff>114300</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authors>
    <author>Administrador</author>
  </authors>
  <commentList>
    <comment ref="A22" authorId="0" shapeId="34817">
      <text>
        <r>
          <rPr>
            <b/>
            <sz val="9"/>
            <color indexed="81"/>
            <rFont val="Segoe UI"/>
            <family val="2"/>
          </rPr>
          <t>Administrador:</t>
        </r>
        <r>
          <rPr>
            <sz val="9"/>
            <color indexed="81"/>
            <rFont val="Segoe UI"/>
            <family val="2"/>
          </rPr>
          <t xml:space="preserve">
</t>
        </r>
      </text>
      <mc:AlternateContent xmlns:mc="http://schemas.openxmlformats.org/markup-compatibility/2006">
        <mc:Choice Requires="v"/>
        <mc:Fallback>
          <commentPr defaultSize="0" autoFill="0" autoLine="0">
            <anchor>
              <from>
                <xdr:col>0</xdr:col>
                <xdr:colOff>3857625</xdr:colOff>
                <xdr:row>22</xdr:row>
                <xdr:rowOff>180975</xdr:rowOff>
              </from>
              <to>
                <xdr:col>1</xdr:col>
                <xdr:colOff>514350</xdr:colOff>
                <xdr:row>24</xdr:row>
                <xdr:rowOff>180975</xdr:rowOff>
              </to>
            </anchor>
          </commentPr>
        </mc:Fallback>
      </mc:AlternateContent>
    </comment>
  </commentList>
</comments>
</file>

<file path=xl/sharedStrings.xml><?xml version="1.0" encoding="utf-8"?>
<sst xmlns="http://purl.oclc.org/ooxml/spreadsheetml/main" count="5165" uniqueCount="1475">
  <si>
    <t xml:space="preserve"> </t>
  </si>
  <si>
    <t>A</t>
  </si>
  <si>
    <t>B</t>
  </si>
  <si>
    <t xml:space="preserve">Município/UF </t>
  </si>
  <si>
    <t>C</t>
  </si>
  <si>
    <t>D</t>
  </si>
  <si>
    <t>E</t>
  </si>
  <si>
    <t>F</t>
  </si>
  <si>
    <t>G</t>
  </si>
  <si>
    <t>H</t>
  </si>
  <si>
    <t>Categoria profissional (vinculada à execução contratual)</t>
  </si>
  <si>
    <t>Data base da categoria (dia/mês/ano)</t>
  </si>
  <si>
    <t>Adicional Noturno</t>
  </si>
  <si>
    <t>%</t>
  </si>
  <si>
    <t>INSS</t>
  </si>
  <si>
    <t>SESI ou SESC</t>
  </si>
  <si>
    <t>SENAI ou SENAC</t>
  </si>
  <si>
    <t>INCRA</t>
  </si>
  <si>
    <t>FGTS</t>
  </si>
  <si>
    <t>SEBRAE</t>
  </si>
  <si>
    <t>Lucro</t>
  </si>
  <si>
    <t>PIS</t>
  </si>
  <si>
    <t>COFINS</t>
  </si>
  <si>
    <t>ISS</t>
  </si>
  <si>
    <t>Tributos</t>
  </si>
  <si>
    <t>Materiais</t>
  </si>
  <si>
    <t>Benefícios Mensais e Diários</t>
  </si>
  <si>
    <t>Custos Indiretos, Tributos e Lucro</t>
  </si>
  <si>
    <t>Custos indiretos</t>
  </si>
  <si>
    <t>Especificar</t>
  </si>
  <si>
    <t>Módulo 1 - Composição da Remuneração</t>
  </si>
  <si>
    <t>Nº PROCESSO:</t>
  </si>
  <si>
    <t>DATA LICITAÇÃO:</t>
  </si>
  <si>
    <t>HORAS:</t>
  </si>
  <si>
    <t>MUNICÍPIO:</t>
  </si>
  <si>
    <t>Brasília - DF</t>
  </si>
  <si>
    <t>TIPO DE SERVIÇO:</t>
  </si>
  <si>
    <t>UNIDADE MEDIDA (UM):</t>
  </si>
  <si>
    <t>QUANT. A CONTRATAR EM FUNÇÃO DA U.M</t>
  </si>
  <si>
    <t>Nº MESES EXEC. CONTR.:</t>
  </si>
  <si>
    <t>Reserva Técnica</t>
  </si>
  <si>
    <t>INSUMOS DA MÃO-DE-OBRA (BENEFÍCIOS MENSAIS E DIÁRIOS)</t>
  </si>
  <si>
    <t>INSUMOS DIVERSOS</t>
  </si>
  <si>
    <t>MENSAL</t>
  </si>
  <si>
    <t>CATEGORIA</t>
  </si>
  <si>
    <t xml:space="preserve">QTDE. POSTOS </t>
  </si>
  <si>
    <t>QTDE. PROF.</t>
  </si>
  <si>
    <t>TOTAL</t>
  </si>
  <si>
    <t>4.1</t>
  </si>
  <si>
    <t>SINDICATOS UTILIZADOS NA ELABORAÇÃO DA PROPOSTA</t>
  </si>
  <si>
    <t>SINDICATO</t>
  </si>
  <si>
    <t>VIGÊNCIA ATUAL</t>
  </si>
  <si>
    <t>DATA-BASE</t>
  </si>
  <si>
    <t>4.2</t>
  </si>
  <si>
    <t>SUBTOTAL</t>
  </si>
  <si>
    <t>PROVISÕES PARA RESCISÃO</t>
  </si>
  <si>
    <t>Aviso Prévio Indenizado </t>
  </si>
  <si>
    <t>Outros (especificar)</t>
  </si>
  <si>
    <t>TOTAL GERAL</t>
  </si>
  <si>
    <t>TOTAIS</t>
  </si>
  <si>
    <t>---</t>
  </si>
  <si>
    <t>Declarações:</t>
  </si>
  <si>
    <t>Regime de tributação:</t>
  </si>
  <si>
    <t>Condições de pagamento:</t>
  </si>
  <si>
    <t>Sindicatos:</t>
  </si>
  <si>
    <t>Dados da empresa:</t>
  </si>
  <si>
    <t>Representante legal:</t>
  </si>
  <si>
    <t>C.I nº: 257.787/SSP-DF</t>
  </si>
  <si>
    <t>Responsével Técnico</t>
  </si>
  <si>
    <t>Glenda Frota de Negreiros dos Reis</t>
  </si>
  <si>
    <t>CRA nº: 10.224/DF</t>
  </si>
  <si>
    <t>Validade da proposta:</t>
  </si>
  <si>
    <t>Item</t>
  </si>
  <si>
    <t>Quantidade de Postos</t>
  </si>
  <si>
    <t>TIPO DE POSTO</t>
  </si>
  <si>
    <t>--</t>
  </si>
  <si>
    <t>VALOR MENSAL DA PROPOSTA:</t>
  </si>
  <si>
    <t>Unidade</t>
  </si>
  <si>
    <t>Quantidade</t>
  </si>
  <si>
    <t>Valor Unitário</t>
  </si>
  <si>
    <t>Valor Total Anual</t>
  </si>
  <si>
    <t xml:space="preserve">Valor Total Mensal </t>
  </si>
  <si>
    <t>Inicial</t>
  </si>
  <si>
    <t>6º mês</t>
  </si>
  <si>
    <t>Soma Anual</t>
  </si>
  <si>
    <t>Par</t>
  </si>
  <si>
    <t>Quantidade de Profissionais</t>
  </si>
  <si>
    <t>LICITAÇÃO Nº:</t>
  </si>
  <si>
    <t>Dados complementares para composição dos custos referente á mão de obra</t>
  </si>
  <si>
    <t>Tipo de serviço (mesmo serviço com características distintas)</t>
  </si>
  <si>
    <t>Salário Normativo da Categoria Profissional</t>
  </si>
  <si>
    <t>Composição da Remuneração</t>
  </si>
  <si>
    <t>Transporte</t>
  </si>
  <si>
    <t>Insumos Diversos</t>
  </si>
  <si>
    <t>Memória de Cálculo</t>
  </si>
  <si>
    <t>Fundamento</t>
  </si>
  <si>
    <t>----</t>
  </si>
  <si>
    <t>Depreciação e manutenção dos equipamentos</t>
  </si>
  <si>
    <t xml:space="preserve">Equipamentos </t>
  </si>
  <si>
    <t>Provisão para Rescisão</t>
  </si>
  <si>
    <t>Descrição</t>
  </si>
  <si>
    <t>Declaramos que nos preços propostos estão incluídos todos os custos e despesas, taxas e impostos, ônus trabalhistas e sociais, auxílio alimentação, vale transporte, uniforme, seguro de vida em grupo, frete, todos os materiais, equipamentos e demais despesas de qualquer natureza que possam incidir, direta ou indiretamente, sobre o objeto a ser contratado.</t>
  </si>
  <si>
    <t>Mão de obra vinculada à execução contratual</t>
  </si>
  <si>
    <t>C.1 - Tributos Federais</t>
  </si>
  <si>
    <t>C.2 - Tributos Estaduais</t>
  </si>
  <si>
    <t>C.3 - Tributos Municipais</t>
  </si>
  <si>
    <t>Uniformes</t>
  </si>
  <si>
    <t>Valor Unitário               [b]</t>
  </si>
  <si>
    <t>Custo do Transporte                [d] = [c x a]</t>
  </si>
  <si>
    <t>DEDUÇÃO LEGAL DO VALE TRANSPORTE - LEI Nº 7418-85</t>
  </si>
  <si>
    <t>Categoria</t>
  </si>
  <si>
    <t>Valor Unitário                 [b]</t>
  </si>
  <si>
    <t>Custo do Alimentação                      [c] = [a] x [b]</t>
  </si>
  <si>
    <t>Plano de Saúde</t>
  </si>
  <si>
    <t>Valor Diário                      (ida e volta)                    [c] = [b x 2]</t>
  </si>
  <si>
    <t>Unidade de Medida</t>
  </si>
  <si>
    <t>Licitação nº:</t>
  </si>
  <si>
    <t>Nº do Processo:</t>
  </si>
  <si>
    <t>Ano do acordo coletivo, convenção coletiva ou sentença normativa em dissídio coletivo</t>
  </si>
  <si>
    <t>Data da apresentação da proposta (dia/mês/ano)</t>
  </si>
  <si>
    <t>Nº de meses de execução contratual</t>
  </si>
  <si>
    <t>Valor (R$)</t>
  </si>
  <si>
    <t>Par de meias</t>
  </si>
  <si>
    <t>À</t>
  </si>
  <si>
    <t>Salário Base                                [e]</t>
  </si>
  <si>
    <t>O pagamento deverá ser efetuado conforme estabelecido no Edital.</t>
  </si>
  <si>
    <t>UNIFORMES E EQUIPAMENTOS</t>
  </si>
  <si>
    <t>I - UNIFORMES/EPI's</t>
  </si>
  <si>
    <t xml:space="preserve">   </t>
  </si>
  <si>
    <t>Sapato tipo coturno</t>
  </si>
  <si>
    <t>Incidência do FGTS sobre aviso prévio indenizado</t>
  </si>
  <si>
    <t xml:space="preserve">ESTIMATIVA - EDITAL </t>
  </si>
  <si>
    <t>PROPOSTA COMERCIAL</t>
  </si>
  <si>
    <t>Quantidade de dias                              [a]</t>
  </si>
  <si>
    <t xml:space="preserve">Calça </t>
  </si>
  <si>
    <t>Camisa</t>
  </si>
  <si>
    <t>Especificações (Por Profissional)</t>
  </si>
  <si>
    <t>(a)</t>
  </si>
  <si>
    <t>(b)</t>
  </si>
  <si>
    <t>(c ) = (a) x (b)</t>
  </si>
  <si>
    <t>CCT UTILIZADA PARA ELABORAÇÃO DA PROPOSTA</t>
  </si>
  <si>
    <t>Valores do VT</t>
  </si>
  <si>
    <t>% PROP.</t>
  </si>
  <si>
    <t>ITEM</t>
  </si>
  <si>
    <t>RESUMO DOS SERVIÇOS</t>
  </si>
  <si>
    <t>(d) = (c ) x 12</t>
  </si>
  <si>
    <t>ANUAL</t>
  </si>
  <si>
    <t>Vale Transporte</t>
  </si>
  <si>
    <t>FUNÇÃO</t>
  </si>
  <si>
    <t>Feriados Trabalhados</t>
  </si>
  <si>
    <t>Vale Transporte 1</t>
  </si>
  <si>
    <t xml:space="preserve">Auxílio Alimentação </t>
  </si>
  <si>
    <t>Vale Transporte 2</t>
  </si>
  <si>
    <t>Vale Transporte 3</t>
  </si>
  <si>
    <t>Cidade Satélite</t>
  </si>
  <si>
    <t>Entorno (média)</t>
  </si>
  <si>
    <t>2º Transporte - PP</t>
  </si>
  <si>
    <t>Contribuição Assistencial Patronal</t>
  </si>
  <si>
    <t>ALÍQUOTAS DOS TRIBUTOS</t>
  </si>
  <si>
    <t>Mão-de-obra</t>
  </si>
  <si>
    <t>I</t>
  </si>
  <si>
    <t>Adicional de Insalubridade 1</t>
  </si>
  <si>
    <t xml:space="preserve">Adicional de Periculosidade </t>
  </si>
  <si>
    <t>SAL.NORMAT.</t>
  </si>
  <si>
    <t>SAL.MÍNIMO</t>
  </si>
  <si>
    <t xml:space="preserve">Treinamento/capacitação/reciclagem </t>
  </si>
  <si>
    <t>Nº REG. M.T.E</t>
  </si>
  <si>
    <t>Tipo de Serviço</t>
  </si>
  <si>
    <t>(A)</t>
  </si>
  <si>
    <t>(B)</t>
  </si>
  <si>
    <t>(C )</t>
  </si>
  <si>
    <t>(D) = (B x C)</t>
  </si>
  <si>
    <t>(E)</t>
  </si>
  <si>
    <t>(F) = (D x E)</t>
  </si>
  <si>
    <t>Valor proposto por unidade de medida</t>
  </si>
  <si>
    <t>Valor mensal do serviço</t>
  </si>
  <si>
    <t>Postos de Serviços</t>
  </si>
  <si>
    <t>TIPO DE SERVIÇO</t>
  </si>
  <si>
    <t>PROF. P/ POSTO</t>
  </si>
  <si>
    <t>Escala 12x36 horas</t>
  </si>
  <si>
    <t>44 horas semanais - 5x2</t>
  </si>
  <si>
    <t>40 horas semanais - 5x2</t>
  </si>
  <si>
    <t>36 horas semanais - 5x2</t>
  </si>
  <si>
    <t>Tipo de Jornada de Trabalho</t>
  </si>
  <si>
    <t>Jornada de Trabalho Mensal</t>
  </si>
  <si>
    <t xml:space="preserve">Dias Trabalhados </t>
  </si>
  <si>
    <t>30 horas semanais - 5x2</t>
  </si>
  <si>
    <t xml:space="preserve">15 horas semanais </t>
  </si>
  <si>
    <t>180 horas</t>
  </si>
  <si>
    <t>220 horas</t>
  </si>
  <si>
    <t>200 horas</t>
  </si>
  <si>
    <t>150 horas</t>
  </si>
  <si>
    <t>75 horas</t>
  </si>
  <si>
    <t>ISSQN/ISS</t>
  </si>
  <si>
    <t>Jornada de Trabalho</t>
  </si>
  <si>
    <t>Qtde de empregados por Posto</t>
  </si>
  <si>
    <t>Percurso - Residência x Local de Trabalho                                                            (vice e versa)</t>
  </si>
  <si>
    <t>BANCO DE DADOS PARA PROPOSTA</t>
  </si>
  <si>
    <t>PERCENTUAL</t>
  </si>
  <si>
    <t>FUNDAMENTO</t>
  </si>
  <si>
    <t>Seguro Acidente do Trabalho - SAT</t>
  </si>
  <si>
    <t>RAT</t>
  </si>
  <si>
    <t>FAP</t>
  </si>
  <si>
    <t>MEMÓRIA DE CÁLCULO</t>
  </si>
  <si>
    <t>Art. 22, Inciso I, da Lei nº 8.212/91</t>
  </si>
  <si>
    <t>Art. 30, Lei n.º 8.036/90 e Art. 3º, Decreto-Lei 9853/46.</t>
  </si>
  <si>
    <t>Decreto n.º 2.318/86.</t>
  </si>
  <si>
    <t>Art. 1º, Inciso I, Decreto Lei n.º 1.146/70.</t>
  </si>
  <si>
    <t>Salário Educação</t>
  </si>
  <si>
    <t>Art. 15, Lei nº 9.424/96; Art. 2º Decreto n.º 3.142/99, Art. 212 § 5º CF/88.</t>
  </si>
  <si>
    <t>Art. 15, Lei nº 8.036/90 e Art. 7º, Inciso III, CF/88.</t>
  </si>
  <si>
    <t>RAT x FAP</t>
  </si>
  <si>
    <t>Art. 22, Inciso II, alíneas "b" e "c", Lei nº 8.212/91, Decreto nº 6.042/07 e Decreto nº 6.957/09. (Alíquotas do SAT em função do FAP).</t>
  </si>
  <si>
    <t>Art. 8º, Lei n.º 8.029/90.</t>
  </si>
  <si>
    <t xml:space="preserve">13º (décimo terceiro) salário  </t>
  </si>
  <si>
    <t>Art. 7º, Inciso VIII, CF/88, Art. 1º ao 3º, Lei nº 4.090/62, Art. 1º, parágrafo único, Lei nº 7.787/89. Provisionamento da Conta Vinculada.</t>
  </si>
  <si>
    <t>Art. 6º e 201, CF/88, Art. 392, CLT.</t>
  </si>
  <si>
    <t>Art. 477, 487 a 491, CLT, Art 7º, Inciso XXI, CF/88.</t>
  </si>
  <si>
    <t>Aviso Prévio Trabalhado</t>
  </si>
  <si>
    <t>Art. 488, da CLT</t>
  </si>
  <si>
    <t xml:space="preserve">Art. 129 e 130, da CLT e Art. 7º Inciso XVII, CF/88. Provisionamento da Conta Vinculada. </t>
  </si>
  <si>
    <t>Art. 7º, XIX, CF/88 e 10, § 1º, da CLT.</t>
  </si>
  <si>
    <t>Art. 131, Inciso I e Art. 473 Inciso I ao IX da CLT.</t>
  </si>
  <si>
    <t>Art.131 Inciso III e Art. 201 Inciso I da CLT, Lei nº 8.213/91, Decreto nº 3.048/99.</t>
  </si>
  <si>
    <t>CONTA VINCULADA - CV</t>
  </si>
  <si>
    <t>SAT</t>
  </si>
  <si>
    <t>Submódulo 4.1</t>
  </si>
  <si>
    <t>13º (décimo terceiro) salário</t>
  </si>
  <si>
    <t>Férias e 1/3 (um terço) constitucional</t>
  </si>
  <si>
    <t>Multa sobre FGTS e Contribuição Social sobre o Aviso Prévio Indenizado e sobre o Aviso Prévio Trabalhado</t>
  </si>
  <si>
    <t>Subtotal</t>
  </si>
  <si>
    <t>Incidência  dos  submódulo  4.1  sobre  Férias,  1/3  (um terço)  Constitucional  de  Férias  e  13º  (décimo  terceiro) Salário</t>
  </si>
  <si>
    <t>Total</t>
  </si>
  <si>
    <t>-</t>
  </si>
  <si>
    <t>Apuração do Percentual Médio de Recolhimento do PIS</t>
  </si>
  <si>
    <t>MÊS</t>
  </si>
  <si>
    <t>FATURAMENTO</t>
  </si>
  <si>
    <t>CONTRIBUIÇÃO</t>
  </si>
  <si>
    <t>CRÉDITO</t>
  </si>
  <si>
    <t>APURADA</t>
  </si>
  <si>
    <t>DESCONTADO</t>
  </si>
  <si>
    <t>DEVIDA</t>
  </si>
  <si>
    <t>EFETIVO</t>
  </si>
  <si>
    <t>B = A x 1,65%</t>
  </si>
  <si>
    <t>D = B - C</t>
  </si>
  <si>
    <t>E = D / A</t>
  </si>
  <si>
    <t>PERCENTUAL MÉDIO DO PERÍODO</t>
  </si>
  <si>
    <t>Apuração do Percentual Médio de Recolhimento da COFINS</t>
  </si>
  <si>
    <t>B = A x 7,60%</t>
  </si>
  <si>
    <t>x</t>
  </si>
  <si>
    <t>=</t>
  </si>
  <si>
    <t>(</t>
  </si>
  <si>
    <t>)</t>
  </si>
  <si>
    <t>Seguro de Vida e Assistência Funeral</t>
  </si>
  <si>
    <t>Assistência Odontológica</t>
  </si>
  <si>
    <t>Assistência Odontológica - Cláusula 17ª da CCT</t>
  </si>
  <si>
    <t>Auxiliar de Serviços Gerais</t>
  </si>
  <si>
    <t>SINDISERVIÇOS/SEAC-DF</t>
  </si>
  <si>
    <t>Descrição/Fundamento</t>
  </si>
  <si>
    <t>SINDICATOS</t>
  </si>
  <si>
    <t>VIGÊNCIA</t>
  </si>
  <si>
    <t>DATA REGISTRO</t>
  </si>
  <si>
    <t>SIGLA</t>
  </si>
  <si>
    <t>SINDISERVIÇOS</t>
  </si>
  <si>
    <t>Adestrador</t>
  </si>
  <si>
    <t>Cláusula 3ª, caput da CCT</t>
  </si>
  <si>
    <t>Ajudante</t>
  </si>
  <si>
    <t>Ajudante de Caminhão</t>
  </si>
  <si>
    <t>Ajudante de Cozinha</t>
  </si>
  <si>
    <t>Ajudante Geral de Manutenção e Reparos</t>
  </si>
  <si>
    <t>Alinhador/Balanceador de Autos</t>
  </si>
  <si>
    <t>Almoxarife</t>
  </si>
  <si>
    <t>Arquivista</t>
  </si>
  <si>
    <t>Arrumadeira</t>
  </si>
  <si>
    <t>Atendente</t>
  </si>
  <si>
    <t>Auxiliar Administrativo</t>
  </si>
  <si>
    <t>Auxiliar de Encarregado</t>
  </si>
  <si>
    <t>Auxiliar de Jardinagem</t>
  </si>
  <si>
    <t>Bombeiro Hidráulico</t>
  </si>
  <si>
    <t>Borracheiro</t>
  </si>
  <si>
    <t>Cabineiro</t>
  </si>
  <si>
    <t>Camareiro</t>
  </si>
  <si>
    <t>Carpinteiro</t>
  </si>
  <si>
    <t>Carregador de Móveis</t>
  </si>
  <si>
    <t>Carregador/Estiva</t>
  </si>
  <si>
    <t>Chaveiro</t>
  </si>
  <si>
    <t>Chefe de Cozinha</t>
  </si>
  <si>
    <t>Copeira</t>
  </si>
  <si>
    <t>Costureira de livros</t>
  </si>
  <si>
    <t>Coumim</t>
  </si>
  <si>
    <t>Cozinheiro</t>
  </si>
  <si>
    <t>Eletricista</t>
  </si>
  <si>
    <t>Eletricista de Auto</t>
  </si>
  <si>
    <t>Encarregado de Jardinagem</t>
  </si>
  <si>
    <t>Encarregado de Limpeza</t>
  </si>
  <si>
    <t>Encarregado de Turma de Manutenção e Reparos</t>
  </si>
  <si>
    <t>Encarregado Geral</t>
  </si>
  <si>
    <t>Enrolador de Motores</t>
  </si>
  <si>
    <t>Estofador</t>
  </si>
  <si>
    <t>Fiscal Predial</t>
  </si>
  <si>
    <t>Frentista</t>
  </si>
  <si>
    <t>Funileiro</t>
  </si>
  <si>
    <t>Garagista</t>
  </si>
  <si>
    <t>Garçom</t>
  </si>
  <si>
    <t>Jardineiro</t>
  </si>
  <si>
    <t>Jauzeiro</t>
  </si>
  <si>
    <t>Lanterneiro de Auto</t>
  </si>
  <si>
    <t>Lavador de Auto</t>
  </si>
  <si>
    <t>Lavanderia</t>
  </si>
  <si>
    <t>Lustrador de Móveis</t>
  </si>
  <si>
    <t>Maitre</t>
  </si>
  <si>
    <t>Manobrista</t>
  </si>
  <si>
    <t>Marceneiro</t>
  </si>
  <si>
    <t>Mecânico de Auto</t>
  </si>
  <si>
    <t>Mecânico de Veículo Pesado</t>
  </si>
  <si>
    <t>Mestre de Obras</t>
  </si>
  <si>
    <t>Montador de Divisórias</t>
  </si>
  <si>
    <t>Office Boy / Contínuo</t>
  </si>
  <si>
    <t>Operador de Balancim</t>
  </si>
  <si>
    <t>Operador de Bilheteria</t>
  </si>
  <si>
    <t>Operador de Fotocopiadora</t>
  </si>
  <si>
    <t>Operador de Microtrator</t>
  </si>
  <si>
    <t>Operador de Roçadeira Costal</t>
  </si>
  <si>
    <t>Operador de Trator</t>
  </si>
  <si>
    <t>Operador de Trator de Esteira</t>
  </si>
  <si>
    <t>Pedreiro</t>
  </si>
  <si>
    <t>Persianista</t>
  </si>
  <si>
    <t>Pintor</t>
  </si>
  <si>
    <t>Pintor de Auto</t>
  </si>
  <si>
    <t>Piscineiro</t>
  </si>
  <si>
    <t>Recepcionista</t>
  </si>
  <si>
    <t>Salgadeira</t>
  </si>
  <si>
    <t>Serralheiro</t>
  </si>
  <si>
    <t>Servente</t>
  </si>
  <si>
    <t>Supervisor</t>
  </si>
  <si>
    <t>Torneiro Mecânico</t>
  </si>
  <si>
    <t>Tratador de Animais</t>
  </si>
  <si>
    <t>Vaqueiro</t>
  </si>
  <si>
    <t>Vidraceiro</t>
  </si>
  <si>
    <t>Zelador</t>
  </si>
  <si>
    <t xml:space="preserve">MEMÓRIA </t>
  </si>
  <si>
    <t xml:space="preserve">CÁLCULO </t>
  </si>
  <si>
    <t>Rem x % Reserva</t>
  </si>
  <si>
    <t>Valor variável</t>
  </si>
  <si>
    <t>Salário Mín. x %</t>
  </si>
  <si>
    <t>Adicional de Insalubridade 2</t>
  </si>
  <si>
    <t>Sal.Base + Adic. x %</t>
  </si>
  <si>
    <t>Adicional de Intervalo Intrajornada</t>
  </si>
  <si>
    <t>Descanso Semanal Remunerado - DSR</t>
  </si>
  <si>
    <t>Valor da Intrajornada ÷ 25 dias úteis x 05 domingos e feriados</t>
  </si>
  <si>
    <t>Lei nº 7.415/85 // Enunciado das Súmulas 172 e 437 do TST</t>
  </si>
  <si>
    <t>Gratificação 1</t>
  </si>
  <si>
    <t>O Órgão estabelece a Base de Cálculo do Benefício</t>
  </si>
  <si>
    <t>Em caso do Órgão estabelecer no Edital</t>
  </si>
  <si>
    <t>Gratificação 2</t>
  </si>
  <si>
    <t>Gratificação 3</t>
  </si>
  <si>
    <t>Sal.Base + Adic. ÷ 220h x 12 horas x qtd de feriados ao ano ÷ 12 meses ÷ 2 prof.por posto</t>
  </si>
  <si>
    <t>Sal.Base + Adic. ÷ 30 dias x qtd de feriados ao ano ÷ 12 meses ÷ 2 prof.por posto</t>
  </si>
  <si>
    <t>1.1) 1º/janeiro - Confraternização universal (Art. 1º da Lei nº 662/1949) - Feriado Nacional;</t>
  </si>
  <si>
    <t>1.2) Data variável - Segunda-feira de Carnaval (Art. 2º da Lei nº 9.093/1995) - Ponto Facultativo;</t>
  </si>
  <si>
    <t>1.3) Data variável - Terça-feira de Carnaval (Art. 2º da Lei nº 9.093/1995) - Ponto Facultativo;</t>
  </si>
  <si>
    <t>1.4) Data variável - Quarta-feira de Cinzas (Art. 2º da Lei nº 9.093/1995) - Ponto Facultativo até as 14h;</t>
  </si>
  <si>
    <t>1.5) Data variável - Sexta-feira da Paixão (Art. 2º da Lei nº 9.093/1995) - Feriado Nacional;</t>
  </si>
  <si>
    <t>1.6) 21/abril - Tiradentes (Art. 1º da Lei nº 662/1949) e Aniversário de Brasília - Feriado Nacional e Local;</t>
  </si>
  <si>
    <t>1.7) 1º/maio - Dia do trabalho (Art. 1º da Lei nº 662/1949) - Feriado Nacional;</t>
  </si>
  <si>
    <t>Valores do Entorno</t>
  </si>
  <si>
    <t>1.8) Data variável - Corpus Christi (Art. 2º da Lei nº 9.093/1995) - Ponto Facultativo;</t>
  </si>
  <si>
    <t>Águas Lindas</t>
  </si>
  <si>
    <t>1.9) 7/setembro - Independência do Brasil (Art. 1º da Lei nº 662/1949) - Feriado Nacional;</t>
  </si>
  <si>
    <t>Ocidental</t>
  </si>
  <si>
    <t>2.0) 12/outubro - Padroeira do Brasil (Art. 1º da Lei nº 6.802/1980) - Feriado Nacional;</t>
  </si>
  <si>
    <t>Valparaiso</t>
  </si>
  <si>
    <t>2.1) 28/outubro - Dia do Servidor Público (Art. 278 da Lei Complementar nº 840/2011) - Ponto Facultativo;</t>
  </si>
  <si>
    <t>Luziânia</t>
  </si>
  <si>
    <t>2.2) 2/novembro - Finados (Art. 1º da Lei nº 662/1949) - Feriado Nacional;</t>
  </si>
  <si>
    <t>Planaltina-GO</t>
  </si>
  <si>
    <t>2.3) 15/novembro - Proclamação da República (Art. 1º da Lei nº 662/1949) - Feriado Nacional;</t>
  </si>
  <si>
    <t>Jardim Ingá</t>
  </si>
  <si>
    <t>2.4) 30/novembro - Dia do Evangélico (Art. 1º da Lei Distrital nº 963/1995) - Feriado Local; e</t>
  </si>
  <si>
    <t>Novo Gama</t>
  </si>
  <si>
    <t>2.5) 25/dezembro - Natal (Art. 1º da Lei nº 662/1949) - Feriado Nacional.</t>
  </si>
  <si>
    <t>Sto Antônio</t>
  </si>
  <si>
    <t>ITENS</t>
  </si>
  <si>
    <t>VALORES</t>
  </si>
  <si>
    <t>PART. %</t>
  </si>
  <si>
    <t>CÁLCULO</t>
  </si>
  <si>
    <t>2º Transporte - Espl.</t>
  </si>
  <si>
    <t>UNIDADE</t>
  </si>
  <si>
    <t xml:space="preserve">QTD </t>
  </si>
  <si>
    <t>PERIDICIODADE</t>
  </si>
  <si>
    <t>Meias</t>
  </si>
  <si>
    <t>de 06 em 06 meses</t>
  </si>
  <si>
    <t>Capa de chuva</t>
  </si>
  <si>
    <t>a cada 12 meses</t>
  </si>
  <si>
    <t>Camisas</t>
  </si>
  <si>
    <t xml:space="preserve">Protetor solar fator 30 </t>
  </si>
  <si>
    <t>diariamente</t>
  </si>
  <si>
    <t>Calças</t>
  </si>
  <si>
    <t>Sapatos</t>
  </si>
  <si>
    <t>Japona (agasalho para o frio)</t>
  </si>
  <si>
    <t>de 12 em 12 meses</t>
  </si>
  <si>
    <t>SIS/SEAC-DF</t>
  </si>
  <si>
    <t>Uniformes Completos</t>
  </si>
  <si>
    <t>Auxílio Creche</t>
  </si>
  <si>
    <t>2. ADICIONAIS (PARA 01 PROFISSIONAL)</t>
  </si>
  <si>
    <t>1. DADOS DAS CONVENÇÕES COLETIVAS DE TRABALHO - CCT'S</t>
  </si>
  <si>
    <t>FUNDAMENTO/OBSERVAÇÕES</t>
  </si>
  <si>
    <t>Art.71 da CLT, caput e  § 4º // Art. 76 da CLT // Súmula nº 437/TST // Súmula nº 132 e as OJ's nºs 47, 97 e 259 do TST (determinam a incidência de adicional sobre adicional).</t>
  </si>
  <si>
    <t>SINDISERVIÇOS:</t>
  </si>
  <si>
    <t>SIS:</t>
  </si>
  <si>
    <t>1. SALÁRIOS BASE</t>
  </si>
  <si>
    <t xml:space="preserve">1. INSUMOS DA MÃO-DE-OBRA (BENEFÍCIOS MENSAIS E DIÁRIOS) </t>
  </si>
  <si>
    <t>- VALORES</t>
  </si>
  <si>
    <t>SITTRATER/SEAC-DF</t>
  </si>
  <si>
    <t>5. TRIBUTAÇÃO</t>
  </si>
  <si>
    <t>SIS</t>
  </si>
  <si>
    <t>- SALÁRIOS</t>
  </si>
  <si>
    <t>ANO</t>
  </si>
  <si>
    <t>Técnico em Secretariado</t>
  </si>
  <si>
    <t>Secretário-Executivo</t>
  </si>
  <si>
    <t>Secretário-Executivo Bilíngue</t>
  </si>
  <si>
    <t>- OBSERVAÇÕES:</t>
  </si>
  <si>
    <t>SITTRATER</t>
  </si>
  <si>
    <t>Motorista de Carro Leve</t>
  </si>
  <si>
    <t>Motorista de Veículo Pesado</t>
  </si>
  <si>
    <t>Motorista Executivo</t>
  </si>
  <si>
    <t>Motorista de Transporte Escolar</t>
  </si>
  <si>
    <t>Monitor(a) de Transporte Escolar</t>
  </si>
  <si>
    <t>Supervisor/Encarregado</t>
  </si>
  <si>
    <t>Supervisor de Transporte Escolar</t>
  </si>
  <si>
    <t>Auxílio Alimentação - Cláusula 10ª da CCT</t>
  </si>
  <si>
    <t>OBSERVAÇÃO</t>
  </si>
  <si>
    <t>SINTTEL/SEAC-DF</t>
  </si>
  <si>
    <t>SINTTEL</t>
  </si>
  <si>
    <t>(*) Calendário de Feriados e Pontos Facultativos de 2016 - Decreto nº 37.066 de 20/01/2016 // Portaria nº 369 de 29/11/2016 // Decreto nº 38.011 de 16/02/2017</t>
  </si>
  <si>
    <t>SINDPD/SINDESEI-DF</t>
  </si>
  <si>
    <t>SINDPD</t>
  </si>
  <si>
    <t>Jornada de 6 horas</t>
  </si>
  <si>
    <t>Jornada de 8 horas</t>
  </si>
  <si>
    <t>Recebimento e Pagamentos em numerários</t>
  </si>
  <si>
    <t>Auxílio Alimentação - Cláusula 12ª da CCT</t>
  </si>
  <si>
    <t>Participação Patronal</t>
  </si>
  <si>
    <t>Faixa Salarial</t>
  </si>
  <si>
    <t>Incidência Anual</t>
  </si>
  <si>
    <t>Treinamento/capacitação/reciclagem</t>
  </si>
  <si>
    <t>Remuneração</t>
  </si>
  <si>
    <t>Percentual de Desconto</t>
  </si>
  <si>
    <t>Treinamento/capacitação/reciclagem - Cláusulas 23ª e 24ª da CCT</t>
  </si>
  <si>
    <t xml:space="preserve">Contribuição Assistencial Patronal </t>
  </si>
  <si>
    <t>Cabelereiro</t>
  </si>
  <si>
    <t>Desenhista</t>
  </si>
  <si>
    <t>Fotógrafo</t>
  </si>
  <si>
    <t>Iluminador</t>
  </si>
  <si>
    <t>Maquilador</t>
  </si>
  <si>
    <t>Sonoplasta</t>
  </si>
  <si>
    <t>SINDRAD/SEAC-DF</t>
  </si>
  <si>
    <t>SINDRAD</t>
  </si>
  <si>
    <t>Almoxarife Técnico</t>
  </si>
  <si>
    <t>Arquivista/Teipes</t>
  </si>
  <si>
    <t>Assistente de Estúdio</t>
  </si>
  <si>
    <t>Assistente de Produção</t>
  </si>
  <si>
    <t>Auxiliar de Câmera Upe</t>
  </si>
  <si>
    <t>Coordenador de Produção</t>
  </si>
  <si>
    <t>Coordenador de Programação</t>
  </si>
  <si>
    <t>Diretor Artistico</t>
  </si>
  <si>
    <t>Diretor de Imagens</t>
  </si>
  <si>
    <t>Diretor de Produção</t>
  </si>
  <si>
    <t>Diretor de Programação</t>
  </si>
  <si>
    <t>Diretor de Programas</t>
  </si>
  <si>
    <t>Diretor Esportivo</t>
  </si>
  <si>
    <t>Diretor Musical</t>
  </si>
  <si>
    <t>Editor de Videoteipe</t>
  </si>
  <si>
    <t>Encarregado de Tráfego</t>
  </si>
  <si>
    <t>Locutor Anunciador</t>
  </si>
  <si>
    <t>Locutor Apresentador Animador</t>
  </si>
  <si>
    <t>Locutor Comentarista Esportivo</t>
  </si>
  <si>
    <t>Locutor Entrevistador</t>
  </si>
  <si>
    <t>Locutor Esportivo</t>
  </si>
  <si>
    <t>Locutor Noticiarista de Rádio</t>
  </si>
  <si>
    <t>Locutor Noticiarista de Televisão</t>
  </si>
  <si>
    <t>Operador de Video</t>
  </si>
  <si>
    <t>Operador de Gravações</t>
  </si>
  <si>
    <t>Operador de Transmissor de Televisão</t>
  </si>
  <si>
    <t>Operador de Transmissor de Rádio</t>
  </si>
  <si>
    <t>Operador de Áudio</t>
  </si>
  <si>
    <t>Operador de Rádio</t>
  </si>
  <si>
    <t>Operador de Cabo</t>
  </si>
  <si>
    <t>Operador de Câmera</t>
  </si>
  <si>
    <t>Operador de Câmera Upe</t>
  </si>
  <si>
    <t>Operador de Controle Mestre</t>
  </si>
  <si>
    <t>Operador de Máquina de Caracteres</t>
  </si>
  <si>
    <t>Operador de Mixagem</t>
  </si>
  <si>
    <t>Operador de Videoteipe</t>
  </si>
  <si>
    <t>Produtor Executivo</t>
  </si>
  <si>
    <t>Discotecário Programador</t>
  </si>
  <si>
    <t>Roterista Intervalo Comercial</t>
  </si>
  <si>
    <t>Supervisor de Operações</t>
  </si>
  <si>
    <t>Supervisor Técnico</t>
  </si>
  <si>
    <t>Técnico de Manutenção de Rádio</t>
  </si>
  <si>
    <t>Técnico de Manutenção de Televisão</t>
  </si>
  <si>
    <t>Técnico em Manutenção Eletrotécnica</t>
  </si>
  <si>
    <t>Técnico de Áudio</t>
  </si>
  <si>
    <t>Técnico de Vídeo</t>
  </si>
  <si>
    <t>Técnico Externa</t>
  </si>
  <si>
    <t>Art.59 da CLT // Decreto-Lei nº 5452/45</t>
  </si>
  <si>
    <t>Adicional de Horas Extras 1</t>
  </si>
  <si>
    <t>Adicional de Horas Extras 2</t>
  </si>
  <si>
    <t>Adicional de Horas Extras 3</t>
  </si>
  <si>
    <t>Adicional Noturno 1</t>
  </si>
  <si>
    <t>Adicional Noturno 2</t>
  </si>
  <si>
    <t>Sal.Base + Adic. ÷ 180h ou 220h x 150% x qtd horas extras no mês</t>
  </si>
  <si>
    <t>Sal.Base + Adic. ÷ 180h ou 220h x 170% x qtd horas extras no mês</t>
  </si>
  <si>
    <t>Sal.Base + Adic. ÷ 180h ou 220h x 20% x 10,29 qtd horas noturnas adicionais  x qtd de dias trabalhados</t>
  </si>
  <si>
    <t>Sal.Base + Adic. ÷ 180h ou 220h x 40% x 10,29 qtd horas noturnas adicionais  x qtd de dias trabalhados</t>
  </si>
  <si>
    <t>UASG/ID Nº:</t>
  </si>
  <si>
    <t>ANO CONV. COLETIVA:</t>
  </si>
  <si>
    <t>Salário Norm. x %</t>
  </si>
  <si>
    <t>Adicional Motorizado</t>
  </si>
  <si>
    <t>(*) Para serviços de Vigilância</t>
  </si>
  <si>
    <t>PRESUMIDO</t>
  </si>
  <si>
    <t>REAL</t>
  </si>
  <si>
    <t>SPED/DACON</t>
  </si>
  <si>
    <t>SINDIGRAF/SEAC-DF</t>
  </si>
  <si>
    <t>SINDIGRAF</t>
  </si>
  <si>
    <t>Acabamento Gráfico</t>
  </si>
  <si>
    <t>Arte Finalista Gráfico</t>
  </si>
  <si>
    <t>Auxiliar de Impressão Off Set</t>
  </si>
  <si>
    <t>Auxiliar de Gravador de Chapas</t>
  </si>
  <si>
    <t>Auxiliar de Impressão</t>
  </si>
  <si>
    <t>Auxiliar de Mecânico Gráfico</t>
  </si>
  <si>
    <t>Auxiliar de Pré-Impressão</t>
  </si>
  <si>
    <t>Auxiliar Gráfico</t>
  </si>
  <si>
    <t>Bloquista</t>
  </si>
  <si>
    <t>Chefe de Oficina Gráfica</t>
  </si>
  <si>
    <t>Controle de Produção Gráfica</t>
  </si>
  <si>
    <t>Cortador Gráfico</t>
  </si>
  <si>
    <t>Diagramador Gráfico</t>
  </si>
  <si>
    <t>Dobrador Gráfico</t>
  </si>
  <si>
    <t>Editorador Eletrônico Gráfico / Programador Visual Gráfico</t>
  </si>
  <si>
    <t>Encadernador / Dourador</t>
  </si>
  <si>
    <t>Fotógrafo Gráfico</t>
  </si>
  <si>
    <t>Fotolitógrafo</t>
  </si>
  <si>
    <t>Gerente Gráfico</t>
  </si>
  <si>
    <t>Gravador de Chapas</t>
  </si>
  <si>
    <t>Higienizador de Livros / Impressos</t>
  </si>
  <si>
    <t>Impressão Off-Set Duplo Ofício</t>
  </si>
  <si>
    <t>Impressor de Equipamento Digitalizado (gráfica rápida)</t>
  </si>
  <si>
    <t>Impressor formulários e jornais</t>
  </si>
  <si>
    <t>Impressor Off-Set folha inteira a partir de 4 cores</t>
  </si>
  <si>
    <t>Impressor Off-Set meia folha</t>
  </si>
  <si>
    <t>Impressor Off-Set Ofício</t>
  </si>
  <si>
    <t>Impressor Tipográfico</t>
  </si>
  <si>
    <t>Líder de Operações</t>
  </si>
  <si>
    <t>Linotipista</t>
  </si>
  <si>
    <t>Mecânico Gráfico</t>
  </si>
  <si>
    <t>Montador de Fotolito</t>
  </si>
  <si>
    <t>Operador de Acabamento Gráfico</t>
  </si>
  <si>
    <t>Operador de Impressão Eletrônica</t>
  </si>
  <si>
    <t>Operador de Impressão Off Set</t>
  </si>
  <si>
    <t>Operador de Máquina Copiadora</t>
  </si>
  <si>
    <t>Operador de Pré-Impressão</t>
  </si>
  <si>
    <t>Operador de Sistema de Identificação</t>
  </si>
  <si>
    <t>Operador de Sistemas</t>
  </si>
  <si>
    <t>Orçamentista Gráfico</t>
  </si>
  <si>
    <t>Plastificador Gráfico</t>
  </si>
  <si>
    <t>Revisor Gráfico</t>
  </si>
  <si>
    <t>Serígrafo</t>
  </si>
  <si>
    <t>Técnico em Artes Gráficas</t>
  </si>
  <si>
    <t>Tipógrafo</t>
  </si>
  <si>
    <t>Vendedor Gráfico</t>
  </si>
  <si>
    <r>
      <t xml:space="preserve">Súmula nº 444/TST // Serão considerados apenas 10 Feriados no Ano (09 Nacionais e 01 Distrital) </t>
    </r>
    <r>
      <rPr>
        <b/>
        <sz val="10"/>
        <rFont val="Cambria"/>
        <family val="1"/>
        <scheme val="major"/>
      </rPr>
      <t xml:space="preserve">(*). </t>
    </r>
    <r>
      <rPr>
        <sz val="10"/>
        <rFont val="Cambria"/>
        <family val="1"/>
        <scheme val="major"/>
      </rPr>
      <t>É válida em caráter excepcional, a jornada de doze horas de trabalho por trinta e seis de descanso - 12x36</t>
    </r>
  </si>
  <si>
    <t>Sal.Base + Adic. ÷ 220h x 200% (100% da hora normal + 100% da hora extra) x quantidade de horas trabalhadas no feriado</t>
  </si>
  <si>
    <t>Salário Vigente x %</t>
  </si>
  <si>
    <t>Auxílio Funeral - Cláusula 16ª da CCT</t>
  </si>
  <si>
    <t>Assistência Médico-Hospitalar - Cláusula 15ª da CCT</t>
  </si>
  <si>
    <t>SINDIGRAF:</t>
  </si>
  <si>
    <t>Uniformes - Cláusula 46ª da CCT</t>
  </si>
  <si>
    <t>Quantidade de dias                             [a]</t>
  </si>
  <si>
    <t>SINDICATO/CCT:</t>
  </si>
  <si>
    <t>VIGÊNCIA ATUAL:</t>
  </si>
  <si>
    <t>Tributação</t>
  </si>
  <si>
    <t>DATA DE APRESENTAÇÃO DA PROPOSTA:</t>
  </si>
  <si>
    <t>STICMB</t>
  </si>
  <si>
    <t>STICMB/SINDUSCON-DF</t>
  </si>
  <si>
    <t>Servente/Adjudante</t>
  </si>
  <si>
    <t>R$/HORA</t>
  </si>
  <si>
    <t>Guardião de Obra</t>
  </si>
  <si>
    <t>Meio-Oficial</t>
  </si>
  <si>
    <t>Oficial</t>
  </si>
  <si>
    <t>Conforme Cláusula 3ª § 1º da CCT: São considerados categoria de profissional (oficial), de forma taxativa, as seguintes funções: pedreiro; ladrilheiro; carpinteiro; armador; bombeiro hidráulico; eletricista; marceneiro; serralheiro; soldador; azulejista; estucador; motorista; gesseiro; pastilheiro; sinalizador; montador; pintor; poceiro; lustrador; impermeabilizador; sondador; vidraceiro e operadores de máquinas pesadas.</t>
  </si>
  <si>
    <t>Desconto Legal sobre o salário</t>
  </si>
  <si>
    <t>STICMB:</t>
  </si>
  <si>
    <t>Cesta Básica</t>
  </si>
  <si>
    <t>Qtde.</t>
  </si>
  <si>
    <t>Tipo</t>
  </si>
  <si>
    <t>Produto</t>
  </si>
  <si>
    <t>Pacote</t>
  </si>
  <si>
    <t>Café (500g cada)</t>
  </si>
  <si>
    <t>Arroz tipo 01 (5 kgcada)</t>
  </si>
  <si>
    <t>Feijão (kg)</t>
  </si>
  <si>
    <t>Sal (kg)</t>
  </si>
  <si>
    <t>Fubá (kg)</t>
  </si>
  <si>
    <t>Farinha de mandioca (kg)</t>
  </si>
  <si>
    <t>Macarrão (kg)</t>
  </si>
  <si>
    <t>Cuscuz (kg)</t>
  </si>
  <si>
    <t>Lata</t>
  </si>
  <si>
    <t>Extrato de tomate (350g)</t>
  </si>
  <si>
    <t>Sardinha</t>
  </si>
  <si>
    <t>Pote</t>
  </si>
  <si>
    <t>Tempero completo (kg)</t>
  </si>
  <si>
    <t>Margarina (500g)</t>
  </si>
  <si>
    <t>Fósforo</t>
  </si>
  <si>
    <t>Papel higiênico (08 unidades)</t>
  </si>
  <si>
    <t>Sabão em barra</t>
  </si>
  <si>
    <t>Caixa</t>
  </si>
  <si>
    <t>Sabão em pó (1kg)</t>
  </si>
  <si>
    <t>Envelope</t>
  </si>
  <si>
    <t>Coloral</t>
  </si>
  <si>
    <t>Vidro</t>
  </si>
  <si>
    <t>Detergente</t>
  </si>
  <si>
    <t>Goiabada (500g)</t>
  </si>
  <si>
    <t>Litro</t>
  </si>
  <si>
    <t>Óleo de soja</t>
  </si>
  <si>
    <t>Farinha de trigo</t>
  </si>
  <si>
    <t>Açúcar (5 kg)</t>
  </si>
  <si>
    <t>Auxílio Alimentação - Cláusula 13ª da CCT</t>
  </si>
  <si>
    <t>Auxílio Café da Manhã</t>
  </si>
  <si>
    <t>J</t>
  </si>
  <si>
    <t>Auxílio Café da Manhã - Cláusula 14ª da CCT</t>
  </si>
  <si>
    <t>Valor x dias trabalhados - desconto legal % sobre o salário base</t>
  </si>
  <si>
    <t>Auxílio Transporte</t>
  </si>
  <si>
    <t>Auxílio Transporte - Cláusula 15ª da CCT</t>
  </si>
  <si>
    <t>Auxílio Transporte - Cláusula 11ª da CCT</t>
  </si>
  <si>
    <t>Auxílio Transporte - Cláusula 10ª da CCT</t>
  </si>
  <si>
    <t>Auxílio Transporte - Cláusula 13ª da CCT</t>
  </si>
  <si>
    <t>Seguro de Vida e Acidentes Pessoais em Grupo - Cláusula 16ª da CCT</t>
  </si>
  <si>
    <t>- CLÁUSULAS:</t>
  </si>
  <si>
    <t>SINDMOTO/SINDIBRAS-DF</t>
  </si>
  <si>
    <t>SINDMOTO</t>
  </si>
  <si>
    <t>Motociclista</t>
  </si>
  <si>
    <t>Ciclista</t>
  </si>
  <si>
    <t>Auxiliar de Escritório</t>
  </si>
  <si>
    <t>Auxiliar de Serviços Gerais - Sindmoto</t>
  </si>
  <si>
    <t>Desconto</t>
  </si>
  <si>
    <t>Auxílio Alimentação - Cláusula 7ª da CCT</t>
  </si>
  <si>
    <t>Auxílio Transporte - Cláusula 8ª da CCT</t>
  </si>
  <si>
    <t>Seguro de Vida - Cláusula 9ª da CCT</t>
  </si>
  <si>
    <t>- Cláusulas 8ª e 9ª, será pago mensalmente para os trabalhadores admitidos após Maio e Junho/2006, o valor corresponte a rubrica Adicional por Tempo de Serviço, os percentuais de 3% a cada 03 anos de serviços, aplicado sobre o salário e 1% para cada de serviços, aplicado sobre o salário, respectivamente;</t>
  </si>
  <si>
    <t>- Cláusula 17ª, será devido um seguro por acidente aos funcionários que estiverem viajando a serviço da empresa, limitado ao tempo de duração da viagem;</t>
  </si>
  <si>
    <t>- Cláusula 9ª - Seguro de Vida, as empresas contratarão apólice de seguro de vida para o empregado, junto às entidades existentes no mercado securitário, no valor mínimo de R$ 25.000,00;</t>
  </si>
  <si>
    <t>Treinamento/capacitação/reciclagem - Cláusula 14ª § 2º e 4º da CCT</t>
  </si>
  <si>
    <t>- Cláusula 16ª - Auxílio Funeral, em caso de falecimento do empregado(a), cônjuge, filho, pai ou mãe do mesmo, desde que comprovada a dependência destes, será pago pela empresa o valor correspondente a 03 vezes o salário mínimo vigente. Para cálculo estimou em um ano um percentual como incidência de funcionários falecidos:</t>
  </si>
  <si>
    <t>- Cláusula 10ª, o empregado fará jus a um adicional por tempo de serviço na mesma empresa à razão de 5% a cada triênio completado, aplicados cumulativamente até o limite de 20%, correspondente ao quarto triênio, ficando assegurados os direitos adquiridos;</t>
  </si>
  <si>
    <t>- Cláusula 5ª, após 01 ano de serviço ininterrupto prestado na mesma empresa, o empregado perceberá o adicional por tempo de serviço, no percentual de 1%, o qual incidirá sobre o salário nominal efetivamente pago;</t>
  </si>
  <si>
    <t>- Cláusula 7ª - Auxílio Alimentação, o empregador poderá descontar dos empregados o valor equivalente a, no máximo, 10% sobre o valor bruto do beneficio concedido:</t>
  </si>
  <si>
    <t>SINDMOTO:</t>
  </si>
  <si>
    <t>SINDSAÚDE/SBH-DF</t>
  </si>
  <si>
    <t>SINDSAÚDE</t>
  </si>
  <si>
    <t>Profissionais de Nível Superior</t>
  </si>
  <si>
    <t>Profissionais de Nível Médio</t>
  </si>
  <si>
    <t>Profissionais Técnicos (Laboratório, Gesso e Higiene Dental)</t>
  </si>
  <si>
    <t>Auxiliares de Laboratório e Similares</t>
  </si>
  <si>
    <t>Áreas Administrativas e Similares</t>
  </si>
  <si>
    <t>Serviços Gerais</t>
  </si>
  <si>
    <t>Cláusula 18ª da CCT - Uniformes completos, compreendidos como tal: calça, camisa e jaqueta</t>
  </si>
  <si>
    <t>SINDSAÚDE:</t>
  </si>
  <si>
    <t>SINDBOMBEIROS/SEAC-DF</t>
  </si>
  <si>
    <t>SINDBOMBEIROS</t>
  </si>
  <si>
    <t>SINDBOMBEIROS:</t>
  </si>
  <si>
    <t>Bombeiro Civil Nível Básico</t>
  </si>
  <si>
    <t>Bombeiro Civil Mestre</t>
  </si>
  <si>
    <t>Bombeiro Civil em Eventos</t>
  </si>
  <si>
    <t>Salário Norm.da Categoria</t>
  </si>
  <si>
    <t>Seguro</t>
  </si>
  <si>
    <t>Salário Base</t>
  </si>
  <si>
    <t>Treinamento/capacitação/reciclagem - Cláusula 24ª da CCT</t>
  </si>
  <si>
    <t>Camisetas</t>
  </si>
  <si>
    <t>Gandola</t>
  </si>
  <si>
    <t>Coturnos</t>
  </si>
  <si>
    <t>Japona</t>
  </si>
  <si>
    <t>Cinto</t>
  </si>
  <si>
    <t>Obs.: Em tecido RIP-STOP  algumas peças</t>
  </si>
  <si>
    <t>TOTAL POR POSTO</t>
  </si>
  <si>
    <t>TOTAL POR PROFISSIONAL</t>
  </si>
  <si>
    <t>Curso de reciclagem</t>
  </si>
  <si>
    <t>Vale Alimentação</t>
  </si>
  <si>
    <t>São 10 dias de curso</t>
  </si>
  <si>
    <t>Valor Total por Empregado</t>
  </si>
  <si>
    <t xml:space="preserve">Custo do Transporte               [d] </t>
  </si>
  <si>
    <t>Contribuição do Empregado            [f] = [e x 6%]</t>
  </si>
  <si>
    <t>Custo Real do Vale Transporte                           [g] = [d] - [f]</t>
  </si>
  <si>
    <t>44 horas semanais - 6x1</t>
  </si>
  <si>
    <t>Custos Indiretos</t>
  </si>
  <si>
    <t>São os gastos com estrutura administrativa, organizacional e gerencialmento, despesas com preposto, materiais e equipamentos de escritório, ponto eletrônico, Seguros, Taxas Administrativas (água, luz, telefone, impostos, etc.), entre outros.</t>
  </si>
  <si>
    <t>Art. 3º CTN, Lei nº 5.172/66.</t>
  </si>
  <si>
    <t xml:space="preserve">Tributos Federais  (exceto IRPJ, CSLL e CPMF) </t>
  </si>
  <si>
    <t>SPED/DCTF</t>
  </si>
  <si>
    <t xml:space="preserve">Tributos Estaduais/Municipais </t>
  </si>
  <si>
    <t>ISSQN ou ISS</t>
  </si>
  <si>
    <t>É o ganho decorrente da exploração da atividade econômica.</t>
  </si>
  <si>
    <t>Nota 1.: Empresa optante pelo LUCRO REAL</t>
  </si>
  <si>
    <t>Nota 2.: Proposta elaborada com a utilização da apuração mensal dos percentuais dos tributos PIS e COFINS no período de 12 meses, conforme Sistema Público de Escrituração Digital (SPED) e Declaração e Recibo de Débitos e Créditos Tributários Federais (DCTF).</t>
  </si>
  <si>
    <t>MEMÓRIA DE CÁLCULO - ENCARGOS SOCIAIS E TRABALHISTAS</t>
  </si>
  <si>
    <t>Preço Unitário (R$)</t>
  </si>
  <si>
    <t>Valor Total Mensal                          (R$)</t>
  </si>
  <si>
    <t>Ref.:</t>
  </si>
  <si>
    <t>4. INSUMOS DIVERSOS (UNIFORMES, EQUIPAMENTOS E MATERIAIS)</t>
  </si>
  <si>
    <t>3. INSUMOS DE MÃO DE OBRA (BENEFÍCIOS MENSAIS E DIÁRIOS) - VALE TRANSPORTE</t>
  </si>
  <si>
    <t>1. ENCARGOS SOCIAIS E TRABALHISTAS</t>
  </si>
  <si>
    <t>BRASFORT ADMINISTRAÇÃO E SERVIÇOS LTDA</t>
  </si>
  <si>
    <t>Preço Unitário</t>
  </si>
  <si>
    <t>Valor Total Anual                             (R$)</t>
  </si>
  <si>
    <t>FATOR K:</t>
  </si>
  <si>
    <t>Nº PROF.</t>
  </si>
  <si>
    <t>Lei nº 10.637/02 // IN SRF 387/2004 // Decreto nº 6.022/07.</t>
  </si>
  <si>
    <t>Lei nº 10.833/03 // IN SRF 387/2004 // Decreto nº 6.022/07.</t>
  </si>
  <si>
    <t>Seguro Acidente do Trabalho - SAT = RAT x FAP</t>
  </si>
  <si>
    <t>Acórdãos nº 6992/2009-1ª Câmara, nº 1696/2010-2ª Câmara e nº 1319/2010-2ª Câmara</t>
  </si>
  <si>
    <t>Mão-de-obra vinculada à execução contratual (valor por empregado)</t>
  </si>
  <si>
    <t>1. MÓDULOS</t>
  </si>
  <si>
    <t>Classificação Brasileira de Ocupações (CBO)</t>
  </si>
  <si>
    <t>CBO</t>
  </si>
  <si>
    <t>IDENTIFICAÇÃO DO SERVIÇO</t>
  </si>
  <si>
    <t>DISCRIMINAÇÃO DOS SERVIÇOS (DADOS REFERENTES À CONTRATAÇÃO)</t>
  </si>
  <si>
    <r>
      <rPr>
        <b/>
        <sz val="11"/>
        <rFont val="Cambria"/>
        <family val="1"/>
        <scheme val="major"/>
      </rPr>
      <t>Nota 2:</t>
    </r>
    <r>
      <rPr>
        <sz val="11"/>
        <rFont val="Cambria"/>
        <family val="1"/>
        <scheme val="major"/>
      </rPr>
      <t xml:space="preserve"> As provisões constantes desta planilha poderão ser desnecessárias quando se tratar de determinados serviços que prescindam da dedicação exclusiva dos trabalhadores da contratada para com a Administração.</t>
    </r>
  </si>
  <si>
    <r>
      <rPr>
        <b/>
        <sz val="11"/>
        <rFont val="Cambria"/>
        <family val="1"/>
        <scheme val="major"/>
      </rPr>
      <t>Nota 1:</t>
    </r>
    <r>
      <rPr>
        <sz val="11"/>
        <rFont val="Cambria"/>
        <family val="1"/>
        <scheme val="major"/>
      </rPr>
      <t xml:space="preserve"> Esta tabela poderá ser adaptada às características do serviço contratado, inclusive no que concerne às rubricas e suas respectivas provisões e/ou estimativas, desde que haja justificativa.</t>
    </r>
  </si>
  <si>
    <r>
      <rPr>
        <b/>
        <sz val="11"/>
        <rFont val="Cambria"/>
        <family val="1"/>
        <scheme val="major"/>
      </rPr>
      <t>Nota 1:</t>
    </r>
    <r>
      <rPr>
        <sz val="11"/>
        <rFont val="Cambria"/>
        <family val="1"/>
        <scheme val="major"/>
      </rPr>
      <t xml:space="preserve"> Deverá ser elaborado um quadro para cada tipo de serviço.</t>
    </r>
  </si>
  <si>
    <r>
      <rPr>
        <b/>
        <sz val="11"/>
        <rFont val="Cambria"/>
        <family val="1"/>
        <scheme val="major"/>
      </rPr>
      <t>Nota 2:</t>
    </r>
    <r>
      <rPr>
        <sz val="11"/>
        <rFont val="Cambria"/>
        <family val="1"/>
        <scheme val="major"/>
      </rPr>
      <t xml:space="preserve"> A planilha será calculada considerando o</t>
    </r>
    <r>
      <rPr>
        <b/>
        <sz val="11"/>
        <rFont val="Cambria"/>
        <family val="1"/>
        <scheme val="major"/>
      </rPr>
      <t xml:space="preserve"> valor mensal</t>
    </r>
    <r>
      <rPr>
        <sz val="11"/>
        <rFont val="Cambria"/>
        <family val="1"/>
        <scheme val="major"/>
      </rPr>
      <t xml:space="preserve"> do empregado.</t>
    </r>
  </si>
  <si>
    <t>Adicional de Hora Noturna Reduzida</t>
  </si>
  <si>
    <r>
      <rPr>
        <b/>
        <sz val="11"/>
        <rFont val="Cambria"/>
        <family val="1"/>
        <scheme val="major"/>
      </rPr>
      <t>Nota 1:</t>
    </r>
    <r>
      <rPr>
        <sz val="11"/>
        <rFont val="Cambria"/>
        <family val="1"/>
        <scheme val="major"/>
      </rPr>
      <t xml:space="preserve"> O Módulo 1 refere-se ao </t>
    </r>
    <r>
      <rPr>
        <b/>
        <sz val="11"/>
        <rFont val="Cambria"/>
        <family val="1"/>
        <scheme val="major"/>
      </rPr>
      <t>valor mensal devido ao empregado</t>
    </r>
    <r>
      <rPr>
        <sz val="11"/>
        <rFont val="Cambria"/>
        <family val="1"/>
        <scheme val="major"/>
      </rPr>
      <t xml:space="preserve"> pela prestação do serviço no período de 12 meses.</t>
    </r>
  </si>
  <si>
    <t>Módulo 2 - Encargos e Benefícios Anuais, Mensais e Diários</t>
  </si>
  <si>
    <t>2.2</t>
  </si>
  <si>
    <t>2.1</t>
  </si>
  <si>
    <t>13º SALÁRIO, FÉRIAS E ADICIONAL DE FÉRIAS</t>
  </si>
  <si>
    <t>3.</t>
  </si>
  <si>
    <t>ENCARGOS PREVIDENCIÁRIOS (GPS), FUNDO DE GARANTIA POR TEMPO DE SERVIÇO (FGTS) E OUTRAS CONTRIBUIÇÕES</t>
  </si>
  <si>
    <r>
      <rPr>
        <b/>
        <sz val="11"/>
        <rFont val="Cambria"/>
        <family val="1"/>
        <scheme val="major"/>
      </rPr>
      <t>Nota 1:</t>
    </r>
    <r>
      <rPr>
        <sz val="11"/>
        <rFont val="Cambria"/>
        <family val="1"/>
        <scheme val="major"/>
      </rPr>
      <t xml:space="preserve"> Como a planilha de custos e formação de preços é calculada </t>
    </r>
    <r>
      <rPr>
        <u/>
        <sz val="11"/>
        <rFont val="Cambria"/>
        <family val="1"/>
        <scheme val="major"/>
      </rPr>
      <t>mensalmente</t>
    </r>
    <r>
      <rPr>
        <sz val="11"/>
        <rFont val="Cambria"/>
        <family val="1"/>
        <scheme val="major"/>
      </rPr>
      <t>, provisiona-se proporcionalmente 1/12 (um doze avos) dos valores referentes a gratificação natalina e adicional de férias.</t>
    </r>
  </si>
  <si>
    <t>Submódulo 2.1 - 13º (décimo terceiro) Salário, Férias e Adicional de Férias</t>
  </si>
  <si>
    <t>Submódulo 2.2 - Encargos Previdenciários (GPS), Fundo de Garantia por Tempo de Serviço (FGTS) e outras contribuições</t>
  </si>
  <si>
    <r>
      <rPr>
        <b/>
        <sz val="11"/>
        <rFont val="Cambria"/>
        <family val="1"/>
        <scheme val="major"/>
      </rPr>
      <t>Nota 2:</t>
    </r>
    <r>
      <rPr>
        <sz val="11"/>
        <rFont val="Cambria"/>
        <family val="1"/>
        <scheme val="major"/>
      </rPr>
      <t xml:space="preserve"> O SAT a depender do grau de risco do serviço irá variar entre 1%, para risco leve, de 2%, para risco médio, e de 3% de risco grave.</t>
    </r>
  </si>
  <si>
    <r>
      <rPr>
        <b/>
        <sz val="11"/>
        <rFont val="Cambria"/>
        <family val="1"/>
        <scheme val="major"/>
      </rPr>
      <t>Nota 1:</t>
    </r>
    <r>
      <rPr>
        <sz val="11"/>
        <rFont val="Cambria"/>
        <family val="1"/>
        <scheme val="major"/>
      </rPr>
      <t xml:space="preserve"> Os percentuais dos encargos previdenciários, do FGTS e demais contribuições são aqueles estabelecidos pela legislação vigente.</t>
    </r>
  </si>
  <si>
    <t>Submódulo 2.3 - Benefícios Mensais e Diários</t>
  </si>
  <si>
    <t>2.3</t>
  </si>
  <si>
    <r>
      <rPr>
        <b/>
        <sz val="11"/>
        <rFont val="Cambria"/>
        <family val="1"/>
        <scheme val="major"/>
      </rPr>
      <t>Nota 2:</t>
    </r>
    <r>
      <rPr>
        <sz val="11"/>
        <rFont val="Cambria"/>
        <family val="1"/>
        <scheme val="major"/>
      </rPr>
      <t xml:space="preserve"> Observar a previsão dos benefícios contidos em Acordos, Convenções e Dissídios Coletivos de Trabalho e atentar-se ao disposto no </t>
    </r>
    <r>
      <rPr>
        <u/>
        <sz val="11"/>
        <color theme="3"/>
        <rFont val="Cambria"/>
        <family val="1"/>
        <scheme val="major"/>
      </rPr>
      <t>art. 6º</t>
    </r>
    <r>
      <rPr>
        <sz val="11"/>
        <rFont val="Cambria"/>
        <family val="1"/>
        <scheme val="major"/>
      </rPr>
      <t xml:space="preserve"> desta Instrução Normativa.</t>
    </r>
  </si>
  <si>
    <r>
      <rPr>
        <b/>
        <sz val="11"/>
        <rFont val="Cambria"/>
        <family val="1"/>
        <scheme val="major"/>
      </rPr>
      <t>Nota 1:</t>
    </r>
    <r>
      <rPr>
        <sz val="11"/>
        <rFont val="Cambria"/>
        <family val="1"/>
        <scheme val="major"/>
      </rPr>
      <t xml:space="preserve"> O valor informado deverá ser o custo real do benefício (descontado o valor eventualmente pago pelo empregado).</t>
    </r>
  </si>
  <si>
    <t>GPS, FGTS e outras contribuições</t>
  </si>
  <si>
    <t>Percentual %</t>
  </si>
  <si>
    <t>13º (décimo terceiro) Salário, Férias e Adicional de Férias</t>
  </si>
  <si>
    <t>Quadro-Resumo do Módulo 2 - Encargos e Benefícios Anuais, Mensais e Diários</t>
  </si>
  <si>
    <t>Encargos e Benefícios Anuais, Mensais e Diários</t>
  </si>
  <si>
    <t>Módulo 3 - Provisão para Rescisão</t>
  </si>
  <si>
    <t>Módulo 4 - Custo de Reposição do Profissional</t>
  </si>
  <si>
    <r>
      <rPr>
        <b/>
        <sz val="11"/>
        <rFont val="Cambria"/>
        <family val="1"/>
        <scheme val="major"/>
      </rPr>
      <t>Nota:</t>
    </r>
    <r>
      <rPr>
        <sz val="11"/>
        <rFont val="Cambria"/>
        <family val="1"/>
        <scheme val="major"/>
      </rPr>
      <t xml:space="preserve"> Quando houver a necessidade de reposição de um empregado durante sua ausência nos casos de intervalo para repouso ou alimentação deve-se contemplar o Submódulo 4.2.</t>
    </r>
  </si>
  <si>
    <t>Custo de Reposição do Profissional Ausente</t>
  </si>
  <si>
    <t>Quadro-Resumo do Módulo 4 - Custo de Reposição do Profissional Ausente</t>
  </si>
  <si>
    <t>Esses percentuais incidem sobre o Módulo 1 (Remuneração)</t>
  </si>
  <si>
    <t>Módulo 5 - Insumos Diversos</t>
  </si>
  <si>
    <r>
      <rPr>
        <b/>
        <sz val="11"/>
        <rFont val="Cambria"/>
        <family val="1"/>
        <scheme val="major"/>
      </rPr>
      <t>Nota:</t>
    </r>
    <r>
      <rPr>
        <sz val="11"/>
        <rFont val="Cambria"/>
        <family val="1"/>
        <scheme val="major"/>
      </rPr>
      <t xml:space="preserve"> Valores mensais por empregado.</t>
    </r>
  </si>
  <si>
    <r>
      <rPr>
        <b/>
        <sz val="11"/>
        <rFont val="Cambria"/>
        <family val="1"/>
        <scheme val="major"/>
      </rPr>
      <t>Nota 2:</t>
    </r>
    <r>
      <rPr>
        <sz val="11"/>
        <rFont val="Cambria"/>
        <family val="1"/>
        <scheme val="major"/>
      </rPr>
      <t xml:space="preserve"> O valor referente a tributos é obtido aplicando-se o percentual sobre o valor do faturamento.</t>
    </r>
  </si>
  <si>
    <r>
      <rPr>
        <b/>
        <sz val="11"/>
        <rFont val="Cambria"/>
        <family val="1"/>
        <scheme val="major"/>
      </rPr>
      <t>Nota 1:</t>
    </r>
    <r>
      <rPr>
        <sz val="11"/>
        <rFont val="Cambria"/>
        <family val="1"/>
        <scheme val="major"/>
      </rPr>
      <t xml:space="preserve"> Custos Indiretos, Tributos e Lucro por empregado.</t>
    </r>
  </si>
  <si>
    <t>Módulo 6 - Custos Indiretos, Tributos e Lucro</t>
  </si>
  <si>
    <t>2. QUADRO-RESUMO DO CUSTO POR EMPREGADO</t>
  </si>
  <si>
    <t>Subtotal (A + B + C + D + E)</t>
  </si>
  <si>
    <t>3. QUADRO-RESUMO DO VALOR MENSAL DOS SERVIÇOS</t>
  </si>
  <si>
    <t>Qtde de Empregados por posto</t>
  </si>
  <si>
    <t>Valor Proposto por Empregado</t>
  </si>
  <si>
    <t>Valor Proposto por Posto</t>
  </si>
  <si>
    <t>Qtde de Postos</t>
  </si>
  <si>
    <t>Valor Total do Serviço</t>
  </si>
  <si>
    <t>Valor Mensal dos Serviços</t>
  </si>
  <si>
    <t>4. QUADRO DEMONSTRATIVO DO VALOR GLOBAL DA PROPOSTA</t>
  </si>
  <si>
    <t>VALOR GLOBAL DA PROPOSTA</t>
  </si>
  <si>
    <t>DESCRIÇÃO</t>
  </si>
  <si>
    <t>VALOR (R$)</t>
  </si>
  <si>
    <r>
      <rPr>
        <b/>
        <sz val="11"/>
        <rFont val="Cambria"/>
        <family val="1"/>
        <scheme val="major"/>
      </rPr>
      <t>Nota:</t>
    </r>
    <r>
      <rPr>
        <sz val="11"/>
        <rFont val="Cambria"/>
        <family val="1"/>
        <scheme val="major"/>
      </rPr>
      <t xml:space="preserve"> Informar o valor da unidade de medida por tipo de serviço.</t>
    </r>
  </si>
  <si>
    <t>5. COMPLEMENTO DOS SERVIÇOS DE VIGILÂNCIA VALOR MENSAL DOS SERVIÇOS</t>
  </si>
  <si>
    <t>ESCALA DE TRABALHO</t>
  </si>
  <si>
    <r>
      <rPr>
        <b/>
        <sz val="11"/>
        <rFont val="Cambria"/>
        <family val="1"/>
        <scheme val="major"/>
      </rPr>
      <t xml:space="preserve">Nota: </t>
    </r>
    <r>
      <rPr>
        <sz val="11"/>
        <rFont val="Cambria"/>
        <family val="1"/>
        <scheme val="major"/>
      </rPr>
      <t xml:space="preserve">Nos casos de inclusão de outros tipos de postos, deve ser observado o disposto no </t>
    </r>
    <r>
      <rPr>
        <b/>
        <u/>
        <sz val="11"/>
        <rFont val="Cambria"/>
        <family val="1"/>
        <scheme val="major"/>
      </rPr>
      <t>item 4 do Anexo VI-A</t>
    </r>
    <r>
      <rPr>
        <sz val="11"/>
        <rFont val="Cambria"/>
        <family val="1"/>
        <scheme val="major"/>
      </rPr>
      <t>, desta Instrução Normativa.</t>
    </r>
  </si>
  <si>
    <t>PREÇO MENSAL DO POSTO</t>
  </si>
  <si>
    <t>NÚMERO DE POSTOS</t>
  </si>
  <si>
    <t>Fórmula: 35,80% x (8,33% + 11,11%)</t>
  </si>
  <si>
    <t>Fórmula: 35,80% x (8,93% + 11,91%)</t>
  </si>
  <si>
    <t>Fórmula: 35,80% x (8,33% + 12,10%)</t>
  </si>
  <si>
    <t>Fórmula: 35,80% x (9,09% + 12,12%)</t>
  </si>
  <si>
    <t xml:space="preserve">Art. 129 e 130, da CLT. </t>
  </si>
  <si>
    <t>Auxílio Transporte - Cláusula 14ª da CCT</t>
  </si>
  <si>
    <t>CCT</t>
  </si>
  <si>
    <t>- Cláusula 26ª - Cursos de Formação, Capacitação e Reciclagem, em caso de inclusão em proposta o valor será conforme memória de cálculo abaixo:</t>
  </si>
  <si>
    <t>CNAE 82.11-3/00 do Anexo V do Decreto nº 3.048/99</t>
  </si>
  <si>
    <r>
      <t xml:space="preserve">Esta empresa é optante do </t>
    </r>
    <r>
      <rPr>
        <b/>
        <sz val="14"/>
        <rFont val="Arial Narrow"/>
        <family val="2"/>
      </rPr>
      <t>LUCRO REAL</t>
    </r>
    <r>
      <rPr>
        <sz val="14"/>
        <rFont val="Arial Narrow"/>
        <family val="2"/>
      </rPr>
      <t>.</t>
    </r>
  </si>
  <si>
    <t>Fórmula estabelecida na Cláusula 13ª SINDIGRAF</t>
  </si>
  <si>
    <t>MÓDULO 1</t>
  </si>
  <si>
    <t>TOTAL MÓD.1</t>
  </si>
  <si>
    <t>MÓDULO 2</t>
  </si>
  <si>
    <t>TOTAL MÓD.2</t>
  </si>
  <si>
    <t>MÓDULO 3</t>
  </si>
  <si>
    <t>TOTAL MÓD.3</t>
  </si>
  <si>
    <t>MÓDULO 4</t>
  </si>
  <si>
    <t>TOTAL MÓD.4</t>
  </si>
  <si>
    <t>MÓDULO 5</t>
  </si>
  <si>
    <t>TOTAL MÓD.5</t>
  </si>
  <si>
    <t>MÓDULO 6 ITENS A E B</t>
  </si>
  <si>
    <t>TOTAL MÓD.6 A/B</t>
  </si>
  <si>
    <r>
      <rPr>
        <b/>
        <sz val="11"/>
        <color indexed="8"/>
        <rFont val="Cambria"/>
        <family val="1"/>
        <scheme val="major"/>
      </rPr>
      <t>Base de Cálculo:</t>
    </r>
    <r>
      <rPr>
        <sz val="11"/>
        <color indexed="8"/>
        <rFont val="Cambria"/>
        <family val="1"/>
        <scheme val="major"/>
      </rPr>
      <t xml:space="preserve"> Módulo 1 + Submódulo 2.1</t>
    </r>
  </si>
  <si>
    <t>Base de Cálculo do Submódulo 2.2</t>
  </si>
  <si>
    <t xml:space="preserve">Total </t>
  </si>
  <si>
    <t>Despesas Administrativas:</t>
  </si>
  <si>
    <t>Base de Cálculo: Módulo 1 (Remuneração) + Submódulo 2.1 (13º, Férias e Adicional)</t>
  </si>
  <si>
    <t>Base de Cálculo: Módulo 1 (Remuneração)</t>
  </si>
  <si>
    <t>Esses percentuais incidem sobre o Módulo 1 (Remuneração) e o Submódulo 2.1 (13º, Férias e Adicional)</t>
  </si>
  <si>
    <t>- Cláusula 14ª § 1º - Café da Manhã, nos canteiros de obra com efetivo igual ou inferior a 50 empregados e para todo o setor administrativo, fica facultado ao empregador o não fornecimento do próprio café da manhã, ressarcindo o empregado no valor unitário de R$ 3,45 por dia trabalhado e no § 2º da mesma Cláusula, no caso de o empregado ser transferido de canteiro de obra e, nessa hipótese, não receber o café da manhã in natura, deve o empregador ressarcir o empregado no valor unitário de R$ 3,45 (três reais e quarenta e cinco centavos) por dia trabalhado sem o recebimento do café da manhã.</t>
  </si>
  <si>
    <t>- Cláusula 16ª, as coberturas serão no valor de R$ 16.700,000 em caso de Morte do empregado (a) por qualquer causa, independentemente do local ocorrido; em caso de invalidez Permanente (Total ou Parcial) do empregado (a), causada por acidente, independentemente do local do ocorrido, atestado por médico devidamente qualificado, discriminando detalhadamente, no laudo médico, as sequelas definitivas, mencionando o grau ou percentagem, respectivamente da invalidez deixada pelo acidente; em caso de Invalidez Permanente total adquirida no exercício profissional, será pago ao empregado 100% (cem por cento) do Capital Básico Segurado para a Cobertura de MORTE, limitado ao Capital Segurado mínimo exigido pela Convenção Coletiva de Trabalho da Categoria, mediante declaração médica, em modelo próprio fornecido pela seguradora, assinada pelo médico ou junta médica, responsável pelo laudo, caracterizando a incapacidade decorrente da doença profissional;</t>
  </si>
  <si>
    <t>- Cláusula 16ª item IV, o Benefício de que trata esta cláusula somente poderá ser contratado em apólice de Seguro de Vida em Grupo que não contemple a cobertura de IPD - Invalidez Permanente Total por Doença: R$ 8.350,00 em caso de Morte do Cônjuge do empregado (a) por qualquer causa; R$ 3.500,00 em caso de morte por qualquer causa de cada filho de até 21 anos, limitado a 04; R$ 3.500,00 em favor do empregado quando ocorrer o nascimento de filho (a) portador de Invalidez causada por Doença Congênita, o (a) qual não poderá exercer qualquer atividade remunerada, e que seja caracterizada por atestado médico até o sexto mês após o dia do seu nascimento;</t>
  </si>
  <si>
    <t>- Cláusula 16ª itens VII a X, ocorrendo a morte do empregado (a) por qualquer causa, independentemente do local ocorrido, os beneficiários do seguro deverão receber 50 kg de alimentos; por acidente no exercício de sua profissão, a apólice de Seguro de Vida em Grupo deverá contemplar uma cobertura para os gastos com a realização do sepultamento do mesmo, no valor de até R$ 4.225,00; por qualquer causa, a empresa ou empregador receberá uma indenização de até 10% do capital básico vigente a título de reembolso das despesas efetivadas para o acerto rescisório trabalhista devidamente comprovado; ocorrendo o nascimento de filho(s) da funcionária (cobre somente titular do sexo feminino) a mesma receberá, a título de doação, DUAS CESTAS-NATALIDADE, caracterizadas como um KIT MÃE e um KIT BEBÊ, com conteúdos específicos para atender as primeiras necessidades básicas da beneficiária e seu bebê, desde que o comunicado seja formalizado pela empresa até 30 dias após o parto da funcionária contemplada.</t>
  </si>
  <si>
    <t>- Cláusula 13ª, os empregadores fornecerão alimentação aos empregados, em uma das seguintes formas: a) ticket alimentação no valor de R$ 15,00 (quinze reais) por dia trabalhado, b) marmitex embalagem nº. 09, por dia trabalhado, c) cantina da obra ou d) cesta básica mensal, com os itens abaixo discriminados, podendo cobrar, como valor máximo de ressarcimento, o percentual de 10% por refeição:</t>
  </si>
  <si>
    <t>Tipo de Jornada</t>
  </si>
  <si>
    <t>Jornada Mensal</t>
  </si>
  <si>
    <t>CV</t>
  </si>
  <si>
    <t>Adicional Noturno 3</t>
  </si>
  <si>
    <t>Tratador de Equinos</t>
  </si>
  <si>
    <t>Plano Ambulatorial - Cláusula 15ª da CCT</t>
  </si>
  <si>
    <t>Sal.Base + Adic. ÷ 180h ou 220h x 22,5% x 7 qtd horas noturnas adicionais  x qtd de dias trabalhados</t>
  </si>
  <si>
    <t>METRAGEM DAS ÁREAS (M²)</t>
  </si>
  <si>
    <t>Tipo de área</t>
  </si>
  <si>
    <t>Quant. Postos</t>
  </si>
  <si>
    <t xml:space="preserve">Área Externa </t>
  </si>
  <si>
    <t>Fachada envidraçada</t>
  </si>
  <si>
    <t>Total de Postos Fixos de Servente</t>
  </si>
  <si>
    <t xml:space="preserve">Total de Postos Fixos de Encarregado </t>
  </si>
  <si>
    <t>Fórmulas de cálculo do quantitativo de serventes, conforme abaixo:</t>
  </si>
  <si>
    <r>
      <t xml:space="preserve">(*) A fração 1/188,76 indica o número de hora no mês 4,29 x 44 = 188,76. (Onde: 4,29 = 30 dias no mês </t>
    </r>
    <r>
      <rPr>
        <sz val="11"/>
        <rFont val="Calibri"/>
        <family val="2"/>
      </rPr>
      <t>÷</t>
    </r>
    <r>
      <rPr>
        <sz val="11"/>
        <rFont val="Cambria"/>
        <family val="1"/>
      </rPr>
      <t xml:space="preserve"> </t>
    </r>
    <r>
      <rPr>
        <sz val="11"/>
        <rFont val="Cambria"/>
        <family val="1"/>
        <scheme val="major"/>
      </rPr>
      <t xml:space="preserve">7 dias na semana e 44 = horas semanais) </t>
    </r>
  </si>
  <si>
    <r>
      <t xml:space="preserve">(**) A fração 1/1.132,60 indica o número de hora no mês 4,29 x 44 = 188,76 x 6. (Onde: 4,29 = 30 dias no mês </t>
    </r>
    <r>
      <rPr>
        <sz val="11"/>
        <rFont val="Calibri"/>
        <family val="2"/>
      </rPr>
      <t>÷</t>
    </r>
    <r>
      <rPr>
        <sz val="11"/>
        <rFont val="Cambria"/>
        <family val="1"/>
      </rPr>
      <t xml:space="preserve"> </t>
    </r>
    <r>
      <rPr>
        <sz val="11"/>
        <rFont val="Cambria"/>
        <family val="1"/>
        <scheme val="major"/>
      </rPr>
      <t xml:space="preserve">7 dias na semana, 44 = horas semanais e 6 = semestre) </t>
    </r>
  </si>
  <si>
    <t>Onde:</t>
  </si>
  <si>
    <r>
      <rPr>
        <b/>
        <sz val="11"/>
        <rFont val="Cambria"/>
        <family val="1"/>
        <scheme val="major"/>
      </rPr>
      <t>S</t>
    </r>
    <r>
      <rPr>
        <b/>
        <vertAlign val="subscript"/>
        <sz val="11"/>
        <rFont val="Cambria"/>
        <family val="1"/>
        <scheme val="major"/>
      </rPr>
      <t>int</t>
    </r>
    <r>
      <rPr>
        <b/>
        <sz val="11"/>
        <rFont val="Cambria"/>
        <family val="1"/>
        <scheme val="major"/>
      </rPr>
      <t xml:space="preserve"> =</t>
    </r>
    <r>
      <rPr>
        <sz val="11"/>
        <rFont val="Cambria"/>
        <family val="1"/>
        <scheme val="major"/>
      </rPr>
      <t xml:space="preserve"> quantidade de serventes para </t>
    </r>
    <r>
      <rPr>
        <b/>
        <sz val="11"/>
        <rFont val="Cambria"/>
        <family val="1"/>
        <scheme val="major"/>
      </rPr>
      <t>área interna</t>
    </r>
    <r>
      <rPr>
        <sz val="11"/>
        <rFont val="Cambria"/>
        <family val="1"/>
        <scheme val="major"/>
      </rPr>
      <t>;</t>
    </r>
  </si>
  <si>
    <r>
      <rPr>
        <b/>
        <sz val="11"/>
        <rFont val="Cambria"/>
        <family val="1"/>
        <scheme val="major"/>
      </rPr>
      <t>S</t>
    </r>
    <r>
      <rPr>
        <b/>
        <vertAlign val="subscript"/>
        <sz val="11"/>
        <rFont val="Cambria"/>
        <family val="1"/>
        <scheme val="major"/>
      </rPr>
      <t>ext</t>
    </r>
    <r>
      <rPr>
        <b/>
        <sz val="11"/>
        <rFont val="Cambria"/>
        <family val="1"/>
        <scheme val="major"/>
      </rPr>
      <t xml:space="preserve"> =</t>
    </r>
    <r>
      <rPr>
        <sz val="11"/>
        <rFont val="Cambria"/>
        <family val="1"/>
        <scheme val="major"/>
      </rPr>
      <t xml:space="preserve"> quantidade de serventes para </t>
    </r>
    <r>
      <rPr>
        <b/>
        <sz val="11"/>
        <rFont val="Cambria"/>
        <family val="1"/>
        <scheme val="major"/>
      </rPr>
      <t>área externa</t>
    </r>
    <r>
      <rPr>
        <sz val="11"/>
        <rFont val="Cambria"/>
        <family val="1"/>
        <scheme val="major"/>
      </rPr>
      <t>;</t>
    </r>
  </si>
  <si>
    <r>
      <rPr>
        <b/>
        <sz val="11"/>
        <rFont val="Cambria"/>
        <family val="1"/>
        <scheme val="major"/>
      </rPr>
      <t>S</t>
    </r>
    <r>
      <rPr>
        <b/>
        <vertAlign val="subscript"/>
        <sz val="11"/>
        <rFont val="Cambria"/>
        <family val="1"/>
        <scheme val="major"/>
      </rPr>
      <t>esq</t>
    </r>
    <r>
      <rPr>
        <b/>
        <sz val="11"/>
        <rFont val="Cambria"/>
        <family val="1"/>
        <scheme val="major"/>
      </rPr>
      <t xml:space="preserve"> =</t>
    </r>
    <r>
      <rPr>
        <sz val="11"/>
        <rFont val="Cambria"/>
        <family val="1"/>
        <scheme val="major"/>
      </rPr>
      <t xml:space="preserve"> quantidade de serventes para a </t>
    </r>
    <r>
      <rPr>
        <b/>
        <sz val="11"/>
        <rFont val="Cambria"/>
        <family val="1"/>
        <scheme val="major"/>
      </rPr>
      <t>área de esquadrias</t>
    </r>
    <r>
      <rPr>
        <sz val="11"/>
        <rFont val="Cambria"/>
        <family val="1"/>
        <scheme val="major"/>
      </rPr>
      <t>;</t>
    </r>
  </si>
  <si>
    <r>
      <rPr>
        <b/>
        <sz val="11"/>
        <rFont val="Cambria"/>
        <family val="1"/>
        <scheme val="major"/>
      </rPr>
      <t>S</t>
    </r>
    <r>
      <rPr>
        <b/>
        <vertAlign val="subscript"/>
        <sz val="11"/>
        <rFont val="Cambria"/>
        <family val="1"/>
        <scheme val="major"/>
      </rPr>
      <t>esq</t>
    </r>
    <r>
      <rPr>
        <b/>
        <sz val="11"/>
        <rFont val="Cambria"/>
        <family val="1"/>
        <scheme val="major"/>
      </rPr>
      <t xml:space="preserve"> =</t>
    </r>
    <r>
      <rPr>
        <sz val="11"/>
        <rFont val="Cambria"/>
        <family val="1"/>
        <scheme val="major"/>
      </rPr>
      <t xml:space="preserve"> quantidade de serventes para a </t>
    </r>
    <r>
      <rPr>
        <b/>
        <sz val="11"/>
        <rFont val="Cambria"/>
        <family val="1"/>
        <scheme val="major"/>
      </rPr>
      <t>área de fachada envidraçada</t>
    </r>
    <r>
      <rPr>
        <sz val="11"/>
        <rFont val="Cambria"/>
        <family val="1"/>
        <scheme val="major"/>
      </rPr>
      <t>;</t>
    </r>
  </si>
  <si>
    <r>
      <rPr>
        <b/>
        <sz val="11"/>
        <rFont val="Cambria"/>
        <family val="1"/>
        <scheme val="major"/>
      </rPr>
      <t>S</t>
    </r>
    <r>
      <rPr>
        <b/>
        <vertAlign val="subscript"/>
        <sz val="11"/>
        <rFont val="Cambria"/>
        <family val="1"/>
        <scheme val="major"/>
      </rPr>
      <t>t</t>
    </r>
    <r>
      <rPr>
        <b/>
        <sz val="11"/>
        <rFont val="Cambria"/>
        <family val="1"/>
        <scheme val="major"/>
      </rPr>
      <t xml:space="preserve"> =</t>
    </r>
    <r>
      <rPr>
        <sz val="11"/>
        <rFont val="Cambria"/>
        <family val="1"/>
        <scheme val="major"/>
      </rPr>
      <t xml:space="preserve"> quantidade </t>
    </r>
    <r>
      <rPr>
        <b/>
        <sz val="11"/>
        <rFont val="Cambria"/>
        <family val="1"/>
        <scheme val="major"/>
      </rPr>
      <t>total de serventes.</t>
    </r>
  </si>
  <si>
    <t>COMPLEMENTO DOS SERVIÇOS DE LIMPEZA E CONSERVAÇÃO</t>
  </si>
  <si>
    <t>I - PREÇO MENSAL UNITÁRIO POR M²</t>
  </si>
  <si>
    <t>MÃO-DE-OBRA</t>
  </si>
  <si>
    <t>PRODUTIVIDADE (1/M²)</t>
  </si>
  <si>
    <t>PREÇO HOMEM-MÊS (R$)</t>
  </si>
  <si>
    <t>SUBTOTAL (R$/M²)</t>
  </si>
  <si>
    <t>(A x B)</t>
  </si>
  <si>
    <t>ENCARREGADO</t>
  </si>
  <si>
    <t>SERVENTE</t>
  </si>
  <si>
    <t>ÁREA EXTERNA</t>
  </si>
  <si>
    <t>FREQUÊNCIA NO MÊS            (HORAS)</t>
  </si>
  <si>
    <t>JORNADA DE TRABALHO NO MÊS                   (HORAS)</t>
  </si>
  <si>
    <t>Ki = ( A x B x C)</t>
  </si>
  <si>
    <t>(D)</t>
  </si>
  <si>
    <t>(D x E)</t>
  </si>
  <si>
    <t>1 / 188,76</t>
  </si>
  <si>
    <t>1 / 1.132,6</t>
  </si>
  <si>
    <t>VALOR MENSAL DOS SERVIÇOS</t>
  </si>
  <si>
    <t>TIPO DE ÁREA</t>
  </si>
  <si>
    <t>PREÇO MENSAL UNITÁRIO                            (R$/M²)</t>
  </si>
  <si>
    <t>ÁREA (M²)</t>
  </si>
  <si>
    <t>SUBTOTAL (R$)</t>
  </si>
  <si>
    <t xml:space="preserve">TOTAL </t>
  </si>
  <si>
    <t>Prezados Senhores,</t>
  </si>
  <si>
    <t>Reajuste salarial:</t>
  </si>
  <si>
    <t>Cláusula ________</t>
  </si>
  <si>
    <t>Vigência da CCT:</t>
  </si>
  <si>
    <t xml:space="preserve">Data de Registro da CCT no M.T.E: </t>
  </si>
  <si>
    <t>Anexos:</t>
  </si>
  <si>
    <t>Atenciosamente,</t>
  </si>
  <si>
    <t>Carta/Com nº</t>
  </si>
  <si>
    <t>DATA DE APRESENTAÇÃO DA CARTA :</t>
  </si>
  <si>
    <t>44 horas semanais</t>
  </si>
  <si>
    <t>40 horas semanais</t>
  </si>
  <si>
    <t>Art.59 da CLT // Decreto-Lei nº 5452/43</t>
  </si>
  <si>
    <t>Previsto no Art.71, caput e § 4º da CLT. Enunciado da Súmula 437 do TST e Decisão TCDF 3679/2016. Foram consideradas a Súmula nº 132 e as OJ's nºs 47, 97 e 259 do TST, determinam a incidência de adicional sobre adicional. Cláusula 11ª SINDIGRAF - 40% (exposição de pelo 30% de sua jornada)</t>
  </si>
  <si>
    <t>Uniformes - Cláusula 42ª da CCT</t>
  </si>
  <si>
    <t xml:space="preserve">Bombeiro Civil Líder </t>
  </si>
  <si>
    <t xml:space="preserve">Bombeiro Civil Aeródromo </t>
  </si>
  <si>
    <t>Bombeiro Civil Instrutor</t>
  </si>
  <si>
    <t xml:space="preserve">Bombeiro Civil Salva-vidas </t>
  </si>
  <si>
    <t>(HORA/AULA)</t>
  </si>
  <si>
    <t>(DIÁRIA)</t>
  </si>
  <si>
    <t>De acordo com a autorização do Dr. Robério é para seguir os valores da CCT</t>
  </si>
  <si>
    <t>Plano Ambulatorial - Cláusula 12ª da CCT</t>
  </si>
  <si>
    <t>Assistência Odontológica - Cláusula 13ª da CCT</t>
  </si>
  <si>
    <t>Seguro de Vida e Assistência Funeral - Cláusula 15ª da CCT</t>
  </si>
  <si>
    <t>1. VALORES LIMITES DE SERVIÇOS DE LIMPEZA</t>
  </si>
  <si>
    <t>Área Interna</t>
  </si>
  <si>
    <t>PARÂMETROS MÍNIMOS ESTABELECIDOS, PARA UMA JORNADA DIÁRIA DE 8 HORAS:</t>
  </si>
  <si>
    <t>1. ÁREAS INTERNAS COM PRODUTIVIDADE DE 800 M² a 1.200 M²;</t>
  </si>
  <si>
    <t>2. ÁREAS EXTERNAS COM PRODUTIVIDADE DE DE 1.800 M² a 2.700 M²;</t>
  </si>
  <si>
    <t>Mínimo</t>
  </si>
  <si>
    <t>Máximo</t>
  </si>
  <si>
    <t>ÁREA INTERNA</t>
  </si>
  <si>
    <t xml:space="preserve">ENCARREGADO </t>
  </si>
  <si>
    <t xml:space="preserve">ESQUADRIA EXTERNA </t>
  </si>
  <si>
    <t>FACHADA ENVIDRAÇADA</t>
  </si>
  <si>
    <t>Mínimo + 10%</t>
  </si>
  <si>
    <t>Mínimo + 15%</t>
  </si>
  <si>
    <t>Mínimo + 20%</t>
  </si>
  <si>
    <t>Mínimo + 25%</t>
  </si>
  <si>
    <t>Mínimo + 30%</t>
  </si>
  <si>
    <t>Mínimo + 35%</t>
  </si>
  <si>
    <t>Mínimo + 40%</t>
  </si>
  <si>
    <t>Mínimo + 45%</t>
  </si>
  <si>
    <t>3. ESQUADRIAS EXTERNAS COM PRODUTIVIDADE DE DE 300 M² a 380 M²;</t>
  </si>
  <si>
    <t>4. FACHADA ENVIDRAÇADA COM PRODUTIVIDADE DE DE 130 M² a 160 M²;</t>
  </si>
  <si>
    <t xml:space="preserve"> Área física  (m²)</t>
  </si>
  <si>
    <t>Produtividade (m²)</t>
  </si>
  <si>
    <t>Adicional de Insalubridade</t>
  </si>
  <si>
    <t xml:space="preserve">Art.73 da CLT // Súmula nº 60 do TST // Orientação Jurisprudencial 259 SDI-I // Obs.: O horário entre 22hs e 07hs equivale a quantidade de 09 horas. 10,29h = 9h x 60min ÷ 52,50 hora noturna = 10,2857 horas adicionais </t>
  </si>
  <si>
    <t>Cláusula 10ª SINDRAD</t>
  </si>
  <si>
    <t>Vale Transporte - Cláusula 14ª da CCT</t>
  </si>
  <si>
    <t>Benefício Social Familiar - Cláusula 17ª da CCT</t>
  </si>
  <si>
    <t xml:space="preserve">- Cláusula 6ª, as empresas que alugam os veículos de propriedade dos MOTOCICLISTAS, ficam obrigadas a celebrar com os MOTOCICLISTAS, contrato expresso de locação para a utilização dos mesmos, nos termos da legislação civil vigente, cujo valor do aluguel não poderá ser inferior a R$ 416,90 por mês incidirá sobre o salário nominal efetivamente pago. No § 4º da mesma cláusula, a locação do veículo do MOTOCICLISTA também poderá ser remunerada com base no frete, ou seja, 25% do valor do frete para entregas efetuadas no segmento da alimentação e, nos demais segmentos de encomendas entregues, em percentual a ser definido entre as partes, e mediante contrato validado pelo SINDMOTO. Nestes casos, no valor em questão já estarão inclusos, além do aluguel da moto, o reembolso do combustível e o vale transporte, sendo vedado o recebimento de quantia mensal inferior a R$ 640,48. Quando o valor mensal exceder a R$ 1.242,44, a parcela excedente deste valor será considerada verba de natureza salarial, integrando a remuneração do empregado para todos os fins legais; </t>
  </si>
  <si>
    <t>Valor anual do serviço (valor mensal do serviço multiplicado pelo número de meses do contrato)</t>
  </si>
  <si>
    <t>Contribuição Assistencial Patronal - Cláusula 43ª da CCT</t>
  </si>
  <si>
    <r>
      <rPr>
        <b/>
        <sz val="11"/>
        <rFont val="Cambria"/>
        <family val="1"/>
        <scheme val="major"/>
      </rPr>
      <t>Nota 3:</t>
    </r>
    <r>
      <rPr>
        <sz val="11"/>
        <rFont val="Cambria"/>
        <family val="1"/>
        <scheme val="major"/>
      </rPr>
      <t xml:space="preserve"> Levando em consideração a vigência contratual prevista no art. 57 da Lei nº 8.666, de 23 de junho de 1993, a rubrica férias tem como objetivo principal suprir a necessidade do pagamento das férias remuneradas ao final do contrato de 12 meses. Esta rubrica, quando da prorrogação contratual, torna-se custo não renovável.</t>
    </r>
  </si>
  <si>
    <r>
      <rPr>
        <b/>
        <sz val="11"/>
        <color indexed="8"/>
        <rFont val="Cambria"/>
        <family val="1"/>
        <scheme val="major"/>
      </rPr>
      <t>Nota 3:</t>
    </r>
    <r>
      <rPr>
        <sz val="11"/>
        <color indexed="8"/>
        <rFont val="Cambria"/>
        <family val="1"/>
        <scheme val="major"/>
      </rPr>
      <t xml:space="preserve"> Esses percentuais incidem sobre o Módulo 1, o Submódulo 2.1.</t>
    </r>
  </si>
  <si>
    <t>Incidência de GPS, FGTS e outras contribuições sobre o aviso prévio trabalhado</t>
  </si>
  <si>
    <r>
      <rPr>
        <b/>
        <sz val="11"/>
        <rFont val="Cambria"/>
        <family val="1"/>
        <scheme val="major"/>
      </rPr>
      <t>Nota 1:</t>
    </r>
    <r>
      <rPr>
        <sz val="11"/>
        <rFont val="Cambria"/>
        <family val="1"/>
        <scheme val="major"/>
      </rPr>
      <t xml:space="preserve"> Os itens que contemplam o módulo 4 se referem ao custo dos dias trabalhados pelo repositor/substituto, quando o empregado alocado na prestação de serviço estiver ausente, conforme as previsões estabelecidas na legislação.</t>
    </r>
  </si>
  <si>
    <t>SUBSTITUTO NAS AUSÊNCIAS LEGAIS</t>
  </si>
  <si>
    <t>Substituto na cobertura de Férias</t>
  </si>
  <si>
    <t>Substituto na cobertura de Ausências Legais</t>
  </si>
  <si>
    <t>Substituto na cobertura de Licença-Paternidade</t>
  </si>
  <si>
    <t>Substituto na cobertura de Ausência por acidente de trabalho</t>
  </si>
  <si>
    <t>Substituto na cobertura de Afastamento Maternidade</t>
  </si>
  <si>
    <t>Submódulo 4.2 - Substituto na Intrajornada</t>
  </si>
  <si>
    <t>Substituo na Intrajornada</t>
  </si>
  <si>
    <t>Substituto na cobertura de intervalo para repouso ou alimentação</t>
  </si>
  <si>
    <t>Submódulo 4.1 - Subtituto nas Ausências Legais</t>
  </si>
  <si>
    <t>Substituto nas Ausências Legais</t>
  </si>
  <si>
    <t>FREQUÊNCIA NO MÊS           (HORAS)</t>
  </si>
  <si>
    <t>JORNADA DE TRABALHO NO SEMESTRE                  (HORAS)</t>
  </si>
  <si>
    <t xml:space="preserve">Base de Cálculo: Módulo 1 (Remuneração) </t>
  </si>
  <si>
    <r>
      <rPr>
        <b/>
        <strike/>
        <sz val="11"/>
        <rFont val="Cambria"/>
        <family val="1"/>
        <scheme val="major"/>
      </rPr>
      <t>Nota 2:</t>
    </r>
    <r>
      <rPr>
        <strike/>
        <sz val="11"/>
        <rFont val="Cambria"/>
        <family val="1"/>
        <scheme val="major"/>
      </rPr>
      <t xml:space="preserve"> O adicional de férias contido no Submódulo 2.1 corresponde a 1/3 (um terço) da remuneração que por sua vez é divido por 12 (doze) conforme Nota 1 acima.</t>
    </r>
    <r>
      <rPr>
        <sz val="11"/>
        <rFont val="Cambria"/>
        <family val="1"/>
        <scheme val="major"/>
      </rPr>
      <t xml:space="preserve"> REVOGADO CONFORME ART.2º IN 07/2018.</t>
    </r>
  </si>
  <si>
    <r>
      <rPr>
        <b/>
        <strike/>
        <sz val="11"/>
        <rFont val="Cambria"/>
        <family val="1"/>
        <scheme val="major"/>
      </rPr>
      <t>Nota 2:</t>
    </r>
    <r>
      <rPr>
        <strike/>
        <sz val="11"/>
        <rFont val="Cambria"/>
        <family val="1"/>
        <scheme val="major"/>
      </rPr>
      <t xml:space="preserve"> Haverá a incidência do Submódulo 2.2 sobre esse módulo.</t>
    </r>
    <r>
      <rPr>
        <sz val="11"/>
        <rFont val="Cambria"/>
        <family val="1"/>
        <scheme val="major"/>
      </rPr>
      <t xml:space="preserve"> REVOGADO CONFORME ART.2º IN 07/2018.</t>
    </r>
  </si>
  <si>
    <r>
      <rPr>
        <b/>
        <strike/>
        <sz val="11"/>
        <rFont val="Cambria"/>
        <family val="1"/>
        <scheme val="major"/>
      </rPr>
      <t>Nota:</t>
    </r>
    <r>
      <rPr>
        <strike/>
        <sz val="11"/>
        <rFont val="Cambria"/>
        <family val="1"/>
        <scheme val="major"/>
      </rPr>
      <t xml:space="preserve"> As alíneas “A” a “F” referem-se somente ao custo que será pago ao repositor pelos dias trabalhados quando da necessidade de substituir a mão de obra alocada na prestação do serviço</t>
    </r>
    <r>
      <rPr>
        <sz val="11"/>
        <rFont val="Cambria"/>
        <family val="1"/>
        <scheme val="major"/>
      </rPr>
      <t>. REVOGADO CONFORME ART.2º IN 07/2018.</t>
    </r>
  </si>
  <si>
    <t>Obs.: Conforme Anexo VI-B da IN SGES/MPDG nº 05/2017 item 9, nos casos em que a área física a ser contratada for menor que a estabelecida para a produtividade mínima de referência estabelecida, esta poderá ser considerada para efeito da contratação.</t>
  </si>
  <si>
    <t>OUTROS BENEFÍCIOS MENSAIS E DIÁRIOS - SUBMÓDULO 2.3</t>
  </si>
  <si>
    <t>MEMÓRIA DE CÁLCULO - BENEFÍCIOS MENSAIS E DIÁRIOS (SUBMÓDULO 2.3)</t>
  </si>
  <si>
    <t>C.1</t>
  </si>
  <si>
    <t>C.2</t>
  </si>
  <si>
    <r>
      <t xml:space="preserve">Recolhimento de impostos e contribuições incidentes sobre o faturamento. (Módulo 1 + Módulo 2 + Módulo 3 + Módulo 4 + Módulo 5 + Custos Indiretos + Lucro) </t>
    </r>
    <r>
      <rPr>
        <sz val="11"/>
        <color indexed="8"/>
        <rFont val="Calibri"/>
        <family val="2"/>
      </rPr>
      <t>÷</t>
    </r>
    <r>
      <rPr>
        <sz val="11"/>
        <color indexed="8"/>
        <rFont val="Cambria"/>
        <family val="1"/>
        <scheme val="major"/>
      </rPr>
      <t xml:space="preserve"> (1 – Soma dos percentuais de tributos)</t>
    </r>
  </si>
  <si>
    <t>Calculado mediante incidência percentual sobre  o somatório da Remuneração, Encargos e Benefícios Anuais, Mensais e Diários, Provisão para Rescisão, Custos de Reposição do Profissional, Insumos Diversos e Custos Indiretos. (Módulo 1 + Módulo 2 + Módulo 3 + Módulo 4 + Módulo 5 + Custos Indiretos) x Percentual de Lucro</t>
  </si>
  <si>
    <t>Calculado mediante incidência percentual sobre  o somatório da Remuneração, Encargos e Benefícios Anuais, Mensais e Diários, Provisão para Rescisão, Custos de Reposição do Profissional e Insumos Diversos. (Módulo 1 + Módulo 2 + Módulo 3 + Módulo 4 + Módulo 5) x Percentual de Custos Indiretos</t>
  </si>
  <si>
    <t>MEMÓRIA DE CÁLCULO - CUSTOS INDIRETOS, LUCRO E TRIBUTOS (MÓDULO 6)</t>
  </si>
  <si>
    <t>Cláusula 5ª, item I da CCT</t>
  </si>
  <si>
    <t>Cláusula 5ª, item II da CCT</t>
  </si>
  <si>
    <t>Cláusula 4ª, § único da CCT</t>
  </si>
  <si>
    <t>- Cláusula 15ª - Plano de Saúde, é o Convênio ou do Departamento Médico da Empresa, neste caso atualmente a Empresa utiliza o SAÚDE SIM (R$ 139,00). Ficam estabelecidos no § 2º da mesma cláusula, os percentuais abaixo determinados para fins de contribuição das empresas do valor devido para cada beneficiário do convênio da assistência médica hospitalar:</t>
  </si>
  <si>
    <t>- Cláusula 54ª, as empresas efetuarão desconto em folha de pagamento de mensalidade e Assistência Odontológica dos trabalhadores sindicalizados ao SINDPD.</t>
  </si>
  <si>
    <t>Contribuição Assistencial Patronal - Cláusula 53ª da CCT</t>
  </si>
  <si>
    <t>Esses percentuais incidem sobre o Módulo 1 (Remuneração).</t>
  </si>
  <si>
    <r>
      <t>S</t>
    </r>
    <r>
      <rPr>
        <vertAlign val="subscript"/>
        <sz val="11"/>
        <rFont val="Cambria"/>
        <family val="1"/>
        <scheme val="major"/>
      </rPr>
      <t xml:space="preserve">int </t>
    </r>
    <r>
      <rPr>
        <sz val="11"/>
        <rFont val="Cambria"/>
        <family val="1"/>
        <scheme val="major"/>
      </rPr>
      <t>= Área Interna ÷ Produtividade</t>
    </r>
  </si>
  <si>
    <r>
      <t>S</t>
    </r>
    <r>
      <rPr>
        <vertAlign val="subscript"/>
        <sz val="11"/>
        <rFont val="Cambria"/>
        <family val="1"/>
        <scheme val="major"/>
      </rPr>
      <t xml:space="preserve">ext </t>
    </r>
    <r>
      <rPr>
        <sz val="11"/>
        <rFont val="Cambria"/>
        <family val="1"/>
        <scheme val="major"/>
      </rPr>
      <t>= Área Externa ÷ Produtividade</t>
    </r>
  </si>
  <si>
    <r>
      <t>S</t>
    </r>
    <r>
      <rPr>
        <vertAlign val="subscript"/>
        <sz val="11"/>
        <rFont val="Cambria"/>
        <family val="1"/>
        <scheme val="major"/>
      </rPr>
      <t xml:space="preserve">esq </t>
    </r>
    <r>
      <rPr>
        <sz val="11"/>
        <rFont val="Cambria"/>
        <family val="1"/>
        <scheme val="major"/>
      </rPr>
      <t>= (Esquadria Externa/Face ÷ Produtividade) x (1 ÷ 188,76) (*)</t>
    </r>
  </si>
  <si>
    <r>
      <t>S</t>
    </r>
    <r>
      <rPr>
        <vertAlign val="subscript"/>
        <sz val="11"/>
        <rFont val="Cambria"/>
        <family val="1"/>
        <scheme val="major"/>
      </rPr>
      <t xml:space="preserve">esq </t>
    </r>
    <r>
      <rPr>
        <sz val="11"/>
        <rFont val="Cambria"/>
        <family val="1"/>
        <scheme val="major"/>
      </rPr>
      <t>= (Fachada envidraçada ÷ Produtividade) x (1 ÷ 1.132,60) x 6 (**)</t>
    </r>
  </si>
  <si>
    <r>
      <t>S</t>
    </r>
    <r>
      <rPr>
        <vertAlign val="subscript"/>
        <sz val="11"/>
        <rFont val="Cambria"/>
        <family val="1"/>
        <scheme val="major"/>
      </rPr>
      <t xml:space="preserve">t </t>
    </r>
    <r>
      <rPr>
        <sz val="11"/>
        <rFont val="Cambria"/>
        <family val="1"/>
        <scheme val="major"/>
      </rPr>
      <t>= Sint + Sext + Sesq + Senv</t>
    </r>
  </si>
  <si>
    <r>
      <rPr>
        <b/>
        <sz val="11"/>
        <rFont val="Cambria"/>
        <family val="1"/>
        <scheme val="major"/>
      </rPr>
      <t xml:space="preserve">Nota 2: </t>
    </r>
    <r>
      <rPr>
        <sz val="11"/>
        <rFont val="Cambria"/>
        <family val="1"/>
        <scheme val="major"/>
      </rPr>
      <t xml:space="preserve">Para o empregado que labora a jornada 12x36, em caso da não concessão ou concessão parcial do </t>
    </r>
    <r>
      <rPr>
        <b/>
        <sz val="11"/>
        <rFont val="Cambria"/>
        <family val="1"/>
        <scheme val="major"/>
      </rPr>
      <t>intervalo intrajornada</t>
    </r>
    <r>
      <rPr>
        <sz val="11"/>
        <rFont val="Cambria"/>
        <family val="1"/>
        <scheme val="major"/>
      </rPr>
      <t xml:space="preserve"> (§ 4º do art. 71 da CLT), o valor a ser pago será inserido na remuneração utilizando a alínea “F”.</t>
    </r>
  </si>
  <si>
    <t>PISOS ACARPETADOS</t>
  </si>
  <si>
    <t>PISOS FRIOS</t>
  </si>
  <si>
    <t>LABORATÓRIOS</t>
  </si>
  <si>
    <t>ALMOXARIFADOS/GALPÕES</t>
  </si>
  <si>
    <t>OFICINAS</t>
  </si>
  <si>
    <t>ÁREAS COM ESPAÇOS LIVRES - SAGUÃO, HALL E SALÃO</t>
  </si>
  <si>
    <t>BANHEIROS</t>
  </si>
  <si>
    <t>PISOS PAVIMENTADOS ADJACENTES/CONTÍGUOS ÀS EDIFICAÇÕES</t>
  </si>
  <si>
    <t>VARRIAÇÃO DE PASSEIOS E ARRUAMENTOS</t>
  </si>
  <si>
    <t>PÁTIOS E ÁREAS VERDES COM ALTA FREQUÊNCIA</t>
  </si>
  <si>
    <t>PÁTIOS E ÁREAS VERDES COM MÉDIA FREQUÊNCIA</t>
  </si>
  <si>
    <t>PÁTIOS E ÁREAS VERDES COM BAIXA FREQUÊNCIA</t>
  </si>
  <si>
    <t>COLETA DE DETRITOS EM PÁTIOS E ÁREAS VERDES COM FREQUÊNCIA DIÁRIA</t>
  </si>
  <si>
    <t xml:space="preserve">FACE EXTERNA COM EXPOSIÇÃO A SITUAÇÃO DE RISCO </t>
  </si>
  <si>
    <t xml:space="preserve">FACE EXTERNA SEM EXPOSIÇÃO A SITUAÇÃO DE RISCO </t>
  </si>
  <si>
    <t xml:space="preserve">FACE INTERNA </t>
  </si>
  <si>
    <t>ÁREA HOSPITALARES E ASSEMELHADAS</t>
  </si>
  <si>
    <t>ÁREA HOSP. E ASSEM.</t>
  </si>
  <si>
    <t>Pisos Acarpetados</t>
  </si>
  <si>
    <t>Laboratórios</t>
  </si>
  <si>
    <t>Almoxarifados/Galpões</t>
  </si>
  <si>
    <t>Oficinas</t>
  </si>
  <si>
    <t>Áreas com espaços livres - saguão, hall e salão</t>
  </si>
  <si>
    <t>Banheiros</t>
  </si>
  <si>
    <t>Pisos pavimentos adjacentes/contíguos às edificações</t>
  </si>
  <si>
    <t>Varriação de passeios e arruamentos</t>
  </si>
  <si>
    <t>Pátios e áreas verdes com alta frequência</t>
  </si>
  <si>
    <t>Pátios e áreas verdes com média frequência</t>
  </si>
  <si>
    <t>Pátios e áreas verdes com baixa frequência</t>
  </si>
  <si>
    <t>Coleta de detritos em pátios e áreas verdes com frequência diária</t>
  </si>
  <si>
    <t>Esquadrias Externas</t>
  </si>
  <si>
    <t>Áreas Hospitalares e Assemelhadas</t>
  </si>
  <si>
    <t>Face externa com exposição a situação de risco</t>
  </si>
  <si>
    <t>Face externa sem exposição a situação de risco</t>
  </si>
  <si>
    <t>Face interna</t>
  </si>
  <si>
    <t>5. ÁREAS HOSPITALARES E ASSEMELHADAS COM PRODUTIVIDADE DE DE 360 M² a 450 M²;</t>
  </si>
  <si>
    <t>Uniformes - Cláusula 31ª da CCT</t>
  </si>
  <si>
    <t>Plano Ambulatorial - Cláusula 16ª da CCT</t>
  </si>
  <si>
    <t xml:space="preserve">Uniformes - Cláusula 53ª da CCT </t>
  </si>
  <si>
    <t>TARM- Radio-Telefonista do SAMU-DF</t>
  </si>
  <si>
    <t>Auxílio Creche - Cláusula 14ª da CCT</t>
  </si>
  <si>
    <t xml:space="preserve">Art. 193 da CLT // Súmula nº 132/TST // Cláusula 12ª SINDISERVIÇOS - Jauzeiro // Lei nº 12.997/2014 - Motociclista // Lei nº 11.901/09 e Cláusula 9ª SINDBOMBEIROS/SEAC-DF 2019// Cláusula 3ª § 4º do DC e Lei nº 12.740/12 </t>
  </si>
  <si>
    <t>Desconto de coparticipação do empregado</t>
  </si>
  <si>
    <t>Auxílio Alimentação - Cláusula 14ª da CCT</t>
  </si>
  <si>
    <t>Desconto do Auxílio Alimentação</t>
  </si>
  <si>
    <t>DESCONTO DE COPARTICIPAÇÃO DO EMPREGADO DO VALE ALIMENTAÇÃO</t>
  </si>
  <si>
    <t>Custo do Desconto do Alimentação                      [c] = - [b] x [a]</t>
  </si>
  <si>
    <t>- Cláusula 13ª § 4º - Auxílio Alimentação, em cumprimento ao PAT, fica estabelecido o desconto limitado a R$ 0,30 do valor do referido benefício, que deverá ser multiplicado pelo número total de vales alimentação fornecido ao trabalhador;</t>
  </si>
  <si>
    <t>Auxílio Lazer/Cultura</t>
  </si>
  <si>
    <t xml:space="preserve">[(1÷12) x 0,035] x 100 = 0,29% = 8,33% + 11,11% x 0,29% = 0,056% = 0,29% + 0,056% </t>
  </si>
  <si>
    <t xml:space="preserve">{[(7 ÷ 30)] ÷ 12} x 100 </t>
  </si>
  <si>
    <r>
      <t xml:space="preserve">[(1 </t>
    </r>
    <r>
      <rPr>
        <sz val="10"/>
        <color indexed="8"/>
        <rFont val="Cambria"/>
        <family val="1"/>
        <scheme val="major"/>
      </rPr>
      <t xml:space="preserve">÷ 12) +  (1÷ 3) x (1 ÷ 12)] x 100 = 11,11% ÷ 12 </t>
    </r>
  </si>
  <si>
    <t xml:space="preserve">[(5,14 ÷ 30) ÷ 12] x 100 </t>
  </si>
  <si>
    <t xml:space="preserve">{[(5÷30)÷12] x 0,015} x 100 </t>
  </si>
  <si>
    <t>{[(15÷30)÷12] x 0,08} x 100</t>
  </si>
  <si>
    <t xml:space="preserve">{(8,33% x 4) + (11,11% x 4)} ÷12 x 0,015 x 100 </t>
  </si>
  <si>
    <r>
      <t xml:space="preserve">[(1 </t>
    </r>
    <r>
      <rPr>
        <sz val="10"/>
        <color indexed="8"/>
        <rFont val="Cambria"/>
        <family val="1"/>
        <scheme val="major"/>
      </rPr>
      <t xml:space="preserve">÷ 11) x 100] </t>
    </r>
  </si>
  <si>
    <t>[(1÷12) x 0,05] x 100</t>
  </si>
  <si>
    <t xml:space="preserve">[(1÷12) x 0,05] x 100 </t>
  </si>
  <si>
    <t xml:space="preserve">[(33÷365) x 0,20] x 100 </t>
  </si>
  <si>
    <t xml:space="preserve">[(1÷12) x 0,163] x 100 </t>
  </si>
  <si>
    <t>[(1÷12) x 0,18] x 100</t>
  </si>
  <si>
    <t xml:space="preserve">{[(7 ÷ 30)] ÷ 12} x 0,05 x 100 </t>
  </si>
  <si>
    <t xml:space="preserve">{[(7 ÷ 30)] ÷ 12} x 0,02 x 100 </t>
  </si>
  <si>
    <t>{[(7 ÷ 30)] ÷ 12} x 100</t>
  </si>
  <si>
    <r>
      <t xml:space="preserve">[(5 </t>
    </r>
    <r>
      <rPr>
        <sz val="10"/>
        <color indexed="8"/>
        <rFont val="Cambria"/>
        <family val="1"/>
        <scheme val="major"/>
      </rPr>
      <t>÷ 56) +  (1÷ 3 x 5 ÷ 56)] x 100 = 11,91% ÷ 12</t>
    </r>
  </si>
  <si>
    <r>
      <t xml:space="preserve">(12,10% </t>
    </r>
    <r>
      <rPr>
        <sz val="10"/>
        <color indexed="8"/>
        <rFont val="Cambria"/>
        <family val="1"/>
        <scheme val="major"/>
      </rPr>
      <t xml:space="preserve">÷ 12) </t>
    </r>
  </si>
  <si>
    <t>[(6,97 ÷ 30) ÷ 12] x 100</t>
  </si>
  <si>
    <t xml:space="preserve">[(8,92 ÷ 30) ÷ 12] x 100  </t>
  </si>
  <si>
    <t>[(14 ÷ 30) ÷ 12] x 100</t>
  </si>
  <si>
    <t xml:space="preserve">[(8 ÷ 30) ÷ 12] x 100 </t>
  </si>
  <si>
    <t xml:space="preserve">[(6,4 ÷ 30) ÷ 12] x 100 </t>
  </si>
  <si>
    <t xml:space="preserve">[(6,97 ÷ 30) ÷ 12] x 100 </t>
  </si>
  <si>
    <t>{[(5÷30)÷12] x 0,015} x 100</t>
  </si>
  <si>
    <t>{[(5÷30)÷12] x 0,075} x 100</t>
  </si>
  <si>
    <t xml:space="preserve">{[(5÷30)÷12] x 0,45} x 100 </t>
  </si>
  <si>
    <t xml:space="preserve">{[(5÷30)÷12] x 0,02} x 100 </t>
  </si>
  <si>
    <t xml:space="preserve">{[(15÷30)÷12] x 0,0078} x 100 </t>
  </si>
  <si>
    <t xml:space="preserve">{(8,93% x 4) + (11,91% x 4)} ÷12 x 0,126 x 100 </t>
  </si>
  <si>
    <t xml:space="preserve">{(9,09% x 4) + (12,12% x 4)} ÷12 x 0,004 x 100 </t>
  </si>
  <si>
    <t>{[(15÷30)÷12] x 0,10} x 100</t>
  </si>
  <si>
    <t>{(8,33% x 4) + (12,10% x 4)} ÷12 x 0,0025 x 100</t>
  </si>
  <si>
    <t xml:space="preserve">{[(15÷30)÷12] x 0,10} x 100 </t>
  </si>
  <si>
    <t xml:space="preserve">{(8,33% x 4) + (12,10% x 4)} ÷12 x 0,05 x 100 </t>
  </si>
  <si>
    <t xml:space="preserve">{[(15÷30)÷12] x 0,067} x 100 </t>
  </si>
  <si>
    <t>{[(15÷30)÷12] x 0,0078} x 100</t>
  </si>
  <si>
    <t xml:space="preserve">{(8,33% x 4) + (12,10% x 4)} ÷12 x 0,005 x 100 </t>
  </si>
  <si>
    <t>Número de Registro M.T.E:</t>
  </si>
  <si>
    <t>CONTRATO Nº __________/201__ - CONTRATANTE - PRESTAÇÃO DE SERVIÇOS --------</t>
  </si>
  <si>
    <t xml:space="preserve">REPACTUAÇÃO CONTRATUAL 20___ - </t>
  </si>
  <si>
    <t xml:space="preserve">       Informamos que após a autorização por esse Órgão da repactuação, faremos  os ajustes das diferenças encontradas. Informamos ainda, que a metodologia de cálculo utilizada na atualização dos preços seguiu o mesmo critério adotado na proposta inicial que deu origem ao contrato.</t>
  </si>
  <si>
    <t xml:space="preserve">        Com efeito, ao tempo que apensamos toda documentação necessária para análise célere e conclusão da repactuação em tela, para facilitar eventuais necessidades de esclarecimentos, disponibilizamos o telefone (61) 3878-3447 e endereço eletrônico contratos@brasfort.com.br, na pessoa da Sra. Denilma Bomfim.</t>
  </si>
  <si>
    <t>- Comprovante FAP.</t>
  </si>
  <si>
    <r>
      <t xml:space="preserve">        Nessa oportunidade, destacamos, o artigo 57, </t>
    </r>
    <r>
      <rPr>
        <i/>
        <sz val="11"/>
        <color indexed="8"/>
        <rFont val="Cambria"/>
        <family val="1"/>
        <scheme val="major"/>
      </rPr>
      <t xml:space="preserve">§ 3º da Instrução Normativa nº 5/2017 do MPOG que dispõe: “§ 3º A </t>
    </r>
    <r>
      <rPr>
        <b/>
        <i/>
        <u/>
        <sz val="11"/>
        <color indexed="8"/>
        <rFont val="Cambria"/>
        <family val="1"/>
        <scheme val="major"/>
      </rPr>
      <t>decisão</t>
    </r>
    <r>
      <rPr>
        <b/>
        <i/>
        <sz val="11"/>
        <color indexed="8"/>
        <rFont val="Cambria"/>
        <family val="1"/>
        <scheme val="major"/>
      </rPr>
      <t xml:space="preserve"> sobre o pedido de repactuação deve ser feita no </t>
    </r>
    <r>
      <rPr>
        <b/>
        <i/>
        <u/>
        <sz val="11"/>
        <color indexed="8"/>
        <rFont val="Cambria"/>
        <family val="1"/>
        <scheme val="major"/>
      </rPr>
      <t>prazo máximo de sessenta dias</t>
    </r>
    <r>
      <rPr>
        <i/>
        <sz val="11"/>
        <color indexed="8"/>
        <rFont val="Cambria"/>
        <family val="1"/>
        <scheme val="major"/>
      </rPr>
      <t xml:space="preserve">, contados a partir da solicitação e da entrega dos comprovantes de variação dos custos.” </t>
    </r>
    <r>
      <rPr>
        <sz val="11"/>
        <color indexed="8"/>
        <rFont val="Cambria"/>
        <family val="1"/>
        <scheme val="major"/>
      </rPr>
      <t>(sublinhamos), visando a manutenção do equilíbrio econômico necessário ao contrato prevista no Art. 37, XXI da Constituição Federal.</t>
    </r>
  </si>
  <si>
    <r>
      <t>- A Convenção registrada pode ser consultada no portal do trabalhador - Mediador:</t>
    </r>
    <r>
      <rPr>
        <i/>
        <sz val="11"/>
        <rFont val="Cambria"/>
        <family val="1"/>
        <scheme val="major"/>
      </rPr>
      <t xml:space="preserve"> http://www3.mte.gov.br/sistemas/mediador/Home;</t>
    </r>
  </si>
  <si>
    <t>Assunto:</t>
  </si>
  <si>
    <t>Referência:</t>
  </si>
  <si>
    <t>- Planilhas demonstrativas de atualizações de preços a partir de 01/01/2019;</t>
  </si>
  <si>
    <t>- Convenção Coletiva de Trabalho --------------;</t>
  </si>
  <si>
    <t>Art.59 da CLT // Decreto-Lei nº 5452/44 // Cláusula 9ª alínea "a" SINDRAD - 70%</t>
  </si>
  <si>
    <t>Revisor especialista em informação, documentação e pesquisa audiovisual</t>
  </si>
  <si>
    <t>Assistente de Clipping</t>
  </si>
  <si>
    <t>Auxiliar de Informação, Documentação e Pesquisa Audiovisual (Rádio e TV)</t>
  </si>
  <si>
    <t>Editor de Fotografia</t>
  </si>
  <si>
    <t>Gerente de Projetos em TV Digital</t>
  </si>
  <si>
    <t>Intérprete de Libras de TV</t>
  </si>
  <si>
    <t>Monitor de Controle de Qualidade de TV</t>
  </si>
  <si>
    <t>Operador de Fotografia Digital</t>
  </si>
  <si>
    <t>Supervisor de Clipping</t>
  </si>
  <si>
    <t>Desconto do Auxílio Alimentação - Cláusula 13ª c/c § 4º da CCT</t>
  </si>
  <si>
    <t>Seguro de Vida e Assistência Funeral - Cláusula 18ª da CCT</t>
  </si>
  <si>
    <t>Treinamento/capacitação/reciclagem - Cláusulas 33ª da CCT</t>
  </si>
  <si>
    <t>Auxílio Creche/Similares - Cláusula 17ª da CCT</t>
  </si>
  <si>
    <t>Assistência Odontológica - Cláusula 16ª da CCT</t>
  </si>
  <si>
    <t>01/05/2019 a 30/04/2020</t>
  </si>
  <si>
    <t>2019/2020</t>
  </si>
  <si>
    <t>DF000358/2019</t>
  </si>
  <si>
    <t>- Cláusula 12ª alínea "a" e §3º - Auxílio Alimentação, as empresas concederão para os empregados com jornada de 6 horas que exercem suas atividades dentro da empresa o valor de R$ 24,14 por dia. E para as empresas que aderirem ao PAT poderão promover o desconto conforme mencionado abaixo:</t>
  </si>
  <si>
    <t>01/01/2019 a 31/12/2020</t>
  </si>
  <si>
    <t>DF000482/2019</t>
  </si>
  <si>
    <t>Secretaria</t>
  </si>
  <si>
    <t>Treinamento/capacitação/reciclagem - Cláusula 30ª da CCT</t>
  </si>
  <si>
    <t>Contribuição Assistencial Patronal - Cláusula 60ª da CCT</t>
  </si>
  <si>
    <t>Assistente de Operações Audiovisuais</t>
  </si>
  <si>
    <t>Comunicador</t>
  </si>
  <si>
    <t>Controlador de Operações</t>
  </si>
  <si>
    <t>Controlador de Programação</t>
  </si>
  <si>
    <t>Editor de Mídia Audiovisual</t>
  </si>
  <si>
    <t>Operador de Mídia Audiovisual</t>
  </si>
  <si>
    <t>Produtor de Rádio e TV</t>
  </si>
  <si>
    <t>Técnico de Sistemas Audiovisuais</t>
  </si>
  <si>
    <t>- Cláusula 18ª - Assistência Funeral e Seguro de Vida, serão assegurados ao trabalhador o direito ao recebimento dos valores correspondentes de R$ 4.000,00 e R$ 10.000,00, respectivamente;</t>
  </si>
  <si>
    <t>- Cláusula 19ª, empresa fornecerá aos empregados, que por força de contrato tenham que utilizar-se de vestimentas especiais a título de auxílio vestuário o valor de R$ 939,12 (novecentos e trinta e nove reais e doze centavos), a cada 6 (seis) meses, respeitando a semestralidade conforme a data de início do contrato.</t>
  </si>
  <si>
    <t>- Cláusula 16ª, As empresas, condicionadas à prévia, expressa e formal autorização por parte dos empregados radialistas associados, descontarão em folha, as contribuições referentes à assistência odontológica conveniadas com o Sindicato Laboral.;</t>
  </si>
  <si>
    <t>CBO 3515-05</t>
  </si>
  <si>
    <t>CBO 2523-05</t>
  </si>
  <si>
    <t>CBO 2523-10</t>
  </si>
  <si>
    <t>Seguro de Vida e Assistência Funeral - Cláusula 16ª da CCT</t>
  </si>
  <si>
    <t>Auxílio Morte/Funeral - Cláusula 12ª da CCT</t>
  </si>
  <si>
    <t>Contribuição Sindical Patronal da Categoria - Cláusula 42ª da CCT</t>
  </si>
  <si>
    <t>- Cláusulas 7ª, Fica facultado ao empregador conceder o adicional de salários em percentuais e periodicidade de acordo com as políticas internas da instituição com as políticas internas da instituição;</t>
  </si>
  <si>
    <t>- Cláusula 11ª - Auxílio Funeral,No caso de falecimento do empregado (a), o empregador pagará a título de Auxílio Funeral, juntamente com saldo de salários e outras verbas remanescentes, o valor correspondente a 01 (um) salário mínimo.</t>
  </si>
  <si>
    <t>VALOR TOTAL ANUAL</t>
  </si>
  <si>
    <t>5143-20</t>
  </si>
  <si>
    <t>encarregado de limpeza</t>
  </si>
  <si>
    <t>Lei nº 7.418 de 16/12/1985 // Lei nº 7.619 de 30/09/1987 // Decreto nº 95.247 de 16/11/1987 // Decreto nº 37.940 de 30/12/2016 // ANTT 25/02/2017  // Resolução nº 5.732 de 15/02/2018,  Decreto nº40.381, de 09 de janeiro de 2020 // Decreto nº 40.39, de 16 de janeiro de 2020 // Deliberação nº 104/2020, de 20/02/2020.</t>
  </si>
  <si>
    <t>Auxílio Alimentação - Cláusula 09ª da CCT</t>
  </si>
  <si>
    <t>Plano Ambulatorial - Cláusula 11ª da CCT</t>
  </si>
  <si>
    <t>Cláusula 4ª, caput da CCT</t>
  </si>
  <si>
    <t>Auxílio Alimentação - Cláusula 11ª da CCT</t>
  </si>
  <si>
    <t>Auxílio Transporte - Cláusula 12ª da CCT</t>
  </si>
  <si>
    <t>Plano Ambulatorial - Cláusula 13ª da CCT</t>
  </si>
  <si>
    <t>Assistência Odontológica - Cláusula 14ª da CCT</t>
  </si>
  <si>
    <t>Auxílio Lazer/Cultura - Cláusula 17ª da CCT</t>
  </si>
  <si>
    <t>Treinamento/capacitação/reciclagem - Cláusula 34ª da CCT</t>
  </si>
  <si>
    <t>- Cláusula 15ª - Seguro de Vida em Grupo: Assistência Funeral no valor  de R$ 3.300,00 e Seguro de Vida no valor de 20 (vinte) salários normativos da categoria:</t>
  </si>
  <si>
    <t>Contribuição Assistencial Patronal - Cláusula 34ª da CCT</t>
  </si>
  <si>
    <t>- Cláusula 10ª - Auxílio Alimentação, em cumprimento ao PAT, o desconto relativo a este auxílio será de até 15% do valor do benefício. No § 9º - os empregados efetivamente associados ao Sinttel-DF, terão o desconto máximo de R$ 0,50 do valor do referido benefício;</t>
  </si>
  <si>
    <t>- Cláusula 16ª - Seguro de Vida e Assistência Funeral, serão assegurados ao trabalhador o direito ao recebimento dos valores correspondentes de 26  valores do salário base recebido e R$ 3.000,00, respectivamente.</t>
  </si>
  <si>
    <t>Plano de Saúde - Contr. Empresa</t>
  </si>
  <si>
    <t>Plano de Saúde - Contr. Empregado</t>
  </si>
  <si>
    <t>Seguro de Vida e Assistência Funeral - Cláusula 13ª da CCT</t>
  </si>
  <si>
    <t>Assistência Odontológica - Cláusula 12ª da CCT</t>
  </si>
  <si>
    <t>- Cláusula 12ª, As empresas procederão ao desconto nos salários dos seus empregados a importância de R$ 32,67</t>
  </si>
  <si>
    <t>- Cláusula 13ª - Assistência Funeral e Seguro de Vida, os benefícios serão instituídos nos valores de R$ 3.000,00 para Assistência Funeral e R$ 6.000,00 para Seguro de Vida;</t>
  </si>
  <si>
    <t>- Cláusula 15ª - Reembolso de despesas com as viagens, as empresas adiantará aos empregados a importância de R$ 150,00 para cobertura de despesas com alimentação e de R$ 200,00 em havendo necessidade de pernoitar.</t>
  </si>
  <si>
    <t>Os documentos complementares a proposta, estão apensos aos Documentos de Habilitação.</t>
  </si>
  <si>
    <t>Observação:</t>
  </si>
  <si>
    <t xml:space="preserve">MODO DE DISPUTA </t>
  </si>
  <si>
    <t>QTD</t>
  </si>
  <si>
    <t>VLR. UNITÁRIO</t>
  </si>
  <si>
    <t>VLR. TOTAL</t>
  </si>
  <si>
    <t xml:space="preserve">VALOR TOTAL </t>
  </si>
  <si>
    <t>CADASTRO NO COMPRASNET</t>
  </si>
  <si>
    <t>Acréscimos ou supressões (Cláusula XXª MC)</t>
  </si>
  <si>
    <t>Declaramos que iremos cumprir os termos das Convenções Coletivas de Trabalho mencionadas no quadro abaixo, e de que reconhecemos as Categorias Sindicais, como sendo aquelas que regerão durante a vigência do contrato os salários e benefícios dos profissionais a serem alocados na execução dos serviços objeto do Edital em epígrafe. Os reajustes terão como base os mesmos percentuais acordados na data-base.</t>
  </si>
  <si>
    <t>A empresa resguarda o direito a repactuação da nova data-base XXXX/XXXX, que já foi registrada nos termos legais sob o nº DF00XXXX/20XX em XX/XX/XXXX, no ato da assinatura do contrato, caso seja vencedora.</t>
  </si>
  <si>
    <t>Plano Ambulatorial - Contr. Empresa - Cláusula 16ª da CCT</t>
  </si>
  <si>
    <t>Plano Ambulatorial - Contr. Empregado - Cláusula 16ª da CCT</t>
  </si>
  <si>
    <t>Plano Ambulatorial - Contr. Empresa - Cláusula 15ª da CCT</t>
  </si>
  <si>
    <t>Plano Ambulatorial - Contr. Empregado - Cláusula 15ª da CCT</t>
  </si>
  <si>
    <t>Plano Ambulatorial - Contr. Empresa - Cláusula 12ª da CCT</t>
  </si>
  <si>
    <t>Plano Ambulatorial - Contr. Empregado - Cláusula 12ª da CCT</t>
  </si>
  <si>
    <t>Assistência Médico-Hospitalar - Contr.Empresa - Cláusula 15ª da CCT</t>
  </si>
  <si>
    <t>Assistência Médico-Hospitalar - Contr.Empregado - Cláusula 15ª da CCT</t>
  </si>
  <si>
    <t>Plano Ambulatorial - Contr. Empresa - Cláusula 13ª da CCT</t>
  </si>
  <si>
    <t>Plano Ambulatorial - Contr. Empregado - Cláusula 13ª da CCT</t>
  </si>
  <si>
    <t>Sal.Base + Adic. ÷ 180h ou 220h x 2 x qtd horas extras no mês</t>
  </si>
  <si>
    <t>Sal.Base + Adic. ÷ 180h ou 220h x 150% x 1 hora x qtd de dias trabalhados</t>
  </si>
  <si>
    <t xml:space="preserve"> A empresa resguarda o direito a repactuação das novas datas-base 2020/2020, tão logo que sejam registradas nos termos legais.</t>
  </si>
  <si>
    <t>Plano Ambulatorial - Contr. Empresa - Cláusula 11ª da CCT § 1º da CCT</t>
  </si>
  <si>
    <t>Plano Ambulatorial - Contr. Empregado - Cláusula Cláusula 11ª da CCT § 1º da CC</t>
  </si>
  <si>
    <t>Referente a Multa do FGTS e Contribuição Social sobre Aviso Prévio Trabalhado e Indenizado (3-C + 3-F), o percentual estabelecido para provisionamento de conta vinculada era de 5,00%. Porém o Art. 12 da Lei n. 13.932/2019 extiguiu a cobraça da contribuição de 10% devida pelos empregadores em caso de despedida sem justa causa (art. 1º da Lei Complementar 110/2001). Sendo assim, o adicional que era previsto nos itens "C" e "F" com o título "Multa do FGTS e contribuição social sobre Aviso Prévio [...]" passou a ser denominado somente de "Multa do FGTS sobre Aviso Prévio [..]". Sendo o somatório do provisionamento passa a ser 4,00%.</t>
  </si>
  <si>
    <t>SINDILAV</t>
  </si>
  <si>
    <t>01/05/2019 a 01/05/2020</t>
  </si>
  <si>
    <t>DF000439/2019</t>
  </si>
  <si>
    <t>SINTEC/SEAC-DF</t>
  </si>
  <si>
    <t>SINTEC</t>
  </si>
  <si>
    <t>Técnico em Edificações</t>
  </si>
  <si>
    <t>Técnico em Eletrônica e Eletroeletrônica</t>
  </si>
  <si>
    <t>Técnico em Eletrotécnica e Eletromecânica</t>
  </si>
  <si>
    <t>Técnico em Máquinas</t>
  </si>
  <si>
    <t>Técnico em Mecânica</t>
  </si>
  <si>
    <t>Técnico em Refrigeração e Ar Condicionado</t>
  </si>
  <si>
    <t>Técnico em Telecomunicações</t>
  </si>
  <si>
    <t>Passadeiras</t>
  </si>
  <si>
    <t>Calandrista</t>
  </si>
  <si>
    <t>Prensista</t>
  </si>
  <si>
    <t>Operador de caldeira</t>
  </si>
  <si>
    <t xml:space="preserve">Auxílio Transporte </t>
  </si>
  <si>
    <t xml:space="preserve">Plano Ambulatorial </t>
  </si>
  <si>
    <t>Seguro de Vida e Assistência Funeral - Cláusula 10ª da CCT</t>
  </si>
  <si>
    <t xml:space="preserve">Assistência Odontológica </t>
  </si>
  <si>
    <t>Contribuição Assistencial Patronal - Cláusula 51ª da CCT</t>
  </si>
  <si>
    <t>SENGE/SINDUSCON-DF</t>
  </si>
  <si>
    <t>01/05/2019 a 30/04/2021</t>
  </si>
  <si>
    <t>2019/2021</t>
  </si>
  <si>
    <t>DF000544/2019</t>
  </si>
  <si>
    <t>SENGE</t>
  </si>
  <si>
    <t>Diária mínima</t>
  </si>
  <si>
    <t>Encarregado Geral - SINTEC/SEAC-DF</t>
  </si>
  <si>
    <t xml:space="preserve">Engenheiro - 6 horas </t>
  </si>
  <si>
    <t xml:space="preserve">Engenheiro - 8 horas </t>
  </si>
  <si>
    <t>Segurança Pessoal Privada</t>
  </si>
  <si>
    <t>Supervisor Banco do Brasil</t>
  </si>
  <si>
    <t>Supervisor/Fiscal</t>
  </si>
  <si>
    <t>Vigilante</t>
  </si>
  <si>
    <t>Vigilante Banco Central do Brasil</t>
  </si>
  <si>
    <t>Vigilante Banco do Brasil</t>
  </si>
  <si>
    <t>Design Gráfico</t>
  </si>
  <si>
    <t xml:space="preserve">Plano de Saúde </t>
  </si>
  <si>
    <t>Contribuição Confederativa Patronal - Cláusula 62ª da CCT</t>
  </si>
  <si>
    <t>Reembolso Creche/Similares - Cláusula 17ª da CCT</t>
  </si>
  <si>
    <t>Seguro de Vida e Assistência Funeral - Cláusula 11ª da CCT</t>
  </si>
  <si>
    <t>Treinamento/capacitação/reciclagem - Cláusula 16ª da CCT</t>
  </si>
  <si>
    <t>Até R$ 2.027,63</t>
  </si>
  <si>
    <t>De R$ 2.027,63 a R$ 3.380,35</t>
  </si>
  <si>
    <t>Acima de R$ 3.380,35</t>
  </si>
  <si>
    <t>Até R$ 1.817,71</t>
  </si>
  <si>
    <t>De R$ 1.817,71 a R$ 3.076,13</t>
  </si>
  <si>
    <t>De R$ 3.076,13 a R$ 4.474,37</t>
  </si>
  <si>
    <t>De R$ 4.474,37 a R$ 5.592,97</t>
  </si>
  <si>
    <t>De R$ 5.592,97 a R$ 6.851,40</t>
  </si>
  <si>
    <t>Acima de R$ 6.851,40</t>
  </si>
  <si>
    <t>DF000415/2020</t>
  </si>
  <si>
    <t>Auxílio Alimentação - Cláusula 5ª TA da CCT</t>
  </si>
  <si>
    <t>Pisos Frios (Escadas, elevadores e interior das salas)</t>
  </si>
  <si>
    <t>Conta-Depósito Vinculada - IN 05/2017 SEGES/MPDG (item XX do Edital /  Item XX do TR)</t>
  </si>
  <si>
    <t>01/01/2021 a 31/12/2021</t>
  </si>
  <si>
    <t>2021/2021</t>
  </si>
  <si>
    <t>Cláusula 45 § 3º SINDISERVIÇOS</t>
  </si>
  <si>
    <t>Uniformes - Cláusula 50ª da CCT</t>
  </si>
  <si>
    <t>Equipamentos/Materiais/EPI's - Cláusula 50ª § 2º da CCT</t>
  </si>
  <si>
    <t>Agente de Portaria/Fiscal de Piso/Operador de Sistemas Fechado de Câmeras</t>
  </si>
  <si>
    <t>Auxiliar de Creche</t>
  </si>
  <si>
    <t>- Cláusula 18ª - Assistência Funeral e Seguro de Vida, os benefícios serão instituídos nos valores de R$ 3.000,00 para Assistência Funeral e R$ 6.000,00 para Seguro de Vida.</t>
  </si>
  <si>
    <t>Contribuição Assistencial Patronal - Cláusula 61ª da CCT</t>
  </si>
  <si>
    <t>DF000038/2021</t>
  </si>
  <si>
    <t>DF000041/2021</t>
  </si>
  <si>
    <t>Uniformes - Cláusula 58ª da CCT</t>
  </si>
  <si>
    <t>Auxílio Creche - Cláusula 17ª da CCT</t>
  </si>
  <si>
    <t>Assistência Odontológica - Cláusula 19ª da CCT</t>
  </si>
  <si>
    <t>Treinamento/capacitação/reciclagem - Cláusula 32ª da CCT</t>
  </si>
  <si>
    <t>Contribuição Assistencial Patronal - Cláusula 64ª da CCT</t>
  </si>
  <si>
    <t>Desconto do Auxílio Alimentação - Cláusula 13ª § 5º da CCT</t>
  </si>
  <si>
    <t>- Cláusula 14ª § 4º - Auxílio Alimentação, em cumprimento à legislação que regulamenta o benefício do PAT, aos trabalhadores associados ao SISDF, fica estabelecido que as empresas procederão ao desconto no valor facial do vale alimentação, limitado ao valor de até R$ 0,30 (trinta centavos).</t>
  </si>
  <si>
    <t>- Cláusula 14ª § 5º - Auxílio Alimentação, em cumprimento à legislação que regulamenta o benefício do PAT, fica estabelecido que as empresas procederão ao desconto no valor facial do vale alimentação, limitado ao valor de até R$ 0,70 (setenta centavos), aos trabalhadores não associados ao SISDF.</t>
  </si>
  <si>
    <t>- Cláusula 16ª - Assistência Funeral e Seguro de Vida, os benefícios serão instituídos nos valores de R$ 3.000,00 para Assistência Funeral e R$ 6.000,00 para Seguro de Vida;</t>
  </si>
  <si>
    <t>- Cláusula 17ª - Auxílio Creche, Comprovada a inscrição dos filhos de empregados em creche particular, as empresas deverão solicitar o reembolso de valores, limitados a R$ 200,00 (duzentos reais) por filho, ao tomador de serviço o reembolso dos valores despendidos pelos empregados.</t>
  </si>
  <si>
    <t>DF000080/2021</t>
  </si>
  <si>
    <t>Desconto do Auxílio Alimentação - Cláusula 11ª §4º da CCT</t>
  </si>
  <si>
    <t>1,22 - Decreto nº 6.957/2009  - Ano 2021</t>
  </si>
  <si>
    <t xml:space="preserve">                                             </t>
  </si>
  <si>
    <t>DF000262/2021</t>
  </si>
  <si>
    <t>Desconto do Auxílio Alimentação - Cláusula 09ª § 3º da CCT</t>
  </si>
  <si>
    <t>01/05/2021 a 30/04/2022</t>
  </si>
  <si>
    <t>2021/2022</t>
  </si>
  <si>
    <t>DF000277/2021</t>
  </si>
  <si>
    <t>SAL.MÍNIMO - 2021</t>
  </si>
  <si>
    <t>Seguro de Vida e Assistência Funeral - Cláusula 17ª da CCT</t>
  </si>
  <si>
    <t>DF000234/2021</t>
  </si>
  <si>
    <t>Impressor Off-Set folha inteira a partir de 4 cores     </t>
  </si>
  <si>
    <t>Desconto do Auxílio Alimentação - Cláusula 13ª da CCT § 5º da CCT</t>
  </si>
  <si>
    <t>- Cláusula 18ª Caput - Seguro de Vida e Assistência Funeral: Ficam instituídos os benefícios obrigatórios da assistência funeral no valor de R$ 3.000,00 (três mil reais) e seguro de vida no valor de R$ 6.000,00 (seis mil reais), a serem cobertos mediante contratação de apólice de seguro de vida e  assistência funeral com seguradora, em benefício do empregado..</t>
  </si>
  <si>
    <t>- Cláusula 17ª Caput - § 4º – A partir da assinatura e registro desta Convenção Coletiva de Trabalho no Sistema  Mediador do Ministério do Trabalho e Emprego, as empresas representadas pelo SEAC/DF ficam obrigadas a incluir nas suas planilhas de custos e formação de preços, como  também nas propostas, o valor destinado ao plano ambulatorial, nas próximas licitações e contratações públicas, como também nas contratações privadas.</t>
  </si>
  <si>
    <t>DF000198/2021</t>
  </si>
  <si>
    <t>Assistente de Pesquisa e Opinião em Rádio e TV</t>
  </si>
  <si>
    <t>Secretário de Redação em Rádio ou TV</t>
  </si>
  <si>
    <t>Web Designer em Rádio e TV</t>
  </si>
  <si>
    <t>Excluído na CCT 2021</t>
  </si>
  <si>
    <t>Contribuição Assistencial Patronal - Cláusula 69ª da CCT</t>
  </si>
  <si>
    <t>DF000367/2021</t>
  </si>
  <si>
    <t>Supervisor de Central Telefônica - 44h</t>
  </si>
  <si>
    <t>Supervisor de Telemarketing e Atendimento - 44h</t>
  </si>
  <si>
    <t>Analista de Atendimento - 44h</t>
  </si>
  <si>
    <t>Analista de Tráfego - 44h</t>
  </si>
  <si>
    <t>Atendente de Central Telefônica - 30 Horas</t>
  </si>
  <si>
    <t>Operador de Telemarketing (ativo/receptivo/hibrido) - 30 Horas</t>
  </si>
  <si>
    <t>Operado de Rádio Chamada - 30 Horas</t>
  </si>
  <si>
    <t>Tele atendente - 30 Horas</t>
  </si>
  <si>
    <t>Telefonista - 30 Horas</t>
  </si>
  <si>
    <t>Tele Operador - 30 Horas</t>
  </si>
  <si>
    <t>Operador de Telemarketing Técnico - 30 Horas</t>
  </si>
  <si>
    <t>Operador Bilíngue - 30 Horas</t>
  </si>
  <si>
    <t>BackOffice - Retaguarda - 30 Horas</t>
  </si>
  <si>
    <t>Monitor de Qualidade - 30 Horas</t>
  </si>
  <si>
    <t>Monitor de Telemarketing - 30 Horas</t>
  </si>
  <si>
    <t>Monitor de Qualidade Bilíngue - 30 Horas</t>
  </si>
  <si>
    <t>Monitor Técnico - 30 Horas</t>
  </si>
  <si>
    <t>Atendente de Central Telefônica - 36 Horas</t>
  </si>
  <si>
    <t>Operador de Telemarketing (ativo/receptivo/hibrido) - 36 Horas</t>
  </si>
  <si>
    <t>Tele atendente - 36 Horas</t>
  </si>
  <si>
    <t>Telefonista - 36 Horas</t>
  </si>
  <si>
    <t>Tele Operador - 36 Horas</t>
  </si>
  <si>
    <t>Operador de Telemarketing Técnico - 36 Horas</t>
  </si>
  <si>
    <t>Operador Bilíngue - 36 Horas</t>
  </si>
  <si>
    <t>BackOffice - Retaguarda - 36 Horas</t>
  </si>
  <si>
    <t>Monitor de Qualidade - 36 Horas</t>
  </si>
  <si>
    <t>Monitor de Telemarketing - 36 Horas</t>
  </si>
  <si>
    <t>Monitor de Qualidade Bilíngue - 36 Horas</t>
  </si>
  <si>
    <t>Monitor Técnico - 36 Horas</t>
  </si>
  <si>
    <t>Operado de Rádio Chamada - 36 Horas</t>
  </si>
  <si>
    <t>Supervisor Bilíngue - 44h (Sinttel)</t>
  </si>
  <si>
    <t>Desconto do Auxílio Alimentação - Cláusula 10ª</t>
  </si>
  <si>
    <t>- Cláusula 12ª - Plano Ambulatorial, é o Convênio ou do Departamento Médico da Empresa, neste caso consideramos o Saúde Sim Ambulatorial no valor de R$ 170,00</t>
  </si>
  <si>
    <t>01/10/2020 a 31/08/2021</t>
  </si>
  <si>
    <t>2020/2021</t>
  </si>
  <si>
    <t>DF000686/2020</t>
  </si>
  <si>
    <t>EDITAL</t>
  </si>
  <si>
    <t xml:space="preserve">"ABERTO" </t>
  </si>
  <si>
    <t>PROPOSTA Nº 265/2021</t>
  </si>
  <si>
    <t>CONSELHO DA JUSTIÇA FEDERAL – CJF</t>
  </si>
  <si>
    <t>0001561-97.2021.4.90.8000</t>
  </si>
  <si>
    <t>SCES, Trecho III, Polo 08, Lote 09 e SAAN Quadra 01 Lotes 10/70, Brasília/DF</t>
  </si>
  <si>
    <t>CNPJ Nº 00.508.903/0001-88</t>
  </si>
  <si>
    <t>PREGÃO ELETRÔNICO Nº32/2021-CJF</t>
  </si>
  <si>
    <t>PLANILHA DE CUSTOS E FORMAÇÃO DE PREÇOS - CJF</t>
  </si>
  <si>
    <t>Diversos</t>
  </si>
  <si>
    <t>PE 32/2021</t>
  </si>
  <si>
    <t>90026</t>
  </si>
  <si>
    <r>
      <t xml:space="preserve">[(1 </t>
    </r>
    <r>
      <rPr>
        <sz val="10"/>
        <color indexed="8"/>
        <rFont val="Cambria"/>
        <family val="1"/>
        <scheme val="major"/>
      </rPr>
      <t xml:space="preserve">÷ 11) +  (1÷ 3) x (1 ÷ 11)] x 100 </t>
    </r>
  </si>
  <si>
    <t xml:space="preserve"> Férias e Adicional de Férias</t>
  </si>
  <si>
    <t>Multa do FGTS e contribuição social sobre o Aviso Prévio Indenizado</t>
  </si>
  <si>
    <t>Multa do FGTS e contribuição social sobre o Aviso Prévio Trabalhado</t>
  </si>
  <si>
    <t>Multa do FGTS</t>
  </si>
  <si>
    <t xml:space="preserve">[(40% x 8,00% x 0,90)] x (1 + 9,09% + 12,12%) </t>
  </si>
  <si>
    <t>Incidência do FGTS sobre aviso prévio indenizado.</t>
  </si>
  <si>
    <t>Art. 18 § 1º, Lei nº 8.036/90, Lei nº 9.491/97, Lei complementar nº 110/01, Art. 1º.</t>
  </si>
  <si>
    <t>Incidência do submódulo 4.1 sobre aviso prévio trabalhado.</t>
  </si>
  <si>
    <t>Art. 487, CLT, Art 7º, Inciso XXI, CF/88.</t>
  </si>
  <si>
    <t xml:space="preserve">Em atendimento ao edital. </t>
  </si>
  <si>
    <t>Edital</t>
  </si>
  <si>
    <t>Substituto na cobertura de outras ausências (licença por doença)</t>
  </si>
  <si>
    <t>Percentuais conforme Nota Técnica 001/2013</t>
  </si>
  <si>
    <t>A validade da presente proposta é de 90 (noventa) dias, a contar da data de sua apresentação.</t>
  </si>
  <si>
    <t>Senhora Ana Elisa de Oliveira Falqueto-Pregoeira</t>
  </si>
  <si>
    <t>Senhora Ana Elisa,</t>
  </si>
  <si>
    <t>Encarregado</t>
  </si>
  <si>
    <t>Mensageiro</t>
  </si>
  <si>
    <t>Operador de Máquina Reprográfica</t>
  </si>
  <si>
    <t>Técnico em secretariado</t>
  </si>
  <si>
    <t>Encarregado de segunda a sexta-feira - 44 horas semanais</t>
  </si>
  <si>
    <t>Servente de segunda a sexta-feira - 44 horas semanais</t>
  </si>
  <si>
    <t>Mensageiro de segunda a sexta-feira - 44 horas semanais</t>
  </si>
  <si>
    <t>Operador de Máquina Reprográfica de segunda a sexta-feira - 44 horas semanais</t>
  </si>
  <si>
    <t>Garçom de segunda a sexta-feira - 44 horas semanais</t>
  </si>
  <si>
    <t>Copeira de segunda a sexta-feira - 44 horas semanais</t>
  </si>
  <si>
    <t>Recepcionista de segunda a sexta-feira - 44 horas semanais</t>
  </si>
  <si>
    <t>Jauzeiro de segunda a sexta-feira - 44 horas semanais</t>
  </si>
  <si>
    <t>Técnico em secretariado de segunda a sexta-feira - 44 horas semanais</t>
  </si>
  <si>
    <t xml:space="preserve">SALÁRIO(*) </t>
  </si>
  <si>
    <t>(*) Salários conforme edital.</t>
  </si>
  <si>
    <t>Claúsula Quinta-MC: Treinar pelo menos uma recepcionista que trabalhe diretamente com o atendimento ao público em Linguagem Brasileira de Sinais – LIBRAS. Em eventual substituição de mão-de-obra, a CONTRATADA deverá disponibilizar recepcionista já capacitada em Libras, conforme o disposto no art. 8º da Resolução CNJ n 403, de 16 de junho de 2021</t>
  </si>
  <si>
    <t>Pagamento (item XIV Edital e item XX TR / Cláusula 13ª MC)</t>
  </si>
  <si>
    <t>4101-05</t>
  </si>
  <si>
    <t>4151-30</t>
  </si>
  <si>
    <t>5143-15</t>
  </si>
  <si>
    <t>4221-05</t>
  </si>
  <si>
    <t>3515-05</t>
  </si>
  <si>
    <t>5134-05</t>
  </si>
  <si>
    <t>5134-25</t>
  </si>
  <si>
    <t>4122-05</t>
  </si>
  <si>
    <t>Subitem 5.15 do TR: O fornecimento do software, microcomputadores, treinamento e demais periféricos necessários para o gerenciamento das atividades é de responsabilidade da CONTRATADA, assim como a realização dos serviços que incluem a legalização junto aos órgãos e instituições públicas competentes.</t>
  </si>
  <si>
    <t>Subitem 5.16 do TR: A CONTRATADA deverá equipar o local de trabalho cedido pela CONTRATANTE, para uso durante o tempo de execução contratual, com computadores necessários ao desenvolvimento de suas atividades.</t>
  </si>
  <si>
    <t>Subitem 5.19 do TR: A CONTRATADA deverá arcar, também, com os custos dos materiais de escritório a serem utilizados pela sua equipe.</t>
  </si>
  <si>
    <t>UNIFORMES</t>
  </si>
  <si>
    <t>Tipo de Uniforme</t>
  </si>
  <si>
    <t>Qtd. Semestral</t>
  </si>
  <si>
    <t>Qtd. Total</t>
  </si>
  <si>
    <t>Valor Total</t>
  </si>
  <si>
    <t>TERNO COMPLETO (paletó/blazer e calça/saia) em tecido de micro-fibra, externo e interno 100% poliéster preferencialmente na cor preta, sendo o paletó forrado internamente, inclusive manga em tecido tipo cetim, e calça social com dois bolsos na frente tipo faca e dois bolsos traseiros.</t>
  </si>
  <si>
    <t>CAMISA SOCIAL –  em tecido, gola com intertela, 100% algodão preferencialmente na cor branca</t>
  </si>
  <si>
    <t>GRAVATA –  em tecido 100% poliéster</t>
  </si>
  <si>
    <t>CINTO SOCIAL –  em couro legítimo cor preta</t>
  </si>
  <si>
    <t>PAR DE MEIAS – 100% algodão, preta.</t>
  </si>
  <si>
    <t>PAR DE SAPATOS –  Modelo social, em couro, cor preta, provida de palmilha acolchoada, com solado antiderrapante</t>
  </si>
  <si>
    <t>Total mensal</t>
  </si>
  <si>
    <t>POSTO: SERVENTE</t>
  </si>
  <si>
    <t>Valor Anual</t>
  </si>
  <si>
    <t>CALÇA –Armação Sarja 2/1 Largura (m): 1.60; Peso (g/m2) 185; composição tecido 33% Poliéster 67% Algodão. Padrão santista ou similar.</t>
  </si>
  <si>
    <t>CAMISETA - 100% algodão – manga curta.</t>
  </si>
  <si>
    <t>PAR DE BOTINA - Calçado de segurança, confeccionado em couro vacum curtido ao cromo, no modelo em elástico, com palmilha de montagem em couro no sistema strobel, solado poliuretano monodensidade e bidensidade injetado diretamente no cabedal e baqueado. Referência: Botina de segurança Marluvas Vulcaflex ou similar.</t>
  </si>
  <si>
    <t>PARES DE MEIAS – 100% algodão, preta.</t>
  </si>
  <si>
    <t>POSTO: JAUZEIRO</t>
  </si>
  <si>
    <t>CAMISETA - 100% algodão – manga longa.</t>
  </si>
  <si>
    <t>BONÉ ÁRABE – Com aba longa para proteger contra ação do sol sobre pescoço, cabeça e ombro.</t>
  </si>
  <si>
    <t>POSTO: GARÇOM</t>
  </si>
  <si>
    <t>CAMISA  – modelo utilizado por garçom ( peito em pique de 1º qualidade) 69% Algodão Penteado, 31%Poliéster</t>
  </si>
  <si>
    <t>GRAVATA –  modelo borboleta em tecido 100% poliéster</t>
  </si>
  <si>
    <t>POSTO: COPEIRA</t>
  </si>
  <si>
    <t>CALÇA ou SAIA - em tecido de micro-fibra, preferencialmente na cor preta</t>
  </si>
  <si>
    <t>MEIO AVENTAL –  em tecido garbadine na cor branca</t>
  </si>
  <si>
    <t>AVENTAL –  em napa na cor branca</t>
  </si>
  <si>
    <t>TOUCA – Confeccionada em filó, com detalhe em lese , na cor branca</t>
  </si>
  <si>
    <t>PAR DE MEIAS – 100% algodão, preta. Ou modelo meia calça, em tecido liso 84% poliamida e 16% elastano</t>
  </si>
  <si>
    <t>EPIS</t>
  </si>
  <si>
    <t>EPIs SERVENTE</t>
  </si>
  <si>
    <t>Tipo de EPI</t>
  </si>
  <si>
    <t>Par de luvas de látex, espessura mínima 0,62mm. Marca de referência Mucambo, Promat ou equivalente</t>
  </si>
  <si>
    <t>Par de luvas de segurança com palma pigmentada</t>
  </si>
  <si>
    <t>Óculos de segurança transparente contra impacto e antirriscos, com lente única em policarbonato que possibilitam uma excelente cobertura frontal e lateral aos olhos do usuário</t>
  </si>
  <si>
    <t>Respirador descartável de meia peça facial, com nível de proteção PFF2 sem válvula</t>
  </si>
  <si>
    <t>Par de botas de PVC pretas, cano médio, sem forro</t>
  </si>
  <si>
    <t>Protetor auricular de inserção, tipo plug, em silicone, com atenuação de no mínimo 18 (dezoito) decibéis</t>
  </si>
  <si>
    <t>Protetor auditivo tipo concha, atenuação 21 dB</t>
  </si>
  <si>
    <t>EPIs JAUZEIRO</t>
  </si>
  <si>
    <t>Par de luvas de Látex antiderrapante, forro C/PO, punho médio, proteção química</t>
  </si>
  <si>
    <t>Talabarte de segurança, 2 mosquetões trava dupla 53 mm de abertura, com absorvedor de energia</t>
  </si>
  <si>
    <t>Trava quedas em aço para corda de 12mm, extensor de 25 x 300mm, com mosquetão tipo gancho trava dupla</t>
  </si>
  <si>
    <t>Cinturão de segurança tipo paraquedista, fivela em aço, ajuste no suspensório, cintura e pernas</t>
  </si>
  <si>
    <t>Capacete de segurança aba frontal, com suspensão de polietileno com jugular</t>
  </si>
  <si>
    <t>Corda de Nylon com alma central 12MM Rolo com 25m (deve atender às normas NR18 e NR35)</t>
  </si>
  <si>
    <t>Avental impermeável 1,20x0,70m</t>
  </si>
  <si>
    <t>JAUZEIRO</t>
  </si>
  <si>
    <t>GARÇOM</t>
  </si>
  <si>
    <t>COPEIRA</t>
  </si>
  <si>
    <t>Garantia do Contrato (item XVIII do Edital / Item 7 do TR / Cláusula 16 ª MC)</t>
  </si>
  <si>
    <t>Subitem 9.47 do TR: Fornecer aos profissionais ocupantes dos postos de trabalho, quando da assinatura do Contrato que coincidirá com o início da prestação dos serviços, os Equipamentos de Proteção Individual (EPIs) que se tornarem necessários para a adequada execução dos serviços, assim como máscaras de proteção facial, de uso obrigatório, em função da pandemia COVID-19</t>
  </si>
  <si>
    <t>Subitem 9.50 do TR: Implantar Sistema Eletrônico de Ponto – SREP, para controle individual da entrada e saída dos empregados</t>
  </si>
  <si>
    <t>Subitem 9.52 do TR: Elaborar e implementar, no prazo de 90 dias a contar do início da vigência do contrato, os Programas de Controle Médico de Saúde Ocupacional – PCMSO e de Prevenção de Riscos Ambientais – PPRA, conforme previstos nas NR-7 e NR-9, respectivamente, do Ministério do Trabalho</t>
  </si>
  <si>
    <t>Repactuação (item XVII Edital e item 17 TR / Cláusula XXª MC )</t>
  </si>
  <si>
    <t>Critérios e Práticas de Sustentabilidade (Item 18 do TR)</t>
  </si>
  <si>
    <t>Estimado no presumido.</t>
  </si>
  <si>
    <t>Ao</t>
  </si>
  <si>
    <t>Brasfort</t>
  </si>
  <si>
    <t>Os postos de trabalho de servente disponíveis no CJF não fazem jus ao adicional e insalubridade (Esclarecimento)</t>
  </si>
  <si>
    <t>Não pode retirar</t>
  </si>
  <si>
    <t>[(0,0042+(0 x 0,0042) x 0,008)x 0,0042)]</t>
  </si>
  <si>
    <t xml:space="preserve">[(40% x 8,00% x 0,0042)] x (1 + 9,09% + 12,12%) </t>
  </si>
  <si>
    <t xml:space="preserve">[(0,4) x 8,00% x 0,0042] </t>
  </si>
  <si>
    <t>{[(5÷30)÷12] x 0,59} x 100</t>
  </si>
  <si>
    <t>{[(15÷30)÷12] x 0,78} x 100</t>
  </si>
  <si>
    <t xml:space="preserve">{(8,33% x 4) + (12,10% x 4)} ÷12 x 4,1x 100 </t>
  </si>
  <si>
    <t>Apresentamos proposta de preços para contratação de empresa paraprestação de serviços contínuos de limpeza, copeiragem, recepção, secretariado, mensageria e reprografia, nas instalações físicas da sede do Conselho da Justiça Federal, em Brasília/DF, conforme especificações, quantidades e condições estipuladas no Edital e seus anexos.</t>
  </si>
  <si>
    <t>Lance Final</t>
  </si>
  <si>
    <t>Proposta</t>
  </si>
  <si>
    <t>Diferença</t>
  </si>
  <si>
    <t>item 01</t>
  </si>
  <si>
    <t>item 02</t>
  </si>
  <si>
    <t>item 03</t>
  </si>
  <si>
    <t>item 04</t>
  </si>
  <si>
    <t>item 05</t>
  </si>
  <si>
    <t>item 06</t>
  </si>
  <si>
    <t>item 07</t>
  </si>
  <si>
    <t>item 08</t>
  </si>
  <si>
    <t>item 09</t>
  </si>
  <si>
    <t>Provisionamento da Conta Vinculada</t>
  </si>
  <si>
    <t>[(1÷12) x 0,03] x 100</t>
  </si>
  <si>
    <t>((0,25% + (40% x 0,25%)) 8% x 0,25%</t>
  </si>
  <si>
    <t>((1,94% + (40% x 1,94%)) 8% x 1,94%</t>
  </si>
  <si>
    <t>Em atendimento ao Edital.</t>
  </si>
  <si>
    <t>{[(5÷30)÷12] x 0,01} x 100</t>
  </si>
  <si>
    <t>{[(15÷30)÷12] x 0,003} x 100</t>
  </si>
  <si>
    <t>{(8,33% x 4) + (12,12% x 4)} ÷12 x 0,001 x 100</t>
  </si>
  <si>
    <t>Declaramos que conhecemos e aceitamos todas as condições contidas no Edital do Pregão Eletrônico e seus anexos.</t>
  </si>
  <si>
    <t>Razão Social: BRASFORT ADMINISTRAÇÃO E SERVIÇOS LTDA</t>
  </si>
  <si>
    <t>CNPJ: 36.770.857/0001-38</t>
  </si>
  <si>
    <t>Inscrição Estadual: 07.316.200/001-09</t>
  </si>
  <si>
    <t>Endereço: SAAN Quadra 01 Lote 835 Parte "A"</t>
  </si>
  <si>
    <t>Cidade: Brasília/DF                   CEP: 70.632-100</t>
  </si>
  <si>
    <t xml:space="preserve">Telefone: (61) 3878-3434          Fax: (61) 3878-3433                     </t>
  </si>
  <si>
    <t>Dados Bancários: Banco: Banco do Brasil, Agência nº 3382-0, Conta Corrente nº 435.441-9</t>
  </si>
  <si>
    <t>E-mail: brasfort@brasfort.com.br // comercial@brasfort.com.br</t>
  </si>
  <si>
    <t>Nome: Robério Bandeira de Negreiros</t>
  </si>
  <si>
    <t>Cargo: Sócio Administrador</t>
  </si>
  <si>
    <t>Por ressarcimento</t>
  </si>
  <si>
    <t>Valor do Plano de Saúde e Assistência Odontológica - Pagos por Ressarcimento</t>
  </si>
  <si>
    <t>Declaramos que para as funções Encarregado; Garçom; Recepcionista e Técnico em Secretariado não foi considerado vale transporte considerando a esperiência operacional da empresa, uma vez que os salários das categoarias em comento, geralmente, conduz a NÃO opção do empregado. Nesta oportunidade, a BRASFORT assume o risco operacial e na eventualidade de OPÇÃO do empregado dessas categorias, comprometêmo-nos a fornece-los nos termos da legislação vigente.</t>
  </si>
  <si>
    <t>Declaramos ciência de que o CJF realizará o contingenciamento das obrigações trabalhistas, conforme previsto na Resolução CNJ n. 169/2013 e alterações, bem como na IN CJF nº 01/2016, nos termos estabelecidos na cláusula da minuta do contrato.</t>
  </si>
  <si>
    <t xml:space="preserve">Declaramos que privilegiando a liberdade competitiva, uma vez que a licitação de grupo único foi composto por 9 itens, o atendimento ao subitem 6.3.10 do edital foi vinculado a média das categorias contratadas.  Desta maneira, a soma atitmética das rubricas individualizadas de Taxa de administração e lucro divididas por 9 (número de itens da licitação), compõe o resultado mínimo exigido do item supracitado,  ou seja, 1%. Ademais, averbamos quanto sua exequibilidade ao tempo em que declaramos o compromisso de desempenhar os serviços nos termos, isto é, em qualidade e quantidade à perfeita execução contratual. Reiteramos, que os percentuais apresentados estão em total acordo com a realidade operacional da empresa. </t>
  </si>
  <si>
    <t>Média (soma de todos os itens licitados digidido pelo número de itens do gurpo: 9)</t>
  </si>
  <si>
    <t>Soma custos indiretos de todas os itens:</t>
  </si>
  <si>
    <t>Valor Total Mensal
 (R$)</t>
  </si>
  <si>
    <t>POSTO: RECEPCIONISTA</t>
  </si>
  <si>
    <t>Art. 7º, Inciso VIII, CF/88, Art. 1º ao 3º, Lei nº 4.090/62, Art. 1º, parágrafo único, Lei nº 7.787/89. Resoluções. CNJ ns. 98/2009 e 169/2013. Instrução Normativa CJF n. 001/2016.</t>
  </si>
  <si>
    <t>Art. 7º, Inciso VIII, CF/88 e Inciso XVII do art. 7º da Constituição Federal e art. 142 da CLT. Resoluções. CNJ ns. 98/2009 e 169/2013. Instrução Normativa CJF n. 001/2016.</t>
  </si>
  <si>
    <t>Art. 3º, inciso I, do Decreto n. 87.043/1982, Lei n. 9.424/1996.</t>
  </si>
  <si>
    <t>Art. 30 da Lei n. 8.036/1990 e art. 1º da Lei n. 8.154/1990.</t>
  </si>
  <si>
    <t>Lei n. 8.029/1990, alterada pela Lei n. 8.154/1990.</t>
  </si>
  <si>
    <t>§1º do art. 487 da CLT. Estima-se que cerca de 3% do pessoal é demitido pelo empregador, antes do término do contrato de trabalho.</t>
  </si>
  <si>
    <t>Art. 488, da CLT. Acórdão TCU n. 1.904/2007.</t>
  </si>
  <si>
    <t>Resoluções. CNJ ns. 98/2009 e 169/2013. Instrução Normativa CJF n. 001/2016 - Provisionamento da Conta Vinculada</t>
  </si>
  <si>
    <t>Arts. 83 e 473 da CLT. Estimativa de 5 (cinco) dias de licença por ano, para 1% dos empregados.</t>
  </si>
  <si>
    <t>CF, art. 7º inciso XIX, combinado com o art. 10, §1º, ADCT. Estimativa de 1% dos empregados usufruindo 5 (cinco) dias da licença por ano.</t>
  </si>
  <si>
    <t>Art.131 da CLT, Lei nº 8.213/91, Decreto nº 3.048/99. Estimativa de 1 (uma) licença de 15 (quinze) dias por ano para 0,30% (trinta décimos por cento) dos empregados.</t>
  </si>
  <si>
    <t>Art. 7º, inciso XVIII, CF/88, Regulado pela Lei nº 8.213/1991, Art. 72. Estima-se que 0,10% das empregadas usufruem os 4 (meses) meses de licença a cada ano de execução contratual.</t>
  </si>
  <si>
    <t xml:space="preserve">Par de luvas de látex, espessura mínima 0,62mm. Marca de referência Mucambo, Promat ou equivalente </t>
  </si>
  <si>
    <t>* Pagamento por ressarcimento</t>
  </si>
  <si>
    <t>Mensageiro/Operador</t>
  </si>
  <si>
    <t>POSTO: MENSAGEIRO E OPREADOR DE MÁQUINA REPROGRÁFICA</t>
  </si>
  <si>
    <t>POSTO: ENCARREGADO</t>
  </si>
  <si>
    <t>Téc.Secretariado</t>
  </si>
  <si>
    <t>POSTO: TÉCNICO EM SECRETARIADO</t>
  </si>
  <si>
    <t>Obs.1: Declaramos que para as funções Encarregado; Garçom; Recepcionista e Técnico em Secretariado não foi considerado vale transporte considerando a experiência operacional da empresa, uma vez que os salários das categorias em comento, geralmente, conduz a NÃO opção do empregado. Nesta oportunidade, a BRASFORT assume o risco operacional e na eventualidade de OPÇÃO do empregado dessas categorias, comprometêmo-nos a fornece-los nos termos da legislação vigente;</t>
  </si>
  <si>
    <t>Obs.2: Para as demais categorias, consideramos o valor médio unitário da passagem,o resultado de estimativa conforme abaixo:</t>
  </si>
  <si>
    <t>CAMISA SOCIAL –  confeccionada em tecido tricoline misto, na cor branca, com gola, abertura frontal, com bolso do lado esquerdo.</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</si>
</sst>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mc:Ignorable="x14ac x16r2">
  <numFmts count="22">
    <numFmt numFmtId="8" formatCode="&quot;R$&quot;\ #,##0.00;[Red]\-&quot;R$&quot;\ #,##0.00"/>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_(&quot;R$ &quot;* #,##0.00_);_(&quot;R$ &quot;* \(#,##0.00\);_(&quot;R$ &quot;* &quot;-&quot;??_);_(@_)"/>
    <numFmt numFmtId="168" formatCode="0.0000"/>
    <numFmt numFmtId="169" formatCode="&quot;R$ &quot;#,##0.00"/>
    <numFmt numFmtId="170" formatCode="00"/>
    <numFmt numFmtId="171" formatCode="[$-F800]dddd\,\ mmmm\ dd\,\ yyyy"/>
    <numFmt numFmtId="172" formatCode="_-[$R$-416]\ * #,##0.00_-;\-[$R$-416]\ * #,##0.00_-;_-[$R$-416]\ * &quot;-&quot;??_-;_-@_-"/>
    <numFmt numFmtId="173" formatCode="#,##0_ ;\-#,##0\ "/>
    <numFmt numFmtId="174" formatCode="mm/yy"/>
    <numFmt numFmtId="175" formatCode="#,###.00"/>
    <numFmt numFmtId="176" formatCode="0.0%"/>
    <numFmt numFmtId="177" formatCode="&quot;R$&quot;\ #,##0.00"/>
    <numFmt numFmtId="178" formatCode="00.00"/>
    <numFmt numFmtId="179" formatCode="[$-416]d\-mmm;@"/>
    <numFmt numFmtId="180" formatCode="#,##0.0000000"/>
    <numFmt numFmtId="181" formatCode="dd/mm/yy;@"/>
    <numFmt numFmtId="182" formatCode="0.0000%"/>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Arial"/>
      <family val="2"/>
    </font>
    <font>
      <sz val="11"/>
      <color indexed="8"/>
      <name val="Calibri"/>
      <family val="2"/>
    </font>
    <font>
      <b/>
      <sz val="18"/>
      <color indexed="56"/>
      <name val="Cambria"/>
      <family val="2"/>
    </font>
    <font>
      <b/>
      <sz val="15"/>
      <color indexed="56"/>
      <name val="Calibri"/>
      <family val="2"/>
    </font>
    <font>
      <b/>
      <sz val="14"/>
      <name val="Arial Narrow"/>
      <family val="2"/>
    </font>
    <font>
      <sz val="14"/>
      <name val="Arial Narrow"/>
      <family val="2"/>
    </font>
    <font>
      <sz val="10"/>
      <name val="Arial Narrow"/>
      <family val="2"/>
    </font>
    <font>
      <b/>
      <sz val="10"/>
      <name val="Arial Narrow"/>
      <family val="2"/>
    </font>
    <font>
      <b/>
      <u/>
      <sz val="14"/>
      <name val="Arial Narrow"/>
      <family val="2"/>
    </font>
    <font>
      <b/>
      <sz val="8"/>
      <name val="Arial Narrow"/>
      <family val="2"/>
    </font>
    <font>
      <sz val="9"/>
      <name val="Arial Narrow"/>
      <family val="2"/>
    </font>
    <font>
      <sz val="12"/>
      <name val="Arial Narrow"/>
      <family val="2"/>
    </font>
    <font>
      <sz val="11"/>
      <color theme="1"/>
      <name val="Calibri"/>
      <family val="2"/>
      <scheme val="minor"/>
    </font>
    <font>
      <sz val="10"/>
      <name val="Cambria"/>
      <family val="1"/>
      <scheme val="major"/>
    </font>
    <font>
      <sz val="11"/>
      <name val="Cambria"/>
      <family val="1"/>
      <scheme val="major"/>
    </font>
    <font>
      <b/>
      <u/>
      <sz val="11"/>
      <name val="Cambria"/>
      <family val="1"/>
      <scheme val="major"/>
    </font>
    <font>
      <b/>
      <sz val="11"/>
      <name val="Cambria"/>
      <family val="1"/>
      <scheme val="major"/>
    </font>
    <font>
      <b/>
      <sz val="11"/>
      <color indexed="8"/>
      <name val="Cambria"/>
      <family val="1"/>
      <scheme val="major"/>
    </font>
    <font>
      <sz val="11"/>
      <color indexed="8"/>
      <name val="Cambria"/>
      <family val="1"/>
      <scheme val="major"/>
    </font>
    <font>
      <b/>
      <sz val="11"/>
      <color theme="1"/>
      <name val="Cambria"/>
      <family val="1"/>
      <scheme val="major"/>
    </font>
    <font>
      <sz val="11"/>
      <color theme="1"/>
      <name val="Cambria"/>
      <family val="1"/>
      <scheme val="major"/>
    </font>
    <font>
      <sz val="11"/>
      <color theme="0"/>
      <name val="Cambria"/>
      <family val="1"/>
      <scheme val="major"/>
    </font>
    <font>
      <b/>
      <sz val="11"/>
      <color rgb="FFFF0000"/>
      <name val="Cambria"/>
      <family val="1"/>
      <scheme val="major"/>
    </font>
    <font>
      <sz val="11"/>
      <color rgb="FFFF0000"/>
      <name val="Cambria"/>
      <family val="1"/>
      <scheme val="major"/>
    </font>
    <font>
      <b/>
      <sz val="11"/>
      <color indexed="10"/>
      <name val="Cambria"/>
      <family val="1"/>
      <scheme val="major"/>
    </font>
    <font>
      <sz val="10"/>
      <color rgb="FFFF0000"/>
      <name val="Cambria"/>
      <family val="1"/>
      <scheme val="major"/>
    </font>
    <font>
      <sz val="8"/>
      <name val="Cambria"/>
      <family val="1"/>
      <scheme val="major"/>
    </font>
    <font>
      <sz val="11"/>
      <color indexed="12"/>
      <name val="Cambria"/>
      <family val="1"/>
      <scheme val="major"/>
    </font>
    <font>
      <u/>
      <sz val="11"/>
      <name val="Cambria"/>
      <family val="1"/>
      <scheme val="major"/>
    </font>
    <font>
      <sz val="11"/>
      <color indexed="10"/>
      <name val="Cambria"/>
      <family val="1"/>
      <scheme val="major"/>
    </font>
    <font>
      <sz val="11"/>
      <color indexed="9"/>
      <name val="Cambria"/>
      <family val="1"/>
      <scheme val="major"/>
    </font>
    <font>
      <u/>
      <sz val="10"/>
      <color theme="10"/>
      <name val="Arial"/>
      <family val="2"/>
    </font>
    <font>
      <b/>
      <sz val="10"/>
      <name val="Cambria"/>
      <family val="1"/>
      <scheme val="major"/>
    </font>
    <font>
      <b/>
      <u/>
      <sz val="10"/>
      <color rgb="FF002060"/>
      <name val="Cambria"/>
      <family val="1"/>
      <scheme val="major"/>
    </font>
    <font>
      <b/>
      <sz val="10"/>
      <color rgb="FFFF0000"/>
      <name val="Cambria"/>
      <family val="1"/>
      <scheme val="major"/>
    </font>
    <font>
      <b/>
      <i/>
      <sz val="10"/>
      <name val="Cambria"/>
      <family val="1"/>
      <scheme val="major"/>
    </font>
    <font>
      <sz val="10"/>
      <color indexed="8"/>
      <name val="Cambria"/>
      <family val="1"/>
      <scheme val="major"/>
    </font>
    <font>
      <sz val="10"/>
      <color theme="1"/>
      <name val="Cambria"/>
      <family val="1"/>
      <scheme val="major"/>
    </font>
    <font>
      <sz val="10"/>
      <color indexed="10"/>
      <name val="Cambria"/>
      <family val="1"/>
      <scheme val="major"/>
    </font>
    <font>
      <b/>
      <sz val="10"/>
      <color indexed="8"/>
      <name val="Cambria"/>
      <family val="1"/>
      <scheme val="major"/>
    </font>
    <font>
      <i/>
      <sz val="10"/>
      <color rgb="FFFF0000"/>
      <name val="Cambria"/>
      <family val="1"/>
      <scheme val="major"/>
    </font>
    <font>
      <b/>
      <sz val="11"/>
      <color indexed="9"/>
      <name val="Cambria"/>
      <family val="1"/>
      <scheme val="major"/>
    </font>
    <font>
      <b/>
      <sz val="10"/>
      <color theme="0"/>
      <name val="Cambria"/>
      <family val="1"/>
      <scheme val="major"/>
    </font>
    <font>
      <sz val="10"/>
      <color theme="0"/>
      <name val="Cambria"/>
      <family val="1"/>
      <scheme val="major"/>
    </font>
    <font>
      <b/>
      <sz val="11"/>
      <color theme="0"/>
      <name val="Cambria"/>
      <family val="1"/>
      <scheme val="major"/>
    </font>
    <font>
      <u/>
      <sz val="10"/>
      <color theme="10"/>
      <name val="Cambria"/>
      <family val="1"/>
      <scheme val="major"/>
    </font>
    <font>
      <u/>
      <sz val="10"/>
      <color rgb="FFFF0000"/>
      <name val="Cambria"/>
      <family val="1"/>
      <scheme val="major"/>
    </font>
    <font>
      <u/>
      <sz val="10"/>
      <name val="Cambria"/>
      <family val="1"/>
      <scheme val="major"/>
    </font>
    <font>
      <sz val="10"/>
      <color rgb="FF333333"/>
      <name val="Cambria"/>
      <family val="1"/>
      <scheme val="major"/>
    </font>
    <font>
      <b/>
      <sz val="10"/>
      <color theme="1"/>
      <name val="Cambria"/>
      <family val="1"/>
      <scheme val="major"/>
    </font>
    <font>
      <sz val="10"/>
      <color rgb="FF000000"/>
      <name val="Cambria"/>
      <family val="1"/>
    </font>
    <font>
      <sz val="11"/>
      <color indexed="8"/>
      <name val="Times New Roman"/>
      <family val="2"/>
    </font>
    <font>
      <u/>
      <sz val="11"/>
      <color theme="3"/>
      <name val="Cambria"/>
      <family val="1"/>
      <scheme val="major"/>
    </font>
    <font>
      <b/>
      <u/>
      <sz val="11"/>
      <color rgb="FFFF0000"/>
      <name val="Cambria"/>
      <family val="1"/>
      <scheme val="major"/>
    </font>
    <font>
      <i/>
      <sz val="11"/>
      <name val="Cambria"/>
      <family val="1"/>
      <scheme val="major"/>
    </font>
    <font>
      <sz val="12"/>
      <color theme="0" tint="-0.34998626667073579"/>
      <name val="Arial Narrow"/>
      <family val="2"/>
    </font>
    <font>
      <vertAlign val="subscript"/>
      <sz val="11"/>
      <name val="Cambria"/>
      <family val="1"/>
      <scheme val="major"/>
    </font>
    <font>
      <sz val="11"/>
      <name val="Calibri"/>
      <family val="2"/>
    </font>
    <font>
      <sz val="11"/>
      <name val="Cambria"/>
      <family val="1"/>
    </font>
    <font>
      <b/>
      <vertAlign val="subscript"/>
      <sz val="11"/>
      <name val="Cambria"/>
      <family val="1"/>
      <scheme val="major"/>
    </font>
    <font>
      <sz val="13"/>
      <name val="Arial"/>
      <family val="2"/>
    </font>
    <font>
      <b/>
      <sz val="12"/>
      <name val="Arial"/>
      <family val="2"/>
    </font>
    <font>
      <sz val="12"/>
      <name val="Arial"/>
      <family val="2"/>
    </font>
    <font>
      <strike/>
      <sz val="11"/>
      <name val="Cambria"/>
      <family val="1"/>
      <scheme val="major"/>
    </font>
    <font>
      <b/>
      <strike/>
      <sz val="11"/>
      <name val="Cambria"/>
      <family val="1"/>
      <scheme val="major"/>
    </font>
    <font>
      <i/>
      <sz val="11"/>
      <color indexed="8"/>
      <name val="Cambria"/>
      <family val="1"/>
      <scheme val="major"/>
    </font>
    <font>
      <b/>
      <i/>
      <u/>
      <sz val="11"/>
      <color indexed="8"/>
      <name val="Cambria"/>
      <family val="1"/>
      <scheme val="major"/>
    </font>
    <font>
      <b/>
      <i/>
      <sz val="11"/>
      <color indexed="8"/>
      <name val="Cambria"/>
      <family val="1"/>
      <scheme val="major"/>
    </font>
    <font>
      <b/>
      <i/>
      <sz val="11"/>
      <color theme="1"/>
      <name val="Cambria"/>
      <family val="1"/>
      <scheme val="major"/>
    </font>
    <font>
      <b/>
      <i/>
      <sz val="11"/>
      <name val="Cambria"/>
      <family val="1"/>
      <scheme val="major"/>
    </font>
    <font>
      <sz val="10"/>
      <color rgb="FF000000"/>
      <name val="Cambria"/>
      <family val="1"/>
      <scheme val="major"/>
    </font>
    <font>
      <sz val="10"/>
      <name val="Cambria"/>
      <family val="1"/>
    </font>
    <font>
      <u/>
      <sz val="11"/>
      <color theme="10"/>
      <name val="Calibri"/>
      <family val="2"/>
    </font>
    <font>
      <sz val="10"/>
      <color rgb="FF0000FF"/>
      <name val="Cambria"/>
      <family val="1"/>
      <scheme val="major"/>
    </font>
    <font>
      <sz val="9"/>
      <color indexed="81"/>
      <name val="Tahoma"/>
      <family val="2"/>
    </font>
    <font>
      <b/>
      <sz val="9"/>
      <color indexed="81"/>
      <name val="Tahoma"/>
      <family val="2"/>
    </font>
    <font>
      <b/>
      <u/>
      <sz val="9"/>
      <color indexed="81"/>
      <name val="Tahoma"/>
      <family val="2"/>
    </font>
    <font>
      <sz val="9"/>
      <color indexed="81"/>
      <name val="Segoe UI"/>
      <family val="2"/>
    </font>
    <font>
      <b/>
      <sz val="9"/>
      <color indexed="81"/>
      <name val="Segoe UI"/>
      <family val="2"/>
    </font>
    <font>
      <b/>
      <u/>
      <sz val="9"/>
      <color indexed="81"/>
      <name val="Segoe UI"/>
      <family val="2"/>
    </font>
    <font>
      <sz val="10"/>
      <color rgb="FFFF0000"/>
      <name val="Cambria"/>
      <family val="1"/>
    </font>
    <font>
      <sz val="8"/>
      <name val="Arial"/>
      <family val="2"/>
    </font>
    <font>
      <b/>
      <sz val="11"/>
      <color rgb="FF000000"/>
      <name val="Cambria"/>
      <family val="1"/>
      <scheme val="major"/>
    </font>
    <font>
      <sz val="11"/>
      <color rgb="FF000000"/>
      <name val="Cambria"/>
      <family val="1"/>
      <scheme val="major"/>
    </font>
    <font>
      <b/>
      <u/>
      <sz val="11"/>
      <color theme="1"/>
      <name val="Cambria"/>
      <family val="1"/>
      <scheme val="major"/>
    </font>
    <font>
      <u/>
      <sz val="14"/>
      <name val="Arial Narrow"/>
      <family val="2"/>
    </font>
    <font>
      <u/>
      <sz val="11"/>
      <color indexed="12"/>
      <name val="Cambria"/>
      <family val="1"/>
      <scheme val="major"/>
    </font>
    <font>
      <b/>
      <i/>
      <sz val="11"/>
      <name val="Cambria"/>
      <family val="1"/>
    </font>
  </fonts>
  <fills count="20">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lightUp"/>
    </fill>
    <fill>
      <patternFill patternType="solid">
        <fgColor rgb="FFD9D9D9"/>
        <bgColor indexed="64"/>
      </patternFill>
    </fill>
    <fill>
      <patternFill patternType="solid">
        <fgColor theme="2" tint="-9.9978637043366805E-2"/>
        <bgColor indexed="64"/>
      </patternFill>
    </fill>
    <fill>
      <patternFill patternType="solid">
        <fgColor indexed="23"/>
        <bgColor indexed="55"/>
      </patternFill>
    </fill>
    <fill>
      <patternFill patternType="solid">
        <fgColor theme="0" tint="-0.14999847407452621"/>
        <bgColor indexed="31"/>
      </patternFill>
    </fill>
    <fill>
      <patternFill patternType="solid">
        <fgColor theme="1"/>
        <bgColor indexed="64"/>
      </patternFill>
    </fill>
    <fill>
      <patternFill patternType="lightGrid">
        <bgColor theme="0"/>
      </patternFill>
    </fill>
    <fill>
      <patternFill patternType="solid">
        <fgColor theme="0" tint="-0.249977111117893"/>
        <bgColor indexed="64"/>
      </patternFill>
    </fill>
    <fill>
      <patternFill patternType="solid">
        <fgColor rgb="FFFFFF00"/>
        <bgColor indexed="64"/>
      </patternFill>
    </fill>
    <fill>
      <patternFill patternType="solid">
        <fgColor rgb="FF003300"/>
        <bgColor indexed="64"/>
      </patternFill>
    </fill>
    <fill>
      <patternFill patternType="solid">
        <fgColor theme="6" tint="0.79998168889431442"/>
        <bgColor indexed="64"/>
      </patternFill>
    </fill>
    <fill>
      <patternFill patternType="solid">
        <fgColor rgb="FF95B3D7"/>
        <bgColor indexed="64"/>
      </patternFill>
    </fill>
    <fill>
      <patternFill patternType="solid">
        <fgColor rgb="FFF2F2F2"/>
        <bgColor indexed="64"/>
      </patternFill>
    </fill>
    <fill>
      <patternFill patternType="solid">
        <fgColor rgb="FFFFFFFF"/>
        <bgColor indexed="64"/>
      </patternFill>
    </fill>
  </fills>
  <borders count="106">
    <border>
      <start/>
      <end/>
      <top/>
      <bottom/>
      <diagonal/>
    </border>
    <border>
      <start/>
      <end/>
      <top/>
      <bottom style="thick">
        <color indexed="62"/>
      </bottom>
      <diagonal/>
    </border>
    <border>
      <start style="thin">
        <color indexed="64"/>
      </start>
      <end style="thin">
        <color indexed="64"/>
      </end>
      <top style="thin">
        <color indexed="64"/>
      </top>
      <bottom style="thin">
        <color indexed="64"/>
      </bottom>
      <diagonal/>
    </border>
    <border>
      <start style="thin">
        <color indexed="64"/>
      </start>
      <end style="thin">
        <color indexed="64"/>
      </end>
      <top/>
      <bottom style="thin">
        <color indexed="64"/>
      </bottom>
      <diagonal/>
    </border>
    <border>
      <start/>
      <end/>
      <top style="thin">
        <color indexed="64"/>
      </top>
      <bottom style="thin">
        <color indexed="64"/>
      </bottom>
      <diagonal/>
    </border>
    <border>
      <start style="thin">
        <color indexed="64"/>
      </start>
      <end/>
      <top style="thin">
        <color indexed="64"/>
      </top>
      <bottom/>
      <diagonal/>
    </border>
    <border>
      <start style="thin">
        <color indexed="64"/>
      </start>
      <end/>
      <top style="thin">
        <color indexed="64"/>
      </top>
      <bottom style="thin">
        <color indexed="64"/>
      </bottom>
      <diagonal/>
    </border>
    <border>
      <start/>
      <end style="thin">
        <color indexed="64"/>
      </end>
      <top style="thin">
        <color indexed="64"/>
      </top>
      <bottom style="thin">
        <color indexed="64"/>
      </bottom>
      <diagonal/>
    </border>
    <border>
      <start/>
      <end/>
      <top style="medium">
        <color indexed="64"/>
      </top>
      <bottom style="thin">
        <color indexed="64"/>
      </bottom>
      <diagonal/>
    </border>
    <border>
      <start/>
      <end/>
      <top/>
      <bottom style="medium">
        <color indexed="64"/>
      </bottom>
      <diagonal/>
    </border>
    <border>
      <start style="medium">
        <color indexed="64"/>
      </start>
      <end/>
      <top style="medium">
        <color indexed="64"/>
      </top>
      <bottom style="thin">
        <color indexed="64"/>
      </bottom>
      <diagonal/>
    </border>
    <border>
      <start style="medium">
        <color indexed="64"/>
      </start>
      <end/>
      <top style="thin">
        <color indexed="64"/>
      </top>
      <bottom style="thin">
        <color indexed="64"/>
      </bottom>
      <diagonal/>
    </border>
    <border>
      <start/>
      <end/>
      <top style="thin">
        <color indexed="64"/>
      </top>
      <bottom style="medium">
        <color indexed="64"/>
      </bottom>
      <diagonal/>
    </border>
    <border>
      <start style="medium">
        <color indexed="64"/>
      </start>
      <end/>
      <top/>
      <bottom style="medium">
        <color indexed="64"/>
      </bottom>
      <diagonal/>
    </border>
    <border>
      <start style="medium">
        <color indexed="64"/>
      </start>
      <end/>
      <top style="medium">
        <color indexed="64"/>
      </top>
      <bottom/>
      <diagonal/>
    </border>
    <border>
      <start/>
      <end style="medium">
        <color indexed="64"/>
      </end>
      <top style="medium">
        <color indexed="64"/>
      </top>
      <bottom/>
      <diagonal/>
    </border>
    <border>
      <start/>
      <end/>
      <top style="medium">
        <color indexed="64"/>
      </top>
      <bottom/>
      <diagonal/>
    </border>
    <border>
      <start style="medium">
        <color indexed="64"/>
      </start>
      <end style="medium">
        <color indexed="64"/>
      </end>
      <top style="medium">
        <color indexed="64"/>
      </top>
      <bottom style="thin">
        <color indexed="64"/>
      </bottom>
      <diagonal/>
    </border>
    <border>
      <start style="medium">
        <color indexed="64"/>
      </start>
      <end/>
      <top/>
      <bottom/>
      <diagonal/>
    </border>
    <border>
      <start style="medium">
        <color indexed="64"/>
      </start>
      <end style="medium">
        <color indexed="64"/>
      </end>
      <top/>
      <bottom style="thin">
        <color indexed="64"/>
      </bottom>
      <diagonal/>
    </border>
    <border>
      <start style="medium">
        <color indexed="64"/>
      </start>
      <end style="medium">
        <color indexed="64"/>
      </end>
      <top style="thin">
        <color indexed="64"/>
      </top>
      <bottom style="thin">
        <color indexed="64"/>
      </bottom>
      <diagonal/>
    </border>
    <border>
      <start style="medium">
        <color indexed="64"/>
      </start>
      <end/>
      <top/>
      <bottom style="thin">
        <color indexed="64"/>
      </bottom>
      <diagonal/>
    </border>
    <border>
      <start/>
      <end/>
      <top/>
      <bottom style="thin">
        <color indexed="64"/>
      </bottom>
      <diagonal/>
    </border>
    <border>
      <start style="medium">
        <color indexed="64"/>
      </start>
      <end/>
      <top style="thin">
        <color indexed="64"/>
      </top>
      <bottom/>
      <diagonal/>
    </border>
    <border>
      <start/>
      <end/>
      <top style="thin">
        <color indexed="64"/>
      </top>
      <bottom/>
      <diagonal/>
    </border>
    <border>
      <start style="medium">
        <color indexed="64"/>
      </start>
      <end style="medium">
        <color indexed="64"/>
      </end>
      <top style="medium">
        <color indexed="64"/>
      </top>
      <bottom/>
      <diagonal/>
    </border>
    <border>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top style="thin">
        <color indexed="64"/>
      </top>
      <bottom style="medium">
        <color indexed="64"/>
      </bottom>
      <diagonal/>
    </border>
    <border>
      <start/>
      <end style="medium">
        <color indexed="64"/>
      </end>
      <top style="thin">
        <color indexed="64"/>
      </top>
      <bottom style="medium">
        <color indexed="64"/>
      </bottom>
      <diagonal/>
    </border>
    <border>
      <start style="medium">
        <color indexed="64"/>
      </start>
      <end style="medium">
        <color indexed="64"/>
      </end>
      <top style="thin">
        <color indexed="64"/>
      </top>
      <bottom style="medium">
        <color indexed="64"/>
      </bottom>
      <diagonal/>
    </border>
    <border>
      <start/>
      <end style="medium">
        <color indexed="64"/>
      </end>
      <top style="medium">
        <color indexed="64"/>
      </top>
      <bottom style="thin">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medium">
        <color indexed="64"/>
      </top>
      <bottom style="medium">
        <color indexed="64"/>
      </bottom>
      <diagonal/>
    </border>
    <border>
      <start style="thin">
        <color indexed="64"/>
      </start>
      <end style="thin">
        <color indexed="64"/>
      </end>
      <top style="medium">
        <color indexed="64"/>
      </top>
      <bottom style="medium">
        <color indexed="64"/>
      </bottom>
      <diagonal/>
    </border>
    <border>
      <start style="thin">
        <color indexed="64"/>
      </start>
      <end style="medium">
        <color indexed="64"/>
      </end>
      <top style="medium">
        <color indexed="64"/>
      </top>
      <bottom style="medium">
        <color indexed="64"/>
      </bottom>
      <diagonal/>
    </border>
    <border>
      <start style="thin">
        <color indexed="64"/>
      </start>
      <end style="medium">
        <color indexed="64"/>
      </end>
      <top style="thin">
        <color indexed="64"/>
      </top>
      <bottom style="thin">
        <color indexed="64"/>
      </bottom>
      <diagonal/>
    </border>
    <border>
      <start style="thin">
        <color indexed="64"/>
      </start>
      <end style="thin">
        <color indexed="64"/>
      </end>
      <top style="medium">
        <color indexed="64"/>
      </top>
      <bottom style="thin">
        <color indexed="64"/>
      </bottom>
      <diagonal/>
    </border>
    <border>
      <start style="thin">
        <color indexed="64"/>
      </start>
      <end style="medium">
        <color indexed="64"/>
      </end>
      <top style="thin">
        <color indexed="64"/>
      </top>
      <bottom style="medium">
        <color indexed="64"/>
      </bottom>
      <diagonal/>
    </border>
    <border>
      <start/>
      <end style="thin">
        <color indexed="64"/>
      </end>
      <top/>
      <bottom style="thin">
        <color indexed="64"/>
      </bottom>
      <diagonal/>
    </border>
    <border>
      <start style="medium">
        <color indexed="64"/>
      </start>
      <end style="thin">
        <color indexed="64"/>
      </end>
      <top style="thin">
        <color indexed="64"/>
      </top>
      <bottom style="thin">
        <color indexed="64"/>
      </bottom>
      <diagonal/>
    </border>
    <border>
      <start style="medium">
        <color indexed="64"/>
      </start>
      <end/>
      <top style="thin">
        <color indexed="64"/>
      </top>
      <bottom style="medium">
        <color indexed="64"/>
      </bottom>
      <diagonal/>
    </border>
    <border>
      <start style="medium">
        <color indexed="64"/>
      </start>
      <end/>
      <top style="medium">
        <color indexed="64"/>
      </top>
      <bottom style="medium">
        <color indexed="64"/>
      </bottom>
      <diagonal/>
    </border>
    <border>
      <start/>
      <end style="thin">
        <color indexed="64"/>
      </end>
      <top style="medium">
        <color indexed="64"/>
      </top>
      <bottom style="medium">
        <color indexed="64"/>
      </bottom>
      <diagonal/>
    </border>
    <border>
      <start style="thin">
        <color indexed="64"/>
      </start>
      <end style="medium">
        <color indexed="64"/>
      </end>
      <top/>
      <bottom style="medium">
        <color indexed="64"/>
      </bottom>
      <diagonal/>
    </border>
    <border>
      <start style="thin">
        <color indexed="64"/>
      </start>
      <end style="thin">
        <color indexed="64"/>
      </end>
      <top style="thin">
        <color indexed="64"/>
      </top>
      <bottom/>
      <diagonal/>
    </border>
    <border>
      <start style="double">
        <color indexed="64"/>
      </start>
      <end style="double">
        <color indexed="64"/>
      </end>
      <top style="double">
        <color indexed="64"/>
      </top>
      <bottom style="double">
        <color indexed="64"/>
      </bottom>
      <diagonal/>
    </border>
    <border>
      <start style="thin">
        <color indexed="64"/>
      </start>
      <end/>
      <top/>
      <bottom/>
      <diagonal/>
    </border>
    <border>
      <start style="double">
        <color indexed="64"/>
      </start>
      <end/>
      <top style="double">
        <color indexed="64"/>
      </top>
      <bottom style="double">
        <color indexed="64"/>
      </bottom>
      <diagonal/>
    </border>
    <border>
      <start/>
      <end/>
      <top style="double">
        <color indexed="64"/>
      </top>
      <bottom style="double">
        <color indexed="64"/>
      </bottom>
      <diagonal/>
    </border>
    <border>
      <start/>
      <end style="double">
        <color indexed="64"/>
      </end>
      <top style="double">
        <color indexed="64"/>
      </top>
      <bottom style="double">
        <color indexed="64"/>
      </bottom>
      <diagonal/>
    </border>
    <border>
      <start style="thin">
        <color indexed="64"/>
      </start>
      <end/>
      <top/>
      <bottom style="thin">
        <color indexed="64"/>
      </bottom>
      <diagonal/>
    </border>
    <border>
      <start style="medium">
        <color indexed="64"/>
      </start>
      <end style="thin">
        <color indexed="64"/>
      </end>
      <top/>
      <bottom style="thin">
        <color indexed="64"/>
      </bottom>
      <diagonal/>
    </border>
    <border>
      <start style="thin">
        <color indexed="64"/>
      </start>
      <end style="medium">
        <color indexed="64"/>
      </end>
      <top/>
      <bottom style="thin">
        <color indexed="64"/>
      </bottom>
      <diagonal/>
    </border>
    <border>
      <start style="thin">
        <color indexed="64"/>
      </start>
      <end style="thin">
        <color indexed="64"/>
      </end>
      <top style="thin">
        <color indexed="64"/>
      </top>
      <bottom style="medium">
        <color indexed="64"/>
      </bottom>
      <diagonal/>
    </border>
    <border>
      <start/>
      <end/>
      <top style="medium">
        <color indexed="64"/>
      </top>
      <bottom style="medium">
        <color indexed="64"/>
      </bottom>
      <diagonal/>
    </border>
    <border>
      <start/>
      <end style="medium">
        <color indexed="64"/>
      </end>
      <top style="medium">
        <color indexed="64"/>
      </top>
      <bottom style="medium">
        <color indexed="64"/>
      </bottom>
      <diagonal/>
    </border>
    <border>
      <start/>
      <end style="thin">
        <color indexed="64"/>
      </end>
      <top style="thin">
        <color indexed="64"/>
      </top>
      <bottom/>
      <diagonal/>
    </border>
    <border>
      <start/>
      <end/>
      <top/>
      <bottom style="double">
        <color indexed="64"/>
      </bottom>
      <diagonal/>
    </border>
    <border>
      <start style="medium">
        <color indexed="64"/>
      </start>
      <end style="thin">
        <color indexed="64"/>
      </end>
      <top style="thin">
        <color indexed="64"/>
      </top>
      <bottom/>
      <diagonal/>
    </border>
    <border>
      <start/>
      <end style="thin">
        <color indexed="64"/>
      </end>
      <top/>
      <bottom style="medium">
        <color indexed="64"/>
      </bottom>
      <diagonal/>
    </border>
    <border>
      <start style="thin">
        <color indexed="64"/>
      </start>
      <end/>
      <top style="medium">
        <color indexed="64"/>
      </top>
      <bottom style="medium">
        <color indexed="64"/>
      </bottom>
      <diagonal/>
    </border>
    <border>
      <start style="thin">
        <color indexed="64"/>
      </start>
      <end style="thin">
        <color indexed="64"/>
      </end>
      <top/>
      <bottom/>
      <diagonal/>
    </border>
    <border>
      <start style="double">
        <color indexed="64"/>
      </start>
      <end/>
      <top style="double">
        <color indexed="64"/>
      </top>
      <bottom/>
      <diagonal/>
    </border>
    <border>
      <start style="double">
        <color indexed="64"/>
      </start>
      <end style="double">
        <color indexed="64"/>
      </end>
      <top style="double">
        <color indexed="64"/>
      </top>
      <bottom/>
      <diagonal/>
    </border>
    <border>
      <start style="double">
        <color indexed="64"/>
      </start>
      <end/>
      <top/>
      <bottom style="double">
        <color indexed="64"/>
      </bottom>
      <diagonal/>
    </border>
    <border>
      <start/>
      <end style="double">
        <color indexed="64"/>
      </end>
      <top/>
      <bottom style="double">
        <color indexed="64"/>
      </bottom>
      <diagonal/>
    </border>
    <border>
      <start style="double">
        <color indexed="64"/>
      </start>
      <end style="double">
        <color indexed="64"/>
      </end>
      <top/>
      <bottom style="double">
        <color indexed="64"/>
      </bottom>
      <diagonal/>
    </border>
    <border>
      <start/>
      <end style="double">
        <color indexed="64"/>
      </end>
      <top style="double">
        <color indexed="64"/>
      </top>
      <bottom/>
      <diagonal/>
    </border>
    <border>
      <start style="medium">
        <color indexed="64"/>
      </start>
      <end style="medium">
        <color indexed="64"/>
      </end>
      <top/>
      <bottom style="medium">
        <color indexed="64"/>
      </bottom>
      <diagonal/>
    </border>
    <border>
      <start/>
      <end style="thin">
        <color indexed="64"/>
      </end>
      <top/>
      <bottom/>
      <diagonal/>
    </border>
    <border>
      <start style="thin">
        <color indexed="64"/>
      </start>
      <end/>
      <top style="medium">
        <color indexed="64"/>
      </top>
      <bottom style="thin">
        <color indexed="64"/>
      </bottom>
      <diagonal/>
    </border>
    <border>
      <start style="thin">
        <color indexed="64"/>
      </start>
      <end style="medium">
        <color indexed="64"/>
      </end>
      <top style="medium">
        <color indexed="64"/>
      </top>
      <bottom/>
      <diagonal/>
    </border>
    <border>
      <start style="medium">
        <color indexed="64"/>
      </start>
      <end style="thin">
        <color indexed="64"/>
      </end>
      <top/>
      <bottom style="medium">
        <color indexed="64"/>
      </bottom>
      <diagonal/>
    </border>
    <border>
      <start style="thin">
        <color indexed="64"/>
      </start>
      <end style="thin">
        <color indexed="64"/>
      </end>
      <top/>
      <bottom style="medium">
        <color indexed="64"/>
      </bottom>
      <diagonal/>
    </border>
    <border>
      <start/>
      <end style="thin">
        <color indexed="64"/>
      </end>
      <top style="thin">
        <color rgb="FF000000"/>
      </top>
      <bottom style="thin">
        <color rgb="FF000000"/>
      </bottom>
      <diagonal/>
    </border>
    <border>
      <start/>
      <end style="medium">
        <color indexed="64"/>
      </end>
      <top/>
      <bottom/>
      <diagonal/>
    </border>
    <border>
      <start/>
      <end style="medium">
        <color indexed="64"/>
      </end>
      <top/>
      <bottom style="medium">
        <color indexed="64"/>
      </bottom>
      <diagonal/>
    </border>
    <border>
      <start style="medium">
        <color indexed="64"/>
      </start>
      <end/>
      <top style="medium">
        <color theme="0"/>
      </top>
      <bottom/>
      <diagonal/>
    </border>
    <border>
      <start/>
      <end/>
      <top style="medium">
        <color theme="0"/>
      </top>
      <bottom/>
      <diagonal/>
    </border>
    <border>
      <start/>
      <end style="medium">
        <color indexed="64"/>
      </end>
      <top style="medium">
        <color theme="0"/>
      </top>
      <bottom/>
      <diagonal/>
    </border>
    <border>
      <start/>
      <end style="medium">
        <color indexed="64"/>
      </end>
      <top/>
      <bottom style="thin">
        <color indexed="64"/>
      </bottom>
      <diagonal/>
    </border>
    <border>
      <start/>
      <end/>
      <top style="double">
        <color indexed="64"/>
      </top>
      <bottom/>
      <diagonal/>
    </border>
    <border>
      <start/>
      <end style="thin">
        <color indexed="64"/>
      </end>
      <top style="medium">
        <color indexed="64"/>
      </top>
      <bottom style="thin">
        <color indexed="64"/>
      </bottom>
      <diagonal/>
    </border>
    <border>
      <start/>
      <end style="thin">
        <color indexed="64"/>
      </end>
      <top style="thin">
        <color indexed="64"/>
      </top>
      <bottom style="medium">
        <color indexed="64"/>
      </bottom>
      <diagonal/>
    </border>
    <border>
      <start style="thin">
        <color indexed="64"/>
      </start>
      <end/>
      <top style="medium">
        <color indexed="64"/>
      </top>
      <bottom/>
      <diagonal/>
    </border>
    <border>
      <start/>
      <end style="thin">
        <color indexed="64"/>
      </end>
      <top style="medium">
        <color indexed="64"/>
      </top>
      <bottom/>
      <diagonal/>
    </border>
    <border>
      <start style="thin">
        <color indexed="64"/>
      </start>
      <end/>
      <top/>
      <bottom style="medium">
        <color indexed="64"/>
      </bottom>
      <diagonal/>
    </border>
    <border>
      <start style="medium">
        <color indexed="64"/>
      </start>
      <end style="thin">
        <color indexed="64"/>
      </end>
      <top style="medium">
        <color indexed="64"/>
      </top>
      <bottom/>
      <diagonal/>
    </border>
    <border>
      <start style="thin">
        <color indexed="64"/>
      </start>
      <end style="medium">
        <color indexed="64"/>
      </end>
      <top/>
      <bottom/>
      <diagonal/>
    </border>
    <border>
      <start/>
      <end style="medium">
        <color indexed="64"/>
      </end>
      <top style="thin">
        <color indexed="64"/>
      </top>
      <bottom/>
      <diagonal/>
    </border>
    <border>
      <start style="double">
        <color indexed="64"/>
      </start>
      <end/>
      <top/>
      <bottom/>
      <diagonal/>
    </border>
    <border>
      <start/>
      <end style="double">
        <color indexed="64"/>
      </end>
      <top/>
      <bottom/>
      <diagonal/>
    </border>
    <border>
      <start style="double">
        <color indexed="64"/>
      </start>
      <end style="double">
        <color indexed="64"/>
      </end>
      <top/>
      <bottom/>
      <diagonal/>
    </border>
    <border>
      <start style="thin">
        <color rgb="FF2B2B2B"/>
      </start>
      <end/>
      <top style="thin">
        <color rgb="FF2B2B2B"/>
      </top>
      <bottom style="thin">
        <color rgb="FF2B2B2B"/>
      </bottom>
      <diagonal/>
    </border>
    <border>
      <start style="thin">
        <color rgb="FF2B2B2B"/>
      </start>
      <end/>
      <top/>
      <bottom style="thin">
        <color rgb="FF2B2B2B"/>
      </bottom>
      <diagonal/>
    </border>
    <border>
      <start/>
      <end/>
      <top style="thin">
        <color rgb="FF2B2B2B"/>
      </top>
      <bottom style="thin">
        <color rgb="FF2B2B2B"/>
      </bottom>
      <diagonal/>
    </border>
    <border>
      <start style="medium">
        <color indexed="64"/>
      </start>
      <end/>
      <top style="medium">
        <color theme="0"/>
      </top>
      <bottom style="medium">
        <color theme="0"/>
      </bottom>
      <diagonal/>
    </border>
    <border>
      <start/>
      <end/>
      <top style="medium">
        <color theme="0"/>
      </top>
      <bottom style="medium">
        <color theme="0"/>
      </bottom>
      <diagonal/>
    </border>
    <border>
      <start style="thin">
        <color indexed="64"/>
      </start>
      <end style="thin">
        <color indexed="64"/>
      </end>
      <top style="medium">
        <color indexed="64"/>
      </top>
      <bottom/>
      <diagonal/>
    </border>
    <border>
      <start style="medium">
        <color indexed="64"/>
      </start>
      <end style="medium">
        <color indexed="64"/>
      </end>
      <top style="medium">
        <color indexed="64"/>
      </top>
      <bottom style="medium">
        <color indexed="64"/>
      </bottom>
      <diagonal/>
    </border>
    <border>
      <start style="medium">
        <color indexed="64"/>
      </start>
      <end style="medium">
        <color indexed="64"/>
      </end>
      <top style="thin">
        <color indexed="64"/>
      </top>
      <bottom/>
      <diagonal/>
    </border>
    <border>
      <start style="medium">
        <color indexed="64"/>
      </start>
      <end style="thin">
        <color indexed="64"/>
      </end>
      <top/>
      <bottom/>
      <diagonal/>
    </border>
    <border>
      <start style="thin">
        <color indexed="64"/>
      </start>
      <end style="medium">
        <color indexed="64"/>
      </end>
      <top style="thin">
        <color indexed="64"/>
      </top>
      <bottom/>
      <diagonal/>
    </border>
    <border>
      <start style="medium">
        <color indexed="64"/>
      </start>
      <end style="medium">
        <color indexed="64"/>
      </end>
      <top/>
      <bottom/>
      <diagonal/>
    </border>
  </borders>
  <cellStyleXfs count="137">
    <xf numFmtId="0" fontId="0"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167" fontId="12" fillId="0" borderId="0" applyFont="0" applyFill="0" applyBorder="0" applyAlignment="0" applyProtection="0"/>
    <xf numFmtId="167" fontId="26"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14" fillId="0" borderId="0"/>
    <xf numFmtId="0" fontId="26" fillId="0" borderId="0"/>
    <xf numFmtId="0" fontId="14" fillId="0" borderId="0"/>
    <xf numFmtId="0" fontId="14" fillId="0" borderId="0"/>
    <xf numFmtId="0" fontId="26" fillId="0" borderId="0"/>
    <xf numFmtId="0" fontId="26" fillId="0" borderId="0"/>
    <xf numFmtId="0" fontId="14" fillId="0" borderId="0"/>
    <xf numFmtId="0" fontId="14" fillId="0" borderId="0"/>
    <xf numFmtId="0" fontId="14" fillId="0" borderId="0"/>
    <xf numFmtId="0" fontId="14" fillId="0" borderId="0"/>
    <xf numFmtId="9" fontId="12" fillId="0" borderId="0" applyFont="0" applyFill="0" applyBorder="0" applyAlignment="0" applyProtection="0"/>
    <xf numFmtId="9" fontId="2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6" fillId="0" borderId="0" applyNumberFormat="0" applyFill="0" applyBorder="0" applyAlignment="0" applyProtection="0"/>
    <xf numFmtId="0" fontId="17" fillId="0" borderId="1" applyNumberFormat="0" applyFill="0" applyAlignment="0" applyProtection="0"/>
    <xf numFmtId="166" fontId="14" fillId="0" borderId="0" applyFont="0" applyFill="0" applyBorder="0" applyAlignment="0" applyProtection="0"/>
    <xf numFmtId="43" fontId="12"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11" fillId="0" borderId="0"/>
    <xf numFmtId="0" fontId="11" fillId="0" borderId="0"/>
    <xf numFmtId="0" fontId="11" fillId="0" borderId="0"/>
    <xf numFmtId="166" fontId="14" fillId="0" borderId="0" applyFont="0" applyFill="0" applyBorder="0" applyAlignment="0" applyProtection="0"/>
    <xf numFmtId="166" fontId="14" fillId="0" borderId="0" applyFont="0" applyFill="0" applyBorder="0" applyAlignment="0" applyProtection="0"/>
    <xf numFmtId="0" fontId="11" fillId="0" borderId="0"/>
    <xf numFmtId="0" fontId="11" fillId="0" borderId="0"/>
    <xf numFmtId="0" fontId="45" fillId="0" borderId="0" applyNumberFormat="0" applyFill="0" applyBorder="0" applyAlignment="0" applyProtection="0"/>
    <xf numFmtId="0" fontId="12" fillId="0" borderId="0"/>
    <xf numFmtId="0" fontId="12" fillId="0" borderId="0"/>
    <xf numFmtId="166" fontId="12" fillId="0" borderId="0" applyFont="0" applyFill="0" applyBorder="0" applyAlignment="0" applyProtection="0"/>
    <xf numFmtId="0" fontId="10" fillId="0" borderId="0"/>
    <xf numFmtId="165" fontId="12" fillId="0" borderId="0" applyFont="0" applyFill="0" applyBorder="0" applyAlignment="0" applyProtection="0"/>
    <xf numFmtId="0" fontId="9" fillId="0" borderId="0"/>
    <xf numFmtId="0" fontId="9"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12" fillId="0" borderId="0"/>
    <xf numFmtId="167" fontId="8" fillId="0" borderId="0" applyFont="0" applyFill="0" applyBorder="0" applyAlignment="0" applyProtection="0"/>
    <xf numFmtId="0" fontId="7" fillId="0" borderId="0"/>
    <xf numFmtId="0" fontId="6" fillId="0" borderId="0"/>
    <xf numFmtId="9" fontId="12" fillId="0" borderId="0" applyFont="0" applyFill="0" applyBorder="0" applyAlignment="0" applyProtection="0"/>
    <xf numFmtId="167" fontId="5" fillId="0" borderId="0" applyFont="0" applyFill="0" applyBorder="0" applyAlignment="0" applyProtection="0"/>
    <xf numFmtId="167" fontId="12" fillId="0" borderId="0" applyFont="0" applyFill="0" applyBorder="0" applyAlignment="0" applyProtection="0"/>
    <xf numFmtId="0" fontId="5" fillId="0" borderId="0"/>
    <xf numFmtId="0" fontId="12" fillId="0" borderId="0"/>
    <xf numFmtId="0" fontId="5" fillId="0" borderId="0"/>
    <xf numFmtId="0" fontId="5" fillId="0" borderId="0"/>
    <xf numFmtId="0" fontId="12" fillId="0" borderId="0"/>
    <xf numFmtId="0" fontId="12" fillId="0" borderId="0"/>
    <xf numFmtId="9" fontId="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6" fontId="12" fillId="0" borderId="0" applyFont="0" applyFill="0" applyBorder="0" applyAlignment="0" applyProtection="0"/>
    <xf numFmtId="167" fontId="12" fillId="0" borderId="0" applyFont="0" applyFill="0" applyBorder="0" applyAlignment="0" applyProtection="0"/>
    <xf numFmtId="165" fontId="12" fillId="0" borderId="0" applyFont="0" applyFill="0" applyBorder="0" applyAlignment="0" applyProtection="0"/>
    <xf numFmtId="0" fontId="5" fillId="0" borderId="0"/>
    <xf numFmtId="0" fontId="5" fillId="0" borderId="0"/>
    <xf numFmtId="0" fontId="5" fillId="0" borderId="0"/>
    <xf numFmtId="166" fontId="12" fillId="0" borderId="0" applyFont="0" applyFill="0" applyBorder="0" applyAlignment="0" applyProtection="0"/>
    <xf numFmtId="166"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applyFont="0" applyFill="0" applyBorder="0" applyAlignment="0" applyProtection="0"/>
    <xf numFmtId="0" fontId="4" fillId="0" borderId="0"/>
    <xf numFmtId="0" fontId="4" fillId="0" borderId="0"/>
    <xf numFmtId="0" fontId="3" fillId="0" borderId="0"/>
    <xf numFmtId="0" fontId="86" fillId="0" borderId="0" applyNumberFormat="0" applyFill="0" applyBorder="0" applyAlignment="0" applyProtection="0">
      <alignment vertical="top"/>
      <protection locked="0"/>
    </xf>
    <xf numFmtId="167" fontId="3" fillId="0" borderId="0" applyFont="0" applyFill="0" applyBorder="0" applyAlignment="0" applyProtection="0"/>
    <xf numFmtId="0" fontId="3" fillId="0" borderId="0"/>
    <xf numFmtId="9" fontId="3" fillId="0" borderId="0" applyFont="0" applyFill="0" applyBorder="0" applyAlignment="0" applyProtection="0"/>
    <xf numFmtId="166" fontId="12" fillId="0" borderId="0" applyFont="0" applyFill="0" applyBorder="0" applyAlignment="0" applyProtection="0"/>
    <xf numFmtId="0" fontId="3" fillId="0" borderId="0"/>
    <xf numFmtId="44" fontId="2" fillId="0" borderId="0" applyFont="0" applyFill="0" applyBorder="0" applyAlignment="0" applyProtection="0"/>
    <xf numFmtId="0" fontId="1" fillId="0" borderId="0"/>
    <xf numFmtId="44" fontId="15" fillId="0" borderId="0" applyFont="0" applyFill="0" applyBorder="0" applyAlignment="0" applyProtection="0"/>
  </cellStyleXfs>
  <cellXfs count="1810">
    <xf numFmtId="0" fontId="0" fillId="0" borderId="0" xfId="0"/>
    <xf numFmtId="0" fontId="30" fillId="3" borderId="2" xfId="15" applyFont="1" applyFill="1" applyBorder="1" applyAlignment="1">
      <alignment horizontal="center" vertical="center" wrapText="1"/>
    </xf>
    <xf numFmtId="3" fontId="28" fillId="0" borderId="2" xfId="28" applyNumberFormat="1" applyFont="1" applyBorder="1" applyAlignment="1">
      <alignment horizontal="center" vertical="center"/>
    </xf>
    <xf numFmtId="165" fontId="28" fillId="0" borderId="2" xfId="6" applyFont="1" applyBorder="1" applyAlignment="1">
      <alignment horizontal="center" vertical="center" wrapText="1"/>
    </xf>
    <xf numFmtId="44" fontId="28" fillId="0" borderId="2" xfId="15" applyNumberFormat="1" applyFont="1" applyBorder="1" applyAlignment="1">
      <alignment horizontal="center" vertical="center" wrapText="1"/>
    </xf>
    <xf numFmtId="165" fontId="28" fillId="0" borderId="2" xfId="6" applyFont="1" applyBorder="1" applyAlignment="1">
      <alignment vertical="center"/>
    </xf>
    <xf numFmtId="165" fontId="28" fillId="0" borderId="2" xfId="15" applyNumberFormat="1" applyFont="1" applyBorder="1" applyAlignment="1">
      <alignment vertical="center"/>
    </xf>
    <xf numFmtId="0" fontId="28" fillId="0" borderId="0" xfId="15" applyFont="1" applyAlignment="1">
      <alignment horizontal="center" vertical="center"/>
    </xf>
    <xf numFmtId="165" fontId="28" fillId="0" borderId="0" xfId="6" applyFont="1" applyBorder="1" applyAlignment="1">
      <alignment vertical="center"/>
    </xf>
    <xf numFmtId="0" fontId="28" fillId="0" borderId="0" xfId="15" applyFont="1" applyBorder="1" applyAlignment="1">
      <alignment horizontal="center" vertical="center"/>
    </xf>
    <xf numFmtId="0" fontId="28" fillId="0" borderId="0" xfId="15" applyFont="1" applyBorder="1" applyAlignment="1">
      <alignment horizontal="center" vertical="center" wrapText="1"/>
    </xf>
    <xf numFmtId="3" fontId="28" fillId="0" borderId="0" xfId="28" applyNumberFormat="1" applyFont="1" applyBorder="1" applyAlignment="1">
      <alignment horizontal="center" vertical="center"/>
    </xf>
    <xf numFmtId="165" fontId="28" fillId="0" borderId="0" xfId="6" applyFont="1" applyBorder="1" applyAlignment="1">
      <alignment horizontal="center" vertical="center" wrapText="1"/>
    </xf>
    <xf numFmtId="44" fontId="28" fillId="0" borderId="0" xfId="15" applyNumberFormat="1" applyFont="1" applyBorder="1" applyAlignment="1">
      <alignment horizontal="center" vertical="center" wrapText="1"/>
    </xf>
    <xf numFmtId="0" fontId="28" fillId="0" borderId="0" xfId="15" applyFont="1" applyFill="1" applyAlignment="1">
      <alignment horizontal="center" vertical="center"/>
    </xf>
    <xf numFmtId="0" fontId="28" fillId="0" borderId="0" xfId="15" applyFont="1" applyFill="1" applyAlignment="1">
      <alignment vertical="center"/>
    </xf>
    <xf numFmtId="0" fontId="28" fillId="0" borderId="0" xfId="15" applyFont="1" applyAlignment="1">
      <alignment vertical="center"/>
    </xf>
    <xf numFmtId="0" fontId="30" fillId="0" borderId="0" xfId="15" applyFont="1" applyFill="1" applyAlignment="1">
      <alignment horizontal="center" vertical="center"/>
    </xf>
    <xf numFmtId="0" fontId="29" fillId="0" borderId="0" xfId="8" applyFont="1" applyFill="1" applyAlignment="1">
      <alignment vertical="center" wrapText="1"/>
    </xf>
    <xf numFmtId="170" fontId="28" fillId="0" borderId="2" xfId="15" applyNumberFormat="1" applyFont="1" applyFill="1" applyBorder="1" applyAlignment="1">
      <alignment horizontal="center" vertical="center"/>
    </xf>
    <xf numFmtId="0" fontId="28" fillId="0" borderId="2" xfId="9" applyFont="1" applyFill="1" applyBorder="1" applyAlignment="1">
      <alignment vertical="center"/>
    </xf>
    <xf numFmtId="170" fontId="30" fillId="0" borderId="0" xfId="15" applyNumberFormat="1" applyFont="1" applyFill="1" applyBorder="1" applyAlignment="1">
      <alignment horizontal="center" vertical="center"/>
    </xf>
    <xf numFmtId="10" fontId="30" fillId="0" borderId="0" xfId="15" applyNumberFormat="1" applyFont="1" applyFill="1" applyBorder="1" applyAlignment="1">
      <alignment horizontal="center" vertical="center"/>
    </xf>
    <xf numFmtId="0" fontId="28" fillId="0" borderId="2" xfId="15" applyFont="1" applyFill="1" applyBorder="1" applyAlignment="1">
      <alignment vertical="center"/>
    </xf>
    <xf numFmtId="0" fontId="28" fillId="0" borderId="2" xfId="15" applyFont="1" applyFill="1" applyBorder="1" applyAlignment="1">
      <alignment horizontal="justify" vertical="center" wrapText="1"/>
    </xf>
    <xf numFmtId="2" fontId="28" fillId="0" borderId="0" xfId="15" applyNumberFormat="1" applyFont="1" applyAlignment="1">
      <alignment vertical="center"/>
    </xf>
    <xf numFmtId="0" fontId="28" fillId="0" borderId="2" xfId="9" applyFont="1" applyFill="1" applyBorder="1" applyAlignment="1">
      <alignment horizontal="center" vertical="center"/>
    </xf>
    <xf numFmtId="0" fontId="28" fillId="0" borderId="2" xfId="9" applyFont="1" applyFill="1" applyBorder="1" applyAlignment="1">
      <alignment horizontal="justify" vertical="center"/>
    </xf>
    <xf numFmtId="10" fontId="30" fillId="0" borderId="2" xfId="20" applyNumberFormat="1" applyFont="1" applyFill="1" applyBorder="1" applyAlignment="1">
      <alignment horizontal="center" vertical="center"/>
    </xf>
    <xf numFmtId="0" fontId="34" fillId="0" borderId="0" xfId="13" applyFont="1"/>
    <xf numFmtId="0" fontId="34" fillId="0" borderId="0" xfId="13" applyFont="1" applyBorder="1"/>
    <xf numFmtId="0" fontId="30" fillId="0" borderId="0" xfId="8" applyFont="1" applyBorder="1" applyAlignment="1">
      <alignment horizontal="left" vertical="center"/>
    </xf>
    <xf numFmtId="0" fontId="28" fillId="0" borderId="0" xfId="8" applyFont="1" applyAlignment="1">
      <alignment vertical="center"/>
    </xf>
    <xf numFmtId="0" fontId="30" fillId="0" borderId="0" xfId="8" applyFont="1" applyBorder="1" applyAlignment="1">
      <alignment vertical="center"/>
    </xf>
    <xf numFmtId="0" fontId="30" fillId="0" borderId="10" xfId="8" applyFont="1" applyBorder="1" applyAlignment="1">
      <alignment horizontal="left" vertical="center"/>
    </xf>
    <xf numFmtId="0" fontId="30" fillId="0" borderId="8" xfId="8" applyFont="1" applyBorder="1" applyAlignment="1">
      <alignment horizontal="center" vertical="center"/>
    </xf>
    <xf numFmtId="0" fontId="28" fillId="0" borderId="8" xfId="8" applyFont="1" applyBorder="1" applyAlignment="1">
      <alignment vertical="center"/>
    </xf>
    <xf numFmtId="0" fontId="30" fillId="0" borderId="11" xfId="8" applyFont="1" applyBorder="1" applyAlignment="1">
      <alignment vertical="center"/>
    </xf>
    <xf numFmtId="0" fontId="28" fillId="0" borderId="4" xfId="8" applyFont="1" applyBorder="1" applyAlignment="1">
      <alignment vertical="center"/>
    </xf>
    <xf numFmtId="0" fontId="28" fillId="0" borderId="0" xfId="8" applyFont="1" applyBorder="1" applyAlignment="1">
      <alignment vertical="center"/>
    </xf>
    <xf numFmtId="0" fontId="28" fillId="0" borderId="12" xfId="8" applyFont="1" applyBorder="1" applyAlignment="1">
      <alignment vertical="center"/>
    </xf>
    <xf numFmtId="2" fontId="30" fillId="0" borderId="0" xfId="8" applyNumberFormat="1" applyFont="1" applyBorder="1" applyAlignment="1">
      <alignment horizontal="center" vertical="center"/>
    </xf>
    <xf numFmtId="0" fontId="28" fillId="0" borderId="10" xfId="8" applyFont="1" applyBorder="1" applyAlignment="1">
      <alignment vertical="center"/>
    </xf>
    <xf numFmtId="0" fontId="28" fillId="0" borderId="13" xfId="8" applyFont="1" applyBorder="1" applyAlignment="1">
      <alignment vertical="center"/>
    </xf>
    <xf numFmtId="0" fontId="28" fillId="0" borderId="9" xfId="8" applyFont="1" applyBorder="1" applyAlignment="1">
      <alignment vertical="center"/>
    </xf>
    <xf numFmtId="0" fontId="30" fillId="0" borderId="9" xfId="8" applyFont="1" applyBorder="1" applyAlignment="1">
      <alignment vertical="center"/>
    </xf>
    <xf numFmtId="0" fontId="36" fillId="0" borderId="0" xfId="8" applyFont="1" applyAlignment="1">
      <alignment horizontal="left" vertical="center"/>
    </xf>
    <xf numFmtId="0" fontId="37" fillId="0" borderId="0" xfId="6" applyNumberFormat="1" applyFont="1" applyBorder="1" applyAlignment="1">
      <alignment horizontal="left" vertical="center"/>
    </xf>
    <xf numFmtId="165" fontId="28" fillId="0" borderId="0" xfId="6" applyFont="1" applyFill="1" applyBorder="1" applyAlignment="1">
      <alignment vertical="center"/>
    </xf>
    <xf numFmtId="167" fontId="37" fillId="0" borderId="0" xfId="5" applyFont="1" applyBorder="1" applyAlignment="1">
      <alignment vertical="center"/>
    </xf>
    <xf numFmtId="0" fontId="32" fillId="0" borderId="18" xfId="8" applyFont="1" applyBorder="1" applyAlignment="1">
      <alignment vertical="center"/>
    </xf>
    <xf numFmtId="0" fontId="37" fillId="0" borderId="0" xfId="6" applyNumberFormat="1" applyFont="1" applyBorder="1" applyAlignment="1">
      <alignment horizontal="center" vertical="center"/>
    </xf>
    <xf numFmtId="165" fontId="37" fillId="0" borderId="0" xfId="6" applyFont="1" applyBorder="1" applyAlignment="1">
      <alignment vertical="center"/>
    </xf>
    <xf numFmtId="0" fontId="28" fillId="0" borderId="22" xfId="8" applyFont="1" applyBorder="1" applyAlignment="1">
      <alignment vertical="center"/>
    </xf>
    <xf numFmtId="172" fontId="28" fillId="0" borderId="0" xfId="6" applyNumberFormat="1" applyFont="1" applyFill="1" applyBorder="1" applyAlignment="1">
      <alignment vertical="center"/>
    </xf>
    <xf numFmtId="0" fontId="32" fillId="0" borderId="23" xfId="8" applyFont="1" applyBorder="1" applyAlignment="1">
      <alignment vertical="center"/>
    </xf>
    <xf numFmtId="0" fontId="28" fillId="0" borderId="24" xfId="8" applyFont="1" applyBorder="1" applyAlignment="1">
      <alignment vertical="center"/>
    </xf>
    <xf numFmtId="10" fontId="28" fillId="0" borderId="0" xfId="8" applyNumberFormat="1" applyFont="1" applyBorder="1" applyAlignment="1">
      <alignment vertical="center"/>
    </xf>
    <xf numFmtId="10" fontId="28" fillId="0" borderId="0" xfId="20" applyNumberFormat="1" applyFont="1" applyBorder="1" applyAlignment="1">
      <alignment vertical="center"/>
    </xf>
    <xf numFmtId="0" fontId="32" fillId="0" borderId="0" xfId="8" applyFont="1" applyBorder="1" applyAlignment="1">
      <alignment vertical="center"/>
    </xf>
    <xf numFmtId="0" fontId="31" fillId="0" borderId="0" xfId="8" applyFont="1" applyBorder="1" applyAlignment="1">
      <alignment vertical="center"/>
    </xf>
    <xf numFmtId="0" fontId="36" fillId="0" borderId="0" xfId="8" applyFont="1" applyAlignment="1">
      <alignment horizontal="left" vertical="center" wrapText="1"/>
    </xf>
    <xf numFmtId="0" fontId="32" fillId="0" borderId="27" xfId="8" applyFont="1" applyFill="1" applyBorder="1" applyAlignment="1">
      <alignment vertical="center"/>
    </xf>
    <xf numFmtId="9" fontId="28" fillId="0" borderId="28" xfId="20" applyFont="1" applyBorder="1" applyAlignment="1">
      <alignment vertical="center"/>
    </xf>
    <xf numFmtId="10" fontId="37" fillId="0" borderId="0" xfId="20" applyNumberFormat="1" applyFont="1" applyFill="1" applyBorder="1" applyAlignment="1">
      <alignment horizontal="center" vertical="center"/>
    </xf>
    <xf numFmtId="10" fontId="37" fillId="0" borderId="0" xfId="20" applyNumberFormat="1" applyFont="1" applyFill="1" applyBorder="1" applyAlignment="1">
      <alignment horizontal="left" vertical="center"/>
    </xf>
    <xf numFmtId="0" fontId="30" fillId="0" borderId="0" xfId="8" applyFont="1" applyAlignment="1">
      <alignment vertical="center"/>
    </xf>
    <xf numFmtId="0" fontId="28" fillId="0" borderId="0" xfId="8" applyFont="1" applyAlignment="1">
      <alignment wrapText="1"/>
    </xf>
    <xf numFmtId="0" fontId="28" fillId="0" borderId="0" xfId="0" applyFont="1" applyFill="1" applyAlignment="1">
      <alignment vertical="center"/>
    </xf>
    <xf numFmtId="0" fontId="28" fillId="0" borderId="0" xfId="0" applyFont="1" applyAlignment="1">
      <alignment vertical="center"/>
    </xf>
    <xf numFmtId="0" fontId="28" fillId="0" borderId="0" xfId="8" applyFont="1"/>
    <xf numFmtId="1" fontId="28" fillId="0" borderId="0" xfId="8" applyNumberFormat="1" applyFont="1" applyBorder="1" applyAlignment="1">
      <alignment horizontal="center" vertical="center"/>
    </xf>
    <xf numFmtId="0" fontId="30" fillId="0" borderId="23" xfId="8" applyFont="1" applyBorder="1" applyAlignment="1">
      <alignment vertical="center"/>
    </xf>
    <xf numFmtId="0" fontId="30" fillId="0" borderId="18" xfId="8" applyFont="1" applyBorder="1" applyAlignment="1">
      <alignment horizontal="left" vertical="center"/>
    </xf>
    <xf numFmtId="0" fontId="30" fillId="0" borderId="11" xfId="8" applyFont="1" applyBorder="1" applyAlignment="1">
      <alignment horizontal="left" vertical="center"/>
    </xf>
    <xf numFmtId="0" fontId="30" fillId="0" borderId="42" xfId="8" applyFont="1" applyBorder="1" applyAlignment="1">
      <alignment horizontal="left" vertical="center"/>
    </xf>
    <xf numFmtId="0" fontId="30" fillId="0" borderId="12" xfId="8" applyFont="1" applyBorder="1" applyAlignment="1">
      <alignment horizontal="center" vertical="center"/>
    </xf>
    <xf numFmtId="0" fontId="18" fillId="0" borderId="0" xfId="10" applyFont="1" applyAlignment="1">
      <alignment vertical="center"/>
    </xf>
    <xf numFmtId="0" fontId="19" fillId="0" borderId="0" xfId="10" applyFont="1" applyAlignment="1">
      <alignment vertical="center"/>
    </xf>
    <xf numFmtId="0" fontId="18" fillId="0" borderId="0" xfId="10" applyFont="1" applyAlignment="1">
      <alignment horizontal="left" vertical="center"/>
    </xf>
    <xf numFmtId="0" fontId="19" fillId="0" borderId="0" xfId="10" applyFont="1" applyAlignment="1">
      <alignment horizontal="left" vertical="center"/>
    </xf>
    <xf numFmtId="0" fontId="22" fillId="0" borderId="0" xfId="10" applyFont="1" applyAlignment="1">
      <alignment vertical="center"/>
    </xf>
    <xf numFmtId="0" fontId="23" fillId="0" borderId="0" xfId="10" applyFont="1" applyFill="1" applyAlignment="1">
      <alignment horizontal="center" vertical="center"/>
    </xf>
    <xf numFmtId="165" fontId="23" fillId="0" borderId="0" xfId="10" applyNumberFormat="1" applyFont="1" applyFill="1" applyAlignment="1">
      <alignment horizontal="center" vertical="center"/>
    </xf>
    <xf numFmtId="0" fontId="18" fillId="3" borderId="3" xfId="8" quotePrefix="1" applyFont="1" applyFill="1" applyBorder="1" applyAlignment="1">
      <alignment horizontal="center" vertical="center" wrapText="1"/>
    </xf>
    <xf numFmtId="0" fontId="18" fillId="3" borderId="3" xfId="10" quotePrefix="1" applyFont="1" applyFill="1" applyBorder="1" applyAlignment="1">
      <alignment horizontal="center" vertical="center"/>
    </xf>
    <xf numFmtId="167" fontId="19" fillId="0" borderId="2" xfId="4" applyFont="1" applyFill="1" applyBorder="1" applyAlignment="1">
      <alignment horizontal="center" vertical="center"/>
    </xf>
    <xf numFmtId="170" fontId="19" fillId="0" borderId="2" xfId="10" applyNumberFormat="1" applyFont="1" applyFill="1" applyBorder="1" applyAlignment="1">
      <alignment horizontal="center" vertical="center"/>
    </xf>
    <xf numFmtId="43" fontId="24" fillId="0" borderId="0" xfId="10" applyNumberFormat="1" applyFont="1" applyFill="1" applyAlignment="1">
      <alignment vertical="center"/>
    </xf>
    <xf numFmtId="165" fontId="24" fillId="0" borderId="0" xfId="10" applyNumberFormat="1" applyFont="1" applyFill="1" applyAlignment="1">
      <alignment vertical="center"/>
    </xf>
    <xf numFmtId="0" fontId="24" fillId="0" borderId="0" xfId="10" applyFont="1" applyFill="1" applyAlignment="1">
      <alignment vertical="center"/>
    </xf>
    <xf numFmtId="167" fontId="18" fillId="3" borderId="2" xfId="10" quotePrefix="1" applyNumberFormat="1" applyFont="1" applyFill="1" applyBorder="1" applyAlignment="1">
      <alignment horizontal="center" vertical="center"/>
    </xf>
    <xf numFmtId="170" fontId="18" fillId="3" borderId="2" xfId="10" applyNumberFormat="1" applyFont="1" applyFill="1" applyBorder="1" applyAlignment="1">
      <alignment horizontal="center" vertical="center"/>
    </xf>
    <xf numFmtId="0" fontId="20" fillId="0" borderId="0" xfId="10" applyFont="1" applyAlignment="1">
      <alignment vertical="center"/>
    </xf>
    <xf numFmtId="0" fontId="25" fillId="0" borderId="0" xfId="10" applyFont="1" applyAlignment="1">
      <alignment vertical="center"/>
    </xf>
    <xf numFmtId="0" fontId="19" fillId="0" borderId="0" xfId="10" applyFont="1" applyAlignment="1">
      <alignment horizontal="right" vertical="center"/>
    </xf>
    <xf numFmtId="0" fontId="40" fillId="0" borderId="0" xfId="0" applyFont="1" applyFill="1" applyAlignment="1">
      <alignment horizontal="left" vertical="center"/>
    </xf>
    <xf numFmtId="0" fontId="28" fillId="0" borderId="0" xfId="0" applyFont="1" applyFill="1" applyAlignment="1">
      <alignment horizontal="center" vertical="center"/>
    </xf>
    <xf numFmtId="0" fontId="28" fillId="0" borderId="0" xfId="0" applyFont="1" applyFill="1" applyBorder="1" applyAlignment="1">
      <alignment horizontal="center" vertical="center" wrapText="1"/>
    </xf>
    <xf numFmtId="0" fontId="28" fillId="0" borderId="0" xfId="0" applyFont="1" applyFill="1" applyBorder="1" applyAlignment="1">
      <alignment vertical="center" wrapText="1"/>
    </xf>
    <xf numFmtId="0" fontId="28" fillId="0" borderId="0" xfId="0" applyFont="1" applyFill="1" applyBorder="1" applyAlignment="1" applyProtection="1">
      <alignment vertical="center" wrapText="1"/>
      <protection locked="0"/>
    </xf>
    <xf numFmtId="0" fontId="28" fillId="0" borderId="0" xfId="0" applyFont="1" applyFill="1" applyBorder="1" applyAlignment="1">
      <alignment horizontal="left" vertical="center"/>
    </xf>
    <xf numFmtId="0" fontId="41" fillId="0" borderId="0" xfId="0" applyFont="1" applyFill="1" applyBorder="1" applyAlignment="1" applyProtection="1">
      <alignment vertical="center" wrapText="1"/>
      <protection locked="0"/>
    </xf>
    <xf numFmtId="14" fontId="28" fillId="0" borderId="0" xfId="0" applyNumberFormat="1" applyFont="1" applyFill="1" applyBorder="1" applyAlignment="1" applyProtection="1">
      <alignment horizontal="center" vertical="center" wrapText="1"/>
      <protection locked="0"/>
    </xf>
    <xf numFmtId="20" fontId="28" fillId="0" borderId="0" xfId="0" applyNumberFormat="1" applyFont="1" applyFill="1" applyBorder="1" applyAlignment="1" applyProtection="1">
      <alignment horizontal="center" vertical="center" wrapText="1"/>
      <protection locked="0"/>
    </xf>
    <xf numFmtId="0" fontId="28" fillId="0" borderId="49" xfId="0" applyFont="1" applyFill="1" applyBorder="1" applyAlignment="1">
      <alignment horizontal="left" vertical="center"/>
    </xf>
    <xf numFmtId="0" fontId="41" fillId="0" borderId="50" xfId="0" applyFont="1" applyFill="1" applyBorder="1" applyAlignment="1" applyProtection="1">
      <alignment vertical="center" wrapText="1"/>
      <protection locked="0"/>
    </xf>
    <xf numFmtId="0" fontId="28" fillId="0" borderId="50" xfId="0" applyFont="1" applyFill="1" applyBorder="1" applyAlignment="1" applyProtection="1">
      <alignment vertical="center" wrapText="1"/>
      <protection locked="0"/>
    </xf>
    <xf numFmtId="0" fontId="28" fillId="0" borderId="0" xfId="0" applyFont="1" applyFill="1" applyAlignment="1">
      <alignment vertical="center" wrapText="1"/>
    </xf>
    <xf numFmtId="0" fontId="28" fillId="0" borderId="0" xfId="0" applyFont="1" applyFill="1" applyAlignment="1">
      <alignment horizontal="center" vertical="center" wrapText="1"/>
    </xf>
    <xf numFmtId="0" fontId="37" fillId="0" borderId="0" xfId="0" applyFont="1" applyFill="1" applyAlignment="1">
      <alignment horizontal="center" vertical="center" wrapText="1"/>
    </xf>
    <xf numFmtId="0" fontId="28" fillId="0" borderId="0" xfId="0" applyFont="1" applyAlignment="1">
      <alignment horizontal="justify" vertical="center"/>
    </xf>
    <xf numFmtId="0" fontId="28" fillId="0" borderId="47" xfId="0" applyFont="1" applyFill="1" applyBorder="1" applyAlignment="1">
      <alignment horizontal="center" vertical="center"/>
    </xf>
    <xf numFmtId="0" fontId="28" fillId="0" borderId="50" xfId="0" applyFont="1" applyFill="1" applyBorder="1" applyAlignment="1">
      <alignment horizontal="left" vertical="center"/>
    </xf>
    <xf numFmtId="0" fontId="28" fillId="0" borderId="51" xfId="0" applyFont="1" applyFill="1" applyBorder="1" applyAlignment="1">
      <alignment horizontal="left" vertical="center"/>
    </xf>
    <xf numFmtId="10" fontId="28" fillId="0" borderId="47" xfId="0" applyNumberFormat="1" applyFont="1" applyFill="1" applyBorder="1" applyAlignment="1">
      <alignment horizontal="center" vertical="center"/>
    </xf>
    <xf numFmtId="167" fontId="28" fillId="0" borderId="47" xfId="0" applyNumberFormat="1" applyFont="1" applyFill="1" applyBorder="1" applyAlignment="1" applyProtection="1">
      <alignment horizontal="left" vertical="center"/>
    </xf>
    <xf numFmtId="167" fontId="28" fillId="0" borderId="47" xfId="0" applyNumberFormat="1" applyFont="1" applyFill="1" applyBorder="1" applyAlignment="1" applyProtection="1">
      <alignment horizontal="left" vertical="center"/>
      <protection locked="0"/>
    </xf>
    <xf numFmtId="10" fontId="30" fillId="0" borderId="47" xfId="0" applyNumberFormat="1" applyFont="1" applyFill="1" applyBorder="1" applyAlignment="1">
      <alignment horizontal="left" vertical="center"/>
    </xf>
    <xf numFmtId="167" fontId="30" fillId="0" borderId="47" xfId="0" applyNumberFormat="1" applyFont="1" applyFill="1" applyBorder="1" applyAlignment="1">
      <alignment horizontal="left" vertical="center"/>
    </xf>
    <xf numFmtId="10" fontId="28" fillId="0" borderId="0" xfId="0" applyNumberFormat="1" applyFont="1" applyFill="1" applyBorder="1" applyAlignment="1">
      <alignment horizontal="center" vertical="center" wrapText="1"/>
    </xf>
    <xf numFmtId="167" fontId="28" fillId="0" borderId="0" xfId="0" applyNumberFormat="1" applyFont="1" applyFill="1" applyBorder="1" applyAlignment="1">
      <alignment horizontal="center" vertical="center" wrapText="1"/>
    </xf>
    <xf numFmtId="0" fontId="28" fillId="0" borderId="0" xfId="0" applyFont="1" applyFill="1" applyAlignment="1">
      <alignment horizontal="justify" vertical="center"/>
    </xf>
    <xf numFmtId="167" fontId="28" fillId="0" borderId="47" xfId="0" applyNumberFormat="1" applyFont="1" applyFill="1" applyBorder="1" applyAlignment="1" applyProtection="1">
      <alignment horizontal="center" vertical="center"/>
      <protection locked="0"/>
    </xf>
    <xf numFmtId="167" fontId="28" fillId="0" borderId="47" xfId="0" applyNumberFormat="1" applyFont="1" applyFill="1" applyBorder="1" applyAlignment="1">
      <alignment horizontal="center" vertical="center"/>
    </xf>
    <xf numFmtId="0" fontId="28" fillId="0" borderId="49" xfId="0" applyFont="1" applyFill="1" applyBorder="1" applyAlignment="1" applyProtection="1">
      <alignment vertical="center"/>
      <protection locked="0"/>
    </xf>
    <xf numFmtId="0" fontId="28" fillId="0" borderId="51" xfId="0" applyFont="1" applyFill="1" applyBorder="1" applyAlignment="1">
      <alignment vertical="center" wrapText="1"/>
    </xf>
    <xf numFmtId="167" fontId="28" fillId="0" borderId="47" xfId="0" applyNumberFormat="1" applyFont="1" applyFill="1" applyBorder="1" applyAlignment="1">
      <alignment horizontal="center" vertical="center" wrapText="1"/>
    </xf>
    <xf numFmtId="167" fontId="30" fillId="0" borderId="47" xfId="0" applyNumberFormat="1" applyFont="1" applyFill="1" applyBorder="1" applyAlignment="1">
      <alignment horizontal="center" vertical="center" wrapText="1"/>
    </xf>
    <xf numFmtId="0" fontId="28" fillId="0" borderId="0" xfId="0" applyFont="1" applyFill="1" applyBorder="1" applyAlignment="1">
      <alignment horizontal="left" vertical="center" wrapText="1"/>
    </xf>
    <xf numFmtId="0" fontId="28" fillId="0" borderId="49" xfId="0" applyFont="1" applyFill="1" applyBorder="1" applyAlignment="1">
      <alignment horizontal="justify" vertical="center"/>
    </xf>
    <xf numFmtId="0" fontId="28" fillId="0" borderId="50" xfId="0" applyFont="1" applyFill="1" applyBorder="1" applyAlignment="1">
      <alignment horizontal="justify" vertical="center"/>
    </xf>
    <xf numFmtId="0" fontId="28" fillId="0" borderId="50" xfId="0" applyFont="1" applyFill="1" applyBorder="1" applyAlignment="1" applyProtection="1">
      <alignment vertical="center"/>
      <protection locked="0"/>
    </xf>
    <xf numFmtId="167" fontId="30" fillId="0" borderId="47" xfId="0" applyNumberFormat="1" applyFont="1" applyFill="1" applyBorder="1" applyAlignment="1">
      <alignment horizontal="center" vertical="center"/>
    </xf>
    <xf numFmtId="0" fontId="30" fillId="0" borderId="0" xfId="0" applyFont="1" applyFill="1" applyBorder="1" applyAlignment="1">
      <alignment vertical="center"/>
    </xf>
    <xf numFmtId="0" fontId="28" fillId="0" borderId="0" xfId="0" applyFont="1" applyFill="1" applyBorder="1" applyAlignment="1">
      <alignment vertical="center"/>
    </xf>
    <xf numFmtId="0" fontId="28" fillId="0" borderId="49" xfId="0" applyFont="1" applyFill="1" applyBorder="1" applyAlignment="1">
      <alignment vertical="center"/>
    </xf>
    <xf numFmtId="0" fontId="28" fillId="0" borderId="50" xfId="0" applyFont="1" applyFill="1" applyBorder="1" applyAlignment="1">
      <alignment vertical="center" wrapText="1"/>
    </xf>
    <xf numFmtId="10" fontId="28" fillId="0" borderId="47" xfId="0" applyNumberFormat="1" applyFont="1" applyFill="1" applyBorder="1" applyAlignment="1" applyProtection="1">
      <alignment horizontal="center" vertical="center" wrapText="1"/>
    </xf>
    <xf numFmtId="10" fontId="30" fillId="0" borderId="47" xfId="0" applyNumberFormat="1" applyFont="1" applyFill="1" applyBorder="1" applyAlignment="1">
      <alignment horizontal="center" vertical="center" wrapText="1"/>
    </xf>
    <xf numFmtId="167" fontId="28" fillId="0" borderId="0" xfId="0" applyNumberFormat="1" applyFont="1" applyFill="1" applyBorder="1" applyAlignment="1">
      <alignment horizontal="center" vertical="center"/>
    </xf>
    <xf numFmtId="0" fontId="28" fillId="0" borderId="49" xfId="0" applyFont="1" applyFill="1" applyBorder="1" applyAlignment="1">
      <alignment vertical="center" wrapText="1"/>
    </xf>
    <xf numFmtId="167" fontId="28" fillId="0" borderId="47" xfId="4" applyFont="1" applyFill="1" applyBorder="1" applyAlignment="1">
      <alignment horizontal="center" vertical="center"/>
    </xf>
    <xf numFmtId="167" fontId="28" fillId="0" borderId="47" xfId="4" applyFont="1" applyFill="1" applyBorder="1" applyAlignment="1">
      <alignment horizontal="right" vertical="center"/>
    </xf>
    <xf numFmtId="167" fontId="30" fillId="0" borderId="47" xfId="4" applyFont="1" applyFill="1" applyBorder="1" applyAlignment="1">
      <alignment horizontal="center" vertical="center" wrapText="1"/>
    </xf>
    <xf numFmtId="0" fontId="28" fillId="0" borderId="0" xfId="0" applyFont="1" applyFill="1" applyAlignment="1">
      <alignment horizontal="justify" vertical="center" wrapText="1"/>
    </xf>
    <xf numFmtId="169" fontId="28" fillId="0" borderId="0" xfId="0" applyNumberFormat="1" applyFont="1" applyFill="1" applyAlignment="1">
      <alignment horizontal="center" vertical="center" wrapText="1"/>
    </xf>
    <xf numFmtId="10" fontId="28" fillId="0" borderId="51" xfId="0" applyNumberFormat="1" applyFont="1" applyFill="1" applyBorder="1" applyAlignment="1">
      <alignment horizontal="center" vertical="center" wrapText="1"/>
    </xf>
    <xf numFmtId="0" fontId="28" fillId="0" borderId="0" xfId="14" applyFont="1" applyAlignment="1">
      <alignment horizontal="center" vertical="center" wrapText="1"/>
    </xf>
    <xf numFmtId="0" fontId="42" fillId="0" borderId="0" xfId="14" applyFont="1" applyAlignment="1">
      <alignment vertical="center"/>
    </xf>
    <xf numFmtId="0" fontId="42" fillId="0" borderId="0" xfId="14" applyFont="1" applyFill="1" applyAlignment="1">
      <alignment vertical="center"/>
    </xf>
    <xf numFmtId="0" fontId="42" fillId="0" borderId="0" xfId="14" applyFont="1" applyFill="1" applyAlignment="1">
      <alignment horizontal="center" vertical="center"/>
    </xf>
    <xf numFmtId="0" fontId="28" fillId="0" borderId="0" xfId="14" applyFont="1" applyAlignment="1">
      <alignment vertical="center"/>
    </xf>
    <xf numFmtId="0" fontId="29" fillId="0" borderId="0" xfId="14" applyFont="1" applyFill="1" applyAlignment="1">
      <alignment horizontal="center" vertical="center" wrapText="1"/>
    </xf>
    <xf numFmtId="0" fontId="30" fillId="0" borderId="0" xfId="14" applyFont="1" applyFill="1" applyBorder="1" applyAlignment="1">
      <alignment horizontal="left" vertical="center"/>
    </xf>
    <xf numFmtId="0" fontId="30" fillId="0" borderId="0" xfId="14" applyFont="1" applyAlignment="1">
      <alignment vertical="center"/>
    </xf>
    <xf numFmtId="0" fontId="28" fillId="0" borderId="2" xfId="14" applyFont="1" applyFill="1" applyBorder="1" applyAlignment="1">
      <alignment horizontal="center" vertical="center" wrapText="1"/>
    </xf>
    <xf numFmtId="1" fontId="28" fillId="0" borderId="2" xfId="6" applyNumberFormat="1" applyFont="1" applyFill="1" applyBorder="1" applyAlignment="1">
      <alignment horizontal="center" vertical="center" wrapText="1"/>
    </xf>
    <xf numFmtId="170" fontId="28" fillId="0" borderId="2" xfId="6" applyNumberFormat="1" applyFont="1" applyFill="1" applyBorder="1" applyAlignment="1">
      <alignment horizontal="center" vertical="center" wrapText="1"/>
    </xf>
    <xf numFmtId="170" fontId="28" fillId="0" borderId="6" xfId="6" applyNumberFormat="1" applyFont="1" applyFill="1" applyBorder="1" applyAlignment="1">
      <alignment horizontal="center" vertical="center" wrapText="1"/>
    </xf>
    <xf numFmtId="165" fontId="28" fillId="0" borderId="2" xfId="6" applyFont="1" applyFill="1" applyBorder="1" applyAlignment="1">
      <alignment horizontal="center" vertical="center" wrapText="1"/>
    </xf>
    <xf numFmtId="0" fontId="30" fillId="0" borderId="0" xfId="14" applyFont="1" applyFill="1" applyBorder="1" applyAlignment="1">
      <alignment horizontal="left" vertical="center" wrapText="1"/>
    </xf>
    <xf numFmtId="0" fontId="30" fillId="0" borderId="0" xfId="14" applyFont="1" applyAlignment="1">
      <alignment horizontal="left" vertical="center"/>
    </xf>
    <xf numFmtId="0" fontId="28" fillId="0" borderId="0" xfId="14" applyFont="1" applyFill="1" applyAlignment="1">
      <alignment vertical="center" wrapText="1"/>
    </xf>
    <xf numFmtId="0" fontId="28" fillId="0" borderId="0" xfId="14" applyFont="1" applyFill="1" applyAlignment="1">
      <alignment horizontal="center" vertical="center" wrapText="1"/>
    </xf>
    <xf numFmtId="0" fontId="28" fillId="0" borderId="0" xfId="14" applyFont="1" applyAlignment="1">
      <alignment vertical="center" wrapText="1"/>
    </xf>
    <xf numFmtId="0" fontId="28" fillId="0" borderId="0" xfId="14" applyFont="1" applyFill="1" applyAlignment="1">
      <alignment vertical="center"/>
    </xf>
    <xf numFmtId="0" fontId="28" fillId="0" borderId="0" xfId="14" applyFont="1" applyFill="1" applyAlignment="1">
      <alignment horizontal="center" vertical="center"/>
    </xf>
    <xf numFmtId="0" fontId="28" fillId="0" borderId="0" xfId="14" applyFont="1" applyBorder="1" applyAlignment="1">
      <alignment vertical="center"/>
    </xf>
    <xf numFmtId="0" fontId="29" fillId="0" borderId="0" xfId="8" applyFont="1" applyFill="1" applyBorder="1" applyAlignment="1">
      <alignment horizontal="center" vertical="center"/>
    </xf>
    <xf numFmtId="167" fontId="28" fillId="0" borderId="2" xfId="4" applyFont="1" applyFill="1" applyBorder="1" applyAlignment="1">
      <alignment horizontal="center" vertical="center"/>
    </xf>
    <xf numFmtId="170" fontId="28" fillId="0" borderId="2" xfId="8" applyNumberFormat="1" applyFont="1" applyFill="1" applyBorder="1" applyAlignment="1">
      <alignment horizontal="center" vertical="center"/>
    </xf>
    <xf numFmtId="165" fontId="28" fillId="0" borderId="2" xfId="6" applyFont="1" applyFill="1" applyBorder="1" applyAlignment="1">
      <alignment horizontal="center" vertical="center"/>
    </xf>
    <xf numFmtId="170" fontId="30" fillId="3" borderId="2" xfId="8" quotePrefix="1" applyNumberFormat="1" applyFont="1" applyFill="1" applyBorder="1" applyAlignment="1">
      <alignment horizontal="center" vertical="center"/>
    </xf>
    <xf numFmtId="170" fontId="30" fillId="3" borderId="2" xfId="8" applyNumberFormat="1" applyFont="1" applyFill="1" applyBorder="1" applyAlignment="1">
      <alignment horizontal="center" vertical="center"/>
    </xf>
    <xf numFmtId="165" fontId="30" fillId="3" borderId="2" xfId="8" quotePrefix="1" applyNumberFormat="1" applyFont="1" applyFill="1" applyBorder="1" applyAlignment="1">
      <alignment horizontal="center" vertical="center"/>
    </xf>
    <xf numFmtId="4" fontId="28" fillId="0" borderId="2" xfId="6" applyNumberFormat="1" applyFont="1" applyBorder="1" applyAlignment="1">
      <alignment horizontal="center" vertical="center"/>
    </xf>
    <xf numFmtId="170" fontId="28" fillId="0" borderId="2" xfId="8" applyNumberFormat="1" applyFont="1" applyBorder="1" applyAlignment="1">
      <alignment horizontal="center" vertical="center" wrapText="1"/>
    </xf>
    <xf numFmtId="4" fontId="28" fillId="0" borderId="2" xfId="8" applyNumberFormat="1" applyFont="1" applyBorder="1" applyAlignment="1">
      <alignment horizontal="right" vertical="center" wrapText="1"/>
    </xf>
    <xf numFmtId="4" fontId="28" fillId="0" borderId="2" xfId="6" applyNumberFormat="1" applyFont="1" applyBorder="1" applyAlignment="1">
      <alignment vertical="center"/>
    </xf>
    <xf numFmtId="4" fontId="28" fillId="0" borderId="2" xfId="6" applyNumberFormat="1" applyFont="1" applyBorder="1" applyAlignment="1">
      <alignment horizontal="right" vertical="center"/>
    </xf>
    <xf numFmtId="170" fontId="30" fillId="0" borderId="2" xfId="8" applyNumberFormat="1" applyFont="1" applyBorder="1" applyAlignment="1">
      <alignment horizontal="center" vertical="center"/>
    </xf>
    <xf numFmtId="4" fontId="30" fillId="0" borderId="2" xfId="8" applyNumberFormat="1" applyFont="1" applyBorder="1" applyAlignment="1">
      <alignment vertical="center"/>
    </xf>
    <xf numFmtId="4" fontId="30" fillId="0" borderId="2" xfId="8" quotePrefix="1" applyNumberFormat="1" applyFont="1" applyBorder="1" applyAlignment="1">
      <alignment horizontal="center" vertical="center"/>
    </xf>
    <xf numFmtId="2" fontId="30" fillId="0" borderId="0" xfId="8" applyNumberFormat="1" applyFont="1" applyAlignment="1">
      <alignment horizontal="center" vertical="center"/>
    </xf>
    <xf numFmtId="0" fontId="34" fillId="0" borderId="0" xfId="13" applyFont="1" applyFill="1" applyBorder="1"/>
    <xf numFmtId="10" fontId="37" fillId="0" borderId="0" xfId="18" applyNumberFormat="1" applyFont="1" applyBorder="1" applyAlignment="1">
      <alignment horizontal="center" vertical="center"/>
    </xf>
    <xf numFmtId="165" fontId="28" fillId="0" borderId="30" xfId="6" applyFont="1" applyBorder="1" applyAlignment="1">
      <alignment vertical="center"/>
    </xf>
    <xf numFmtId="170" fontId="19" fillId="0" borderId="46" xfId="10" applyNumberFormat="1" applyFont="1" applyFill="1" applyBorder="1" applyAlignment="1">
      <alignment horizontal="center" vertical="center"/>
    </xf>
    <xf numFmtId="0" fontId="28" fillId="0" borderId="46" xfId="8" applyFont="1" applyBorder="1" applyAlignment="1">
      <alignment horizontal="center" vertical="center" wrapText="1"/>
    </xf>
    <xf numFmtId="10" fontId="28" fillId="0" borderId="0" xfId="20" applyNumberFormat="1" applyFont="1" applyBorder="1" applyAlignment="1">
      <alignment horizontal="center" vertical="center"/>
    </xf>
    <xf numFmtId="9" fontId="28" fillId="0" borderId="12" xfId="20" applyFont="1" applyBorder="1" applyAlignment="1">
      <alignment vertical="center"/>
    </xf>
    <xf numFmtId="0" fontId="32" fillId="0" borderId="42" xfId="8" applyFont="1" applyBorder="1" applyAlignment="1">
      <alignment vertical="center"/>
    </xf>
    <xf numFmtId="0" fontId="32" fillId="0" borderId="24" xfId="8" applyFont="1" applyBorder="1" applyAlignment="1">
      <alignment vertical="center"/>
    </xf>
    <xf numFmtId="0" fontId="30" fillId="0" borderId="0" xfId="0" applyFont="1" applyFill="1" applyBorder="1" applyAlignment="1">
      <alignment horizontal="center" vertical="center"/>
    </xf>
    <xf numFmtId="0" fontId="32" fillId="0" borderId="10" xfId="8" applyFont="1" applyBorder="1" applyAlignment="1">
      <alignment horizontal="left" vertical="center"/>
    </xf>
    <xf numFmtId="0" fontId="30" fillId="0" borderId="0" xfId="8" applyFont="1" applyFill="1" applyBorder="1" applyAlignment="1">
      <alignment vertical="center"/>
    </xf>
    <xf numFmtId="0" fontId="30" fillId="0" borderId="53" xfId="8" applyFont="1" applyFill="1" applyBorder="1" applyAlignment="1">
      <alignment horizontal="right" vertical="center"/>
    </xf>
    <xf numFmtId="165" fontId="30" fillId="0" borderId="0" xfId="6" applyFont="1" applyFill="1" applyBorder="1" applyAlignment="1">
      <alignment vertical="center"/>
    </xf>
    <xf numFmtId="0" fontId="30" fillId="0" borderId="27" xfId="8" applyFont="1" applyFill="1" applyBorder="1" applyAlignment="1">
      <alignment horizontal="right" vertical="center"/>
    </xf>
    <xf numFmtId="165" fontId="30" fillId="0" borderId="0" xfId="6" applyFont="1" applyBorder="1" applyAlignment="1">
      <alignment vertical="center"/>
    </xf>
    <xf numFmtId="165" fontId="30" fillId="0" borderId="34" xfId="6" applyFont="1" applyFill="1" applyBorder="1" applyAlignment="1">
      <alignment vertical="center"/>
    </xf>
    <xf numFmtId="168" fontId="30" fillId="0" borderId="36" xfId="8" applyNumberFormat="1" applyFont="1" applyFill="1" applyBorder="1" applyAlignment="1">
      <alignment horizontal="center" vertical="center"/>
    </xf>
    <xf numFmtId="0" fontId="30" fillId="0" borderId="0" xfId="8" applyFont="1" applyAlignment="1">
      <alignment horizontal="center" vertical="center" wrapText="1"/>
    </xf>
    <xf numFmtId="0" fontId="28" fillId="0" borderId="40" xfId="8" applyFont="1" applyFill="1" applyBorder="1" applyAlignment="1">
      <alignment horizontal="left" vertical="center" wrapText="1"/>
    </xf>
    <xf numFmtId="170" fontId="28" fillId="0" borderId="3" xfId="6" applyNumberFormat="1" applyFont="1" applyFill="1" applyBorder="1" applyAlignment="1">
      <alignment horizontal="center" vertical="center" wrapText="1"/>
    </xf>
    <xf numFmtId="165" fontId="28" fillId="0" borderId="54" xfId="6" applyFont="1" applyFill="1" applyBorder="1" applyAlignment="1">
      <alignment horizontal="center" vertical="center" wrapText="1"/>
    </xf>
    <xf numFmtId="0" fontId="28" fillId="0" borderId="0" xfId="8" applyFont="1" applyBorder="1" applyAlignment="1">
      <alignment vertical="center" wrapText="1"/>
    </xf>
    <xf numFmtId="0" fontId="28" fillId="0" borderId="0" xfId="8" applyFont="1" applyAlignment="1">
      <alignment vertical="center" wrapText="1"/>
    </xf>
    <xf numFmtId="170" fontId="28" fillId="2" borderId="41" xfId="0" applyNumberFormat="1" applyFont="1" applyFill="1" applyBorder="1" applyAlignment="1">
      <alignment horizontal="center" vertical="center"/>
    </xf>
    <xf numFmtId="0" fontId="30" fillId="0" borderId="0" xfId="0" applyFont="1" applyFill="1" applyAlignment="1">
      <alignment vertical="center"/>
    </xf>
    <xf numFmtId="0" fontId="43" fillId="0" borderId="0" xfId="0" applyFont="1" applyFill="1" applyBorder="1" applyAlignment="1">
      <alignment vertical="center"/>
    </xf>
    <xf numFmtId="0" fontId="28" fillId="0" borderId="41" xfId="9" applyFont="1" applyFill="1" applyBorder="1" applyAlignment="1">
      <alignment horizontal="center" vertical="center"/>
    </xf>
    <xf numFmtId="0" fontId="28" fillId="0" borderId="0" xfId="9" applyFont="1" applyFill="1" applyBorder="1" applyAlignment="1">
      <alignment vertical="center"/>
    </xf>
    <xf numFmtId="0" fontId="44" fillId="0" borderId="0" xfId="0" applyFont="1" applyFill="1" applyBorder="1" applyAlignment="1">
      <alignment vertical="center"/>
    </xf>
    <xf numFmtId="0" fontId="28" fillId="2" borderId="41" xfId="9" applyFont="1" applyFill="1" applyBorder="1" applyAlignment="1">
      <alignment horizontal="center" vertical="center"/>
    </xf>
    <xf numFmtId="0" fontId="30" fillId="0" borderId="0" xfId="8" quotePrefix="1" applyFont="1" applyBorder="1" applyAlignment="1">
      <alignment horizontal="left" vertical="center"/>
    </xf>
    <xf numFmtId="0" fontId="30" fillId="0" borderId="0" xfId="0" applyFont="1" applyBorder="1" applyAlignment="1">
      <alignment vertical="center"/>
    </xf>
    <xf numFmtId="10" fontId="28" fillId="0" borderId="0" xfId="0" applyNumberFormat="1" applyFont="1" applyFill="1" applyBorder="1" applyAlignment="1">
      <alignment vertical="center"/>
    </xf>
    <xf numFmtId="170" fontId="36" fillId="0" borderId="16" xfId="0" applyNumberFormat="1" applyFont="1" applyBorder="1" applyAlignment="1">
      <alignment vertical="center"/>
    </xf>
    <xf numFmtId="10" fontId="43" fillId="0" borderId="0" xfId="20" applyNumberFormat="1" applyFont="1" applyBorder="1" applyAlignment="1">
      <alignment vertical="center"/>
    </xf>
    <xf numFmtId="0" fontId="43" fillId="0" borderId="0" xfId="0" applyFont="1" applyBorder="1" applyAlignment="1">
      <alignment vertical="center"/>
    </xf>
    <xf numFmtId="166" fontId="43" fillId="0" borderId="0" xfId="0" applyNumberFormat="1" applyFont="1" applyBorder="1" applyAlignment="1">
      <alignment horizontal="center" vertical="center"/>
    </xf>
    <xf numFmtId="0" fontId="30" fillId="0" borderId="0" xfId="7" applyNumberFormat="1" applyFont="1" applyFill="1" applyBorder="1" applyAlignment="1">
      <alignment vertical="center"/>
    </xf>
    <xf numFmtId="0" fontId="30" fillId="0" borderId="0" xfId="9" applyFont="1" applyBorder="1" applyAlignment="1">
      <alignment vertical="center"/>
    </xf>
    <xf numFmtId="0" fontId="28" fillId="0" borderId="0" xfId="13" applyFont="1"/>
    <xf numFmtId="165" fontId="28" fillId="0" borderId="0" xfId="6" applyFont="1" applyBorder="1" applyAlignment="1">
      <alignment horizontal="center" vertical="center"/>
    </xf>
    <xf numFmtId="165" fontId="28" fillId="0" borderId="0" xfId="6" applyFont="1" applyAlignment="1">
      <alignment vertical="center"/>
    </xf>
    <xf numFmtId="0" fontId="28" fillId="0" borderId="4" xfId="0" applyFont="1" applyFill="1" applyBorder="1" applyAlignment="1">
      <alignment horizontal="left" vertical="center"/>
    </xf>
    <xf numFmtId="0" fontId="39" fillId="0" borderId="0" xfId="0" applyFont="1" applyBorder="1" applyAlignment="1">
      <alignment vertical="center"/>
    </xf>
    <xf numFmtId="0" fontId="28" fillId="0" borderId="4" xfId="0" applyFont="1" applyFill="1" applyBorder="1" applyAlignment="1">
      <alignment vertical="center"/>
    </xf>
    <xf numFmtId="10" fontId="28" fillId="0" borderId="19" xfId="19" applyNumberFormat="1" applyFont="1" applyFill="1" applyBorder="1" applyAlignment="1">
      <alignment horizontal="center" vertical="center"/>
    </xf>
    <xf numFmtId="2" fontId="36" fillId="0" borderId="0" xfId="8" applyNumberFormat="1" applyFont="1" applyBorder="1" applyAlignment="1">
      <alignment horizontal="center" vertical="center"/>
    </xf>
    <xf numFmtId="10" fontId="36" fillId="0" borderId="0" xfId="8" applyNumberFormat="1" applyFont="1" applyBorder="1" applyAlignment="1">
      <alignment horizontal="center" vertical="center"/>
    </xf>
    <xf numFmtId="165" fontId="28" fillId="0" borderId="19" xfId="6" applyFont="1" applyBorder="1" applyAlignment="1">
      <alignment vertical="center"/>
    </xf>
    <xf numFmtId="0" fontId="28" fillId="2" borderId="4" xfId="9" applyFont="1" applyFill="1" applyBorder="1" applyAlignment="1">
      <alignment vertical="center"/>
    </xf>
    <xf numFmtId="0" fontId="28" fillId="0" borderId="4" xfId="9" applyFont="1" applyFill="1" applyBorder="1" applyAlignment="1">
      <alignment vertical="center"/>
    </xf>
    <xf numFmtId="0" fontId="28" fillId="0" borderId="18" xfId="0" applyFont="1" applyFill="1" applyBorder="1" applyAlignment="1">
      <alignment vertical="center"/>
    </xf>
    <xf numFmtId="0" fontId="30" fillId="0" borderId="18" xfId="0" applyFont="1" applyFill="1" applyBorder="1" applyAlignment="1">
      <alignment horizontal="center" vertical="center"/>
    </xf>
    <xf numFmtId="170" fontId="30" fillId="0" borderId="18" xfId="0" applyNumberFormat="1" applyFont="1" applyFill="1" applyBorder="1" applyAlignment="1">
      <alignment horizontal="center" vertical="center"/>
    </xf>
    <xf numFmtId="170" fontId="30" fillId="0" borderId="0" xfId="0" applyNumberFormat="1" applyFont="1" applyFill="1" applyBorder="1" applyAlignment="1">
      <alignment horizontal="center" vertical="center"/>
    </xf>
    <xf numFmtId="2" fontId="30" fillId="0" borderId="18" xfId="0" applyNumberFormat="1" applyFont="1" applyFill="1" applyBorder="1" applyAlignment="1">
      <alignment vertical="center"/>
    </xf>
    <xf numFmtId="2" fontId="30" fillId="0" borderId="0" xfId="0" applyNumberFormat="1" applyFont="1" applyFill="1" applyBorder="1" applyAlignment="1">
      <alignment vertical="center"/>
    </xf>
    <xf numFmtId="0" fontId="28" fillId="0" borderId="18" xfId="9" applyFont="1" applyFill="1" applyBorder="1" applyAlignment="1">
      <alignment vertical="center"/>
    </xf>
    <xf numFmtId="0" fontId="28" fillId="0" borderId="0" xfId="8" applyFont="1" applyFill="1" applyBorder="1" applyAlignment="1">
      <alignment wrapText="1"/>
    </xf>
    <xf numFmtId="0" fontId="30" fillId="0" borderId="0" xfId="8" applyFont="1" applyFill="1" applyAlignment="1">
      <alignment horizontal="center" vertical="center" wrapText="1"/>
    </xf>
    <xf numFmtId="0" fontId="28" fillId="0" borderId="0" xfId="8" applyFont="1" applyFill="1" applyAlignment="1">
      <alignment vertical="center" wrapText="1"/>
    </xf>
    <xf numFmtId="0" fontId="28" fillId="0" borderId="0" xfId="8" applyFont="1" applyFill="1" applyAlignment="1">
      <alignment vertical="center"/>
    </xf>
    <xf numFmtId="0" fontId="37" fillId="0" borderId="0" xfId="0" applyFont="1" applyFill="1" applyAlignment="1">
      <alignment vertical="center"/>
    </xf>
    <xf numFmtId="2" fontId="30" fillId="0" borderId="0" xfId="0" applyNumberFormat="1" applyFont="1" applyFill="1" applyBorder="1" applyAlignment="1">
      <alignment horizontal="center" vertical="center"/>
    </xf>
    <xf numFmtId="170" fontId="36" fillId="0" borderId="0" xfId="0" applyNumberFormat="1" applyFont="1" applyFill="1" applyBorder="1" applyAlignment="1">
      <alignment vertical="center"/>
    </xf>
    <xf numFmtId="0" fontId="28" fillId="0" borderId="53" xfId="8" applyFont="1" applyBorder="1" applyAlignment="1">
      <alignment horizontal="center" vertical="center" wrapText="1"/>
    </xf>
    <xf numFmtId="170" fontId="28" fillId="2" borderId="60" xfId="0" applyNumberFormat="1" applyFont="1" applyFill="1" applyBorder="1" applyAlignment="1">
      <alignment horizontal="center" vertical="center"/>
    </xf>
    <xf numFmtId="0" fontId="28" fillId="2" borderId="24" xfId="9" applyFont="1" applyFill="1" applyBorder="1" applyAlignment="1">
      <alignment vertical="center"/>
    </xf>
    <xf numFmtId="170" fontId="28" fillId="2" borderId="53" xfId="0" applyNumberFormat="1" applyFont="1" applyFill="1" applyBorder="1" applyAlignment="1">
      <alignment horizontal="center" vertical="center"/>
    </xf>
    <xf numFmtId="0" fontId="28" fillId="2" borderId="52" xfId="9" applyFont="1" applyFill="1" applyBorder="1" applyAlignment="1">
      <alignment vertical="center"/>
    </xf>
    <xf numFmtId="0" fontId="28" fillId="2" borderId="22" xfId="9" applyFont="1" applyFill="1" applyBorder="1" applyAlignment="1">
      <alignment vertical="center"/>
    </xf>
    <xf numFmtId="2" fontId="30" fillId="0" borderId="34" xfId="0" applyNumberFormat="1" applyFont="1" applyBorder="1" applyAlignment="1">
      <alignment horizontal="center" vertical="center"/>
    </xf>
    <xf numFmtId="170" fontId="28" fillId="0" borderId="53" xfId="0" applyNumberFormat="1" applyFont="1" applyFill="1" applyBorder="1" applyAlignment="1">
      <alignment horizontal="center" vertical="center"/>
    </xf>
    <xf numFmtId="0" fontId="28" fillId="0" borderId="52" xfId="0" applyFont="1" applyFill="1" applyBorder="1" applyAlignment="1">
      <alignment vertical="center"/>
    </xf>
    <xf numFmtId="0" fontId="28" fillId="0" borderId="22" xfId="0" applyFont="1" applyFill="1" applyBorder="1" applyAlignment="1">
      <alignment vertical="center"/>
    </xf>
    <xf numFmtId="2" fontId="30" fillId="2" borderId="34" xfId="0" applyNumberFormat="1" applyFont="1" applyFill="1" applyBorder="1" applyAlignment="1">
      <alignment horizontal="center" vertical="center"/>
    </xf>
    <xf numFmtId="170" fontId="28" fillId="0" borderId="60" xfId="0" applyNumberFormat="1" applyFont="1" applyFill="1" applyBorder="1" applyAlignment="1">
      <alignment horizontal="center" vertical="center"/>
    </xf>
    <xf numFmtId="0" fontId="28" fillId="0" borderId="5" xfId="0" applyFont="1" applyFill="1" applyBorder="1" applyAlignment="1">
      <alignment vertical="center"/>
    </xf>
    <xf numFmtId="0" fontId="28" fillId="0" borderId="24" xfId="0" applyFont="1" applyFill="1" applyBorder="1" applyAlignment="1">
      <alignment vertical="center"/>
    </xf>
    <xf numFmtId="2" fontId="30" fillId="0" borderId="34" xfId="0" applyNumberFormat="1" applyFont="1" applyFill="1" applyBorder="1" applyAlignment="1">
      <alignment horizontal="center" vertical="center"/>
    </xf>
    <xf numFmtId="0" fontId="28" fillId="0" borderId="53" xfId="9" applyFont="1" applyFill="1" applyBorder="1" applyAlignment="1">
      <alignment horizontal="center" vertical="center"/>
    </xf>
    <xf numFmtId="0" fontId="28" fillId="0" borderId="52" xfId="9" applyFont="1" applyFill="1" applyBorder="1" applyAlignment="1">
      <alignment vertical="center"/>
    </xf>
    <xf numFmtId="0" fontId="28" fillId="0" borderId="22" xfId="9" applyFont="1" applyFill="1" applyBorder="1" applyAlignment="1">
      <alignment vertical="center"/>
    </xf>
    <xf numFmtId="0" fontId="28" fillId="0" borderId="60" xfId="9" applyFont="1" applyFill="1" applyBorder="1" applyAlignment="1">
      <alignment horizontal="center" vertical="center"/>
    </xf>
    <xf numFmtId="0" fontId="27" fillId="0" borderId="6" xfId="0" applyFont="1" applyFill="1" applyBorder="1" applyAlignment="1">
      <alignment horizontal="left" vertical="center"/>
    </xf>
    <xf numFmtId="0" fontId="37" fillId="0" borderId="18" xfId="0" applyFont="1" applyFill="1" applyBorder="1" applyAlignment="1">
      <alignment vertical="center"/>
    </xf>
    <xf numFmtId="0" fontId="37" fillId="0" borderId="18" xfId="9" applyFont="1" applyFill="1" applyBorder="1" applyAlignment="1">
      <alignment vertical="center"/>
    </xf>
    <xf numFmtId="2" fontId="36" fillId="0" borderId="18" xfId="0" applyNumberFormat="1" applyFont="1" applyFill="1" applyBorder="1" applyAlignment="1">
      <alignment vertical="center"/>
    </xf>
    <xf numFmtId="165" fontId="28" fillId="0" borderId="47" xfId="8" applyNumberFormat="1" applyFont="1" applyFill="1" applyBorder="1" applyAlignment="1">
      <alignment vertical="center"/>
    </xf>
    <xf numFmtId="170" fontId="28" fillId="0" borderId="47" xfId="8" applyNumberFormat="1" applyFont="1" applyFill="1" applyBorder="1" applyAlignment="1">
      <alignment horizontal="center" vertical="center"/>
    </xf>
    <xf numFmtId="44" fontId="28" fillId="0" borderId="47" xfId="8" applyNumberFormat="1" applyFont="1" applyFill="1" applyBorder="1" applyAlignment="1">
      <alignment horizontal="center" vertical="center"/>
    </xf>
    <xf numFmtId="170" fontId="28" fillId="0" borderId="47" xfId="8" applyNumberFormat="1" applyFont="1" applyFill="1" applyBorder="1" applyAlignment="1">
      <alignment horizontal="center" vertical="center" wrapText="1"/>
    </xf>
    <xf numFmtId="165" fontId="28" fillId="0" borderId="47" xfId="6" applyFont="1" applyFill="1" applyBorder="1" applyAlignment="1">
      <alignment horizontal="center" vertical="center" wrapText="1"/>
    </xf>
    <xf numFmtId="0" fontId="28" fillId="0" borderId="47" xfId="8" applyFont="1" applyFill="1" applyBorder="1" applyAlignment="1">
      <alignment horizontal="center" vertical="center" wrapText="1"/>
    </xf>
    <xf numFmtId="165" fontId="28" fillId="0" borderId="47" xfId="6" applyFont="1" applyFill="1" applyBorder="1" applyAlignment="1">
      <alignment horizontal="right" vertical="center"/>
    </xf>
    <xf numFmtId="0" fontId="30" fillId="0" borderId="65" xfId="8" applyFont="1" applyFill="1" applyBorder="1" applyAlignment="1">
      <alignment horizontal="center" vertical="center" wrapText="1"/>
    </xf>
    <xf numFmtId="14" fontId="30" fillId="0" borderId="65" xfId="8" applyNumberFormat="1" applyFont="1" applyFill="1" applyBorder="1" applyAlignment="1">
      <alignment horizontal="center" vertical="center" wrapText="1"/>
    </xf>
    <xf numFmtId="0" fontId="30" fillId="0" borderId="47" xfId="8" applyFont="1" applyFill="1" applyBorder="1" applyAlignment="1">
      <alignment horizontal="center" vertical="center" wrapText="1"/>
    </xf>
    <xf numFmtId="0" fontId="32" fillId="0" borderId="50" xfId="8" applyFont="1" applyFill="1" applyBorder="1" applyAlignment="1">
      <alignment vertical="center" wrapText="1"/>
    </xf>
    <xf numFmtId="0" fontId="28" fillId="0" borderId="50" xfId="0" applyFont="1" applyFill="1" applyBorder="1" applyAlignment="1">
      <alignment vertical="center"/>
    </xf>
    <xf numFmtId="0" fontId="28" fillId="0" borderId="50" xfId="8" applyFont="1" applyFill="1" applyBorder="1" applyAlignment="1">
      <alignment vertical="center" wrapText="1"/>
    </xf>
    <xf numFmtId="0" fontId="28" fillId="0" borderId="49" xfId="8" applyFont="1" applyFill="1" applyBorder="1" applyAlignment="1">
      <alignment vertical="center"/>
    </xf>
    <xf numFmtId="10" fontId="28" fillId="0" borderId="51" xfId="0" applyNumberFormat="1" applyFont="1" applyFill="1" applyBorder="1" applyAlignment="1">
      <alignment horizontal="center" vertical="center"/>
    </xf>
    <xf numFmtId="10" fontId="28" fillId="0" borderId="0" xfId="18" applyNumberFormat="1" applyFont="1" applyBorder="1" applyAlignment="1">
      <alignment vertical="center"/>
    </xf>
    <xf numFmtId="173" fontId="28" fillId="0" borderId="0" xfId="29" applyNumberFormat="1" applyFont="1" applyBorder="1" applyAlignment="1">
      <alignment vertical="center"/>
    </xf>
    <xf numFmtId="167" fontId="30" fillId="0" borderId="0" xfId="5" applyFont="1" applyFill="1" applyBorder="1" applyAlignment="1">
      <alignment vertical="center"/>
    </xf>
    <xf numFmtId="170" fontId="28" fillId="0" borderId="47" xfId="0" applyNumberFormat="1" applyFont="1" applyFill="1" applyBorder="1" applyAlignment="1" applyProtection="1">
      <alignment horizontal="center" vertical="center"/>
      <protection locked="0"/>
    </xf>
    <xf numFmtId="2" fontId="30" fillId="0" borderId="0" xfId="8" applyNumberFormat="1" applyFont="1" applyFill="1" applyBorder="1" applyAlignment="1">
      <alignment horizontal="center" vertical="center"/>
    </xf>
    <xf numFmtId="0" fontId="30" fillId="0" borderId="35" xfId="8" applyNumberFormat="1" applyFont="1" applyBorder="1" applyAlignment="1">
      <alignment horizontal="center" vertical="center" wrapText="1"/>
    </xf>
    <xf numFmtId="10" fontId="28" fillId="0" borderId="47" xfId="18" applyNumberFormat="1" applyFont="1" applyFill="1" applyBorder="1" applyAlignment="1">
      <alignment horizontal="center" vertical="center" wrapText="1"/>
    </xf>
    <xf numFmtId="0" fontId="35" fillId="0" borderId="50" xfId="0" applyFont="1" applyFill="1" applyBorder="1" applyAlignment="1">
      <alignment vertical="center" wrapText="1"/>
    </xf>
    <xf numFmtId="0" fontId="35" fillId="0" borderId="0" xfId="0" applyFont="1" applyFill="1" applyBorder="1" applyAlignment="1">
      <alignment horizontal="center" vertical="center" wrapText="1"/>
    </xf>
    <xf numFmtId="170" fontId="35" fillId="0" borderId="0" xfId="0" applyNumberFormat="1" applyFont="1" applyFill="1" applyBorder="1" applyAlignment="1" applyProtection="1">
      <alignment horizontal="center" vertical="center" wrapText="1"/>
      <protection locked="0"/>
    </xf>
    <xf numFmtId="167" fontId="28" fillId="0" borderId="51" xfId="0" applyNumberFormat="1" applyFont="1" applyFill="1" applyBorder="1" applyAlignment="1" applyProtection="1">
      <alignment horizontal="center" vertical="center"/>
      <protection locked="0"/>
    </xf>
    <xf numFmtId="167" fontId="28" fillId="0" borderId="51" xfId="0" applyNumberFormat="1" applyFont="1" applyFill="1" applyBorder="1" applyAlignment="1">
      <alignment horizontal="center" vertical="center"/>
    </xf>
    <xf numFmtId="167" fontId="28" fillId="0" borderId="51" xfId="0" applyNumberFormat="1" applyFont="1" applyFill="1" applyBorder="1" applyAlignment="1">
      <alignment horizontal="center" vertical="center" wrapText="1"/>
    </xf>
    <xf numFmtId="167" fontId="30" fillId="0" borderId="51" xfId="0" applyNumberFormat="1" applyFont="1" applyFill="1" applyBorder="1" applyAlignment="1">
      <alignment horizontal="center" vertical="center" wrapText="1"/>
    </xf>
    <xf numFmtId="0" fontId="27" fillId="0" borderId="0" xfId="42" applyFont="1" applyAlignment="1">
      <alignment vertical="center"/>
    </xf>
    <xf numFmtId="0" fontId="46" fillId="0" borderId="0" xfId="42" applyFont="1" applyAlignment="1">
      <alignment vertical="center"/>
    </xf>
    <xf numFmtId="170" fontId="27" fillId="0" borderId="0" xfId="42" applyNumberFormat="1" applyFont="1" applyFill="1" applyBorder="1" applyAlignment="1">
      <alignment vertical="center"/>
    </xf>
    <xf numFmtId="0" fontId="27" fillId="0" borderId="0" xfId="42" applyFont="1"/>
    <xf numFmtId="0" fontId="46" fillId="0" borderId="0" xfId="42" applyFont="1" applyFill="1" applyAlignment="1">
      <alignment vertical="center"/>
    </xf>
    <xf numFmtId="14" fontId="48" fillId="0" borderId="0" xfId="42" applyNumberFormat="1" applyFont="1" applyFill="1" applyBorder="1" applyAlignment="1">
      <alignment horizontal="center" vertical="center"/>
    </xf>
    <xf numFmtId="10" fontId="27" fillId="0" borderId="0" xfId="43" applyNumberFormat="1" applyFont="1" applyFill="1" applyBorder="1" applyAlignment="1">
      <alignment horizontal="center" vertical="center"/>
    </xf>
    <xf numFmtId="10" fontId="50" fillId="0" borderId="2" xfId="42" applyNumberFormat="1" applyFont="1" applyBorder="1" applyAlignment="1">
      <alignment horizontal="center" vertical="center"/>
    </xf>
    <xf numFmtId="0" fontId="51" fillId="0" borderId="0" xfId="43" applyFont="1" applyFill="1" applyBorder="1" applyAlignment="1">
      <alignment horizontal="center" vertical="center" wrapText="1"/>
    </xf>
    <xf numFmtId="170" fontId="45" fillId="0" borderId="0" xfId="41" applyNumberFormat="1" applyFill="1" applyBorder="1" applyAlignment="1">
      <alignment vertical="center"/>
    </xf>
    <xf numFmtId="10" fontId="48" fillId="8" borderId="2" xfId="18" applyNumberFormat="1" applyFont="1" applyFill="1" applyBorder="1" applyAlignment="1">
      <alignment horizontal="center" vertical="center"/>
    </xf>
    <xf numFmtId="2" fontId="46" fillId="0" borderId="2" xfId="42" applyNumberFormat="1" applyFont="1" applyBorder="1" applyAlignment="1">
      <alignment horizontal="center" vertical="center"/>
    </xf>
    <xf numFmtId="14" fontId="48" fillId="3" borderId="7" xfId="42" applyNumberFormat="1" applyFont="1" applyFill="1" applyBorder="1" applyAlignment="1">
      <alignment horizontal="center" vertical="center"/>
    </xf>
    <xf numFmtId="14" fontId="48" fillId="3" borderId="2" xfId="42" applyNumberFormat="1" applyFont="1" applyFill="1" applyBorder="1" applyAlignment="1">
      <alignment horizontal="center" vertical="center"/>
    </xf>
    <xf numFmtId="170" fontId="27" fillId="2" borderId="2" xfId="42" applyNumberFormat="1" applyFont="1" applyFill="1" applyBorder="1" applyAlignment="1">
      <alignment horizontal="center" vertical="center"/>
    </xf>
    <xf numFmtId="0" fontId="27" fillId="2" borderId="2" xfId="45" applyFont="1" applyFill="1" applyBorder="1" applyAlignment="1">
      <alignment vertical="center"/>
    </xf>
    <xf numFmtId="0" fontId="52" fillId="0" borderId="0" xfId="42" applyFont="1"/>
    <xf numFmtId="2" fontId="46" fillId="2" borderId="2" xfId="42" applyNumberFormat="1" applyFont="1" applyFill="1" applyBorder="1" applyAlignment="1">
      <alignment horizontal="center" vertical="center"/>
    </xf>
    <xf numFmtId="0" fontId="27" fillId="2" borderId="2" xfId="42" applyFont="1" applyFill="1" applyBorder="1" applyAlignment="1">
      <alignment vertical="center"/>
    </xf>
    <xf numFmtId="0" fontId="51" fillId="0" borderId="2" xfId="43" applyFont="1" applyBorder="1" applyAlignment="1">
      <alignment horizontal="center" vertical="center" wrapText="1"/>
    </xf>
    <xf numFmtId="0" fontId="51" fillId="0" borderId="7" xfId="43" applyFont="1" applyBorder="1" applyAlignment="1">
      <alignment horizontal="justify" vertical="justify" wrapText="1"/>
    </xf>
    <xf numFmtId="0" fontId="39" fillId="0" borderId="0" xfId="42" applyFont="1"/>
    <xf numFmtId="2" fontId="51" fillId="0" borderId="0" xfId="43" applyNumberFormat="1" applyFont="1" applyFill="1" applyBorder="1" applyAlignment="1">
      <alignment horizontal="center" vertical="center" wrapText="1"/>
    </xf>
    <xf numFmtId="0" fontId="27" fillId="2" borderId="2" xfId="45" applyFont="1" applyFill="1" applyBorder="1" applyAlignment="1">
      <alignment horizontal="center" vertical="center"/>
    </xf>
    <xf numFmtId="0" fontId="52" fillId="0" borderId="0" xfId="42" applyFont="1" applyBorder="1"/>
    <xf numFmtId="165" fontId="27" fillId="0" borderId="0" xfId="46" applyFont="1" applyBorder="1" applyAlignment="1">
      <alignment horizontal="center"/>
    </xf>
    <xf numFmtId="0" fontId="27" fillId="0" borderId="0" xfId="42" applyFont="1" applyBorder="1" applyAlignment="1">
      <alignment horizontal="center"/>
    </xf>
    <xf numFmtId="170" fontId="48" fillId="0" borderId="0" xfId="42" applyNumberFormat="1" applyFont="1" applyBorder="1" applyAlignment="1">
      <alignment vertical="center"/>
    </xf>
    <xf numFmtId="0" fontId="39" fillId="0" borderId="0" xfId="42" applyFont="1" applyAlignment="1">
      <alignment vertical="center"/>
    </xf>
    <xf numFmtId="10" fontId="46" fillId="0" borderId="0" xfId="42" applyNumberFormat="1" applyFont="1" applyBorder="1" applyAlignment="1">
      <alignment horizontal="center" vertical="center"/>
    </xf>
    <xf numFmtId="0" fontId="46" fillId="0" borderId="0" xfId="42" applyFont="1" applyBorder="1" applyAlignment="1">
      <alignment horizontal="center"/>
    </xf>
    <xf numFmtId="0" fontId="53" fillId="0" borderId="0" xfId="42" applyFont="1" applyFill="1" applyBorder="1" applyAlignment="1">
      <alignment horizontal="center" vertical="center"/>
    </xf>
    <xf numFmtId="10" fontId="54" fillId="0" borderId="2" xfId="42" applyNumberFormat="1" applyFont="1" applyBorder="1" applyAlignment="1">
      <alignment horizontal="center" vertical="center"/>
    </xf>
    <xf numFmtId="10" fontId="54" fillId="0" borderId="0" xfId="42" applyNumberFormat="1" applyFont="1" applyBorder="1" applyAlignment="1">
      <alignment horizontal="center" vertical="center"/>
    </xf>
    <xf numFmtId="10" fontId="50" fillId="0" borderId="0" xfId="42" applyNumberFormat="1" applyFont="1" applyBorder="1" applyAlignment="1">
      <alignment horizontal="center" vertical="center"/>
    </xf>
    <xf numFmtId="10" fontId="53" fillId="0" borderId="0" xfId="42" applyNumberFormat="1" applyFont="1" applyBorder="1" applyAlignment="1">
      <alignment horizontal="center" vertical="center"/>
    </xf>
    <xf numFmtId="10" fontId="50" fillId="0" borderId="0" xfId="42" applyNumberFormat="1" applyFont="1" applyBorder="1" applyAlignment="1">
      <alignment horizontal="center" vertical="center" wrapText="1"/>
    </xf>
    <xf numFmtId="2" fontId="46" fillId="0" borderId="6" xfId="42" applyNumberFormat="1" applyFont="1" applyBorder="1" applyAlignment="1">
      <alignment vertical="center"/>
    </xf>
    <xf numFmtId="2" fontId="46" fillId="0" borderId="4" xfId="42" applyNumberFormat="1" applyFont="1" applyBorder="1" applyAlignment="1">
      <alignment vertical="center"/>
    </xf>
    <xf numFmtId="2" fontId="46" fillId="0" borderId="7" xfId="42" applyNumberFormat="1" applyFont="1" applyBorder="1" applyAlignment="1">
      <alignment vertical="center"/>
    </xf>
    <xf numFmtId="2" fontId="46" fillId="2" borderId="6" xfId="42" applyNumberFormat="1" applyFont="1" applyFill="1" applyBorder="1" applyAlignment="1">
      <alignment vertical="center"/>
    </xf>
    <xf numFmtId="2" fontId="46" fillId="2" borderId="4" xfId="42" applyNumberFormat="1" applyFont="1" applyFill="1" applyBorder="1" applyAlignment="1">
      <alignment vertical="center"/>
    </xf>
    <xf numFmtId="2" fontId="46" fillId="2" borderId="7" xfId="42" applyNumberFormat="1" applyFont="1" applyFill="1" applyBorder="1" applyAlignment="1">
      <alignment vertical="center"/>
    </xf>
    <xf numFmtId="0" fontId="51" fillId="0" borderId="7" xfId="43" applyFont="1" applyBorder="1" applyAlignment="1">
      <alignment horizontal="justify" vertical="center" wrapText="1"/>
    </xf>
    <xf numFmtId="0" fontId="51" fillId="4" borderId="7" xfId="43" applyFont="1" applyFill="1" applyBorder="1" applyAlignment="1">
      <alignment horizontal="justify" vertical="center" wrapText="1"/>
    </xf>
    <xf numFmtId="0" fontId="27" fillId="0" borderId="7" xfId="43" applyFont="1" applyBorder="1" applyAlignment="1">
      <alignment horizontal="justify" vertical="center" wrapText="1"/>
    </xf>
    <xf numFmtId="0" fontId="51" fillId="0" borderId="76" xfId="43" applyFont="1" applyBorder="1" applyAlignment="1">
      <alignment horizontal="justify" vertical="center" wrapText="1"/>
    </xf>
    <xf numFmtId="0" fontId="51" fillId="0" borderId="2" xfId="43" applyFont="1" applyFill="1" applyBorder="1" applyAlignment="1">
      <alignment horizontal="center" vertical="center" wrapText="1"/>
    </xf>
    <xf numFmtId="0" fontId="28" fillId="0" borderId="2" xfId="4" applyNumberFormat="1" applyFont="1" applyFill="1" applyBorder="1" applyAlignment="1">
      <alignment horizontal="center" vertical="center"/>
    </xf>
    <xf numFmtId="0" fontId="28" fillId="6" borderId="2" xfId="15" quotePrefix="1" applyNumberFormat="1" applyFont="1" applyFill="1" applyBorder="1" applyAlignment="1">
      <alignment horizontal="center" vertical="center"/>
    </xf>
    <xf numFmtId="0" fontId="30" fillId="0" borderId="0" xfId="15" applyNumberFormat="1" applyFont="1" applyFill="1" applyBorder="1" applyAlignment="1">
      <alignment horizontal="center" vertical="center"/>
    </xf>
    <xf numFmtId="0" fontId="28" fillId="0" borderId="0" xfId="15" applyNumberFormat="1" applyFont="1" applyFill="1" applyBorder="1" applyAlignment="1">
      <alignment vertical="center"/>
    </xf>
    <xf numFmtId="10" fontId="27" fillId="6" borderId="2" xfId="43" quotePrefix="1" applyNumberFormat="1" applyFont="1" applyFill="1" applyBorder="1" applyAlignment="1">
      <alignment horizontal="center" vertical="center"/>
    </xf>
    <xf numFmtId="14" fontId="48" fillId="3" borderId="46" xfId="42" applyNumberFormat="1" applyFont="1" applyFill="1" applyBorder="1" applyAlignment="1">
      <alignment horizontal="center" vertical="center"/>
    </xf>
    <xf numFmtId="14" fontId="48" fillId="3" borderId="3" xfId="42" applyNumberFormat="1" applyFont="1" applyFill="1" applyBorder="1" applyAlignment="1">
      <alignment horizontal="center" vertical="center"/>
    </xf>
    <xf numFmtId="0" fontId="34" fillId="0" borderId="7" xfId="43" applyFont="1" applyBorder="1" applyAlignment="1">
      <alignment horizontal="justify" vertical="center" wrapText="1"/>
    </xf>
    <xf numFmtId="10" fontId="28" fillId="6" borderId="2" xfId="43" quotePrefix="1" applyNumberFormat="1" applyFont="1" applyFill="1" applyBorder="1" applyAlignment="1">
      <alignment horizontal="center" vertical="center"/>
    </xf>
    <xf numFmtId="0" fontId="28" fillId="0" borderId="7" xfId="43" applyFont="1" applyBorder="1" applyAlignment="1">
      <alignment horizontal="justify" vertical="center" wrapText="1"/>
    </xf>
    <xf numFmtId="10" fontId="35" fillId="0" borderId="0" xfId="18" applyNumberFormat="1" applyFont="1" applyFill="1" applyAlignment="1">
      <alignment horizontal="center" vertical="center"/>
    </xf>
    <xf numFmtId="0" fontId="28" fillId="0" borderId="2" xfId="4" applyNumberFormat="1" applyFont="1" applyFill="1" applyBorder="1" applyAlignment="1">
      <alignment horizontal="center" vertical="center" wrapText="1"/>
    </xf>
    <xf numFmtId="0" fontId="34" fillId="0" borderId="0" xfId="47" applyFont="1" applyAlignment="1">
      <alignment vertical="center"/>
    </xf>
    <xf numFmtId="0" fontId="33" fillId="0" borderId="0" xfId="47" applyFont="1" applyAlignment="1">
      <alignment vertical="center"/>
    </xf>
    <xf numFmtId="9" fontId="27" fillId="0" borderId="2" xfId="18" quotePrefix="1" applyFont="1" applyBorder="1" applyAlignment="1">
      <alignment horizontal="center" vertical="center" wrapText="1"/>
    </xf>
    <xf numFmtId="10" fontId="46" fillId="0" borderId="0" xfId="18" applyNumberFormat="1" applyFont="1" applyBorder="1" applyAlignment="1">
      <alignment horizontal="center"/>
    </xf>
    <xf numFmtId="0" fontId="56" fillId="0" borderId="0" xfId="42" applyFont="1" applyBorder="1" applyAlignment="1">
      <alignment horizontal="center"/>
    </xf>
    <xf numFmtId="10" fontId="57" fillId="0" borderId="0" xfId="42" applyNumberFormat="1" applyFont="1" applyBorder="1" applyAlignment="1">
      <alignment horizontal="center" vertical="center"/>
    </xf>
    <xf numFmtId="10" fontId="35" fillId="0" borderId="47" xfId="0" applyNumberFormat="1" applyFont="1" applyFill="1" applyBorder="1" applyAlignment="1">
      <alignment horizontal="center" vertical="center"/>
    </xf>
    <xf numFmtId="0" fontId="35" fillId="0" borderId="4" xfId="8" applyFont="1" applyBorder="1" applyAlignment="1">
      <alignment vertical="center"/>
    </xf>
    <xf numFmtId="0" fontId="35" fillId="0" borderId="4" xfId="8" applyFont="1" applyBorder="1" applyAlignment="1">
      <alignment horizontal="right" vertical="center"/>
    </xf>
    <xf numFmtId="0" fontId="35" fillId="0" borderId="24" xfId="8" applyFont="1" applyBorder="1" applyAlignment="1">
      <alignment vertical="center"/>
    </xf>
    <xf numFmtId="0" fontId="58" fillId="0" borderId="4" xfId="8" applyFont="1" applyBorder="1" applyAlignment="1">
      <alignment horizontal="center" vertical="center"/>
    </xf>
    <xf numFmtId="0" fontId="58" fillId="0" borderId="0" xfId="8" applyFont="1" applyBorder="1" applyAlignment="1">
      <alignment horizontal="center" vertical="center"/>
    </xf>
    <xf numFmtId="0" fontId="35" fillId="0" borderId="0" xfId="8" applyFont="1" applyBorder="1" applyAlignment="1">
      <alignment horizontal="right" vertical="center"/>
    </xf>
    <xf numFmtId="14" fontId="35" fillId="0" borderId="0" xfId="8" applyNumberFormat="1" applyFont="1" applyBorder="1" applyAlignment="1">
      <alignment vertical="center"/>
    </xf>
    <xf numFmtId="0" fontId="30" fillId="0" borderId="0" xfId="15" applyFont="1" applyFill="1" applyBorder="1" applyAlignment="1">
      <alignment vertical="center"/>
    </xf>
    <xf numFmtId="2" fontId="28" fillId="0" borderId="0" xfId="10" applyNumberFormat="1" applyFont="1" applyFill="1" applyBorder="1" applyAlignment="1">
      <alignment vertical="center" wrapText="1"/>
    </xf>
    <xf numFmtId="0" fontId="32" fillId="0" borderId="6" xfId="10" applyFont="1" applyBorder="1" applyAlignment="1">
      <alignment vertical="center"/>
    </xf>
    <xf numFmtId="0" fontId="30" fillId="0" borderId="0" xfId="8" applyFont="1" applyBorder="1" applyAlignment="1">
      <alignment horizontal="center" vertical="center"/>
    </xf>
    <xf numFmtId="167" fontId="28" fillId="0" borderId="73" xfId="4" applyFont="1" applyBorder="1" applyAlignment="1">
      <alignment vertical="center"/>
    </xf>
    <xf numFmtId="0" fontId="46" fillId="0" borderId="0" xfId="0" applyFont="1" applyFill="1" applyBorder="1" applyAlignment="1">
      <alignment horizontal="center" vertical="center"/>
    </xf>
    <xf numFmtId="0" fontId="27" fillId="0" borderId="0" xfId="0" applyFont="1" applyAlignment="1">
      <alignment vertical="center"/>
    </xf>
    <xf numFmtId="0" fontId="48" fillId="0" borderId="0" xfId="0" applyFont="1" applyFill="1" applyBorder="1" applyAlignment="1">
      <alignment horizontal="center" vertical="center"/>
    </xf>
    <xf numFmtId="0" fontId="46" fillId="0" borderId="0" xfId="0" applyFont="1" applyFill="1" applyBorder="1" applyAlignment="1">
      <alignment horizontal="left" vertical="center"/>
    </xf>
    <xf numFmtId="14" fontId="27" fillId="0" borderId="2" xfId="0" applyNumberFormat="1" applyFont="1" applyBorder="1" applyAlignment="1">
      <alignment horizontal="center" vertical="center"/>
    </xf>
    <xf numFmtId="165" fontId="27" fillId="0" borderId="2" xfId="46" applyFont="1" applyBorder="1" applyAlignment="1">
      <alignment horizontal="center" vertical="center"/>
    </xf>
    <xf numFmtId="0" fontId="50" fillId="0" borderId="6" xfId="0" applyFont="1" applyBorder="1" applyAlignment="1">
      <alignment horizontal="left" vertical="center"/>
    </xf>
    <xf numFmtId="0" fontId="27" fillId="0" borderId="7" xfId="0" applyFont="1" applyBorder="1" applyAlignment="1">
      <alignment vertical="center"/>
    </xf>
    <xf numFmtId="0" fontId="27" fillId="0" borderId="0" xfId="0" applyFont="1" applyFill="1" applyBorder="1" applyAlignment="1">
      <alignment vertical="center"/>
    </xf>
    <xf numFmtId="0" fontId="27" fillId="0" borderId="0" xfId="0" applyFont="1" applyBorder="1" applyAlignment="1">
      <alignment vertical="center"/>
    </xf>
    <xf numFmtId="0" fontId="46" fillId="0" borderId="7" xfId="0" applyFont="1" applyFill="1" applyBorder="1" applyAlignment="1">
      <alignment horizontal="center"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165" fontId="27" fillId="0" borderId="0" xfId="46" applyFont="1" applyBorder="1" applyAlignment="1">
      <alignment horizontal="center" vertical="center"/>
    </xf>
    <xf numFmtId="0" fontId="27" fillId="0" borderId="0" xfId="0" applyFont="1" applyBorder="1" applyAlignment="1">
      <alignment horizontal="center" vertical="center"/>
    </xf>
    <xf numFmtId="0" fontId="59" fillId="0" borderId="0" xfId="41" applyFont="1" applyAlignment="1">
      <alignment vertical="center"/>
    </xf>
    <xf numFmtId="0" fontId="48" fillId="3" borderId="6" xfId="0" applyFont="1" applyFill="1" applyBorder="1" applyAlignment="1">
      <alignment horizontal="center" vertical="center"/>
    </xf>
    <xf numFmtId="0" fontId="27" fillId="0" borderId="6" xfId="0" applyFont="1" applyBorder="1" applyAlignment="1">
      <alignment vertical="center"/>
    </xf>
    <xf numFmtId="0" fontId="27" fillId="0" borderId="5" xfId="0" applyFont="1" applyBorder="1" applyAlignment="1">
      <alignment horizontal="left" vertical="center"/>
    </xf>
    <xf numFmtId="0" fontId="27" fillId="0" borderId="6" xfId="0" applyFont="1" applyBorder="1" applyAlignment="1">
      <alignment horizontal="left" vertical="center"/>
    </xf>
    <xf numFmtId="10" fontId="27" fillId="0" borderId="2" xfId="18" applyNumberFormat="1" applyFont="1" applyFill="1" applyBorder="1" applyAlignment="1">
      <alignment horizontal="center" vertical="center"/>
    </xf>
    <xf numFmtId="0" fontId="27" fillId="0" borderId="6" xfId="0" applyFont="1" applyFill="1" applyBorder="1" applyAlignment="1">
      <alignment vertical="center"/>
    </xf>
    <xf numFmtId="0" fontId="46" fillId="0" borderId="0" xfId="0" applyFont="1" applyAlignment="1">
      <alignment vertical="center"/>
    </xf>
    <xf numFmtId="0" fontId="39" fillId="0" borderId="0" xfId="0" applyFont="1" applyAlignment="1">
      <alignment vertical="center"/>
    </xf>
    <xf numFmtId="0" fontId="60" fillId="0" borderId="0" xfId="41" applyFont="1" applyAlignment="1">
      <alignment horizontal="left" vertical="center" indent="1"/>
    </xf>
    <xf numFmtId="0" fontId="61" fillId="0" borderId="0" xfId="41" applyFont="1" applyAlignment="1">
      <alignment horizontal="left" vertical="center" indent="1"/>
    </xf>
    <xf numFmtId="0" fontId="27" fillId="0" borderId="0" xfId="0" applyFont="1" applyAlignment="1">
      <alignment horizontal="left" vertical="center" indent="1"/>
    </xf>
    <xf numFmtId="0" fontId="39" fillId="0" borderId="0" xfId="0" applyFont="1" applyAlignment="1">
      <alignment horizontal="left" vertical="center" indent="1"/>
    </xf>
    <xf numFmtId="0" fontId="59" fillId="0" borderId="0" xfId="41" applyFont="1" applyAlignment="1">
      <alignment horizontal="left" vertical="center" indent="1"/>
    </xf>
    <xf numFmtId="14" fontId="27" fillId="0" borderId="0" xfId="0" applyNumberFormat="1" applyFont="1" applyAlignment="1">
      <alignment vertical="center"/>
    </xf>
    <xf numFmtId="0" fontId="27" fillId="0" borderId="2" xfId="0" applyFont="1" applyBorder="1" applyAlignment="1">
      <alignment vertical="center"/>
    </xf>
    <xf numFmtId="165" fontId="27" fillId="0" borderId="2" xfId="46" applyFont="1" applyBorder="1" applyAlignment="1">
      <alignment vertical="center"/>
    </xf>
    <xf numFmtId="0" fontId="62" fillId="0" borderId="0" xfId="0" applyFont="1" applyAlignment="1">
      <alignment horizontal="left" vertical="center" indent="1"/>
    </xf>
    <xf numFmtId="0" fontId="46" fillId="0" borderId="0" xfId="0" applyFont="1" applyBorder="1" applyAlignment="1">
      <alignment vertical="center"/>
    </xf>
    <xf numFmtId="2" fontId="46" fillId="4" borderId="0" xfId="0" applyNumberFormat="1" applyFont="1" applyFill="1" applyBorder="1" applyAlignment="1">
      <alignment horizontal="center" vertical="center"/>
    </xf>
    <xf numFmtId="165" fontId="27" fillId="4" borderId="0" xfId="46" applyFont="1" applyFill="1" applyBorder="1" applyAlignment="1">
      <alignment horizontal="center" vertical="center"/>
    </xf>
    <xf numFmtId="165" fontId="27" fillId="0" borderId="2" xfId="46" applyFont="1" applyFill="1" applyBorder="1" applyAlignment="1">
      <alignment horizontal="center" vertical="center"/>
    </xf>
    <xf numFmtId="165" fontId="27" fillId="0" borderId="2" xfId="46" applyFont="1" applyFill="1" applyBorder="1" applyAlignment="1">
      <alignment vertical="center"/>
    </xf>
    <xf numFmtId="0" fontId="27" fillId="0" borderId="24" xfId="0" applyFont="1" applyFill="1" applyBorder="1" applyAlignment="1">
      <alignment horizontal="left" vertical="center"/>
    </xf>
    <xf numFmtId="165" fontId="27" fillId="0" borderId="24" xfId="46" applyFont="1" applyFill="1" applyBorder="1" applyAlignment="1">
      <alignment vertical="center"/>
    </xf>
    <xf numFmtId="0" fontId="48" fillId="0" borderId="0" xfId="49" applyFont="1" applyFill="1" applyBorder="1" applyAlignment="1">
      <alignment vertical="center" wrapText="1"/>
    </xf>
    <xf numFmtId="165" fontId="27" fillId="0" borderId="0" xfId="46" applyFont="1" applyFill="1" applyBorder="1" applyAlignment="1">
      <alignment vertical="center"/>
    </xf>
    <xf numFmtId="0" fontId="39" fillId="0" borderId="0" xfId="0" applyFont="1" applyBorder="1" applyAlignment="1">
      <alignment horizontal="center" vertical="center"/>
    </xf>
    <xf numFmtId="10" fontId="52" fillId="0" borderId="0" xfId="51" applyNumberFormat="1" applyFont="1" applyBorder="1" applyAlignment="1">
      <alignment horizontal="center" vertical="center"/>
    </xf>
    <xf numFmtId="0" fontId="27" fillId="0" borderId="0" xfId="0" applyFont="1" applyBorder="1" applyAlignment="1">
      <alignment vertical="center" wrapText="1"/>
    </xf>
    <xf numFmtId="0" fontId="27" fillId="0" borderId="0" xfId="0" quotePrefix="1" applyFont="1" applyAlignment="1">
      <alignment vertical="center"/>
    </xf>
    <xf numFmtId="0" fontId="38" fillId="0" borderId="24" xfId="8" applyFont="1" applyBorder="1" applyAlignment="1">
      <alignment horizontal="center" vertical="center"/>
    </xf>
    <xf numFmtId="0" fontId="34" fillId="0" borderId="24" xfId="13" applyFont="1" applyBorder="1"/>
    <xf numFmtId="167" fontId="37" fillId="0" borderId="0" xfId="4" applyFont="1" applyBorder="1" applyAlignment="1">
      <alignment horizontal="center" vertical="center"/>
    </xf>
    <xf numFmtId="14" fontId="48" fillId="3" borderId="5" xfId="0" applyNumberFormat="1" applyFont="1" applyFill="1" applyBorder="1" applyAlignment="1">
      <alignment horizontal="center" vertical="center"/>
    </xf>
    <xf numFmtId="167" fontId="37" fillId="0" borderId="0" xfId="4" applyFont="1" applyBorder="1" applyAlignment="1">
      <alignment horizontal="left" vertical="center"/>
    </xf>
    <xf numFmtId="10" fontId="27" fillId="0" borderId="0" xfId="18" applyNumberFormat="1" applyFont="1" applyBorder="1" applyAlignment="1">
      <alignment vertical="center"/>
    </xf>
    <xf numFmtId="10" fontId="27" fillId="0" borderId="0" xfId="18" applyNumberFormat="1" applyFont="1" applyBorder="1" applyAlignment="1">
      <alignment vertical="center" wrapText="1"/>
    </xf>
    <xf numFmtId="0" fontId="46" fillId="0" borderId="0" xfId="0" quotePrefix="1" applyFont="1" applyFill="1" applyBorder="1" applyAlignment="1">
      <alignment horizontal="left" vertical="center"/>
    </xf>
    <xf numFmtId="170" fontId="27" fillId="0" borderId="6" xfId="0" applyNumberFormat="1" applyFont="1" applyBorder="1" applyAlignment="1">
      <alignment horizontal="center" vertical="center" wrapText="1"/>
    </xf>
    <xf numFmtId="170" fontId="27" fillId="0" borderId="2" xfId="0" applyNumberFormat="1" applyFont="1" applyBorder="1" applyAlignment="1">
      <alignment horizontal="center" vertical="center" wrapText="1"/>
    </xf>
    <xf numFmtId="0" fontId="46" fillId="0" borderId="0" xfId="0" quotePrefix="1" applyFont="1" applyAlignment="1">
      <alignment vertical="center"/>
    </xf>
    <xf numFmtId="165" fontId="27" fillId="0" borderId="0" xfId="46" applyFont="1" applyFill="1" applyBorder="1" applyAlignment="1">
      <alignment horizontal="center" vertical="center" wrapText="1"/>
    </xf>
    <xf numFmtId="0" fontId="46" fillId="0" borderId="0" xfId="0" quotePrefix="1" applyFont="1" applyBorder="1" applyAlignment="1">
      <alignment vertical="center"/>
    </xf>
    <xf numFmtId="0" fontId="38" fillId="0" borderId="9" xfId="8" applyFont="1" applyBorder="1" applyAlignment="1">
      <alignment horizontal="center" vertical="center"/>
    </xf>
    <xf numFmtId="0" fontId="34" fillId="0" borderId="9" xfId="13" applyFont="1" applyBorder="1"/>
    <xf numFmtId="0" fontId="38" fillId="0" borderId="4" xfId="8" applyFont="1" applyBorder="1" applyAlignment="1">
      <alignment horizontal="center" vertical="center"/>
    </xf>
    <xf numFmtId="0" fontId="34" fillId="0" borderId="4" xfId="13" applyFont="1" applyBorder="1"/>
    <xf numFmtId="167" fontId="28" fillId="0" borderId="20" xfId="4" applyFont="1" applyBorder="1" applyAlignment="1">
      <alignment horizontal="left" vertical="center"/>
    </xf>
    <xf numFmtId="14" fontId="27" fillId="0" borderId="6" xfId="0" applyNumberFormat="1" applyFont="1" applyBorder="1" applyAlignment="1">
      <alignment horizontal="center" vertical="center"/>
    </xf>
    <xf numFmtId="14" fontId="27" fillId="0" borderId="7" xfId="0" applyNumberFormat="1" applyFont="1" applyBorder="1" applyAlignment="1">
      <alignment horizontal="center" vertical="center"/>
    </xf>
    <xf numFmtId="0" fontId="27" fillId="4" borderId="6" xfId="49" applyFont="1" applyFill="1" applyBorder="1" applyAlignment="1">
      <alignment vertical="center" wrapText="1"/>
    </xf>
    <xf numFmtId="0" fontId="63" fillId="0" borderId="2" xfId="13" applyFont="1" applyBorder="1" applyAlignment="1">
      <alignment horizontal="center" vertical="center"/>
    </xf>
    <xf numFmtId="10" fontId="27" fillId="0" borderId="2" xfId="28" applyNumberFormat="1" applyFont="1" applyBorder="1" applyAlignment="1">
      <alignment horizontal="center" vertical="center"/>
    </xf>
    <xf numFmtId="10" fontId="27" fillId="0" borderId="2" xfId="28" applyNumberFormat="1" applyFont="1" applyBorder="1" applyAlignment="1">
      <alignment horizontal="center" vertical="center" wrapText="1"/>
    </xf>
    <xf numFmtId="0" fontId="33" fillId="0" borderId="0" xfId="13" applyFont="1" applyBorder="1" applyAlignment="1">
      <alignment vertical="center"/>
    </xf>
    <xf numFmtId="167" fontId="28" fillId="0" borderId="39" xfId="4" applyFont="1" applyFill="1" applyBorder="1" applyAlignment="1">
      <alignment vertical="center"/>
    </xf>
    <xf numFmtId="0" fontId="30" fillId="0" borderId="4" xfId="8" applyFont="1" applyBorder="1" applyAlignment="1">
      <alignment horizontal="center" vertical="center"/>
    </xf>
    <xf numFmtId="0" fontId="27" fillId="4" borderId="2" xfId="49" applyFont="1" applyFill="1" applyBorder="1" applyAlignment="1">
      <alignment horizontal="center" vertical="center" wrapText="1"/>
    </xf>
    <xf numFmtId="167" fontId="28" fillId="0" borderId="4" xfId="4" applyFont="1" applyBorder="1" applyAlignment="1">
      <alignment horizontal="left" vertical="center"/>
    </xf>
    <xf numFmtId="0" fontId="30" fillId="3" borderId="25" xfId="8" applyFont="1" applyFill="1" applyBorder="1" applyAlignment="1">
      <alignment horizontal="center" vertical="center" shrinkToFit="1"/>
    </xf>
    <xf numFmtId="0" fontId="28" fillId="0" borderId="16" xfId="8" applyFont="1" applyBorder="1" applyAlignment="1">
      <alignment vertical="center"/>
    </xf>
    <xf numFmtId="10" fontId="28" fillId="0" borderId="70" xfId="19" applyNumberFormat="1" applyFont="1" applyFill="1" applyBorder="1" applyAlignment="1">
      <alignment horizontal="center" vertical="center"/>
    </xf>
    <xf numFmtId="2" fontId="28" fillId="0" borderId="19" xfId="8" applyNumberFormat="1" applyFont="1" applyBorder="1" applyAlignment="1">
      <alignment horizontal="center" vertical="center"/>
    </xf>
    <xf numFmtId="10" fontId="28" fillId="0" borderId="30" xfId="8" applyNumberFormat="1" applyFont="1" applyBorder="1" applyAlignment="1">
      <alignment horizontal="center" vertical="center"/>
    </xf>
    <xf numFmtId="10" fontId="28" fillId="0" borderId="17" xfId="20" applyNumberFormat="1" applyFont="1" applyFill="1" applyBorder="1" applyAlignment="1">
      <alignment horizontal="center" vertical="center"/>
    </xf>
    <xf numFmtId="10" fontId="28" fillId="0" borderId="30" xfId="20" applyNumberFormat="1" applyFont="1" applyFill="1" applyBorder="1" applyAlignment="1">
      <alignment horizontal="center" vertical="center"/>
    </xf>
    <xf numFmtId="14" fontId="48" fillId="3" borderId="2" xfId="0" applyNumberFormat="1" applyFont="1" applyFill="1" applyBorder="1" applyAlignment="1">
      <alignment horizontal="center" vertical="center" wrapText="1"/>
    </xf>
    <xf numFmtId="14" fontId="27" fillId="0" borderId="4" xfId="0" applyNumberFormat="1" applyFont="1" applyBorder="1" applyAlignment="1">
      <alignment horizontal="center" vertical="center"/>
    </xf>
    <xf numFmtId="0" fontId="50" fillId="0" borderId="2" xfId="0" applyFont="1" applyBorder="1" applyAlignment="1">
      <alignment horizontal="center" vertical="center" wrapText="1"/>
    </xf>
    <xf numFmtId="9" fontId="50" fillId="0" borderId="2" xfId="0" applyNumberFormat="1" applyFont="1" applyBorder="1" applyAlignment="1">
      <alignment horizontal="center" vertical="center" shrinkToFit="1"/>
    </xf>
    <xf numFmtId="167" fontId="27" fillId="0" borderId="0" xfId="4" applyFont="1" applyAlignment="1">
      <alignment vertical="center"/>
    </xf>
    <xf numFmtId="167" fontId="27" fillId="0" borderId="2" xfId="4" applyFont="1" applyBorder="1" applyAlignment="1">
      <alignment horizontal="center" vertical="center"/>
    </xf>
    <xf numFmtId="0" fontId="64" fillId="0" borderId="6" xfId="0" applyFont="1" applyBorder="1" applyAlignment="1">
      <alignment vertical="center"/>
    </xf>
    <xf numFmtId="0" fontId="34" fillId="0" borderId="0" xfId="13" applyFont="1" applyBorder="1" applyAlignment="1">
      <alignment horizontal="center" vertical="center"/>
    </xf>
    <xf numFmtId="0" fontId="27" fillId="0" borderId="2" xfId="0" applyFont="1" applyBorder="1" applyAlignment="1">
      <alignment horizontal="center" vertical="center"/>
    </xf>
    <xf numFmtId="0" fontId="32" fillId="0" borderId="4" xfId="10" applyFont="1" applyBorder="1" applyAlignment="1">
      <alignment vertical="center"/>
    </xf>
    <xf numFmtId="0" fontId="37" fillId="0" borderId="0" xfId="0" applyFont="1" applyFill="1" applyBorder="1" applyAlignment="1">
      <alignment horizontal="justify" vertical="center" wrapText="1"/>
    </xf>
    <xf numFmtId="14" fontId="37" fillId="0" borderId="0" xfId="0" applyNumberFormat="1" applyFont="1" applyFill="1" applyBorder="1" applyAlignment="1">
      <alignment horizontal="justify" vertical="center" wrapText="1"/>
    </xf>
    <xf numFmtId="0" fontId="28" fillId="0" borderId="0" xfId="8" applyFont="1" applyBorder="1" applyAlignment="1">
      <alignment horizontal="right" vertical="center"/>
    </xf>
    <xf numFmtId="167" fontId="28" fillId="0" borderId="0" xfId="4" applyFont="1" applyFill="1" applyBorder="1" applyAlignment="1">
      <alignment vertical="center"/>
    </xf>
    <xf numFmtId="14" fontId="37" fillId="0" borderId="0" xfId="8" applyNumberFormat="1" applyFont="1" applyBorder="1" applyAlignment="1">
      <alignment vertical="center"/>
    </xf>
    <xf numFmtId="0" fontId="27" fillId="3" borderId="6" xfId="0" applyFont="1" applyFill="1" applyBorder="1" applyAlignment="1">
      <alignment horizontal="center" vertical="center"/>
    </xf>
    <xf numFmtId="0" fontId="48" fillId="3" borderId="4" xfId="0" applyFont="1" applyFill="1" applyBorder="1" applyAlignment="1">
      <alignment horizontal="center" vertical="center"/>
    </xf>
    <xf numFmtId="0" fontId="48" fillId="3" borderId="7" xfId="0" applyFont="1" applyFill="1" applyBorder="1" applyAlignment="1">
      <alignment horizontal="center" vertical="center"/>
    </xf>
    <xf numFmtId="177" fontId="27" fillId="0" borderId="2" xfId="4" applyNumberFormat="1" applyFont="1" applyBorder="1" applyAlignment="1">
      <alignment horizontal="center" vertical="center"/>
    </xf>
    <xf numFmtId="170" fontId="50" fillId="0" borderId="2" xfId="0" applyNumberFormat="1" applyFont="1" applyBorder="1" applyAlignment="1">
      <alignment horizontal="center" vertical="center" shrinkToFit="1"/>
    </xf>
    <xf numFmtId="170" fontId="50" fillId="0" borderId="2" xfId="0" applyNumberFormat="1" applyFont="1" applyBorder="1" applyAlignment="1">
      <alignment horizontal="center" vertical="center" wrapText="1"/>
    </xf>
    <xf numFmtId="0" fontId="30" fillId="0" borderId="0" xfId="8" applyFont="1" applyFill="1" applyBorder="1" applyAlignment="1">
      <alignment horizontal="right" vertical="center"/>
    </xf>
    <xf numFmtId="165" fontId="30" fillId="0" borderId="0" xfId="6" applyFont="1" applyFill="1" applyBorder="1" applyAlignment="1">
      <alignment horizontal="center" vertical="center"/>
    </xf>
    <xf numFmtId="167" fontId="28" fillId="0" borderId="25" xfId="4" applyFont="1" applyBorder="1" applyAlignment="1">
      <alignment horizontal="left" vertical="center"/>
    </xf>
    <xf numFmtId="0" fontId="28" fillId="0" borderId="14" xfId="0" applyFont="1" applyBorder="1" applyAlignment="1">
      <alignment horizontal="left" vertical="center"/>
    </xf>
    <xf numFmtId="0" fontId="28" fillId="0" borderId="11" xfId="0" applyFont="1" applyBorder="1" applyAlignment="1">
      <alignment horizontal="left" vertical="center"/>
    </xf>
    <xf numFmtId="170" fontId="28" fillId="0" borderId="11" xfId="0" applyNumberFormat="1" applyFont="1" applyBorder="1" applyAlignment="1">
      <alignment horizontal="left" vertical="center"/>
    </xf>
    <xf numFmtId="0" fontId="28" fillId="0" borderId="11" xfId="0" applyFont="1" applyFill="1" applyBorder="1" applyAlignment="1">
      <alignment horizontal="left" vertical="center"/>
    </xf>
    <xf numFmtId="170" fontId="28" fillId="0" borderId="42" xfId="0" applyNumberFormat="1" applyFont="1" applyBorder="1" applyAlignment="1">
      <alignment horizontal="left" vertical="center"/>
    </xf>
    <xf numFmtId="44" fontId="34" fillId="0" borderId="25" xfId="13" applyNumberFormat="1" applyFont="1" applyBorder="1"/>
    <xf numFmtId="10" fontId="28" fillId="0" borderId="30" xfId="18" applyNumberFormat="1" applyFont="1" applyBorder="1" applyAlignment="1">
      <alignment horizontal="center" vertical="center"/>
    </xf>
    <xf numFmtId="167" fontId="28" fillId="0" borderId="51" xfId="4" applyFont="1" applyFill="1" applyBorder="1" applyAlignment="1">
      <alignment horizontal="center" vertical="center"/>
    </xf>
    <xf numFmtId="14" fontId="46" fillId="0" borderId="0" xfId="0" quotePrefix="1" applyNumberFormat="1" applyFont="1" applyAlignment="1">
      <alignment vertical="center"/>
    </xf>
    <xf numFmtId="14" fontId="48" fillId="3" borderId="2" xfId="42" applyNumberFormat="1" applyFont="1" applyFill="1" applyBorder="1" applyAlignment="1">
      <alignment horizontal="center" vertical="center"/>
    </xf>
    <xf numFmtId="0" fontId="51" fillId="0" borderId="2" xfId="43" applyFont="1" applyBorder="1" applyAlignment="1">
      <alignment horizontal="center" vertical="center" wrapText="1"/>
    </xf>
    <xf numFmtId="170" fontId="27" fillId="0" borderId="0" xfId="50" applyNumberFormat="1" applyFont="1" applyFill="1" applyBorder="1" applyAlignment="1">
      <alignment horizontal="center" vertical="center" wrapText="1"/>
    </xf>
    <xf numFmtId="0" fontId="27" fillId="0" borderId="0" xfId="49" applyFont="1" applyFill="1" applyBorder="1" applyAlignment="1">
      <alignment vertical="center" wrapText="1"/>
    </xf>
    <xf numFmtId="0" fontId="27" fillId="0" borderId="0" xfId="49" applyFont="1" applyFill="1" applyBorder="1" applyAlignment="1">
      <alignment horizontal="center" vertical="center" wrapText="1"/>
    </xf>
    <xf numFmtId="0" fontId="46" fillId="0" borderId="0" xfId="0" applyFont="1" applyFill="1" applyAlignment="1">
      <alignment vertical="center"/>
    </xf>
    <xf numFmtId="0" fontId="27" fillId="0" borderId="0" xfId="0" applyFont="1" applyFill="1" applyAlignment="1">
      <alignment vertical="center"/>
    </xf>
    <xf numFmtId="14" fontId="48" fillId="0" borderId="0" xfId="42" applyNumberFormat="1" applyFont="1" applyFill="1" applyBorder="1" applyAlignment="1">
      <alignment vertical="center"/>
    </xf>
    <xf numFmtId="10" fontId="27" fillId="0" borderId="0" xfId="43" applyNumberFormat="1" applyFont="1" applyFill="1" applyBorder="1" applyAlignment="1">
      <alignment vertical="center"/>
    </xf>
    <xf numFmtId="0" fontId="51" fillId="0" borderId="0" xfId="43" applyFont="1" applyFill="1" applyBorder="1" applyAlignment="1">
      <alignment vertical="center" wrapText="1"/>
    </xf>
    <xf numFmtId="0" fontId="46" fillId="0" borderId="0" xfId="42" applyFont="1" applyFill="1" applyBorder="1" applyAlignment="1">
      <alignment vertical="center"/>
    </xf>
    <xf numFmtId="167" fontId="50" fillId="0" borderId="2" xfId="4" applyFont="1" applyBorder="1" applyAlignment="1">
      <alignment horizontal="center" vertical="center" wrapText="1" shrinkToFit="1"/>
    </xf>
    <xf numFmtId="0" fontId="27" fillId="0" borderId="0" xfId="49" applyFont="1" applyFill="1" applyBorder="1" applyAlignment="1">
      <alignment vertical="center"/>
    </xf>
    <xf numFmtId="0" fontId="39" fillId="0" borderId="0" xfId="0" applyFont="1" applyFill="1" applyBorder="1" applyAlignment="1">
      <alignment vertical="center"/>
    </xf>
    <xf numFmtId="0" fontId="39" fillId="0" borderId="0" xfId="49" applyFont="1" applyFill="1" applyBorder="1" applyAlignment="1">
      <alignment vertical="center" wrapText="1"/>
    </xf>
    <xf numFmtId="0" fontId="39" fillId="0" borderId="0" xfId="49" applyFont="1" applyFill="1" applyBorder="1" applyAlignment="1">
      <alignment horizontal="center" vertical="center" wrapText="1"/>
    </xf>
    <xf numFmtId="170" fontId="39" fillId="0" borderId="0" xfId="50" applyNumberFormat="1" applyFont="1" applyFill="1" applyBorder="1" applyAlignment="1">
      <alignment horizontal="center" vertical="center" wrapText="1"/>
    </xf>
    <xf numFmtId="170" fontId="39" fillId="0" borderId="0" xfId="50" applyNumberFormat="1" applyFont="1" applyFill="1" applyBorder="1" applyAlignment="1">
      <alignment vertical="center" wrapText="1"/>
    </xf>
    <xf numFmtId="170" fontId="50" fillId="0" borderId="2" xfId="4" applyNumberFormat="1" applyFont="1" applyBorder="1" applyAlignment="1">
      <alignment horizontal="center" vertical="center" wrapText="1" shrinkToFit="1"/>
    </xf>
    <xf numFmtId="0" fontId="27" fillId="0" borderId="0" xfId="0" quotePrefix="1" applyFont="1" applyBorder="1" applyAlignment="1">
      <alignment horizontal="right" vertical="center"/>
    </xf>
    <xf numFmtId="0" fontId="27" fillId="0" borderId="0" xfId="0" quotePrefix="1" applyFont="1" applyBorder="1" applyAlignment="1">
      <alignment horizontal="left" vertical="center"/>
    </xf>
    <xf numFmtId="167" fontId="32" fillId="0" borderId="2" xfId="4" applyFont="1" applyBorder="1" applyAlignment="1">
      <alignment vertical="center"/>
    </xf>
    <xf numFmtId="0" fontId="30" fillId="3" borderId="2" xfId="43" applyFont="1" applyFill="1" applyBorder="1" applyAlignment="1">
      <alignment horizontal="center" vertical="center" wrapText="1"/>
    </xf>
    <xf numFmtId="0" fontId="28" fillId="0" borderId="0" xfId="8" applyFont="1" applyBorder="1" applyAlignment="1">
      <alignment horizontal="center" vertical="center"/>
    </xf>
    <xf numFmtId="0" fontId="28" fillId="0" borderId="0" xfId="49" applyFont="1" applyFill="1" applyAlignment="1">
      <alignment horizontal="center" vertical="center"/>
    </xf>
    <xf numFmtId="0" fontId="28" fillId="3" borderId="2" xfId="43" applyFont="1" applyFill="1" applyBorder="1" applyAlignment="1">
      <alignment horizontal="center" vertical="center"/>
    </xf>
    <xf numFmtId="0" fontId="33" fillId="3" borderId="6" xfId="43" applyFont="1" applyFill="1" applyBorder="1" applyAlignment="1">
      <alignment horizontal="center" vertical="center" wrapText="1"/>
    </xf>
    <xf numFmtId="0" fontId="33" fillId="3" borderId="2" xfId="43" applyFont="1" applyFill="1" applyBorder="1" applyAlignment="1">
      <alignment horizontal="center" vertical="center" wrapText="1"/>
    </xf>
    <xf numFmtId="0" fontId="28" fillId="0" borderId="2" xfId="53" applyFont="1" applyFill="1" applyBorder="1" applyAlignment="1">
      <alignment horizontal="center" vertical="center" wrapText="1"/>
    </xf>
    <xf numFmtId="0" fontId="28" fillId="0" borderId="6" xfId="53" applyFont="1" applyFill="1" applyBorder="1" applyAlignment="1">
      <alignment vertical="center" wrapText="1"/>
    </xf>
    <xf numFmtId="10" fontId="32" fillId="0" borderId="2" xfId="53" applyNumberFormat="1" applyFont="1" applyBorder="1" applyAlignment="1">
      <alignment horizontal="center" vertical="center" wrapText="1"/>
    </xf>
    <xf numFmtId="0" fontId="32" fillId="0" borderId="2" xfId="53" quotePrefix="1" applyFont="1" applyBorder="1" applyAlignment="1">
      <alignment horizontal="justify" vertical="center" wrapText="1"/>
    </xf>
    <xf numFmtId="0" fontId="32" fillId="0" borderId="2" xfId="53" applyFont="1" applyBorder="1" applyAlignment="1">
      <alignment horizontal="justify" vertical="center" wrapText="1"/>
    </xf>
    <xf numFmtId="0" fontId="32" fillId="0" borderId="2" xfId="53" applyFont="1" applyBorder="1" applyAlignment="1">
      <alignment horizontal="left" vertical="center" wrapText="1"/>
    </xf>
    <xf numFmtId="0" fontId="32" fillId="6" borderId="2" xfId="53" applyFont="1" applyFill="1" applyBorder="1" applyAlignment="1">
      <alignment horizontal="justify" vertical="center" wrapText="1"/>
    </xf>
    <xf numFmtId="0" fontId="28" fillId="0" borderId="0" xfId="49" applyFont="1" applyFill="1" applyBorder="1" applyAlignment="1">
      <alignment vertical="center" wrapText="1"/>
    </xf>
    <xf numFmtId="0" fontId="28" fillId="0" borderId="0" xfId="49" applyFont="1" applyFill="1" applyBorder="1" applyAlignment="1">
      <alignment horizontal="center" vertical="center" wrapText="1"/>
    </xf>
    <xf numFmtId="165" fontId="28" fillId="0" borderId="0" xfId="50" applyFont="1" applyFill="1" applyBorder="1" applyAlignment="1">
      <alignment vertical="center" wrapText="1"/>
    </xf>
    <xf numFmtId="0" fontId="28" fillId="0" borderId="0" xfId="54" applyFont="1" applyFill="1" applyBorder="1" applyAlignment="1">
      <alignment vertical="center" wrapText="1"/>
    </xf>
    <xf numFmtId="0" fontId="28" fillId="0" borderId="0" xfId="54" applyFont="1" applyFill="1" applyBorder="1" applyAlignment="1">
      <alignment horizontal="center" vertical="center" wrapText="1"/>
    </xf>
    <xf numFmtId="167" fontId="28" fillId="0" borderId="0" xfId="55" applyFont="1" applyFill="1" applyBorder="1" applyAlignment="1">
      <alignment vertical="center" wrapText="1"/>
    </xf>
    <xf numFmtId="0" fontId="58" fillId="0" borderId="8" xfId="8" applyFont="1" applyBorder="1" applyAlignment="1">
      <alignment horizontal="center" vertical="center"/>
    </xf>
    <xf numFmtId="0" fontId="30" fillId="3" borderId="3" xfId="49" quotePrefix="1" applyFont="1" applyFill="1" applyBorder="1" applyAlignment="1">
      <alignment horizontal="center" vertical="center" wrapText="1"/>
    </xf>
    <xf numFmtId="0" fontId="30" fillId="3" borderId="3" xfId="49" quotePrefix="1" applyFont="1" applyFill="1" applyBorder="1" applyAlignment="1">
      <alignment horizontal="center" vertical="center"/>
    </xf>
    <xf numFmtId="168" fontId="30" fillId="0" borderId="0" xfId="8" applyNumberFormat="1" applyFont="1" applyFill="1" applyBorder="1" applyAlignment="1">
      <alignment horizontal="center" vertical="center"/>
    </xf>
    <xf numFmtId="0" fontId="51" fillId="0" borderId="2" xfId="43" applyFont="1" applyBorder="1" applyAlignment="1">
      <alignment horizontal="center" vertical="center" wrapText="1"/>
    </xf>
    <xf numFmtId="14" fontId="48" fillId="3" borderId="2" xfId="42" applyNumberFormat="1" applyFont="1" applyFill="1" applyBorder="1" applyAlignment="1">
      <alignment horizontal="center" vertical="center"/>
    </xf>
    <xf numFmtId="14" fontId="48" fillId="3" borderId="2" xfId="42" applyNumberFormat="1" applyFont="1" applyFill="1" applyBorder="1" applyAlignment="1">
      <alignment horizontal="center" vertical="center"/>
    </xf>
    <xf numFmtId="0" fontId="51" fillId="0" borderId="2" xfId="43" applyFont="1" applyBorder="1" applyAlignment="1">
      <alignment horizontal="center" vertical="center" wrapText="1"/>
    </xf>
    <xf numFmtId="10" fontId="28" fillId="0" borderId="0" xfId="19" applyNumberFormat="1" applyFont="1" applyFill="1" applyBorder="1" applyAlignment="1">
      <alignment vertical="center" wrapText="1"/>
    </xf>
    <xf numFmtId="10" fontId="28" fillId="0" borderId="25" xfId="18" applyNumberFormat="1" applyFont="1" applyBorder="1" applyAlignment="1" applyProtection="1">
      <alignment horizontal="center" vertical="center"/>
      <protection locked="0"/>
    </xf>
    <xf numFmtId="10" fontId="28" fillId="0" borderId="20" xfId="18" applyNumberFormat="1" applyFont="1" applyBorder="1" applyAlignment="1" applyProtection="1">
      <alignment horizontal="center" vertical="center"/>
      <protection locked="0"/>
    </xf>
    <xf numFmtId="1" fontId="28" fillId="0" borderId="70" xfId="18" applyNumberFormat="1" applyFont="1" applyBorder="1" applyAlignment="1" applyProtection="1">
      <alignment horizontal="center" vertical="center"/>
      <protection locked="0"/>
    </xf>
    <xf numFmtId="0" fontId="47" fillId="0" borderId="0" xfId="42" applyFont="1" applyFill="1" applyBorder="1" applyAlignment="1">
      <alignment vertical="center"/>
    </xf>
    <xf numFmtId="0" fontId="19" fillId="0" borderId="0" xfId="49" applyFont="1" applyAlignment="1">
      <alignment vertical="center"/>
    </xf>
    <xf numFmtId="0" fontId="28" fillId="0" borderId="3" xfId="8" applyFont="1" applyBorder="1" applyAlignment="1">
      <alignment horizontal="left" vertical="center"/>
    </xf>
    <xf numFmtId="0" fontId="28" fillId="0" borderId="2" xfId="8" applyFont="1" applyBorder="1" applyAlignment="1">
      <alignment horizontal="left" vertical="center"/>
    </xf>
    <xf numFmtId="170" fontId="28" fillId="0" borderId="0" xfId="8" applyNumberFormat="1" applyFont="1" applyBorder="1" applyAlignment="1" applyProtection="1">
      <alignment horizontal="center" vertical="center"/>
      <protection locked="0"/>
    </xf>
    <xf numFmtId="0" fontId="34" fillId="0" borderId="9" xfId="13" applyFont="1" applyBorder="1" applyAlignment="1">
      <alignment horizontal="center" vertical="center"/>
    </xf>
    <xf numFmtId="0" fontId="34" fillId="0" borderId="9" xfId="13" applyFont="1" applyBorder="1" applyAlignment="1" applyProtection="1">
      <alignment horizontal="center" vertical="center"/>
      <protection locked="0"/>
    </xf>
    <xf numFmtId="10" fontId="30" fillId="0" borderId="75" xfId="8" applyNumberFormat="1" applyFont="1" applyBorder="1" applyAlignment="1">
      <alignment horizontal="center" vertical="center" wrapText="1"/>
    </xf>
    <xf numFmtId="10" fontId="30" fillId="0" borderId="45" xfId="8" applyNumberFormat="1" applyFont="1" applyBorder="1" applyAlignment="1">
      <alignment horizontal="center" vertical="center" wrapText="1"/>
    </xf>
    <xf numFmtId="0" fontId="51" fillId="0" borderId="2" xfId="43" applyFont="1" applyBorder="1" applyAlignment="1">
      <alignment horizontal="center" vertical="center" wrapText="1"/>
    </xf>
    <xf numFmtId="0" fontId="30" fillId="0" borderId="51" xfId="0" applyFont="1" applyFill="1" applyBorder="1" applyAlignment="1">
      <alignment horizontal="center" vertical="center"/>
    </xf>
    <xf numFmtId="0" fontId="30" fillId="0" borderId="47" xfId="0" applyFont="1" applyFill="1" applyBorder="1" applyAlignment="1">
      <alignment horizontal="center" vertical="center" wrapText="1"/>
    </xf>
    <xf numFmtId="0" fontId="30" fillId="0" borderId="0" xfId="0" applyFont="1" applyFill="1" applyBorder="1" applyAlignment="1">
      <alignment horizontal="left" vertical="center"/>
    </xf>
    <xf numFmtId="0" fontId="28" fillId="0" borderId="47" xfId="0" applyFont="1" applyFill="1" applyBorder="1" applyAlignment="1">
      <alignment horizontal="center" vertical="center" wrapText="1"/>
    </xf>
    <xf numFmtId="0" fontId="28" fillId="0" borderId="47" xfId="0" applyFont="1" applyFill="1" applyBorder="1" applyAlignment="1">
      <alignment horizontal="justify" vertical="center" wrapText="1"/>
    </xf>
    <xf numFmtId="0" fontId="28" fillId="0" borderId="49" xfId="0" applyFont="1" applyFill="1" applyBorder="1" applyAlignment="1">
      <alignment horizontal="justify" vertical="center" wrapText="1"/>
    </xf>
    <xf numFmtId="0" fontId="28" fillId="0" borderId="50" xfId="0" applyFont="1" applyFill="1" applyBorder="1" applyAlignment="1">
      <alignment horizontal="justify" vertical="center" wrapText="1"/>
    </xf>
    <xf numFmtId="0" fontId="30" fillId="0" borderId="47" xfId="0" applyFont="1" applyFill="1" applyBorder="1" applyAlignment="1">
      <alignment horizontal="center" vertical="center"/>
    </xf>
    <xf numFmtId="14" fontId="28" fillId="0" borderId="49" xfId="8" applyNumberFormat="1" applyFont="1" applyFill="1" applyBorder="1" applyAlignment="1">
      <alignment horizontal="center" vertical="center" wrapText="1"/>
    </xf>
    <xf numFmtId="170" fontId="30" fillId="0" borderId="75" xfId="8" applyNumberFormat="1" applyFont="1" applyFill="1" applyBorder="1" applyAlignment="1">
      <alignment horizontal="center" vertical="center" wrapText="1"/>
    </xf>
    <xf numFmtId="170" fontId="30" fillId="0" borderId="75" xfId="8" quotePrefix="1" applyNumberFormat="1" applyFont="1" applyFill="1" applyBorder="1" applyAlignment="1">
      <alignment horizontal="center" vertical="center" wrapText="1"/>
    </xf>
    <xf numFmtId="165" fontId="30" fillId="0" borderId="45" xfId="6" quotePrefix="1" applyFont="1" applyFill="1" applyBorder="1" applyAlignment="1">
      <alignment horizontal="center" vertical="center" wrapText="1"/>
    </xf>
    <xf numFmtId="0" fontId="28" fillId="0" borderId="0" xfId="0" applyFont="1" applyFill="1" applyAlignment="1">
      <alignment horizontal="left" vertical="center"/>
    </xf>
    <xf numFmtId="0" fontId="37" fillId="0" borderId="0" xfId="0" applyFont="1" applyFill="1" applyAlignment="1">
      <alignment horizontal="left" vertical="center"/>
    </xf>
    <xf numFmtId="10" fontId="28" fillId="0" borderId="0" xfId="0" applyNumberFormat="1" applyFont="1" applyFill="1" applyBorder="1" applyAlignment="1">
      <alignment horizontal="left" vertical="center"/>
    </xf>
    <xf numFmtId="167" fontId="28" fillId="0" borderId="0" xfId="0" applyNumberFormat="1" applyFont="1" applyFill="1" applyBorder="1" applyAlignment="1">
      <alignment horizontal="left" vertical="center"/>
    </xf>
    <xf numFmtId="0" fontId="30" fillId="0" borderId="0" xfId="0" applyFont="1" applyAlignment="1">
      <alignment vertical="center"/>
    </xf>
    <xf numFmtId="0" fontId="32" fillId="0" borderId="0" xfId="0" applyFont="1" applyAlignment="1">
      <alignment horizontal="left" vertical="center"/>
    </xf>
    <xf numFmtId="0" fontId="65" fillId="0" borderId="0" xfId="0" applyFont="1" applyAlignment="1">
      <alignment horizontal="left" vertical="center"/>
    </xf>
    <xf numFmtId="0" fontId="30" fillId="0" borderId="50" xfId="0" applyFont="1" applyFill="1" applyBorder="1" applyAlignment="1">
      <alignment vertical="center"/>
    </xf>
    <xf numFmtId="0" fontId="30" fillId="0" borderId="51" xfId="0" applyFont="1" applyFill="1" applyBorder="1" applyAlignment="1">
      <alignment vertical="center"/>
    </xf>
    <xf numFmtId="0" fontId="28" fillId="2" borderId="48" xfId="9" applyFont="1" applyFill="1" applyBorder="1" applyAlignment="1">
      <alignment vertical="center"/>
    </xf>
    <xf numFmtId="10" fontId="28" fillId="0" borderId="51" xfId="0" applyNumberFormat="1" applyFont="1" applyFill="1" applyBorder="1" applyAlignment="1" applyProtection="1">
      <alignment horizontal="center" vertical="center" wrapText="1"/>
    </xf>
    <xf numFmtId="0" fontId="28" fillId="0" borderId="92" xfId="0" applyFont="1" applyBorder="1" applyAlignment="1">
      <alignment horizontal="center" vertical="center"/>
    </xf>
    <xf numFmtId="167" fontId="28" fillId="0" borderId="93" xfId="0" applyNumberFormat="1" applyFont="1" applyBorder="1" applyAlignment="1">
      <alignment vertical="center"/>
    </xf>
    <xf numFmtId="0" fontId="30" fillId="0" borderId="59" xfId="8" applyFont="1" applyFill="1" applyBorder="1" applyAlignment="1">
      <alignment vertical="center"/>
    </xf>
    <xf numFmtId="0" fontId="46" fillId="0" borderId="68" xfId="8" applyFont="1" applyFill="1" applyBorder="1" applyAlignment="1">
      <alignment horizontal="center" vertical="center"/>
    </xf>
    <xf numFmtId="14" fontId="46" fillId="0" borderId="68" xfId="8" applyNumberFormat="1" applyFont="1" applyFill="1" applyBorder="1" applyAlignment="1">
      <alignment horizontal="center" vertical="center" wrapText="1"/>
    </xf>
    <xf numFmtId="14" fontId="28" fillId="0" borderId="47" xfId="8" applyNumberFormat="1" applyFont="1" applyFill="1" applyBorder="1" applyAlignment="1">
      <alignment horizontal="center" vertical="center" wrapText="1"/>
    </xf>
    <xf numFmtId="0" fontId="33" fillId="0" borderId="46" xfId="15" applyFont="1" applyFill="1" applyBorder="1" applyAlignment="1">
      <alignment horizontal="center" vertical="center" wrapText="1"/>
    </xf>
    <xf numFmtId="0" fontId="33" fillId="0" borderId="46" xfId="15" applyNumberFormat="1" applyFont="1" applyFill="1" applyBorder="1" applyAlignment="1">
      <alignment horizontal="center" vertical="center" wrapText="1"/>
    </xf>
    <xf numFmtId="170" fontId="30" fillId="0" borderId="0" xfId="15" applyNumberFormat="1" applyFont="1" applyFill="1" applyBorder="1" applyAlignment="1">
      <alignment horizontal="justify" vertical="center" wrapText="1"/>
    </xf>
    <xf numFmtId="170" fontId="30" fillId="0" borderId="0" xfId="15" applyNumberFormat="1" applyFont="1" applyFill="1" applyBorder="1" applyAlignment="1">
      <alignment horizontal="left" vertical="center"/>
    </xf>
    <xf numFmtId="2" fontId="33" fillId="0" borderId="6" xfId="15" applyNumberFormat="1" applyFont="1" applyFill="1" applyBorder="1" applyAlignment="1">
      <alignment horizontal="center" vertical="center" wrapText="1"/>
    </xf>
    <xf numFmtId="2" fontId="33" fillId="0" borderId="5" xfId="15" applyNumberFormat="1" applyFont="1" applyFill="1" applyBorder="1" applyAlignment="1">
      <alignment horizontal="center" vertical="center" wrapText="1"/>
    </xf>
    <xf numFmtId="2" fontId="33" fillId="0" borderId="2" xfId="15" applyNumberFormat="1" applyFont="1" applyFill="1" applyBorder="1" applyAlignment="1">
      <alignment horizontal="center" vertical="center" wrapText="1"/>
    </xf>
    <xf numFmtId="0" fontId="42" fillId="0" borderId="0" xfId="8" quotePrefix="1" applyFont="1" applyBorder="1" applyAlignment="1">
      <alignment horizontal="left" vertical="center"/>
    </xf>
    <xf numFmtId="0" fontId="42" fillId="0" borderId="0" xfId="13" applyFont="1"/>
    <xf numFmtId="170" fontId="27" fillId="0" borderId="2" xfId="50" applyNumberFormat="1"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6" xfId="0" applyFont="1" applyBorder="1" applyAlignment="1">
      <alignment horizontal="center" vertical="center" wrapText="1"/>
    </xf>
    <xf numFmtId="0" fontId="27" fillId="0" borderId="6" xfId="0" applyFont="1" applyFill="1" applyBorder="1" applyAlignment="1">
      <alignment horizontal="center" vertical="center" wrapText="1"/>
    </xf>
    <xf numFmtId="0" fontId="27" fillId="0" borderId="2" xfId="0" applyFont="1" applyFill="1" applyBorder="1" applyAlignment="1">
      <alignment horizontal="center" vertical="center"/>
    </xf>
    <xf numFmtId="10" fontId="27" fillId="0" borderId="2" xfId="18" applyNumberFormat="1" applyFont="1" applyBorder="1" applyAlignment="1">
      <alignment horizontal="center" vertical="center"/>
    </xf>
    <xf numFmtId="14" fontId="48" fillId="3" borderId="2" xfId="0" applyNumberFormat="1" applyFont="1" applyFill="1" applyBorder="1" applyAlignment="1">
      <alignment horizontal="center" vertical="center"/>
    </xf>
    <xf numFmtId="0" fontId="48" fillId="3" borderId="2" xfId="0" applyFont="1" applyFill="1" applyBorder="1" applyAlignment="1">
      <alignment horizontal="center" vertical="center"/>
    </xf>
    <xf numFmtId="0" fontId="27" fillId="0" borderId="2" xfId="0" applyFont="1" applyBorder="1" applyAlignment="1">
      <alignment horizontal="center" vertical="center" wrapText="1"/>
    </xf>
    <xf numFmtId="0" fontId="27" fillId="0" borderId="0" xfId="0" quotePrefix="1" applyFont="1" applyAlignment="1">
      <alignment horizontal="justify" vertical="center" wrapText="1"/>
    </xf>
    <xf numFmtId="0" fontId="46" fillId="0" borderId="2" xfId="49" applyNumberFormat="1" applyFont="1" applyBorder="1" applyAlignment="1">
      <alignment horizontal="center" vertical="center"/>
    </xf>
    <xf numFmtId="0" fontId="46" fillId="0" borderId="2" xfId="49" applyNumberFormat="1" applyFont="1" applyBorder="1" applyAlignment="1">
      <alignment horizontal="center" vertical="center" wrapText="1"/>
    </xf>
    <xf numFmtId="10" fontId="46" fillId="0" borderId="2" xfId="49" applyNumberFormat="1" applyFont="1" applyBorder="1" applyAlignment="1">
      <alignment horizontal="center" vertical="center" wrapText="1"/>
    </xf>
    <xf numFmtId="0" fontId="28" fillId="0" borderId="0" xfId="0" applyFont="1" applyFill="1" applyBorder="1" applyAlignment="1">
      <alignment horizontal="justify" vertical="center" wrapText="1"/>
    </xf>
    <xf numFmtId="0" fontId="28" fillId="0" borderId="47"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47" xfId="0" applyFont="1" applyFill="1" applyBorder="1" applyAlignment="1">
      <alignment horizontal="center" vertical="center"/>
    </xf>
    <xf numFmtId="0" fontId="67" fillId="0" borderId="0" xfId="0" applyFont="1" applyBorder="1" applyAlignment="1">
      <alignment vertical="center"/>
    </xf>
    <xf numFmtId="170" fontId="30" fillId="0" borderId="0" xfId="43" applyNumberFormat="1" applyFont="1" applyFill="1" applyBorder="1" applyAlignment="1">
      <alignment horizontal="left" vertical="center"/>
    </xf>
    <xf numFmtId="43" fontId="28" fillId="0" borderId="0" xfId="0" applyNumberFormat="1" applyFont="1" applyFill="1" applyAlignment="1">
      <alignment horizontal="justify" vertical="center"/>
    </xf>
    <xf numFmtId="10" fontId="28" fillId="0" borderId="0" xfId="18" applyNumberFormat="1" applyFont="1" applyFill="1" applyAlignment="1">
      <alignment horizontal="justify" vertical="center"/>
    </xf>
    <xf numFmtId="43" fontId="28" fillId="0" borderId="0" xfId="0" applyNumberFormat="1" applyFont="1" applyFill="1" applyAlignment="1">
      <alignment vertical="center"/>
    </xf>
    <xf numFmtId="10" fontId="28" fillId="0" borderId="0" xfId="18" applyNumberFormat="1" applyFont="1" applyFill="1" applyAlignment="1">
      <alignment vertical="center"/>
    </xf>
    <xf numFmtId="10" fontId="28" fillId="0" borderId="0" xfId="0" applyNumberFormat="1" applyFont="1" applyFill="1" applyAlignment="1">
      <alignment vertical="center"/>
    </xf>
    <xf numFmtId="10" fontId="28" fillId="0" borderId="0" xfId="0" applyNumberFormat="1" applyFont="1" applyFill="1" applyAlignment="1">
      <alignment horizontal="justify" vertical="center"/>
    </xf>
    <xf numFmtId="167" fontId="28" fillId="0" borderId="0" xfId="4" applyFont="1" applyFill="1" applyAlignment="1">
      <alignment horizontal="justify" vertical="center"/>
    </xf>
    <xf numFmtId="10" fontId="28" fillId="0" borderId="0" xfId="18" applyNumberFormat="1" applyFont="1" applyAlignment="1">
      <alignment horizontal="justify" vertical="center"/>
    </xf>
    <xf numFmtId="10" fontId="28" fillId="0" borderId="0" xfId="0" applyNumberFormat="1" applyFont="1" applyAlignment="1">
      <alignment horizontal="justify" vertical="center"/>
    </xf>
    <xf numFmtId="167" fontId="28" fillId="0" borderId="0" xfId="4" applyFont="1" applyFill="1" applyAlignment="1">
      <alignment vertical="center"/>
    </xf>
    <xf numFmtId="167" fontId="28" fillId="0" borderId="0" xfId="0" applyNumberFormat="1" applyFont="1" applyFill="1" applyAlignment="1">
      <alignment vertical="center"/>
    </xf>
    <xf numFmtId="0" fontId="69" fillId="4" borderId="0" xfId="56" applyFont="1" applyFill="1" applyBorder="1" applyAlignment="1" applyProtection="1">
      <alignment horizontal="left" vertical="center"/>
    </xf>
    <xf numFmtId="167" fontId="28" fillId="0" borderId="0" xfId="4" applyFont="1" applyFill="1" applyAlignment="1">
      <alignment horizontal="center" vertical="center"/>
    </xf>
    <xf numFmtId="0" fontId="63" fillId="0" borderId="2" xfId="13" applyFont="1" applyBorder="1" applyAlignment="1">
      <alignment horizontal="center" vertical="center" wrapText="1"/>
    </xf>
    <xf numFmtId="0" fontId="63" fillId="0" borderId="2" xfId="13" applyFont="1" applyBorder="1" applyAlignment="1">
      <alignment horizontal="center" vertical="center" wrapText="1" shrinkToFit="1"/>
    </xf>
    <xf numFmtId="0" fontId="51" fillId="0" borderId="2" xfId="13" applyFont="1" applyBorder="1"/>
    <xf numFmtId="0" fontId="51" fillId="0" borderId="2" xfId="13" applyFont="1" applyBorder="1" applyAlignment="1">
      <alignment horizontal="center" vertical="center"/>
    </xf>
    <xf numFmtId="0" fontId="51" fillId="0" borderId="2" xfId="13" applyFont="1" applyBorder="1" applyAlignment="1" applyProtection="1">
      <alignment horizontal="center" vertical="center"/>
      <protection locked="0"/>
    </xf>
    <xf numFmtId="14" fontId="28" fillId="0" borderId="62" xfId="8" applyNumberFormat="1" applyFont="1" applyFill="1" applyBorder="1" applyAlignment="1">
      <alignment horizontal="center" vertical="center" shrinkToFit="1"/>
    </xf>
    <xf numFmtId="179" fontId="28" fillId="0" borderId="57" xfId="8" applyNumberFormat="1" applyFont="1" applyFill="1" applyBorder="1" applyAlignment="1">
      <alignment horizontal="center" vertical="center" shrinkToFit="1"/>
    </xf>
    <xf numFmtId="0" fontId="37" fillId="0" borderId="0" xfId="4" applyNumberFormat="1" applyFont="1" applyBorder="1" applyAlignment="1">
      <alignment horizontal="left" vertical="center"/>
    </xf>
    <xf numFmtId="10" fontId="27" fillId="6" borderId="7" xfId="43" quotePrefix="1" applyNumberFormat="1" applyFont="1" applyFill="1" applyBorder="1" applyAlignment="1">
      <alignment horizontal="center" vertical="center"/>
    </xf>
    <xf numFmtId="0" fontId="34" fillId="0" borderId="16" xfId="13" applyFont="1" applyBorder="1"/>
    <xf numFmtId="0" fontId="34" fillId="0" borderId="16" xfId="13" applyFont="1" applyBorder="1" applyAlignment="1">
      <alignment vertical="center"/>
    </xf>
    <xf numFmtId="167" fontId="28" fillId="0" borderId="73" xfId="4" applyFont="1" applyFill="1" applyBorder="1" applyAlignment="1">
      <alignment horizontal="center" vertical="center" wrapText="1"/>
    </xf>
    <xf numFmtId="0" fontId="34" fillId="0" borderId="74" xfId="13" applyFont="1" applyBorder="1"/>
    <xf numFmtId="170" fontId="28" fillId="0" borderId="45" xfId="50" applyNumberFormat="1" applyFont="1" applyFill="1" applyBorder="1" applyAlignment="1">
      <alignment horizontal="center" vertical="center" wrapText="1"/>
    </xf>
    <xf numFmtId="170" fontId="27" fillId="0" borderId="2" xfId="50" applyNumberFormat="1" applyFont="1" applyFill="1" applyBorder="1" applyAlignment="1">
      <alignment horizontal="center" vertical="center" wrapText="1"/>
    </xf>
    <xf numFmtId="0" fontId="27" fillId="4" borderId="7" xfId="49" applyFont="1" applyFill="1" applyBorder="1" applyAlignment="1">
      <alignment horizontal="center" vertical="center" wrapText="1"/>
    </xf>
    <xf numFmtId="14" fontId="48" fillId="3" borderId="2" xfId="0" applyNumberFormat="1" applyFont="1" applyFill="1" applyBorder="1" applyAlignment="1">
      <alignment horizontal="center" vertical="center"/>
    </xf>
    <xf numFmtId="170" fontId="27" fillId="0" borderId="2" xfId="50" applyNumberFormat="1" applyFont="1" applyFill="1" applyBorder="1" applyAlignment="1">
      <alignment horizontal="center" vertical="center" wrapText="1"/>
    </xf>
    <xf numFmtId="0" fontId="48" fillId="7" borderId="2" xfId="42" applyFont="1" applyFill="1" applyBorder="1" applyAlignment="1">
      <alignment horizontal="center" vertical="center" shrinkToFit="1"/>
    </xf>
    <xf numFmtId="0" fontId="28" fillId="0" borderId="0" xfId="49" applyFont="1" applyAlignment="1">
      <alignment vertical="center"/>
    </xf>
    <xf numFmtId="0" fontId="28" fillId="0" borderId="0" xfId="49" applyFont="1" applyAlignment="1">
      <alignment horizontal="center" vertical="center"/>
    </xf>
    <xf numFmtId="0" fontId="29" fillId="0" borderId="0" xfId="49" applyFont="1" applyAlignment="1">
      <alignment horizontal="center" vertical="center"/>
    </xf>
    <xf numFmtId="4" fontId="28" fillId="0" borderId="2" xfId="49" applyNumberFormat="1" applyFont="1" applyBorder="1" applyAlignment="1">
      <alignment horizontal="center" vertical="center" wrapText="1"/>
    </xf>
    <xf numFmtId="2" fontId="28" fillId="0" borderId="2" xfId="49" applyNumberFormat="1" applyFont="1" applyFill="1" applyBorder="1" applyAlignment="1">
      <alignment horizontal="center" vertical="center" wrapText="1"/>
    </xf>
    <xf numFmtId="0" fontId="30" fillId="0" borderId="0" xfId="49" applyFont="1" applyAlignment="1">
      <alignment horizontal="left" vertical="center"/>
    </xf>
    <xf numFmtId="0" fontId="28" fillId="0" borderId="0" xfId="49" applyFont="1" applyAlignment="1">
      <alignment horizontal="right" vertical="center"/>
    </xf>
    <xf numFmtId="0" fontId="28" fillId="0" borderId="0" xfId="49" applyFont="1" applyBorder="1" applyAlignment="1">
      <alignment vertical="center"/>
    </xf>
    <xf numFmtId="3" fontId="28" fillId="0" borderId="0" xfId="49" applyNumberFormat="1" applyFont="1" applyBorder="1" applyAlignment="1">
      <alignment vertical="center"/>
    </xf>
    <xf numFmtId="0" fontId="28" fillId="0" borderId="0" xfId="49" applyFont="1" applyBorder="1" applyAlignment="1">
      <alignment horizontal="center" vertical="center"/>
    </xf>
    <xf numFmtId="0" fontId="28" fillId="0" borderId="0" xfId="49" applyFont="1" applyAlignment="1">
      <alignment horizontal="left" vertical="center"/>
    </xf>
    <xf numFmtId="0" fontId="29" fillId="0" borderId="0" xfId="49" applyFont="1" applyAlignment="1">
      <alignment horizontal="left" vertical="center"/>
    </xf>
    <xf numFmtId="0" fontId="28" fillId="0" borderId="0" xfId="49" applyFont="1" applyFill="1" applyAlignment="1">
      <alignment vertical="center"/>
    </xf>
    <xf numFmtId="0" fontId="30" fillId="0" borderId="0" xfId="49" applyFont="1" applyFill="1" applyAlignment="1">
      <alignment horizontal="left" vertical="center"/>
    </xf>
    <xf numFmtId="170" fontId="29" fillId="0" borderId="0" xfId="49" applyNumberFormat="1" applyFont="1" applyFill="1" applyAlignment="1">
      <alignment horizontal="center" vertical="center"/>
    </xf>
    <xf numFmtId="4" fontId="28" fillId="0" borderId="0" xfId="49" applyNumberFormat="1" applyFont="1" applyFill="1" applyAlignment="1">
      <alignment horizontal="center" vertical="center"/>
    </xf>
    <xf numFmtId="4" fontId="29" fillId="0" borderId="0" xfId="49" applyNumberFormat="1" applyFont="1" applyFill="1" applyAlignment="1">
      <alignment horizontal="center" vertical="center"/>
    </xf>
    <xf numFmtId="0" fontId="30" fillId="0" borderId="0" xfId="49" applyFont="1" applyFill="1" applyAlignment="1">
      <alignment vertical="center"/>
    </xf>
    <xf numFmtId="0" fontId="29" fillId="0" borderId="0" xfId="49" applyFont="1" applyFill="1" applyAlignment="1">
      <alignment vertical="center"/>
    </xf>
    <xf numFmtId="0" fontId="30" fillId="0" borderId="22" xfId="49" applyFont="1" applyFill="1" applyBorder="1" applyAlignment="1">
      <alignment vertical="center"/>
    </xf>
    <xf numFmtId="0" fontId="29" fillId="0" borderId="22" xfId="49" applyFont="1" applyFill="1" applyBorder="1" applyAlignment="1">
      <alignment vertical="center"/>
    </xf>
    <xf numFmtId="4" fontId="30" fillId="3" borderId="46" xfId="49" applyNumberFormat="1" applyFont="1" applyFill="1" applyBorder="1" applyAlignment="1">
      <alignment horizontal="center" vertical="center" wrapText="1"/>
    </xf>
    <xf numFmtId="4" fontId="30" fillId="3" borderId="3" xfId="49" quotePrefix="1" applyNumberFormat="1" applyFont="1" applyFill="1" applyBorder="1" applyAlignment="1">
      <alignment horizontal="center" vertical="center" wrapText="1"/>
    </xf>
    <xf numFmtId="165" fontId="28" fillId="0" borderId="2" xfId="50" applyFont="1" applyFill="1" applyBorder="1" applyAlignment="1">
      <alignment horizontal="center" vertical="center" wrapText="1"/>
    </xf>
    <xf numFmtId="170" fontId="28" fillId="0" borderId="0" xfId="49" applyNumberFormat="1" applyFont="1" applyFill="1" applyAlignment="1">
      <alignment horizontal="center" vertical="center"/>
    </xf>
    <xf numFmtId="4" fontId="28" fillId="0" borderId="0" xfId="49" applyNumberFormat="1" applyFont="1" applyFill="1" applyAlignment="1">
      <alignment vertical="center"/>
    </xf>
    <xf numFmtId="0" fontId="28" fillId="0" borderId="6" xfId="49" applyFont="1" applyFill="1" applyBorder="1" applyAlignment="1">
      <alignment vertical="center" wrapText="1"/>
    </xf>
    <xf numFmtId="3" fontId="28" fillId="0" borderId="6" xfId="49" applyNumberFormat="1" applyFont="1" applyFill="1" applyBorder="1" applyAlignment="1">
      <alignment horizontal="center" vertical="center" wrapText="1"/>
    </xf>
    <xf numFmtId="180" fontId="28" fillId="0" borderId="6" xfId="49" applyNumberFormat="1" applyFont="1" applyFill="1" applyBorder="1" applyAlignment="1">
      <alignment horizontal="center" vertical="center" wrapText="1"/>
    </xf>
    <xf numFmtId="165" fontId="28" fillId="0" borderId="2" xfId="50" applyFont="1" applyFill="1" applyBorder="1" applyAlignment="1">
      <alignment horizontal="center" vertical="center"/>
    </xf>
    <xf numFmtId="165" fontId="30" fillId="3" borderId="2" xfId="49" applyNumberFormat="1" applyFont="1" applyFill="1" applyBorder="1" applyAlignment="1">
      <alignment horizontal="center" vertical="center"/>
    </xf>
    <xf numFmtId="4" fontId="30" fillId="3" borderId="2" xfId="49" applyNumberFormat="1" applyFont="1" applyFill="1" applyBorder="1" applyAlignment="1">
      <alignment horizontal="center" vertical="center" wrapText="1"/>
    </xf>
    <xf numFmtId="4" fontId="28" fillId="0" borderId="2" xfId="50" applyNumberFormat="1" applyFont="1" applyFill="1" applyBorder="1" applyAlignment="1">
      <alignment horizontal="center" vertical="center" wrapText="1"/>
    </xf>
    <xf numFmtId="14" fontId="28" fillId="0" borderId="0" xfId="49" applyNumberFormat="1" applyFont="1" applyFill="1" applyAlignment="1">
      <alignment horizontal="right" vertical="center"/>
    </xf>
    <xf numFmtId="181" fontId="28" fillId="0" borderId="0" xfId="49" applyNumberFormat="1" applyFont="1" applyFill="1" applyAlignment="1">
      <alignment horizontal="center" vertical="center"/>
    </xf>
    <xf numFmtId="181" fontId="28" fillId="0" borderId="0" xfId="49" applyNumberFormat="1" applyFont="1" applyFill="1" applyAlignment="1">
      <alignment vertical="center"/>
    </xf>
    <xf numFmtId="4" fontId="30" fillId="0" borderId="0" xfId="49" applyNumberFormat="1" applyFont="1" applyFill="1" applyAlignment="1">
      <alignment vertical="center"/>
    </xf>
    <xf numFmtId="0" fontId="30" fillId="0" borderId="0" xfId="49" applyFont="1" applyAlignment="1">
      <alignment horizontal="justify" vertical="center"/>
    </xf>
    <xf numFmtId="0" fontId="29" fillId="0" borderId="0" xfId="49" applyFont="1" applyAlignment="1">
      <alignment vertical="center"/>
    </xf>
    <xf numFmtId="0" fontId="28" fillId="0" borderId="24" xfId="49" applyFont="1" applyBorder="1" applyAlignment="1">
      <alignment vertical="center"/>
    </xf>
    <xf numFmtId="0" fontId="28" fillId="0" borderId="58" xfId="49" applyFont="1" applyBorder="1" applyAlignment="1">
      <alignment vertical="center"/>
    </xf>
    <xf numFmtId="0" fontId="28" fillId="0" borderId="71" xfId="49" applyFont="1" applyBorder="1" applyAlignment="1">
      <alignment vertical="center"/>
    </xf>
    <xf numFmtId="0" fontId="28" fillId="0" borderId="48" xfId="49" quotePrefix="1" applyFont="1" applyBorder="1" applyAlignment="1">
      <alignment vertical="center"/>
    </xf>
    <xf numFmtId="0" fontId="28" fillId="0" borderId="0" xfId="49" quotePrefix="1" applyFont="1" applyBorder="1" applyAlignment="1">
      <alignment vertical="center" wrapText="1"/>
    </xf>
    <xf numFmtId="177" fontId="28" fillId="0" borderId="0" xfId="50" quotePrefix="1" applyNumberFormat="1" applyFont="1" applyBorder="1" applyAlignment="1">
      <alignment vertical="center" wrapText="1"/>
    </xf>
    <xf numFmtId="0" fontId="28" fillId="0" borderId="71" xfId="49" applyFont="1" applyBorder="1" applyAlignment="1">
      <alignment horizontal="center" vertical="center"/>
    </xf>
    <xf numFmtId="0" fontId="28" fillId="0" borderId="0" xfId="49" quotePrefix="1" applyFont="1" applyBorder="1" applyAlignment="1">
      <alignment vertical="center"/>
    </xf>
    <xf numFmtId="177" fontId="28" fillId="0" borderId="0" xfId="50" quotePrefix="1" applyNumberFormat="1" applyFont="1" applyBorder="1" applyAlignment="1">
      <alignment vertical="center"/>
    </xf>
    <xf numFmtId="44" fontId="28" fillId="0" borderId="0" xfId="50" quotePrefix="1" applyNumberFormat="1" applyFont="1" applyBorder="1" applyAlignment="1">
      <alignment horizontal="center" vertical="center" wrapText="1"/>
    </xf>
    <xf numFmtId="0" fontId="28" fillId="0" borderId="0" xfId="50" quotePrefix="1" applyNumberFormat="1" applyFont="1" applyBorder="1" applyAlignment="1">
      <alignment horizontal="left" vertical="center"/>
    </xf>
    <xf numFmtId="14" fontId="28" fillId="0" borderId="0" xfId="50" quotePrefix="1" applyNumberFormat="1" applyFont="1" applyBorder="1" applyAlignment="1">
      <alignment horizontal="left" vertical="center"/>
    </xf>
    <xf numFmtId="165" fontId="28" fillId="0" borderId="0" xfId="50" quotePrefix="1" applyFont="1" applyBorder="1" applyAlignment="1">
      <alignment horizontal="left" vertical="center"/>
    </xf>
    <xf numFmtId="165" fontId="28" fillId="0" borderId="0" xfId="50" quotePrefix="1" applyFont="1" applyBorder="1" applyAlignment="1">
      <alignment horizontal="left" vertical="center" wrapText="1"/>
    </xf>
    <xf numFmtId="14" fontId="28" fillId="0" borderId="22" xfId="50" quotePrefix="1" applyNumberFormat="1" applyFont="1" applyBorder="1" applyAlignment="1">
      <alignment vertical="center"/>
    </xf>
    <xf numFmtId="165" fontId="28" fillId="0" borderId="22" xfId="50" quotePrefix="1" applyFont="1" applyBorder="1" applyAlignment="1">
      <alignment horizontal="right" vertical="center" wrapText="1"/>
    </xf>
    <xf numFmtId="0" fontId="28" fillId="0" borderId="22" xfId="49" applyFont="1" applyBorder="1" applyAlignment="1">
      <alignment vertical="center"/>
    </xf>
    <xf numFmtId="0" fontId="28" fillId="0" borderId="40" xfId="49" applyFont="1" applyBorder="1" applyAlignment="1">
      <alignment vertical="center"/>
    </xf>
    <xf numFmtId="0" fontId="28" fillId="0" borderId="0" xfId="49" quotePrefix="1" applyFont="1" applyAlignment="1">
      <alignment horizontal="left" vertical="center"/>
    </xf>
    <xf numFmtId="0" fontId="36" fillId="0" borderId="11" xfId="49" applyFont="1" applyBorder="1" applyAlignment="1">
      <alignment vertical="center"/>
    </xf>
    <xf numFmtId="0" fontId="28" fillId="0" borderId="4" xfId="49" applyFont="1" applyBorder="1" applyAlignment="1">
      <alignment vertical="center"/>
    </xf>
    <xf numFmtId="0" fontId="35" fillId="0" borderId="4" xfId="49" applyFont="1" applyBorder="1" applyAlignment="1">
      <alignment vertical="center"/>
    </xf>
    <xf numFmtId="0" fontId="35" fillId="0" borderId="4" xfId="49" applyFont="1" applyBorder="1" applyAlignment="1">
      <alignment horizontal="right" vertical="center"/>
    </xf>
    <xf numFmtId="10" fontId="48" fillId="8" borderId="2" xfId="18" applyNumberFormat="1" applyFont="1" applyFill="1" applyBorder="1" applyAlignment="1">
      <alignment horizontal="center" vertical="center" shrinkToFit="1"/>
    </xf>
    <xf numFmtId="0" fontId="30" fillId="3" borderId="2" xfId="15" applyFont="1" applyFill="1" applyBorder="1" applyAlignment="1">
      <alignment horizontal="center" vertical="center"/>
    </xf>
    <xf numFmtId="0" fontId="31" fillId="0" borderId="0" xfId="0" applyFont="1" applyFill="1" applyBorder="1" applyAlignment="1">
      <alignment horizontal="justify" vertical="center" wrapText="1"/>
    </xf>
    <xf numFmtId="0" fontId="28" fillId="0" borderId="2" xfId="15" applyFont="1" applyBorder="1" applyAlignment="1">
      <alignment horizontal="center" vertical="center"/>
    </xf>
    <xf numFmtId="170" fontId="30" fillId="0" borderId="2" xfId="15" applyNumberFormat="1" applyFont="1" applyFill="1" applyBorder="1" applyAlignment="1">
      <alignment horizontal="center" vertical="center"/>
    </xf>
    <xf numFmtId="2" fontId="30" fillId="0" borderId="2" xfId="15" applyNumberFormat="1" applyFont="1" applyFill="1" applyBorder="1" applyAlignment="1">
      <alignment horizontal="center" vertical="center"/>
    </xf>
    <xf numFmtId="0" fontId="29" fillId="0" borderId="0" xfId="49" applyFont="1" applyFill="1" applyAlignment="1">
      <alignment horizontal="center" vertical="center"/>
    </xf>
    <xf numFmtId="0" fontId="29" fillId="0" borderId="0" xfId="49" applyFont="1" applyFill="1" applyAlignment="1">
      <alignment horizontal="center" vertical="center" wrapText="1"/>
    </xf>
    <xf numFmtId="4" fontId="30" fillId="3" borderId="5" xfId="49" applyNumberFormat="1" applyFont="1" applyFill="1" applyBorder="1" applyAlignment="1">
      <alignment horizontal="center" vertical="center" wrapText="1"/>
    </xf>
    <xf numFmtId="0" fontId="30" fillId="3" borderId="52" xfId="49" quotePrefix="1" applyNumberFormat="1" applyFont="1" applyFill="1" applyBorder="1" applyAlignment="1">
      <alignment horizontal="center" vertical="center" wrapText="1"/>
    </xf>
    <xf numFmtId="0" fontId="30" fillId="3" borderId="46" xfId="49" applyFont="1" applyFill="1" applyBorder="1" applyAlignment="1">
      <alignment horizontal="center" vertical="center" wrapText="1"/>
    </xf>
    <xf numFmtId="0" fontId="28" fillId="0" borderId="2" xfId="8" applyFont="1" applyBorder="1" applyAlignment="1">
      <alignment horizontal="justify" vertical="center" wrapText="1"/>
    </xf>
    <xf numFmtId="0" fontId="67" fillId="0" borderId="0" xfId="0" applyFont="1" applyFill="1" applyBorder="1" applyAlignment="1">
      <alignment horizontal="center" vertical="center" wrapText="1"/>
    </xf>
    <xf numFmtId="0" fontId="28" fillId="0" borderId="0" xfId="10" applyFont="1" applyAlignment="1">
      <alignment vertical="center"/>
    </xf>
    <xf numFmtId="0" fontId="29" fillId="0" borderId="0" xfId="10" applyFont="1" applyAlignment="1">
      <alignment vertical="center"/>
    </xf>
    <xf numFmtId="0" fontId="28" fillId="0" borderId="7" xfId="10" applyFont="1" applyBorder="1" applyAlignment="1">
      <alignment vertical="center"/>
    </xf>
    <xf numFmtId="0" fontId="34" fillId="0" borderId="0" xfId="52" applyFont="1" applyAlignment="1">
      <alignment vertical="center"/>
    </xf>
    <xf numFmtId="0" fontId="30" fillId="0" borderId="0" xfId="54" applyFont="1" applyFill="1" applyAlignment="1">
      <alignment vertical="center"/>
    </xf>
    <xf numFmtId="0" fontId="12" fillId="0" borderId="0" xfId="49" applyFont="1" applyFill="1" applyAlignment="1">
      <alignment vertical="center"/>
    </xf>
    <xf numFmtId="0" fontId="74" fillId="0" borderId="0" xfId="49" applyFont="1" applyFill="1" applyAlignment="1">
      <alignment vertical="center"/>
    </xf>
    <xf numFmtId="0" fontId="75" fillId="0" borderId="0" xfId="49" applyFont="1" applyFill="1" applyAlignment="1">
      <alignment vertical="center"/>
    </xf>
    <xf numFmtId="0" fontId="76" fillId="0" borderId="0" xfId="49" applyFont="1" applyFill="1" applyAlignment="1">
      <alignment vertical="center"/>
    </xf>
    <xf numFmtId="0" fontId="30" fillId="0" borderId="0" xfId="8" applyFont="1" applyAlignment="1">
      <alignment vertical="center" wrapText="1"/>
    </xf>
    <xf numFmtId="0" fontId="35" fillId="0" borderId="0" xfId="8" applyFont="1" applyAlignment="1">
      <alignment vertical="center"/>
    </xf>
    <xf numFmtId="14" fontId="35" fillId="0" borderId="0" xfId="8" applyNumberFormat="1" applyFont="1" applyAlignment="1">
      <alignment horizontal="center" vertical="center"/>
    </xf>
    <xf numFmtId="14" fontId="35" fillId="0" borderId="0" xfId="8" applyNumberFormat="1" applyFont="1" applyAlignment="1">
      <alignment vertical="center"/>
    </xf>
    <xf numFmtId="0" fontId="36" fillId="0" borderId="0" xfId="8" applyFont="1" applyAlignment="1">
      <alignment vertical="center"/>
    </xf>
    <xf numFmtId="14" fontId="36" fillId="0" borderId="0" xfId="8" applyNumberFormat="1" applyFont="1" applyAlignment="1">
      <alignment horizontal="center" vertical="center"/>
    </xf>
    <xf numFmtId="14" fontId="36" fillId="0" borderId="0" xfId="8" applyNumberFormat="1" applyFont="1" applyAlignment="1">
      <alignment vertical="center"/>
    </xf>
    <xf numFmtId="4" fontId="30" fillId="0" borderId="0" xfId="8" applyNumberFormat="1" applyFont="1" applyAlignment="1">
      <alignment horizontal="right" vertical="center"/>
    </xf>
    <xf numFmtId="4" fontId="28" fillId="0" borderId="0" xfId="8" applyNumberFormat="1" applyFont="1" applyAlignment="1">
      <alignment vertical="center"/>
    </xf>
    <xf numFmtId="0" fontId="30" fillId="0" borderId="0" xfId="8" applyFont="1" applyAlignment="1">
      <alignment horizontal="right" vertical="center"/>
    </xf>
    <xf numFmtId="165" fontId="30" fillId="0" borderId="0" xfId="6" applyFont="1" applyAlignment="1">
      <alignment horizontal="center" vertical="center"/>
    </xf>
    <xf numFmtId="165" fontId="30" fillId="0" borderId="0" xfId="6" applyFont="1" applyAlignment="1">
      <alignment vertical="center"/>
    </xf>
    <xf numFmtId="170" fontId="27" fillId="0" borderId="2" xfId="50" applyNumberFormat="1" applyFont="1" applyFill="1" applyBorder="1" applyAlignment="1">
      <alignment horizontal="center" vertical="center" wrapText="1"/>
    </xf>
    <xf numFmtId="167" fontId="27" fillId="0" borderId="7" xfId="4" applyFont="1" applyBorder="1" applyAlignment="1">
      <alignment horizontal="center" vertical="center"/>
    </xf>
    <xf numFmtId="0" fontId="64" fillId="0" borderId="6" xfId="0" applyFont="1" applyFill="1" applyBorder="1" applyAlignment="1">
      <alignment vertical="center"/>
    </xf>
    <xf numFmtId="167" fontId="27" fillId="0" borderId="7" xfId="4" applyFont="1" applyFill="1" applyBorder="1" applyAlignment="1">
      <alignment horizontal="center" vertical="center"/>
    </xf>
    <xf numFmtId="167" fontId="27" fillId="0" borderId="2" xfId="4" applyFont="1" applyFill="1" applyBorder="1" applyAlignment="1">
      <alignment horizontal="center" vertical="center"/>
    </xf>
    <xf numFmtId="167" fontId="27" fillId="0" borderId="7" xfId="4" quotePrefix="1" applyFont="1" applyFill="1" applyBorder="1" applyAlignment="1">
      <alignment horizontal="center" vertical="center"/>
    </xf>
    <xf numFmtId="14" fontId="48" fillId="3" borderId="2" xfId="42" applyNumberFormat="1" applyFont="1" applyFill="1" applyBorder="1" applyAlignment="1">
      <alignment horizontal="center" vertical="center"/>
    </xf>
    <xf numFmtId="4" fontId="28" fillId="0" borderId="2" xfId="49" applyNumberFormat="1" applyFont="1" applyFill="1" applyBorder="1" applyAlignment="1">
      <alignment horizontal="center" vertical="center" wrapText="1"/>
    </xf>
    <xf numFmtId="3" fontId="27" fillId="0" borderId="2" xfId="42" applyNumberFormat="1" applyFont="1" applyBorder="1" applyAlignment="1">
      <alignment horizontal="center" vertical="center"/>
    </xf>
    <xf numFmtId="2" fontId="27" fillId="0" borderId="2" xfId="42" applyNumberFormat="1" applyFont="1" applyBorder="1" applyAlignment="1">
      <alignment vertical="center"/>
    </xf>
    <xf numFmtId="3" fontId="28" fillId="0" borderId="2" xfId="0" applyNumberFormat="1" applyFont="1" applyFill="1" applyBorder="1" applyAlignment="1" applyProtection="1">
      <alignment horizontal="center" vertical="center"/>
      <protection locked="0"/>
    </xf>
    <xf numFmtId="0" fontId="35" fillId="0" borderId="0" xfId="49" applyFont="1" applyAlignment="1">
      <alignment horizontal="center" vertical="center"/>
    </xf>
    <xf numFmtId="0" fontId="57" fillId="0" borderId="0" xfId="42" applyFont="1" applyAlignment="1">
      <alignment horizontal="center" vertical="center"/>
    </xf>
    <xf numFmtId="0" fontId="35" fillId="0" borderId="22" xfId="49" applyFont="1" applyFill="1" applyBorder="1" applyAlignment="1">
      <alignment horizontal="center" vertical="center"/>
    </xf>
    <xf numFmtId="0" fontId="30" fillId="0" borderId="47" xfId="0" applyFont="1" applyFill="1" applyBorder="1" applyAlignment="1">
      <alignment horizontal="center" vertical="center"/>
    </xf>
    <xf numFmtId="0" fontId="28" fillId="0" borderId="47" xfId="0" applyFont="1" applyFill="1" applyBorder="1" applyAlignment="1">
      <alignment horizontal="center" vertical="center" wrapText="1"/>
    </xf>
    <xf numFmtId="0" fontId="30" fillId="0" borderId="47" xfId="0" applyFont="1" applyFill="1" applyBorder="1" applyAlignment="1">
      <alignment horizontal="center" vertical="center" wrapText="1"/>
    </xf>
    <xf numFmtId="10"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10" fontId="35" fillId="2" borderId="0" xfId="0" applyNumberFormat="1" applyFont="1" applyFill="1" applyBorder="1" applyAlignment="1">
      <alignment horizontal="left" vertical="center"/>
    </xf>
    <xf numFmtId="178" fontId="35" fillId="2" borderId="0" xfId="0" applyNumberFormat="1" applyFont="1" applyFill="1" applyBorder="1" applyAlignment="1">
      <alignment horizontal="left" vertical="center"/>
    </xf>
    <xf numFmtId="43" fontId="35" fillId="0" borderId="0" xfId="0" applyNumberFormat="1" applyFont="1" applyFill="1" applyAlignment="1">
      <alignment horizontal="justify" vertical="center"/>
    </xf>
    <xf numFmtId="0" fontId="28" fillId="0" borderId="49" xfId="0" applyFont="1" applyFill="1" applyBorder="1" applyAlignment="1">
      <alignment horizontal="left" vertical="center"/>
    </xf>
    <xf numFmtId="0" fontId="18" fillId="0" borderId="0" xfId="49" applyFont="1" applyAlignment="1">
      <alignment vertical="center"/>
    </xf>
    <xf numFmtId="167" fontId="35" fillId="0" borderId="51" xfId="4" applyFont="1" applyFill="1" applyBorder="1" applyAlignment="1">
      <alignment horizontal="center" vertical="center"/>
    </xf>
    <xf numFmtId="10" fontId="35" fillId="0" borderId="51" xfId="0" applyNumberFormat="1" applyFont="1" applyFill="1" applyBorder="1" applyAlignment="1">
      <alignment horizontal="center" vertical="center"/>
    </xf>
    <xf numFmtId="0" fontId="27" fillId="0" borderId="6"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6" xfId="0" applyFont="1" applyFill="1" applyBorder="1" applyAlignment="1">
      <alignment horizontal="center" vertical="center" wrapText="1"/>
    </xf>
    <xf numFmtId="0" fontId="28" fillId="0" borderId="0" xfId="0" applyFont="1" applyAlignment="1">
      <alignment horizontal="left" vertical="center"/>
    </xf>
    <xf numFmtId="0" fontId="28" fillId="0" borderId="0" xfId="13" applyFont="1" applyAlignment="1">
      <alignment horizontal="left"/>
    </xf>
    <xf numFmtId="0" fontId="28" fillId="0" borderId="3" xfId="8" applyFont="1" applyBorder="1" applyAlignment="1">
      <alignment horizontal="center" vertical="center"/>
    </xf>
    <xf numFmtId="0" fontId="28" fillId="0" borderId="2" xfId="8" applyFont="1" applyBorder="1" applyAlignment="1">
      <alignment horizontal="center" vertical="center"/>
    </xf>
    <xf numFmtId="0" fontId="28" fillId="0" borderId="47"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47" xfId="0" applyFont="1" applyFill="1" applyBorder="1" applyAlignment="1">
      <alignment horizontal="center" vertical="center" wrapText="1"/>
    </xf>
    <xf numFmtId="0" fontId="28" fillId="0" borderId="0" xfId="54" applyFont="1" applyAlignment="1">
      <alignment vertical="center"/>
    </xf>
    <xf numFmtId="0" fontId="28" fillId="0" borderId="0" xfId="54" applyFont="1" applyFill="1" applyAlignment="1">
      <alignment vertical="center"/>
    </xf>
    <xf numFmtId="0" fontId="28" fillId="0" borderId="0" xfId="54" applyFont="1" applyFill="1" applyAlignment="1">
      <alignment horizontal="center" vertical="center"/>
    </xf>
    <xf numFmtId="0" fontId="30" fillId="0" borderId="0" xfId="0" applyFont="1" applyFill="1" applyBorder="1" applyAlignment="1">
      <alignment horizontal="left" vertical="center"/>
    </xf>
    <xf numFmtId="10" fontId="58" fillId="0" borderId="0" xfId="0" applyNumberFormat="1" applyFont="1" applyFill="1" applyBorder="1" applyAlignment="1">
      <alignment horizontal="center" vertical="center"/>
    </xf>
    <xf numFmtId="0" fontId="28" fillId="0" borderId="0" xfId="49" applyFont="1" applyBorder="1" applyAlignment="1">
      <alignment horizontal="left" vertical="center"/>
    </xf>
    <xf numFmtId="0" fontId="42" fillId="0" borderId="0" xfId="49" applyFont="1" applyBorder="1" applyAlignment="1">
      <alignment horizontal="left" vertical="center"/>
    </xf>
    <xf numFmtId="0" fontId="27" fillId="0" borderId="6" xfId="0" applyFont="1" applyFill="1" applyBorder="1" applyAlignment="1">
      <alignment horizontal="center" vertical="center" wrapText="1"/>
    </xf>
    <xf numFmtId="0" fontId="28" fillId="0" borderId="2" xfId="9" applyFont="1" applyFill="1" applyBorder="1" applyAlignment="1">
      <alignment horizontal="justify" vertical="center" wrapText="1"/>
    </xf>
    <xf numFmtId="0" fontId="51" fillId="0" borderId="2" xfId="43" applyFont="1" applyBorder="1" applyAlignment="1">
      <alignment horizontal="center" vertical="center" wrapText="1"/>
    </xf>
    <xf numFmtId="170" fontId="30" fillId="0" borderId="2" xfId="49" applyNumberFormat="1" applyFont="1" applyBorder="1" applyAlignment="1">
      <alignment horizontal="center" vertical="center"/>
    </xf>
    <xf numFmtId="14" fontId="48" fillId="3" borderId="2" xfId="42" applyNumberFormat="1" applyFont="1" applyFill="1" applyBorder="1" applyAlignment="1">
      <alignment horizontal="center" vertical="center"/>
    </xf>
    <xf numFmtId="0" fontId="28" fillId="0" borderId="0" xfId="49" applyFont="1" applyBorder="1" applyAlignment="1">
      <alignment horizontal="left" vertical="center"/>
    </xf>
    <xf numFmtId="0" fontId="46" fillId="0" borderId="0" xfId="42" applyFont="1"/>
    <xf numFmtId="0" fontId="32" fillId="0" borderId="2" xfId="49" applyFont="1" applyBorder="1" applyAlignment="1">
      <alignment horizontal="justify" vertical="center" wrapText="1"/>
    </xf>
    <xf numFmtId="0" fontId="46" fillId="0" borderId="2" xfId="42" applyFont="1" applyBorder="1" applyAlignment="1">
      <alignment horizontal="center" vertical="center" wrapText="1"/>
    </xf>
    <xf numFmtId="0" fontId="46" fillId="0" borderId="2" xfId="42" applyFont="1" applyBorder="1" applyAlignment="1">
      <alignment vertical="center"/>
    </xf>
    <xf numFmtId="0" fontId="30" fillId="0" borderId="22" xfId="49" applyFont="1" applyFill="1" applyBorder="1" applyAlignment="1">
      <alignment horizontal="left" vertical="center"/>
    </xf>
    <xf numFmtId="170" fontId="28" fillId="0" borderId="0" xfId="49" applyNumberFormat="1" applyFont="1" applyFill="1" applyAlignment="1">
      <alignment vertical="center"/>
    </xf>
    <xf numFmtId="0" fontId="30" fillId="0" borderId="0" xfId="49" applyFont="1" applyFill="1" applyBorder="1" applyAlignment="1">
      <alignment vertical="center"/>
    </xf>
    <xf numFmtId="0" fontId="29" fillId="0" borderId="0" xfId="49" applyFont="1" applyFill="1" applyBorder="1" applyAlignment="1">
      <alignment vertical="center"/>
    </xf>
    <xf numFmtId="0" fontId="27" fillId="0" borderId="6" xfId="0" applyFont="1" applyFill="1" applyBorder="1" applyAlignment="1">
      <alignment horizontal="center" vertical="center" wrapText="1"/>
    </xf>
    <xf numFmtId="44" fontId="34" fillId="0" borderId="0" xfId="13" applyNumberFormat="1" applyFont="1" applyFill="1" applyBorder="1"/>
    <xf numFmtId="10" fontId="28" fillId="0" borderId="0" xfId="18" applyNumberFormat="1" applyFont="1" applyFill="1" applyBorder="1" applyAlignment="1">
      <alignment horizontal="center" vertical="center"/>
    </xf>
    <xf numFmtId="167" fontId="28" fillId="0" borderId="0" xfId="4" applyFont="1" applyFill="1" applyBorder="1" applyAlignment="1">
      <alignment horizontal="left" vertical="center"/>
    </xf>
    <xf numFmtId="0" fontId="0" fillId="0" borderId="0" xfId="0"/>
    <xf numFmtId="0" fontId="27" fillId="0" borderId="0" xfId="0" quotePrefix="1" applyFont="1" applyAlignment="1">
      <alignment vertical="center"/>
    </xf>
    <xf numFmtId="0" fontId="27" fillId="0" borderId="2" xfId="0" applyFont="1" applyBorder="1" applyAlignment="1">
      <alignment horizontal="center" vertical="center" wrapText="1"/>
    </xf>
    <xf numFmtId="0" fontId="28" fillId="0" borderId="49" xfId="0" applyFont="1" applyFill="1" applyBorder="1" applyAlignment="1">
      <alignment horizontal="left" vertical="center"/>
    </xf>
    <xf numFmtId="0" fontId="28" fillId="0" borderId="47" xfId="0" applyFont="1" applyFill="1" applyBorder="1" applyAlignment="1">
      <alignment horizontal="center" vertical="center" wrapText="1"/>
    </xf>
    <xf numFmtId="10" fontId="35" fillId="0" borderId="19" xfId="19" applyNumberFormat="1" applyFont="1" applyFill="1" applyBorder="1" applyAlignment="1">
      <alignment horizontal="center" vertical="center"/>
    </xf>
    <xf numFmtId="0" fontId="27" fillId="0" borderId="2" xfId="0" applyFont="1" applyBorder="1" applyAlignment="1">
      <alignment horizontal="center" vertical="center" wrapText="1" shrinkToFit="1"/>
    </xf>
    <xf numFmtId="167" fontId="28" fillId="0" borderId="70" xfId="4" applyFont="1" applyBorder="1" applyAlignment="1">
      <alignment horizontal="left" vertical="center"/>
    </xf>
    <xf numFmtId="0" fontId="30" fillId="3" borderId="2" xfId="65" applyFont="1" applyFill="1" applyBorder="1" applyAlignment="1">
      <alignment horizontal="center" vertical="center" wrapText="1"/>
    </xf>
    <xf numFmtId="0" fontId="28" fillId="0" borderId="2" xfId="65" applyFont="1" applyBorder="1" applyAlignment="1">
      <alignment horizontal="center" vertical="center"/>
    </xf>
    <xf numFmtId="3" fontId="28" fillId="0" borderId="2" xfId="76" applyNumberFormat="1" applyFont="1" applyBorder="1" applyAlignment="1">
      <alignment horizontal="center" vertical="center"/>
    </xf>
    <xf numFmtId="44" fontId="28" fillId="0" borderId="2" xfId="65" applyNumberFormat="1" applyFont="1" applyBorder="1" applyAlignment="1">
      <alignment horizontal="center" vertical="center" wrapText="1"/>
    </xf>
    <xf numFmtId="0" fontId="51" fillId="0" borderId="2" xfId="43" applyFont="1" applyBorder="1" applyAlignment="1">
      <alignment horizontal="center" vertical="center" wrapText="1"/>
    </xf>
    <xf numFmtId="182" fontId="58" fillId="0" borderId="57" xfId="18" applyNumberFormat="1" applyFont="1" applyBorder="1" applyAlignment="1">
      <alignment horizontal="center" vertical="center"/>
    </xf>
    <xf numFmtId="10" fontId="27" fillId="0" borderId="2" xfId="18" applyNumberFormat="1" applyFont="1" applyBorder="1" applyAlignment="1">
      <alignment horizontal="center" vertical="center"/>
    </xf>
    <xf numFmtId="10" fontId="37" fillId="2" borderId="54" xfId="0" applyNumberFormat="1" applyFont="1" applyFill="1" applyBorder="1" applyAlignment="1">
      <alignment horizontal="center" vertical="center"/>
    </xf>
    <xf numFmtId="10" fontId="37" fillId="2" borderId="90" xfId="0" applyNumberFormat="1" applyFont="1" applyFill="1" applyBorder="1" applyAlignment="1">
      <alignment horizontal="center" vertical="center"/>
    </xf>
    <xf numFmtId="10" fontId="28" fillId="2" borderId="54" xfId="0" applyNumberFormat="1" applyFont="1" applyFill="1" applyBorder="1" applyAlignment="1">
      <alignment horizontal="center" vertical="center"/>
    </xf>
    <xf numFmtId="10" fontId="28" fillId="2" borderId="90" xfId="0" applyNumberFormat="1" applyFont="1" applyFill="1" applyBorder="1" applyAlignment="1">
      <alignment horizontal="center" vertical="center"/>
    </xf>
    <xf numFmtId="10" fontId="28" fillId="0" borderId="37" xfId="20" applyNumberFormat="1" applyFont="1" applyFill="1" applyBorder="1" applyAlignment="1">
      <alignment horizontal="center" vertical="center"/>
    </xf>
    <xf numFmtId="10" fontId="30" fillId="2" borderId="36" xfId="0" applyNumberFormat="1" applyFont="1" applyFill="1" applyBorder="1" applyAlignment="1">
      <alignment horizontal="center" vertical="center"/>
    </xf>
    <xf numFmtId="10" fontId="30" fillId="2" borderId="90" xfId="0" applyNumberFormat="1" applyFont="1" applyFill="1" applyBorder="1" applyAlignment="1">
      <alignment horizontal="center" vertical="center"/>
    </xf>
    <xf numFmtId="10" fontId="30" fillId="2" borderId="54" xfId="0" applyNumberFormat="1" applyFont="1" applyFill="1" applyBorder="1" applyAlignment="1">
      <alignment horizontal="center" vertical="center"/>
    </xf>
    <xf numFmtId="10" fontId="30" fillId="2" borderId="39" xfId="0" applyNumberFormat="1" applyFont="1" applyFill="1" applyBorder="1" applyAlignment="1">
      <alignment horizontal="center" vertical="center"/>
    </xf>
    <xf numFmtId="10" fontId="49" fillId="0" borderId="2" xfId="42" applyNumberFormat="1" applyFont="1" applyBorder="1" applyAlignment="1">
      <alignment horizontal="center" vertical="center"/>
    </xf>
    <xf numFmtId="10" fontId="27" fillId="2" borderId="2" xfId="42" applyNumberFormat="1" applyFont="1" applyFill="1" applyBorder="1" applyAlignment="1">
      <alignment horizontal="center" vertical="center"/>
    </xf>
    <xf numFmtId="10" fontId="39" fillId="2" borderId="2" xfId="42" applyNumberFormat="1" applyFont="1" applyFill="1" applyBorder="1" applyAlignment="1">
      <alignment horizontal="center" vertical="center"/>
    </xf>
    <xf numFmtId="10" fontId="46" fillId="2" borderId="2" xfId="42" applyNumberFormat="1" applyFont="1" applyFill="1" applyBorder="1" applyAlignment="1">
      <alignment horizontal="center" vertical="center"/>
    </xf>
    <xf numFmtId="10" fontId="27" fillId="2" borderId="2" xfId="18" applyNumberFormat="1" applyFont="1" applyFill="1" applyBorder="1" applyAlignment="1">
      <alignment horizontal="center" vertical="center"/>
    </xf>
    <xf numFmtId="10" fontId="27" fillId="2" borderId="2" xfId="18" quotePrefix="1" applyNumberFormat="1" applyFont="1" applyFill="1" applyBorder="1" applyAlignment="1">
      <alignment horizontal="center" vertical="center"/>
    </xf>
    <xf numFmtId="10" fontId="46" fillId="2" borderId="46" xfId="18" applyNumberFormat="1" applyFont="1" applyFill="1" applyBorder="1" applyAlignment="1">
      <alignment horizontal="center" vertical="center"/>
    </xf>
    <xf numFmtId="10" fontId="46" fillId="0" borderId="34" xfId="42" applyNumberFormat="1" applyFont="1" applyBorder="1" applyAlignment="1">
      <alignment horizontal="center" vertical="center"/>
    </xf>
    <xf numFmtId="10" fontId="48" fillId="0" borderId="0" xfId="42" applyNumberFormat="1" applyFont="1" applyBorder="1" applyAlignment="1">
      <alignment vertical="center"/>
    </xf>
    <xf numFmtId="10" fontId="48" fillId="0" borderId="0" xfId="42" applyNumberFormat="1" applyFont="1" applyBorder="1" applyAlignment="1">
      <alignment horizontal="center" vertical="center"/>
    </xf>
    <xf numFmtId="10" fontId="39" fillId="0" borderId="0" xfId="42" applyNumberFormat="1" applyFont="1" applyAlignment="1">
      <alignment vertical="center"/>
    </xf>
    <xf numFmtId="10" fontId="53" fillId="0" borderId="2" xfId="42" applyNumberFormat="1" applyFont="1" applyBorder="1" applyAlignment="1">
      <alignment horizontal="center" vertical="center"/>
    </xf>
    <xf numFmtId="10" fontId="27" fillId="0" borderId="0" xfId="42" applyNumberFormat="1" applyFont="1" applyAlignment="1">
      <alignment vertical="center"/>
    </xf>
    <xf numFmtId="10" fontId="28" fillId="0" borderId="2" xfId="15" applyNumberFormat="1" applyFont="1" applyFill="1" applyBorder="1" applyAlignment="1">
      <alignment horizontal="center" vertical="center"/>
    </xf>
    <xf numFmtId="10" fontId="30" fillId="0" borderId="2" xfId="15" applyNumberFormat="1" applyFont="1" applyFill="1" applyBorder="1" applyAlignment="1">
      <alignment horizontal="center" vertical="center"/>
    </xf>
    <xf numFmtId="10" fontId="34" fillId="0" borderId="2" xfId="20" applyNumberFormat="1" applyFont="1" applyFill="1" applyBorder="1" applyAlignment="1">
      <alignment horizontal="center" vertical="center"/>
    </xf>
    <xf numFmtId="10" fontId="33" fillId="0" borderId="2" xfId="20" applyNumberFormat="1" applyFont="1" applyFill="1" applyBorder="1" applyAlignment="1">
      <alignment horizontal="center" vertical="center"/>
    </xf>
    <xf numFmtId="10" fontId="28" fillId="0" borderId="2" xfId="20" applyNumberFormat="1" applyFont="1" applyFill="1" applyBorder="1" applyAlignment="1">
      <alignment horizontal="center" vertical="center"/>
    </xf>
    <xf numFmtId="14" fontId="28" fillId="0" borderId="22" xfId="49" quotePrefix="1" applyNumberFormat="1" applyFont="1" applyBorder="1" applyAlignment="1">
      <alignment horizontal="center" vertical="center" wrapText="1"/>
    </xf>
    <xf numFmtId="0" fontId="28" fillId="0" borderId="0" xfId="49" applyFont="1" applyAlignment="1">
      <alignment horizontal="justify" vertical="center"/>
    </xf>
    <xf numFmtId="0" fontId="28" fillId="0" borderId="48" xfId="49" quotePrefix="1" applyFont="1" applyBorder="1" applyAlignment="1">
      <alignment horizontal="left" vertical="center"/>
    </xf>
    <xf numFmtId="0" fontId="28" fillId="0" borderId="0" xfId="49" quotePrefix="1" applyFont="1" applyBorder="1" applyAlignment="1">
      <alignment horizontal="left" vertical="center"/>
    </xf>
    <xf numFmtId="0" fontId="28" fillId="0" borderId="0" xfId="49" quotePrefix="1" applyFont="1" applyBorder="1" applyAlignment="1">
      <alignment horizontal="left" vertical="center" wrapText="1"/>
    </xf>
    <xf numFmtId="10" fontId="28" fillId="0" borderId="24" xfId="49" quotePrefix="1" applyNumberFormat="1" applyFont="1" applyFill="1" applyBorder="1" applyAlignment="1">
      <alignment horizontal="center" vertical="center" wrapText="1"/>
    </xf>
    <xf numFmtId="0" fontId="30" fillId="0" borderId="0" xfId="49" applyFont="1" applyAlignment="1">
      <alignment vertical="center"/>
    </xf>
    <xf numFmtId="0" fontId="29" fillId="0" borderId="0" xfId="49" applyFont="1" applyAlignment="1">
      <alignment horizontal="left" vertical="center"/>
    </xf>
    <xf numFmtId="8" fontId="28" fillId="0" borderId="24" xfId="49" quotePrefix="1" applyNumberFormat="1" applyFont="1" applyFill="1" applyBorder="1" applyAlignment="1">
      <alignment vertical="center"/>
    </xf>
    <xf numFmtId="0" fontId="28" fillId="0" borderId="0" xfId="0" applyFont="1" applyAlignment="1">
      <alignment vertical="justify"/>
    </xf>
    <xf numFmtId="0" fontId="28" fillId="0" borderId="0" xfId="0" applyFont="1" applyAlignment="1"/>
    <xf numFmtId="0" fontId="34" fillId="0" borderId="0" xfId="0" quotePrefix="1" applyFont="1" applyAlignment="1">
      <alignment vertical="center"/>
    </xf>
    <xf numFmtId="0" fontId="30" fillId="0" borderId="0" xfId="0" quotePrefix="1" applyFont="1" applyAlignment="1">
      <alignment horizontal="center" vertical="center"/>
    </xf>
    <xf numFmtId="0" fontId="30" fillId="0" borderId="0" xfId="0" applyFont="1" applyAlignment="1">
      <alignment horizontal="center" vertical="center"/>
    </xf>
    <xf numFmtId="0" fontId="27" fillId="0" borderId="7" xfId="0" applyFont="1" applyFill="1" applyBorder="1" applyAlignment="1">
      <alignment vertical="center"/>
    </xf>
    <xf numFmtId="0" fontId="27" fillId="0" borderId="2" xfId="0" applyFont="1" applyFill="1" applyBorder="1" applyAlignment="1">
      <alignment horizontal="left" vertical="center"/>
    </xf>
    <xf numFmtId="0" fontId="55" fillId="9" borderId="16" xfId="0" applyFont="1" applyFill="1" applyBorder="1" applyAlignment="1">
      <alignment horizontal="center" vertical="center"/>
    </xf>
    <xf numFmtId="0" fontId="55" fillId="9" borderId="15" xfId="0" applyFont="1" applyFill="1" applyBorder="1" applyAlignment="1">
      <alignment horizontal="center" vertical="center"/>
    </xf>
    <xf numFmtId="0" fontId="55" fillId="9" borderId="77" xfId="0" applyFont="1" applyFill="1" applyBorder="1" applyAlignment="1">
      <alignment horizontal="center" vertical="center"/>
    </xf>
    <xf numFmtId="0" fontId="55" fillId="9" borderId="9" xfId="0" applyFont="1" applyFill="1" applyBorder="1" applyAlignment="1">
      <alignment horizontal="center" vertical="center"/>
    </xf>
    <xf numFmtId="0" fontId="55" fillId="9" borderId="78" xfId="0" applyFont="1" applyFill="1" applyBorder="1" applyAlignment="1">
      <alignment horizontal="center" vertical="center"/>
    </xf>
    <xf numFmtId="10" fontId="55" fillId="9" borderId="57" xfId="0" applyNumberFormat="1" applyFont="1" applyFill="1" applyBorder="1" applyAlignment="1">
      <alignment horizontal="center" vertical="center"/>
    </xf>
    <xf numFmtId="0" fontId="27" fillId="4" borderId="6" xfId="0" applyFont="1" applyFill="1" applyBorder="1" applyAlignment="1">
      <alignment horizontal="center" vertical="center"/>
    </xf>
    <xf numFmtId="4" fontId="28" fillId="0" borderId="0" xfId="49" applyNumberFormat="1" applyFont="1" applyBorder="1" applyAlignment="1">
      <alignment horizontal="center" vertical="center" wrapText="1"/>
    </xf>
    <xf numFmtId="4" fontId="28" fillId="0" borderId="0" xfId="49" applyNumberFormat="1" applyFont="1" applyAlignment="1">
      <alignment horizontal="center" vertical="center"/>
    </xf>
    <xf numFmtId="14" fontId="27" fillId="4" borderId="6" xfId="0" applyNumberFormat="1" applyFont="1" applyFill="1" applyBorder="1" applyAlignment="1">
      <alignment horizontal="center" vertical="center"/>
    </xf>
    <xf numFmtId="14" fontId="27" fillId="4" borderId="4" xfId="0" applyNumberFormat="1" applyFont="1" applyFill="1" applyBorder="1" applyAlignment="1">
      <alignment horizontal="center" vertical="center"/>
    </xf>
    <xf numFmtId="14" fontId="27" fillId="4" borderId="7" xfId="0" applyNumberFormat="1" applyFont="1" applyFill="1" applyBorder="1" applyAlignment="1">
      <alignment horizontal="center" vertical="center"/>
    </xf>
    <xf numFmtId="14" fontId="27" fillId="4" borderId="2" xfId="0" applyNumberFormat="1" applyFont="1" applyFill="1" applyBorder="1" applyAlignment="1">
      <alignment horizontal="center" vertical="center"/>
    </xf>
    <xf numFmtId="0" fontId="55" fillId="9" borderId="0" xfId="0" applyFont="1" applyFill="1" applyAlignment="1">
      <alignment horizontal="center" vertical="center"/>
    </xf>
    <xf numFmtId="0" fontId="82" fillId="0" borderId="0" xfId="13" applyFont="1"/>
    <xf numFmtId="0" fontId="83" fillId="0" borderId="0" xfId="0" applyFont="1" applyFill="1" applyBorder="1" applyAlignment="1">
      <alignment vertical="top" wrapText="1"/>
    </xf>
    <xf numFmtId="0" fontId="28" fillId="4" borderId="6" xfId="14" applyFont="1" applyFill="1" applyBorder="1" applyAlignment="1">
      <alignment horizontal="justify" vertical="center" wrapText="1"/>
    </xf>
    <xf numFmtId="170" fontId="28" fillId="0" borderId="16" xfId="50" applyNumberFormat="1" applyFont="1" applyFill="1" applyBorder="1" applyAlignment="1">
      <alignment horizontal="center" vertical="center" wrapText="1"/>
    </xf>
    <xf numFmtId="0" fontId="27" fillId="4" borderId="2" xfId="45" applyFont="1" applyFill="1" applyBorder="1" applyAlignment="1">
      <alignment horizontal="center" vertical="center"/>
    </xf>
    <xf numFmtId="0" fontId="27" fillId="4" borderId="2" xfId="45" applyFont="1" applyFill="1" applyBorder="1" applyAlignment="1">
      <alignment horizontal="justify" vertical="center" wrapText="1"/>
    </xf>
    <xf numFmtId="10" fontId="39" fillId="4" borderId="2" xfId="18" applyNumberFormat="1" applyFont="1" applyFill="1" applyBorder="1" applyAlignment="1">
      <alignment horizontal="center" vertical="center"/>
    </xf>
    <xf numFmtId="10" fontId="51" fillId="4" borderId="2" xfId="18" applyNumberFormat="1" applyFont="1" applyFill="1" applyBorder="1" applyAlignment="1">
      <alignment horizontal="center" vertical="center" wrapText="1"/>
    </xf>
    <xf numFmtId="0" fontId="39" fillId="4" borderId="0" xfId="42" applyFont="1" applyFill="1"/>
    <xf numFmtId="0" fontId="52" fillId="4" borderId="0" xfId="42" applyFont="1" applyFill="1"/>
    <xf numFmtId="0" fontId="27" fillId="4" borderId="0" xfId="42" applyFont="1" applyFill="1"/>
    <xf numFmtId="170" fontId="30" fillId="0" borderId="2" xfId="15" applyNumberFormat="1" applyFont="1" applyFill="1" applyBorder="1" applyAlignment="1">
      <alignment horizontal="center" vertical="center"/>
    </xf>
    <xf numFmtId="0" fontId="27" fillId="2" borderId="2" xfId="42" applyFont="1" applyFill="1" applyBorder="1" applyAlignment="1">
      <alignment horizontal="justify" vertical="center" wrapText="1"/>
    </xf>
    <xf numFmtId="14" fontId="48" fillId="3" borderId="2" xfId="0" applyNumberFormat="1" applyFont="1" applyFill="1" applyBorder="1" applyAlignment="1">
      <alignment horizontal="center" vertical="center"/>
    </xf>
    <xf numFmtId="0" fontId="27" fillId="0" borderId="6" xfId="0" applyFont="1" applyFill="1" applyBorder="1" applyAlignment="1">
      <alignment horizontal="center" vertical="center" wrapText="1"/>
    </xf>
    <xf numFmtId="0" fontId="27" fillId="0" borderId="2" xfId="0" applyFont="1" applyFill="1" applyBorder="1" applyAlignment="1">
      <alignment horizontal="center" vertical="center" wrapText="1"/>
    </xf>
    <xf numFmtId="165" fontId="27" fillId="4" borderId="2" xfId="46" applyFont="1" applyFill="1" applyBorder="1" applyAlignment="1">
      <alignment horizontal="center" vertical="center"/>
    </xf>
    <xf numFmtId="0" fontId="27" fillId="4" borderId="0" xfId="0" applyFont="1" applyFill="1" applyAlignment="1">
      <alignment vertical="center"/>
    </xf>
    <xf numFmtId="0" fontId="50" fillId="4" borderId="6" xfId="0" applyFont="1" applyFill="1" applyBorder="1" applyAlignment="1">
      <alignment horizontal="left" vertical="center"/>
    </xf>
    <xf numFmtId="0" fontId="46" fillId="4" borderId="7" xfId="0" applyFont="1" applyFill="1" applyBorder="1" applyAlignment="1">
      <alignment horizontal="center" vertical="center"/>
    </xf>
    <xf numFmtId="0" fontId="27" fillId="0" borderId="2" xfId="0" applyFont="1" applyFill="1" applyBorder="1" applyAlignment="1">
      <alignment horizontal="center" vertical="center" wrapText="1" shrinkToFit="1"/>
    </xf>
    <xf numFmtId="170" fontId="27" fillId="0" borderId="6" xfId="0" applyNumberFormat="1" applyFont="1" applyFill="1" applyBorder="1" applyAlignment="1">
      <alignment horizontal="center" vertical="center" wrapText="1"/>
    </xf>
    <xf numFmtId="170" fontId="27" fillId="0" borderId="2" xfId="0" applyNumberFormat="1" applyFont="1" applyFill="1" applyBorder="1" applyAlignment="1">
      <alignment horizontal="center" vertical="center" wrapText="1"/>
    </xf>
    <xf numFmtId="0" fontId="50" fillId="0" borderId="2" xfId="0" applyFont="1" applyFill="1" applyBorder="1" applyAlignment="1">
      <alignment horizontal="center" vertical="center" wrapText="1"/>
    </xf>
    <xf numFmtId="9" fontId="50" fillId="0" borderId="2" xfId="0" applyNumberFormat="1" applyFont="1" applyFill="1" applyBorder="1" applyAlignment="1">
      <alignment horizontal="center" vertical="center" shrinkToFit="1"/>
    </xf>
    <xf numFmtId="176" fontId="50" fillId="0" borderId="2" xfId="0" applyNumberFormat="1" applyFont="1" applyFill="1" applyBorder="1" applyAlignment="1">
      <alignment horizontal="center" vertical="center" shrinkToFit="1"/>
    </xf>
    <xf numFmtId="0" fontId="50" fillId="0" borderId="0" xfId="0" applyFont="1" applyFill="1" applyBorder="1" applyAlignment="1">
      <alignment horizontal="center" vertical="center" wrapText="1"/>
    </xf>
    <xf numFmtId="9" fontId="50" fillId="0" borderId="0" xfId="0" applyNumberFormat="1" applyFont="1" applyFill="1" applyBorder="1" applyAlignment="1">
      <alignment horizontal="center" vertical="center" shrinkToFit="1"/>
    </xf>
    <xf numFmtId="0" fontId="27" fillId="0" borderId="0" xfId="0" quotePrefix="1" applyFont="1" applyFill="1" applyAlignment="1">
      <alignment horizontal="justify" vertical="center" wrapText="1"/>
    </xf>
    <xf numFmtId="0" fontId="0" fillId="0" borderId="0" xfId="0" applyFill="1"/>
    <xf numFmtId="167" fontId="50" fillId="0" borderId="2" xfId="4" applyFont="1" applyFill="1" applyBorder="1" applyAlignment="1">
      <alignment horizontal="center" vertical="center" wrapText="1" shrinkToFit="1"/>
    </xf>
    <xf numFmtId="0" fontId="27" fillId="0" borderId="0" xfId="0" quotePrefix="1" applyFont="1" applyFill="1" applyBorder="1" applyAlignment="1">
      <alignment horizontal="right" vertical="center"/>
    </xf>
    <xf numFmtId="14" fontId="48" fillId="3" borderId="2" xfId="0" applyNumberFormat="1" applyFont="1" applyFill="1" applyBorder="1" applyAlignment="1">
      <alignment horizontal="center" vertical="center"/>
    </xf>
    <xf numFmtId="0" fontId="27" fillId="0" borderId="0" xfId="0" quotePrefix="1" applyFont="1" applyAlignment="1">
      <alignment horizontal="justify" vertical="center" wrapText="1"/>
    </xf>
    <xf numFmtId="0" fontId="29" fillId="0" borderId="0" xfId="14" applyFont="1" applyFill="1" applyAlignment="1">
      <alignment horizontal="center" vertical="center" wrapText="1"/>
    </xf>
    <xf numFmtId="0" fontId="84" fillId="0" borderId="6" xfId="0" applyFont="1" applyBorder="1" applyAlignment="1">
      <alignment vertical="center"/>
    </xf>
    <xf numFmtId="165" fontId="39" fillId="0" borderId="2" xfId="46" applyFont="1" applyBorder="1" applyAlignment="1">
      <alignment horizontal="center" vertical="center"/>
    </xf>
    <xf numFmtId="0" fontId="27" fillId="0" borderId="2" xfId="0" applyFont="1" applyFill="1" applyBorder="1" applyAlignment="1">
      <alignment vertical="center"/>
    </xf>
    <xf numFmtId="165" fontId="39" fillId="0" borderId="24" xfId="46" applyFont="1" applyFill="1" applyBorder="1" applyAlignment="1">
      <alignment vertical="center"/>
    </xf>
    <xf numFmtId="0" fontId="12" fillId="0" borderId="0" xfId="0" applyFont="1"/>
    <xf numFmtId="0" fontId="30" fillId="3" borderId="2" xfId="49" applyFont="1" applyFill="1" applyBorder="1" applyAlignment="1">
      <alignment horizontal="center" vertical="center" wrapText="1"/>
    </xf>
    <xf numFmtId="167" fontId="37" fillId="0" borderId="47" xfId="4" applyFont="1" applyFill="1" applyBorder="1" applyAlignment="1">
      <alignment horizontal="center" vertical="center"/>
    </xf>
    <xf numFmtId="0" fontId="37" fillId="0" borderId="51" xfId="0" applyFont="1" applyFill="1" applyBorder="1" applyAlignment="1">
      <alignment vertical="center" wrapText="1"/>
    </xf>
    <xf numFmtId="10" fontId="37" fillId="0" borderId="47" xfId="0" applyNumberFormat="1" applyFont="1" applyFill="1" applyBorder="1" applyAlignment="1" applyProtection="1">
      <alignment horizontal="center" vertical="center" wrapText="1"/>
    </xf>
    <xf numFmtId="165" fontId="28" fillId="0" borderId="17" xfId="6" applyFont="1" applyBorder="1" applyAlignment="1">
      <alignment vertical="center"/>
    </xf>
    <xf numFmtId="0" fontId="30" fillId="13" borderId="2" xfId="14" applyFont="1" applyFill="1" applyBorder="1" applyAlignment="1">
      <alignment horizontal="center" vertical="center" wrapText="1"/>
    </xf>
    <xf numFmtId="165" fontId="30" fillId="3" borderId="2" xfId="6" quotePrefix="1" applyFont="1" applyFill="1" applyBorder="1" applyAlignment="1">
      <alignment horizontal="center" vertical="center" wrapText="1"/>
    </xf>
    <xf numFmtId="0" fontId="30" fillId="0" borderId="0" xfId="49" applyFont="1" applyBorder="1" applyAlignment="1">
      <alignment vertical="center"/>
    </xf>
    <xf numFmtId="0" fontId="28" fillId="0" borderId="0" xfId="49" applyFont="1" applyFill="1" applyBorder="1" applyAlignment="1">
      <alignment vertical="center"/>
    </xf>
    <xf numFmtId="0" fontId="30" fillId="0" borderId="0" xfId="49" applyFont="1" applyFill="1" applyBorder="1" applyAlignment="1" applyProtection="1">
      <alignment vertical="center"/>
      <protection locked="0"/>
    </xf>
    <xf numFmtId="0" fontId="28" fillId="0" borderId="0" xfId="49" applyFont="1" applyFill="1" applyBorder="1" applyAlignment="1" applyProtection="1">
      <alignment vertical="center"/>
      <protection locked="0"/>
    </xf>
    <xf numFmtId="165" fontId="30" fillId="3" borderId="2" xfId="6" applyFont="1" applyFill="1" applyBorder="1" applyAlignment="1">
      <alignment horizontal="center" vertical="center" wrapText="1"/>
    </xf>
    <xf numFmtId="0" fontId="28" fillId="0" borderId="0" xfId="49" applyFont="1" applyAlignment="1">
      <alignment vertical="center"/>
    </xf>
    <xf numFmtId="0" fontId="30" fillId="0" borderId="0" xfId="49" applyFont="1" applyBorder="1" applyAlignment="1" applyProtection="1">
      <alignment vertical="center"/>
      <protection locked="0"/>
    </xf>
    <xf numFmtId="0" fontId="36" fillId="0" borderId="0" xfId="49" applyFont="1" applyBorder="1" applyAlignment="1" applyProtection="1">
      <alignment vertical="center"/>
      <protection locked="0"/>
    </xf>
    <xf numFmtId="0" fontId="27" fillId="0" borderId="6" xfId="0" applyFont="1" applyBorder="1" applyAlignment="1">
      <alignment horizontal="center" vertical="center" wrapText="1"/>
    </xf>
    <xf numFmtId="10" fontId="27" fillId="0" borderId="2" xfId="18" applyNumberFormat="1" applyFont="1" applyBorder="1" applyAlignment="1">
      <alignment horizontal="center" vertical="center"/>
    </xf>
    <xf numFmtId="0" fontId="27" fillId="0" borderId="2" xfId="0" applyFont="1" applyBorder="1" applyAlignment="1">
      <alignment horizontal="center" vertical="center" wrapText="1"/>
    </xf>
    <xf numFmtId="0" fontId="27" fillId="0" borderId="6" xfId="0" applyFont="1" applyFill="1" applyBorder="1" applyAlignment="1">
      <alignment horizontal="center" vertical="center" wrapText="1"/>
    </xf>
    <xf numFmtId="10" fontId="28" fillId="0" borderId="47" xfId="0" applyNumberFormat="1" applyFont="1" applyFill="1" applyBorder="1" applyAlignment="1" applyProtection="1">
      <alignment horizontal="center" vertical="center"/>
    </xf>
    <xf numFmtId="0" fontId="35" fillId="0" borderId="50" xfId="0" applyFont="1" applyFill="1" applyBorder="1" applyAlignment="1">
      <alignment horizontal="center" vertical="center" wrapText="1"/>
    </xf>
    <xf numFmtId="167" fontId="35" fillId="0" borderId="47" xfId="4" applyFont="1" applyFill="1" applyBorder="1" applyAlignment="1">
      <alignment horizontal="center" vertical="center"/>
    </xf>
    <xf numFmtId="0" fontId="35" fillId="0" borderId="50" xfId="0" applyFont="1" applyFill="1" applyBorder="1" applyAlignment="1">
      <alignment horizontal="justify" vertical="center" wrapText="1"/>
    </xf>
    <xf numFmtId="0" fontId="27" fillId="0" borderId="6" xfId="0" applyFont="1" applyFill="1" applyBorder="1" applyAlignment="1">
      <alignment horizontal="center" vertical="center" wrapText="1"/>
    </xf>
    <xf numFmtId="10" fontId="27" fillId="0" borderId="2" xfId="18" applyNumberFormat="1" applyFont="1" applyBorder="1" applyAlignment="1">
      <alignment horizontal="center" vertical="center"/>
    </xf>
    <xf numFmtId="0" fontId="27" fillId="0" borderId="6" xfId="0" applyFont="1" applyBorder="1" applyAlignment="1">
      <alignment horizontal="center" vertical="center" wrapText="1"/>
    </xf>
    <xf numFmtId="0" fontId="27" fillId="0" borderId="2" xfId="0" applyFont="1" applyBorder="1" applyAlignment="1">
      <alignment horizontal="center" vertical="center" wrapText="1"/>
    </xf>
    <xf numFmtId="164" fontId="27" fillId="0" borderId="0" xfId="0" applyNumberFormat="1" applyFont="1" applyBorder="1" applyAlignment="1">
      <alignment vertical="center"/>
    </xf>
    <xf numFmtId="164" fontId="48" fillId="0" borderId="0" xfId="0" applyNumberFormat="1" applyFont="1" applyFill="1" applyBorder="1" applyAlignment="1">
      <alignment horizontal="center" vertical="center"/>
    </xf>
    <xf numFmtId="165" fontId="27" fillId="14" borderId="2" xfId="46" applyFont="1" applyFill="1" applyBorder="1" applyAlignment="1">
      <alignment vertical="center"/>
    </xf>
    <xf numFmtId="10" fontId="27" fillId="4" borderId="2" xfId="18" applyNumberFormat="1" applyFont="1" applyFill="1" applyBorder="1" applyAlignment="1">
      <alignment horizontal="center" vertical="center"/>
    </xf>
    <xf numFmtId="0" fontId="28" fillId="0" borderId="89" xfId="49" applyFont="1" applyBorder="1" applyAlignment="1">
      <alignment horizontal="center" vertical="center"/>
    </xf>
    <xf numFmtId="170" fontId="34" fillId="0" borderId="100" xfId="13" applyNumberFormat="1" applyFont="1" applyBorder="1" applyAlignment="1">
      <alignment horizontal="center"/>
    </xf>
    <xf numFmtId="167" fontId="28" fillId="0" borderId="73" xfId="4" applyFont="1" applyBorder="1" applyAlignment="1">
      <alignment horizontal="center" vertical="center"/>
    </xf>
    <xf numFmtId="165" fontId="30" fillId="16" borderId="27" xfId="50" applyFont="1" applyFill="1" applyBorder="1" applyAlignment="1">
      <alignment horizontal="center" vertical="center"/>
    </xf>
    <xf numFmtId="167" fontId="30" fillId="16" borderId="55" xfId="4" applyFont="1" applyFill="1" applyBorder="1" applyAlignment="1">
      <alignment horizontal="center" vertical="center"/>
    </xf>
    <xf numFmtId="0" fontId="33" fillId="16" borderId="39" xfId="13" applyFont="1" applyFill="1" applyBorder="1" applyAlignment="1">
      <alignment horizontal="center"/>
    </xf>
    <xf numFmtId="167" fontId="36" fillId="16" borderId="57" xfId="8" applyNumberFormat="1" applyFont="1" applyFill="1" applyBorder="1" applyAlignment="1">
      <alignment vertical="center"/>
    </xf>
    <xf numFmtId="0" fontId="30" fillId="3" borderId="2" xfId="8" applyFont="1" applyFill="1" applyBorder="1" applyAlignment="1">
      <alignment horizontal="center" vertical="center" wrapText="1"/>
    </xf>
    <xf numFmtId="0" fontId="28" fillId="0" borderId="2" xfId="15" applyFont="1" applyBorder="1" applyAlignment="1">
      <alignment horizontal="center" vertical="center"/>
    </xf>
    <xf numFmtId="0" fontId="19" fillId="0" borderId="0" xfId="43" applyFont="1" applyAlignment="1">
      <alignment vertical="center" wrapText="1"/>
    </xf>
    <xf numFmtId="14" fontId="18" fillId="0" borderId="2" xfId="49" applyNumberFormat="1" applyFont="1" applyBorder="1" applyAlignment="1">
      <alignment horizontal="center" vertical="center"/>
    </xf>
    <xf numFmtId="0" fontId="19" fillId="0" borderId="0" xfId="49" applyFont="1" applyAlignment="1">
      <alignment horizontal="justify" vertical="center" wrapText="1"/>
    </xf>
    <xf numFmtId="167" fontId="32" fillId="0" borderId="2" xfId="4" applyFont="1" applyFill="1" applyBorder="1" applyAlignment="1">
      <alignment vertical="center"/>
    </xf>
    <xf numFmtId="0" fontId="28" fillId="4" borderId="49" xfId="0" applyFont="1" applyFill="1" applyBorder="1" applyAlignment="1">
      <alignment horizontal="left" vertical="center"/>
    </xf>
    <xf numFmtId="0" fontId="28" fillId="4" borderId="50" xfId="0" applyFont="1" applyFill="1" applyBorder="1" applyAlignment="1" applyProtection="1">
      <alignment vertical="center"/>
      <protection locked="0"/>
    </xf>
    <xf numFmtId="0" fontId="28" fillId="4" borderId="50" xfId="0" applyFont="1" applyFill="1" applyBorder="1" applyAlignment="1" applyProtection="1">
      <alignment vertical="center" wrapText="1"/>
      <protection locked="0"/>
    </xf>
    <xf numFmtId="0" fontId="35" fillId="4" borderId="50" xfId="0" applyFont="1" applyFill="1" applyBorder="1" applyAlignment="1">
      <alignment vertical="center" wrapText="1"/>
    </xf>
    <xf numFmtId="167" fontId="35" fillId="4" borderId="47" xfId="4" applyFont="1" applyFill="1" applyBorder="1" applyAlignment="1">
      <alignment horizontal="center" vertical="center"/>
    </xf>
    <xf numFmtId="167" fontId="28" fillId="4" borderId="51" xfId="0" applyNumberFormat="1" applyFont="1" applyFill="1" applyBorder="1" applyAlignment="1">
      <alignment horizontal="center" vertical="center"/>
    </xf>
    <xf numFmtId="10" fontId="27" fillId="0" borderId="2" xfId="18" applyNumberFormat="1" applyFont="1" applyBorder="1" applyAlignment="1">
      <alignment horizontal="center" vertical="center"/>
    </xf>
    <xf numFmtId="14" fontId="48" fillId="3" borderId="2" xfId="0" applyNumberFormat="1" applyFont="1" applyFill="1" applyBorder="1" applyAlignment="1">
      <alignment horizontal="center" vertical="center"/>
    </xf>
    <xf numFmtId="0" fontId="27" fillId="0" borderId="0" xfId="0" quotePrefix="1" applyFont="1" applyAlignment="1">
      <alignment horizontal="justify" vertical="center" wrapText="1"/>
    </xf>
    <xf numFmtId="0" fontId="27" fillId="4" borderId="6" xfId="49" applyFont="1" applyFill="1" applyBorder="1" applyAlignment="1">
      <alignment vertical="center"/>
    </xf>
    <xf numFmtId="14" fontId="27" fillId="4" borderId="4" xfId="49" applyNumberFormat="1" applyFont="1" applyFill="1" applyBorder="1" applyAlignment="1">
      <alignment horizontal="center" vertical="center"/>
    </xf>
    <xf numFmtId="14" fontId="27" fillId="4" borderId="7" xfId="49" applyNumberFormat="1" applyFont="1" applyFill="1" applyBorder="1" applyAlignment="1">
      <alignment horizontal="center" vertical="center"/>
    </xf>
    <xf numFmtId="14" fontId="27" fillId="4" borderId="2" xfId="49" applyNumberFormat="1" applyFont="1" applyFill="1" applyBorder="1" applyAlignment="1">
      <alignment horizontal="center" vertical="center"/>
    </xf>
    <xf numFmtId="14" fontId="27" fillId="4" borderId="2" xfId="49" applyNumberFormat="1" applyFont="1" applyFill="1" applyBorder="1" applyAlignment="1">
      <alignment horizontal="center" vertical="center" shrinkToFit="1"/>
    </xf>
    <xf numFmtId="0" fontId="27" fillId="0" borderId="2" xfId="0" applyFont="1" applyFill="1" applyBorder="1" applyAlignment="1">
      <alignment horizontal="left" wrapText="1"/>
    </xf>
    <xf numFmtId="0" fontId="64" fillId="14" borderId="2" xfId="0" applyFont="1" applyFill="1" applyBorder="1" applyAlignment="1">
      <alignment vertical="center"/>
    </xf>
    <xf numFmtId="0" fontId="64" fillId="0" borderId="2" xfId="0" applyFont="1" applyBorder="1" applyAlignment="1">
      <alignment vertical="center"/>
    </xf>
    <xf numFmtId="0" fontId="39" fillId="14" borderId="2" xfId="0" applyFont="1" applyFill="1" applyBorder="1" applyAlignment="1">
      <alignment horizontal="left" vertical="center"/>
    </xf>
    <xf numFmtId="0" fontId="84" fillId="0" borderId="6" xfId="0" applyFont="1" applyFill="1" applyBorder="1" applyAlignment="1">
      <alignment vertical="center"/>
    </xf>
    <xf numFmtId="167" fontId="27" fillId="0" borderId="2" xfId="4" applyFont="1" applyBorder="1" applyAlignment="1">
      <alignment horizontal="right" vertical="center"/>
    </xf>
    <xf numFmtId="0" fontId="27" fillId="0" borderId="4" xfId="0" applyFont="1" applyBorder="1" applyAlignment="1">
      <alignment vertical="center"/>
    </xf>
    <xf numFmtId="0" fontId="85" fillId="0" borderId="6" xfId="0" applyFont="1" applyBorder="1" applyAlignment="1">
      <alignment vertical="center"/>
    </xf>
    <xf numFmtId="0" fontId="51" fillId="4" borderId="6" xfId="0" applyFont="1" applyFill="1" applyBorder="1" applyAlignment="1">
      <alignment horizontal="left" vertical="center"/>
    </xf>
    <xf numFmtId="0" fontId="51" fillId="4" borderId="7" xfId="0" applyFont="1" applyFill="1" applyBorder="1" applyAlignment="1">
      <alignment vertical="center"/>
    </xf>
    <xf numFmtId="165" fontId="51" fillId="4" borderId="2" xfId="46" applyFont="1" applyFill="1" applyBorder="1" applyAlignment="1">
      <alignment horizontal="center" vertical="center"/>
    </xf>
    <xf numFmtId="167" fontId="51" fillId="4" borderId="2" xfId="4" applyFont="1" applyFill="1" applyBorder="1" applyAlignment="1">
      <alignment horizontal="center" vertical="center"/>
    </xf>
    <xf numFmtId="0" fontId="51" fillId="4" borderId="6" xfId="0" applyFont="1" applyFill="1" applyBorder="1" applyAlignment="1">
      <alignment horizontal="center" vertical="center" wrapText="1"/>
    </xf>
    <xf numFmtId="0" fontId="51" fillId="4" borderId="2" xfId="0" applyFont="1" applyFill="1" applyBorder="1" applyAlignment="1">
      <alignment horizontal="center" vertical="center" wrapText="1"/>
    </xf>
    <xf numFmtId="170" fontId="51" fillId="4" borderId="6" xfId="0" applyNumberFormat="1" applyFont="1" applyFill="1" applyBorder="1" applyAlignment="1">
      <alignment horizontal="center" vertical="center" wrapText="1"/>
    </xf>
    <xf numFmtId="165" fontId="27" fillId="4" borderId="2" xfId="46" applyFont="1" applyFill="1" applyBorder="1" applyAlignment="1">
      <alignment vertical="center"/>
    </xf>
    <xf numFmtId="0" fontId="51" fillId="4" borderId="6" xfId="49" applyFont="1" applyFill="1" applyBorder="1" applyAlignment="1">
      <alignment horizontal="center" vertical="center" wrapText="1"/>
    </xf>
    <xf numFmtId="0" fontId="51" fillId="4" borderId="2" xfId="49" applyFont="1" applyFill="1" applyBorder="1" applyAlignment="1">
      <alignment horizontal="center" vertical="center" wrapText="1" shrinkToFit="1"/>
    </xf>
    <xf numFmtId="0" fontId="51" fillId="4" borderId="2" xfId="0" applyFont="1" applyFill="1" applyBorder="1" applyAlignment="1">
      <alignment horizontal="center" vertical="center" wrapText="1" shrinkToFit="1"/>
    </xf>
    <xf numFmtId="0" fontId="51" fillId="4" borderId="2" xfId="49" applyFont="1" applyFill="1" applyBorder="1" applyAlignment="1">
      <alignment horizontal="center" vertical="center" wrapText="1"/>
    </xf>
    <xf numFmtId="170" fontId="51" fillId="4" borderId="6" xfId="49" applyNumberFormat="1" applyFont="1" applyFill="1" applyBorder="1" applyAlignment="1">
      <alignment horizontal="center" vertical="center" wrapText="1"/>
    </xf>
    <xf numFmtId="0" fontId="27" fillId="4" borderId="6" xfId="49" applyFont="1" applyFill="1" applyBorder="1" applyAlignment="1">
      <alignment horizontal="center" vertical="center"/>
    </xf>
    <xf numFmtId="167" fontId="39" fillId="0" borderId="2" xfId="4" applyFont="1" applyBorder="1" applyAlignment="1">
      <alignment horizontal="center" vertical="center"/>
    </xf>
    <xf numFmtId="174" fontId="28" fillId="10" borderId="79" xfId="12" applyNumberFormat="1" applyFont="1" applyFill="1" applyBorder="1" applyAlignment="1">
      <alignment horizontal="center" vertical="center"/>
    </xf>
    <xf numFmtId="175" fontId="28" fillId="10" borderId="80" xfId="12" applyNumberFormat="1" applyFont="1" applyFill="1" applyBorder="1" applyAlignment="1">
      <alignment horizontal="center" vertical="center"/>
    </xf>
    <xf numFmtId="10" fontId="28" fillId="10" borderId="81" xfId="12" applyNumberFormat="1" applyFont="1" applyFill="1" applyBorder="1" applyAlignment="1">
      <alignment horizontal="center" vertical="center"/>
    </xf>
    <xf numFmtId="174" fontId="28" fillId="10" borderId="98" xfId="12" applyNumberFormat="1" applyFont="1" applyFill="1" applyBorder="1" applyAlignment="1">
      <alignment horizontal="center" vertical="center"/>
    </xf>
    <xf numFmtId="175" fontId="28" fillId="10" borderId="99" xfId="12" applyNumberFormat="1" applyFont="1" applyFill="1" applyBorder="1" applyAlignment="1">
      <alignment horizontal="center" vertical="center"/>
    </xf>
    <xf numFmtId="0" fontId="30" fillId="3" borderId="2" xfId="65" applyFont="1" applyFill="1" applyBorder="1" applyAlignment="1">
      <alignment horizontal="center" vertical="center"/>
    </xf>
    <xf numFmtId="0" fontId="30" fillId="3" borderId="2" xfId="15" applyFont="1" applyFill="1" applyBorder="1" applyAlignment="1">
      <alignment horizontal="center" vertical="center"/>
    </xf>
    <xf numFmtId="0" fontId="28" fillId="0" borderId="2" xfId="15" applyFont="1" applyBorder="1" applyAlignment="1">
      <alignment horizontal="center" vertical="center"/>
    </xf>
    <xf numFmtId="170" fontId="28" fillId="0" borderId="21" xfId="0" applyNumberFormat="1" applyFont="1" applyBorder="1" applyAlignment="1">
      <alignment horizontal="left" vertical="center"/>
    </xf>
    <xf numFmtId="0" fontId="38" fillId="0" borderId="22" xfId="8" applyFont="1" applyBorder="1" applyAlignment="1">
      <alignment horizontal="center" vertical="center"/>
    </xf>
    <xf numFmtId="0" fontId="34" fillId="0" borderId="22" xfId="13" applyFont="1" applyBorder="1"/>
    <xf numFmtId="167" fontId="28" fillId="0" borderId="19" xfId="4" applyFont="1" applyBorder="1" applyAlignment="1">
      <alignment horizontal="left" vertical="center"/>
    </xf>
    <xf numFmtId="14" fontId="48" fillId="3" borderId="2" xfId="0" applyNumberFormat="1" applyFont="1" applyFill="1" applyBorder="1" applyAlignment="1">
      <alignment horizontal="center" vertical="center"/>
    </xf>
    <xf numFmtId="0" fontId="48" fillId="3" borderId="2" xfId="0" applyFont="1" applyFill="1" applyBorder="1" applyAlignment="1">
      <alignment horizontal="center" vertical="center"/>
    </xf>
    <xf numFmtId="0" fontId="87" fillId="4" borderId="6" xfId="0" applyFont="1" applyFill="1" applyBorder="1" applyAlignment="1">
      <alignment horizontal="center" vertical="center"/>
    </xf>
    <xf numFmtId="0" fontId="87" fillId="4" borderId="6" xfId="0" applyFont="1" applyFill="1" applyBorder="1" applyAlignment="1">
      <alignment vertical="center"/>
    </xf>
    <xf numFmtId="14" fontId="87" fillId="4" borderId="4" xfId="0" applyNumberFormat="1" applyFont="1" applyFill="1" applyBorder="1" applyAlignment="1">
      <alignment horizontal="center" vertical="center"/>
    </xf>
    <xf numFmtId="14" fontId="87" fillId="4" borderId="7" xfId="0" applyNumberFormat="1" applyFont="1" applyFill="1" applyBorder="1" applyAlignment="1">
      <alignment horizontal="center" vertical="center"/>
    </xf>
    <xf numFmtId="14" fontId="87" fillId="4" borderId="2" xfId="0" applyNumberFormat="1" applyFont="1" applyFill="1" applyBorder="1" applyAlignment="1">
      <alignment horizontal="center" vertical="center"/>
    </xf>
    <xf numFmtId="14" fontId="87" fillId="4" borderId="2" xfId="0" applyNumberFormat="1" applyFont="1" applyFill="1" applyBorder="1" applyAlignment="1">
      <alignment horizontal="center" vertical="center" shrinkToFit="1"/>
    </xf>
    <xf numFmtId="165" fontId="87" fillId="4" borderId="2" xfId="46" applyFont="1" applyFill="1" applyBorder="1" applyAlignment="1">
      <alignment horizontal="center" vertical="center"/>
    </xf>
    <xf numFmtId="0" fontId="87" fillId="0" borderId="0" xfId="0" applyFont="1" applyBorder="1" applyAlignment="1">
      <alignment vertical="center"/>
    </xf>
    <xf numFmtId="0" fontId="50" fillId="0" borderId="6" xfId="0" applyFont="1" applyFill="1" applyBorder="1" applyAlignment="1">
      <alignment horizontal="left" vertical="center"/>
    </xf>
    <xf numFmtId="0" fontId="87" fillId="0" borderId="6" xfId="0" applyFont="1" applyBorder="1" applyAlignment="1">
      <alignment horizontal="center" vertical="center"/>
    </xf>
    <xf numFmtId="14" fontId="87" fillId="0" borderId="6" xfId="0" applyNumberFormat="1" applyFont="1" applyBorder="1" applyAlignment="1">
      <alignment horizontal="center" vertical="center"/>
    </xf>
    <xf numFmtId="14" fontId="87" fillId="0" borderId="4" xfId="0" applyNumberFormat="1" applyFont="1" applyBorder="1" applyAlignment="1">
      <alignment horizontal="center" vertical="center"/>
    </xf>
    <xf numFmtId="14" fontId="87" fillId="0" borderId="7" xfId="0" applyNumberFormat="1" applyFont="1" applyBorder="1" applyAlignment="1">
      <alignment horizontal="center" vertical="center"/>
    </xf>
    <xf numFmtId="14" fontId="87" fillId="0" borderId="2" xfId="0" applyNumberFormat="1" applyFont="1" applyBorder="1" applyAlignment="1">
      <alignment horizontal="center" vertical="center"/>
    </xf>
    <xf numFmtId="14" fontId="87" fillId="0" borderId="2" xfId="0" applyNumberFormat="1" applyFont="1" applyFill="1" applyBorder="1" applyAlignment="1">
      <alignment horizontal="center" vertical="center"/>
    </xf>
    <xf numFmtId="165" fontId="87" fillId="0" borderId="2" xfId="46" applyFont="1" applyBorder="1" applyAlignment="1">
      <alignment horizontal="center" vertical="center"/>
    </xf>
    <xf numFmtId="0" fontId="87" fillId="0" borderId="0" xfId="0" quotePrefix="1" applyFont="1" applyAlignment="1">
      <alignment vertical="center"/>
    </xf>
    <xf numFmtId="43" fontId="27" fillId="0" borderId="0" xfId="0" applyNumberFormat="1" applyFont="1" applyAlignment="1">
      <alignment vertical="center"/>
    </xf>
    <xf numFmtId="4" fontId="50" fillId="0" borderId="2" xfId="44" applyNumberFormat="1" applyFont="1" applyBorder="1" applyAlignment="1">
      <alignment horizontal="center" vertical="center"/>
    </xf>
    <xf numFmtId="0" fontId="39" fillId="4" borderId="6" xfId="0" applyFont="1" applyFill="1" applyBorder="1" applyAlignment="1">
      <alignment horizontal="center" vertical="center"/>
    </xf>
    <xf numFmtId="14" fontId="39" fillId="4" borderId="6" xfId="0" applyNumberFormat="1" applyFont="1" applyFill="1" applyBorder="1" applyAlignment="1">
      <alignment horizontal="center" vertical="center"/>
    </xf>
    <xf numFmtId="14" fontId="39" fillId="4" borderId="4" xfId="0" applyNumberFormat="1" applyFont="1" applyFill="1" applyBorder="1" applyAlignment="1">
      <alignment horizontal="center" vertical="center"/>
    </xf>
    <xf numFmtId="14" fontId="39" fillId="4" borderId="7" xfId="0" applyNumberFormat="1" applyFont="1" applyFill="1" applyBorder="1" applyAlignment="1">
      <alignment horizontal="center" vertical="center"/>
    </xf>
    <xf numFmtId="14" fontId="39" fillId="4" borderId="2" xfId="0" applyNumberFormat="1" applyFont="1" applyFill="1" applyBorder="1" applyAlignment="1">
      <alignment horizontal="center" vertical="center"/>
    </xf>
    <xf numFmtId="10" fontId="27" fillId="0" borderId="0" xfId="0" applyNumberFormat="1" applyFont="1" applyAlignment="1">
      <alignment vertical="center"/>
    </xf>
    <xf numFmtId="14" fontId="39" fillId="0" borderId="2" xfId="0" applyNumberFormat="1" applyFont="1" applyBorder="1" applyAlignment="1">
      <alignment horizontal="center" vertical="center"/>
    </xf>
    <xf numFmtId="10" fontId="39" fillId="0" borderId="2" xfId="18" applyNumberFormat="1" applyFont="1" applyBorder="1" applyAlignment="1">
      <alignment horizontal="center" vertical="center"/>
    </xf>
    <xf numFmtId="165" fontId="39" fillId="0" borderId="2" xfId="46" applyFont="1" applyBorder="1" applyAlignment="1">
      <alignment vertical="center"/>
    </xf>
    <xf numFmtId="165" fontId="39" fillId="0" borderId="2" xfId="46" applyFont="1" applyFill="1" applyBorder="1" applyAlignment="1">
      <alignment vertical="center"/>
    </xf>
    <xf numFmtId="0" fontId="87" fillId="0" borderId="0" xfId="0" applyFont="1" applyAlignment="1">
      <alignment vertical="center"/>
    </xf>
    <xf numFmtId="0" fontId="27" fillId="0" borderId="6" xfId="0" applyFont="1" applyBorder="1" applyAlignment="1">
      <alignment horizontal="center" vertical="center" wrapText="1"/>
    </xf>
    <xf numFmtId="10" fontId="27" fillId="0" borderId="2" xfId="18" applyNumberFormat="1" applyFont="1" applyBorder="1" applyAlignment="1">
      <alignment horizontal="center" vertical="center"/>
    </xf>
    <xf numFmtId="0" fontId="27" fillId="0" borderId="2" xfId="0" applyFont="1" applyBorder="1" applyAlignment="1">
      <alignment horizontal="center" vertical="center" wrapText="1"/>
    </xf>
    <xf numFmtId="0" fontId="27" fillId="0" borderId="6" xfId="0" applyFont="1" applyFill="1" applyBorder="1" applyAlignment="1">
      <alignment horizontal="center" vertical="center" wrapText="1"/>
    </xf>
    <xf numFmtId="0" fontId="27" fillId="14" borderId="0" xfId="0" applyFont="1" applyFill="1" applyAlignment="1">
      <alignment vertical="center"/>
    </xf>
    <xf numFmtId="14" fontId="48" fillId="4" borderId="2" xfId="0" applyNumberFormat="1" applyFont="1" applyFill="1" applyBorder="1" applyAlignment="1">
      <alignment horizontal="center" vertical="center"/>
    </xf>
    <xf numFmtId="14" fontId="30" fillId="0" borderId="0" xfId="8" applyNumberFormat="1" applyFont="1" applyAlignment="1">
      <alignment horizontal="center" vertical="center"/>
    </xf>
    <xf numFmtId="14" fontId="30" fillId="0" borderId="0" xfId="8" applyNumberFormat="1" applyFont="1" applyAlignment="1">
      <alignment vertical="center"/>
    </xf>
    <xf numFmtId="14" fontId="87" fillId="4" borderId="6" xfId="0" applyNumberFormat="1" applyFont="1" applyFill="1" applyBorder="1" applyAlignment="1">
      <alignment horizontal="center" vertical="center"/>
    </xf>
    <xf numFmtId="0" fontId="87" fillId="0" borderId="0" xfId="0" applyFont="1" applyFill="1" applyBorder="1" applyAlignment="1">
      <alignment vertical="center"/>
    </xf>
    <xf numFmtId="0" fontId="87" fillId="0" borderId="6" xfId="0" applyFont="1" applyFill="1" applyBorder="1" applyAlignment="1">
      <alignment vertical="center"/>
    </xf>
    <xf numFmtId="0" fontId="27" fillId="0" borderId="97" xfId="0" applyFont="1" applyBorder="1" applyAlignment="1">
      <alignment horizontal="left" wrapText="1"/>
    </xf>
    <xf numFmtId="0" fontId="27" fillId="0" borderId="95" xfId="0" applyFont="1" applyBorder="1" applyAlignment="1">
      <alignment horizontal="left" wrapText="1"/>
    </xf>
    <xf numFmtId="0" fontId="27" fillId="0" borderId="96" xfId="0" applyFont="1" applyBorder="1" applyAlignment="1">
      <alignment horizontal="left" wrapText="1"/>
    </xf>
    <xf numFmtId="0" fontId="87" fillId="0" borderId="0" xfId="0" applyFont="1" applyBorder="1" applyAlignment="1">
      <alignment horizontal="left"/>
    </xf>
    <xf numFmtId="0" fontId="39" fillId="0" borderId="2" xfId="0" applyFont="1" applyFill="1" applyBorder="1" applyAlignment="1">
      <alignment horizontal="left" vertical="center"/>
    </xf>
    <xf numFmtId="0" fontId="39" fillId="0" borderId="7" xfId="0" applyFont="1" applyFill="1" applyBorder="1" applyAlignment="1">
      <alignment vertical="center"/>
    </xf>
    <xf numFmtId="0" fontId="94" fillId="0" borderId="6" xfId="0" applyFont="1" applyFill="1" applyBorder="1" applyAlignment="1">
      <alignment vertical="center"/>
    </xf>
    <xf numFmtId="167" fontId="39" fillId="0" borderId="2" xfId="4" applyFont="1" applyFill="1" applyBorder="1" applyAlignment="1">
      <alignment horizontal="center" vertical="center"/>
    </xf>
    <xf numFmtId="0" fontId="87" fillId="0" borderId="7" xfId="0" applyFont="1" applyFill="1" applyBorder="1" applyAlignment="1">
      <alignment vertical="center"/>
    </xf>
    <xf numFmtId="0" fontId="87" fillId="0" borderId="6" xfId="0" applyFont="1" applyFill="1" applyBorder="1" applyAlignment="1">
      <alignment horizontal="left" vertical="center"/>
    </xf>
    <xf numFmtId="0" fontId="87" fillId="0" borderId="2" xfId="0" applyFont="1" applyFill="1" applyBorder="1" applyAlignment="1">
      <alignment vertical="center"/>
    </xf>
    <xf numFmtId="0" fontId="87" fillId="0" borderId="2" xfId="0" applyFont="1" applyBorder="1" applyAlignment="1">
      <alignment horizontal="left"/>
    </xf>
    <xf numFmtId="0" fontId="51" fillId="14" borderId="2" xfId="0" applyFont="1" applyFill="1" applyBorder="1" applyAlignment="1">
      <alignment horizontal="left" vertical="center"/>
    </xf>
    <xf numFmtId="0" fontId="87" fillId="0" borderId="6" xfId="0" applyFont="1" applyFill="1" applyBorder="1" applyAlignment="1">
      <alignment horizontal="center" vertical="center"/>
    </xf>
    <xf numFmtId="14" fontId="87" fillId="0" borderId="6" xfId="0" applyNumberFormat="1" applyFont="1" applyFill="1" applyBorder="1" applyAlignment="1">
      <alignment horizontal="center" vertical="center"/>
    </xf>
    <xf numFmtId="14" fontId="87" fillId="0" borderId="4" xfId="0" applyNumberFormat="1" applyFont="1" applyFill="1" applyBorder="1" applyAlignment="1">
      <alignment horizontal="center" vertical="center"/>
    </xf>
    <xf numFmtId="14" fontId="87" fillId="0" borderId="7" xfId="0" applyNumberFormat="1" applyFont="1" applyFill="1" applyBorder="1" applyAlignment="1">
      <alignment horizontal="center" vertical="center"/>
    </xf>
    <xf numFmtId="165" fontId="87" fillId="0" borderId="2" xfId="46" applyFont="1" applyFill="1" applyBorder="1" applyAlignment="1">
      <alignment horizontal="center" vertical="center"/>
    </xf>
    <xf numFmtId="0" fontId="87" fillId="0" borderId="0" xfId="0" applyFont="1" applyFill="1" applyAlignment="1">
      <alignment vertical="center"/>
    </xf>
    <xf numFmtId="0" fontId="39" fillId="14" borderId="6" xfId="0" applyFont="1" applyFill="1" applyBorder="1" applyAlignment="1">
      <alignment horizontal="left" vertical="center"/>
    </xf>
    <xf numFmtId="0" fontId="27" fillId="0" borderId="0" xfId="0" applyFont="1" applyFill="1" applyBorder="1" applyAlignment="1">
      <alignment horizontal="left" wrapText="1"/>
    </xf>
    <xf numFmtId="0" fontId="39" fillId="0" borderId="6" xfId="0" applyFont="1" applyBorder="1" applyAlignment="1">
      <alignment horizontal="left" vertical="center"/>
    </xf>
    <xf numFmtId="0" fontId="39" fillId="0" borderId="7" xfId="0" applyFont="1" applyBorder="1" applyAlignment="1">
      <alignment vertical="center"/>
    </xf>
    <xf numFmtId="0" fontId="27" fillId="0" borderId="6" xfId="0" applyFont="1" applyBorder="1" applyAlignment="1">
      <alignment horizontal="center" vertical="center" wrapText="1"/>
    </xf>
    <xf numFmtId="0" fontId="39" fillId="14" borderId="6" xfId="0" applyFont="1" applyFill="1" applyBorder="1" applyAlignment="1">
      <alignment horizontal="center" vertical="center"/>
    </xf>
    <xf numFmtId="14" fontId="39" fillId="14" borderId="6" xfId="0" applyNumberFormat="1" applyFont="1" applyFill="1" applyBorder="1" applyAlignment="1">
      <alignment horizontal="center" vertical="center"/>
    </xf>
    <xf numFmtId="14" fontId="39" fillId="14" borderId="4" xfId="0" applyNumberFormat="1" applyFont="1" applyFill="1" applyBorder="1" applyAlignment="1">
      <alignment horizontal="center" vertical="center"/>
    </xf>
    <xf numFmtId="14" fontId="39" fillId="14" borderId="7" xfId="0" applyNumberFormat="1" applyFont="1" applyFill="1" applyBorder="1" applyAlignment="1">
      <alignment horizontal="center" vertical="center"/>
    </xf>
    <xf numFmtId="14" fontId="39" fillId="14" borderId="2" xfId="0" applyNumberFormat="1" applyFont="1" applyFill="1" applyBorder="1" applyAlignment="1">
      <alignment horizontal="center" vertical="center"/>
    </xf>
    <xf numFmtId="165" fontId="39" fillId="14" borderId="2" xfId="46" applyFont="1" applyFill="1" applyBorder="1" applyAlignment="1">
      <alignment horizontal="center" vertical="center"/>
    </xf>
    <xf numFmtId="14" fontId="51" fillId="0" borderId="2" xfId="0" applyNumberFormat="1" applyFont="1" applyBorder="1" applyAlignment="1">
      <alignment horizontal="center" vertical="center"/>
    </xf>
    <xf numFmtId="10" fontId="51" fillId="0" borderId="2" xfId="18" applyNumberFormat="1" applyFont="1" applyFill="1" applyBorder="1" applyAlignment="1">
      <alignment horizontal="center" vertical="center" wrapText="1"/>
    </xf>
    <xf numFmtId="0" fontId="30" fillId="0" borderId="0" xfId="49" applyFont="1" applyAlignment="1">
      <alignment horizontal="center" vertical="center"/>
    </xf>
    <xf numFmtId="0" fontId="30" fillId="0" borderId="0" xfId="49" applyFont="1" applyAlignment="1" applyProtection="1">
      <alignment vertical="center"/>
      <protection locked="0"/>
    </xf>
    <xf numFmtId="0" fontId="36" fillId="0" borderId="0" xfId="49" applyFont="1" applyAlignment="1">
      <alignment horizontal="left" vertical="center"/>
    </xf>
    <xf numFmtId="0" fontId="36" fillId="0" borderId="0" xfId="49" applyFont="1" applyAlignment="1" applyProtection="1">
      <alignment vertical="center"/>
      <protection locked="0"/>
    </xf>
    <xf numFmtId="0" fontId="28" fillId="0" borderId="0" xfId="49" applyFont="1" applyAlignment="1" applyProtection="1">
      <alignment vertical="center"/>
      <protection locked="0"/>
    </xf>
    <xf numFmtId="0" fontId="51" fillId="0" borderId="2" xfId="43" applyFont="1" applyBorder="1" applyAlignment="1">
      <alignment horizontal="center" vertical="center" wrapText="1"/>
    </xf>
    <xf numFmtId="10" fontId="39" fillId="4" borderId="2" xfId="42" applyNumberFormat="1" applyFont="1" applyFill="1" applyBorder="1" applyAlignment="1">
      <alignment horizontal="center" vertical="center"/>
    </xf>
    <xf numFmtId="10" fontId="46" fillId="4" borderId="2" xfId="42" applyNumberFormat="1" applyFont="1" applyFill="1" applyBorder="1" applyAlignment="1">
      <alignment horizontal="center" vertical="center"/>
    </xf>
    <xf numFmtId="2" fontId="46" fillId="4" borderId="7" xfId="42" applyNumberFormat="1" applyFont="1" applyFill="1" applyBorder="1" applyAlignment="1">
      <alignment vertical="center"/>
    </xf>
    <xf numFmtId="10" fontId="27" fillId="4" borderId="2" xfId="42" applyNumberFormat="1" applyFont="1" applyFill="1" applyBorder="1" applyAlignment="1">
      <alignment horizontal="center" vertical="center"/>
    </xf>
    <xf numFmtId="10" fontId="27" fillId="4" borderId="2" xfId="18" quotePrefix="1" applyNumberFormat="1" applyFont="1" applyFill="1" applyBorder="1" applyAlignment="1">
      <alignment horizontal="center" vertical="center"/>
    </xf>
    <xf numFmtId="10" fontId="46" fillId="4" borderId="46" xfId="18" applyNumberFormat="1" applyFont="1" applyFill="1" applyBorder="1" applyAlignment="1">
      <alignment horizontal="center" vertical="center"/>
    </xf>
    <xf numFmtId="10" fontId="46" fillId="4" borderId="34" xfId="42" applyNumberFormat="1" applyFont="1" applyFill="1" applyBorder="1" applyAlignment="1">
      <alignment horizontal="center" vertical="center"/>
    </xf>
    <xf numFmtId="0" fontId="27" fillId="4" borderId="6" xfId="45" applyFont="1" applyFill="1" applyBorder="1" applyAlignment="1">
      <alignment horizontal="center" vertical="center"/>
    </xf>
    <xf numFmtId="182" fontId="39" fillId="4" borderId="2" xfId="18" applyNumberFormat="1" applyFont="1" applyFill="1" applyBorder="1" applyAlignment="1">
      <alignment horizontal="center" vertical="center"/>
    </xf>
    <xf numFmtId="0" fontId="51" fillId="0" borderId="2" xfId="65" applyFont="1" applyBorder="1" applyAlignment="1">
      <alignment horizontal="justify" vertical="center" wrapText="1"/>
    </xf>
    <xf numFmtId="0" fontId="27" fillId="0" borderId="2" xfId="9" applyFont="1" applyBorder="1" applyAlignment="1">
      <alignment horizontal="justify" vertical="center" wrapText="1"/>
    </xf>
    <xf numFmtId="0" fontId="27" fillId="0" borderId="2" xfId="65" applyFont="1" applyBorder="1" applyAlignment="1">
      <alignment horizontal="justify" vertical="center" wrapText="1"/>
    </xf>
    <xf numFmtId="182" fontId="37" fillId="2" borderId="54" xfId="0" applyNumberFormat="1" applyFont="1" applyFill="1" applyBorder="1" applyAlignment="1">
      <alignment horizontal="center" vertical="center"/>
    </xf>
    <xf numFmtId="0" fontId="28" fillId="0" borderId="5" xfId="8" applyFont="1" applyBorder="1" applyAlignment="1">
      <alignment horizontal="center" vertical="center" wrapText="1"/>
    </xf>
    <xf numFmtId="0" fontId="34" fillId="0" borderId="0" xfId="135" applyFont="1" applyAlignment="1">
      <alignment vertical="center" wrapText="1"/>
    </xf>
    <xf numFmtId="0" fontId="34" fillId="0" borderId="0" xfId="135" applyFont="1" applyAlignment="1">
      <alignment horizontal="center" vertical="center" wrapText="1"/>
    </xf>
    <xf numFmtId="44" fontId="34" fillId="0" borderId="0" xfId="136" applyFont="1" applyAlignment="1">
      <alignment vertical="center" wrapText="1"/>
    </xf>
    <xf numFmtId="0" fontId="96" fillId="18" borderId="2" xfId="135" applyFont="1" applyFill="1" applyBorder="1" applyAlignment="1">
      <alignment horizontal="center" vertical="center" wrapText="1"/>
    </xf>
    <xf numFmtId="0" fontId="97" fillId="0" borderId="2" xfId="135" applyFont="1" applyBorder="1" applyAlignment="1">
      <alignment horizontal="justify" vertical="center" wrapText="1"/>
    </xf>
    <xf numFmtId="0" fontId="97" fillId="0" borderId="2" xfId="135" applyFont="1" applyBorder="1" applyAlignment="1">
      <alignment horizontal="center" vertical="center" wrapText="1"/>
    </xf>
    <xf numFmtId="8" fontId="97" fillId="0" borderId="2" xfId="135" applyNumberFormat="1" applyFont="1" applyBorder="1" applyAlignment="1">
      <alignment horizontal="center" vertical="center" wrapText="1"/>
    </xf>
    <xf numFmtId="8" fontId="96" fillId="7" borderId="2" xfId="135" applyNumberFormat="1" applyFont="1" applyFill="1" applyBorder="1" applyAlignment="1">
      <alignment horizontal="center" vertical="center" wrapText="1"/>
    </xf>
    <xf numFmtId="0" fontId="97" fillId="19" borderId="2" xfId="135" applyFont="1" applyFill="1" applyBorder="1" applyAlignment="1">
      <alignment horizontal="justify" vertical="center" wrapText="1"/>
    </xf>
    <xf numFmtId="0" fontId="97" fillId="19" borderId="2" xfId="135" applyFont="1" applyFill="1" applyBorder="1" applyAlignment="1">
      <alignment horizontal="center" vertical="center" wrapText="1"/>
    </xf>
    <xf numFmtId="8" fontId="97" fillId="19" borderId="2" xfId="135" applyNumberFormat="1" applyFont="1" applyFill="1" applyBorder="1" applyAlignment="1">
      <alignment horizontal="center" vertical="center" wrapText="1"/>
    </xf>
    <xf numFmtId="8" fontId="96" fillId="7" borderId="46" xfId="135" applyNumberFormat="1" applyFont="1" applyFill="1" applyBorder="1" applyAlignment="1">
      <alignment horizontal="center" vertical="center" wrapText="1"/>
    </xf>
    <xf numFmtId="0" fontId="34" fillId="0" borderId="4" xfId="135" applyFont="1" applyBorder="1" applyAlignment="1">
      <alignment vertical="center" wrapText="1"/>
    </xf>
    <xf numFmtId="8" fontId="97" fillId="0" borderId="2" xfId="135" applyNumberFormat="1" applyFont="1" applyBorder="1" applyAlignment="1">
      <alignment horizontal="right" vertical="center" wrapText="1"/>
    </xf>
    <xf numFmtId="8" fontId="97" fillId="19" borderId="2" xfId="135" applyNumberFormat="1" applyFont="1" applyFill="1" applyBorder="1" applyAlignment="1">
      <alignment horizontal="right" vertical="center" wrapText="1"/>
    </xf>
    <xf numFmtId="0" fontId="28" fillId="0" borderId="47" xfId="0" applyFont="1" applyFill="1" applyBorder="1" applyAlignment="1">
      <alignment horizontal="center" vertical="center" wrapText="1"/>
    </xf>
    <xf numFmtId="0" fontId="28" fillId="0" borderId="0" xfId="0" applyFont="1" applyFill="1" applyBorder="1" applyAlignment="1">
      <alignment horizontal="justify" vertical="center" wrapText="1"/>
    </xf>
    <xf numFmtId="0" fontId="67" fillId="0" borderId="0"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47" xfId="0" applyFont="1" applyFill="1" applyBorder="1" applyAlignment="1">
      <alignment horizontal="center" vertical="center" wrapText="1"/>
    </xf>
    <xf numFmtId="14" fontId="30" fillId="0" borderId="65" xfId="8" applyNumberFormat="1" applyFont="1" applyFill="1" applyBorder="1" applyAlignment="1">
      <alignment horizontal="center" vertical="center" wrapText="1"/>
    </xf>
    <xf numFmtId="0" fontId="30" fillId="0" borderId="51" xfId="0" applyFont="1" applyFill="1" applyBorder="1" applyAlignment="1">
      <alignment horizontal="center" vertical="center"/>
    </xf>
    <xf numFmtId="0" fontId="28" fillId="0" borderId="47" xfId="0" applyFont="1" applyFill="1" applyBorder="1" applyAlignment="1">
      <alignment horizontal="justify" vertical="center" wrapText="1"/>
    </xf>
    <xf numFmtId="14" fontId="28" fillId="0" borderId="49" xfId="8" applyNumberFormat="1" applyFont="1" applyFill="1" applyBorder="1" applyAlignment="1">
      <alignment horizontal="center" vertical="center" wrapText="1"/>
    </xf>
    <xf numFmtId="0" fontId="30" fillId="0" borderId="65" xfId="8" applyFont="1" applyFill="1" applyBorder="1" applyAlignment="1">
      <alignment horizontal="center" vertical="center" wrapText="1"/>
    </xf>
    <xf numFmtId="0" fontId="30" fillId="0" borderId="47" xfId="0" applyFont="1" applyFill="1" applyBorder="1" applyAlignment="1">
      <alignment horizontal="center" vertical="center"/>
    </xf>
    <xf numFmtId="0" fontId="28" fillId="0" borderId="49" xfId="0" applyFont="1" applyFill="1" applyBorder="1" applyAlignment="1">
      <alignment horizontal="left" vertical="center"/>
    </xf>
    <xf numFmtId="0" fontId="28" fillId="0" borderId="50" xfId="0" applyFont="1" applyFill="1" applyBorder="1" applyAlignment="1">
      <alignment horizontal="left" vertical="center"/>
    </xf>
    <xf numFmtId="0" fontId="28" fillId="0" borderId="51" xfId="0" applyFont="1" applyFill="1" applyBorder="1" applyAlignment="1">
      <alignment horizontal="left" vertical="center"/>
    </xf>
    <xf numFmtId="0" fontId="28" fillId="0" borderId="2" xfId="8" applyFont="1" applyBorder="1" applyAlignment="1">
      <alignment horizontal="justify" vertical="center" wrapText="1"/>
    </xf>
    <xf numFmtId="0" fontId="34" fillId="0" borderId="0" xfId="13" applyFont="1" applyAlignment="1"/>
    <xf numFmtId="0" fontId="36" fillId="0" borderId="0" xfId="13" applyFont="1"/>
    <xf numFmtId="0" fontId="28" fillId="0" borderId="23" xfId="8" applyFont="1" applyBorder="1" applyAlignment="1">
      <alignment vertical="center"/>
    </xf>
    <xf numFmtId="10" fontId="28" fillId="0" borderId="102" xfId="18" applyNumberFormat="1" applyFont="1" applyBorder="1" applyAlignment="1" applyProtection="1">
      <alignment horizontal="center" vertical="center"/>
      <protection locked="0"/>
    </xf>
    <xf numFmtId="10" fontId="28" fillId="0" borderId="19" xfId="18" applyNumberFormat="1" applyFont="1" applyBorder="1" applyAlignment="1" applyProtection="1">
      <alignment horizontal="center" vertical="center"/>
      <protection locked="0"/>
    </xf>
    <xf numFmtId="0" fontId="32" fillId="0" borderId="43" xfId="8" applyFont="1" applyBorder="1" applyAlignment="1">
      <alignment vertical="center"/>
    </xf>
    <xf numFmtId="0" fontId="32" fillId="0" borderId="56" xfId="8" applyFont="1" applyBorder="1" applyAlignment="1">
      <alignment vertical="center"/>
    </xf>
    <xf numFmtId="10" fontId="28" fillId="0" borderId="101" xfId="18" applyNumberFormat="1" applyFont="1" applyBorder="1" applyAlignment="1" applyProtection="1">
      <alignment horizontal="center" vertical="center"/>
      <protection locked="0"/>
    </xf>
    <xf numFmtId="0" fontId="51" fillId="0" borderId="2" xfId="43" applyFont="1" applyBorder="1" applyAlignment="1">
      <alignment horizontal="center" vertical="center" wrapText="1"/>
    </xf>
    <xf numFmtId="0" fontId="30" fillId="3" borderId="2" xfId="15" applyFont="1" applyFill="1" applyBorder="1" applyAlignment="1">
      <alignment horizontal="center" vertical="center"/>
    </xf>
    <xf numFmtId="0" fontId="30" fillId="3" borderId="2" xfId="15" applyFont="1" applyFill="1" applyBorder="1" applyAlignment="1">
      <alignment horizontal="center" vertical="center" wrapText="1"/>
    </xf>
    <xf numFmtId="0" fontId="31" fillId="0" borderId="0" xfId="0" applyFont="1" applyFill="1" applyBorder="1" applyAlignment="1">
      <alignment horizontal="justify" vertical="center" wrapText="1"/>
    </xf>
    <xf numFmtId="0" fontId="28" fillId="0" borderId="2" xfId="15" applyFont="1" applyBorder="1" applyAlignment="1">
      <alignment horizontal="center" vertical="center"/>
    </xf>
    <xf numFmtId="0" fontId="30" fillId="3" borderId="2" xfId="65" applyFont="1" applyFill="1" applyBorder="1" applyAlignment="1">
      <alignment horizontal="center" vertical="center"/>
    </xf>
    <xf numFmtId="170" fontId="19" fillId="0" borderId="5" xfId="10" applyNumberFormat="1" applyFont="1" applyFill="1" applyBorder="1" applyAlignment="1">
      <alignment horizontal="center" vertical="center"/>
    </xf>
    <xf numFmtId="167" fontId="34" fillId="0" borderId="0" xfId="4" applyFont="1" applyAlignment="1">
      <alignment vertical="center" wrapText="1"/>
    </xf>
    <xf numFmtId="167" fontId="34" fillId="0" borderId="2" xfId="4" applyFont="1" applyBorder="1" applyAlignment="1">
      <alignment vertical="center" wrapText="1"/>
    </xf>
    <xf numFmtId="167" fontId="35" fillId="0" borderId="2" xfId="4" applyFont="1" applyBorder="1" applyAlignment="1">
      <alignment vertical="center" wrapText="1"/>
    </xf>
    <xf numFmtId="0" fontId="36" fillId="0" borderId="0" xfId="8" applyFont="1" applyFill="1" applyBorder="1" applyAlignment="1">
      <alignment horizontal="center" vertical="center" shrinkToFit="1"/>
    </xf>
    <xf numFmtId="0" fontId="28" fillId="0" borderId="6" xfId="9" applyFont="1" applyFill="1" applyBorder="1" applyAlignment="1">
      <alignment horizontal="center" vertical="center"/>
    </xf>
    <xf numFmtId="182" fontId="34" fillId="0" borderId="2" xfId="20" applyNumberFormat="1" applyFont="1" applyFill="1" applyBorder="1" applyAlignment="1">
      <alignment horizontal="center" vertical="center"/>
    </xf>
    <xf numFmtId="0" fontId="28" fillId="0" borderId="47" xfId="0" applyFont="1" applyFill="1" applyBorder="1" applyAlignment="1">
      <alignment horizontal="center" vertical="center" wrapText="1"/>
    </xf>
    <xf numFmtId="0" fontId="34" fillId="0" borderId="0" xfId="135" applyFont="1" applyAlignment="1">
      <alignment vertical="center" wrapText="1"/>
    </xf>
    <xf numFmtId="0" fontId="98" fillId="0" borderId="0" xfId="135" applyFont="1" applyAlignment="1">
      <alignment horizontal="center" vertical="center" wrapText="1"/>
    </xf>
    <xf numFmtId="0" fontId="34" fillId="0" borderId="0" xfId="13" applyFont="1" applyAlignment="1">
      <alignment horizontal="center" vertical="center"/>
    </xf>
    <xf numFmtId="0" fontId="33" fillId="0" borderId="0" xfId="13" applyFont="1" applyBorder="1" applyAlignment="1">
      <alignment horizontal="center" vertical="center"/>
    </xf>
    <xf numFmtId="0" fontId="36" fillId="0" borderId="0" xfId="13" applyFont="1" applyAlignment="1">
      <alignment horizontal="center" vertical="center"/>
    </xf>
    <xf numFmtId="167" fontId="36" fillId="0" borderId="0" xfId="4" applyFont="1" applyAlignment="1">
      <alignment horizontal="center" vertical="center"/>
    </xf>
    <xf numFmtId="0" fontId="36" fillId="0" borderId="0" xfId="0" applyFont="1" applyBorder="1" applyAlignment="1">
      <alignment horizontal="center" vertical="center"/>
    </xf>
    <xf numFmtId="167" fontId="36" fillId="0" borderId="0" xfId="4" applyFont="1" applyBorder="1" applyAlignment="1">
      <alignment horizontal="center" vertical="center"/>
    </xf>
    <xf numFmtId="167" fontId="34" fillId="0" borderId="0" xfId="4" applyFont="1" applyAlignment="1">
      <alignment horizontal="center" vertical="center"/>
    </xf>
    <xf numFmtId="2" fontId="28" fillId="14" borderId="19" xfId="8" applyNumberFormat="1" applyFont="1" applyFill="1" applyBorder="1" applyAlignment="1">
      <alignment horizontal="center" vertical="center"/>
    </xf>
    <xf numFmtId="165" fontId="28" fillId="14" borderId="19" xfId="6" applyFont="1" applyFill="1" applyBorder="1" applyAlignment="1">
      <alignment vertical="center"/>
    </xf>
    <xf numFmtId="0" fontId="34" fillId="14" borderId="0" xfId="13" applyFont="1" applyFill="1" applyBorder="1"/>
    <xf numFmtId="0" fontId="28" fillId="14" borderId="0" xfId="8" applyFont="1" applyFill="1" applyBorder="1" applyAlignment="1">
      <alignment vertical="center"/>
    </xf>
    <xf numFmtId="10" fontId="28" fillId="14" borderId="0" xfId="20" applyNumberFormat="1" applyFont="1" applyFill="1" applyBorder="1" applyAlignment="1">
      <alignment horizontal="left" vertical="center"/>
    </xf>
    <xf numFmtId="0" fontId="28" fillId="0" borderId="103" xfId="49" applyFont="1" applyBorder="1" applyAlignment="1">
      <alignment horizontal="center" vertical="center"/>
    </xf>
    <xf numFmtId="170" fontId="34" fillId="0" borderId="63" xfId="13" applyNumberFormat="1" applyFont="1" applyBorder="1" applyAlignment="1">
      <alignment horizontal="center"/>
    </xf>
    <xf numFmtId="167" fontId="28" fillId="0" borderId="90" xfId="4" applyFont="1" applyBorder="1" applyAlignment="1">
      <alignment horizontal="center" vertical="center"/>
    </xf>
    <xf numFmtId="0" fontId="28" fillId="0" borderId="41" xfId="49" applyFont="1" applyBorder="1" applyAlignment="1">
      <alignment horizontal="center" vertical="center"/>
    </xf>
    <xf numFmtId="170" fontId="34" fillId="0" borderId="2" xfId="13" applyNumberFormat="1" applyFont="1" applyBorder="1" applyAlignment="1">
      <alignment horizontal="center"/>
    </xf>
    <xf numFmtId="167" fontId="28" fillId="0" borderId="37" xfId="4" applyFont="1" applyBorder="1" applyAlignment="1">
      <alignment horizontal="center" vertical="center"/>
    </xf>
    <xf numFmtId="0" fontId="28" fillId="0" borderId="48" xfId="9" applyFont="1" applyFill="1" applyBorder="1" applyAlignment="1">
      <alignment vertical="center"/>
    </xf>
    <xf numFmtId="0" fontId="28" fillId="0" borderId="11" xfId="9" applyFont="1" applyFill="1" applyBorder="1" applyAlignment="1">
      <alignment horizontal="center" vertical="center"/>
    </xf>
    <xf numFmtId="0" fontId="28" fillId="0" borderId="6" xfId="9" applyFont="1" applyFill="1" applyBorder="1" applyAlignment="1">
      <alignment vertical="center"/>
    </xf>
    <xf numFmtId="10" fontId="37" fillId="2" borderId="37" xfId="0" applyNumberFormat="1" applyFont="1" applyFill="1" applyBorder="1" applyAlignment="1">
      <alignment horizontal="center" vertical="center"/>
    </xf>
    <xf numFmtId="0" fontId="28" fillId="0" borderId="0" xfId="8" applyFont="1" applyAlignment="1">
      <alignment horizontal="center" vertical="center"/>
    </xf>
    <xf numFmtId="2" fontId="28" fillId="14" borderId="17" xfId="8" applyNumberFormat="1" applyFont="1" applyFill="1" applyBorder="1" applyAlignment="1">
      <alignment horizontal="center" vertical="center"/>
    </xf>
    <xf numFmtId="10" fontId="51" fillId="4" borderId="2" xfId="18" quotePrefix="1" applyNumberFormat="1" applyFont="1" applyFill="1" applyBorder="1" applyAlignment="1">
      <alignment horizontal="center" vertical="center" wrapText="1"/>
    </xf>
    <xf numFmtId="167" fontId="28" fillId="0" borderId="0" xfId="4" applyFont="1" applyAlignment="1">
      <alignment horizontal="center" vertical="center"/>
    </xf>
    <xf numFmtId="0" fontId="19" fillId="0" borderId="0" xfId="49" applyFont="1" applyAlignment="1">
      <alignment horizontal="left" vertical="center"/>
    </xf>
    <xf numFmtId="0" fontId="19" fillId="0" borderId="0" xfId="1" applyFont="1" applyAlignment="1" applyProtection="1">
      <alignment vertical="center"/>
    </xf>
    <xf numFmtId="0" fontId="99" fillId="0" borderId="0" xfId="2" applyFont="1" applyAlignment="1" applyProtection="1">
      <alignment vertical="center"/>
    </xf>
    <xf numFmtId="0" fontId="28" fillId="14" borderId="0" xfId="4" applyNumberFormat="1" applyFont="1" applyFill="1" applyBorder="1" applyAlignment="1">
      <alignment horizontal="left" vertical="center"/>
    </xf>
    <xf numFmtId="167" fontId="28" fillId="14" borderId="20" xfId="4" applyFont="1" applyFill="1" applyBorder="1" applyAlignment="1">
      <alignment horizontal="left" vertical="center"/>
    </xf>
    <xf numFmtId="167" fontId="28" fillId="14" borderId="30" xfId="4" applyFont="1" applyFill="1" applyBorder="1" applyAlignment="1">
      <alignment horizontal="left" vertical="center"/>
    </xf>
    <xf numFmtId="10" fontId="34" fillId="0" borderId="0" xfId="13" applyNumberFormat="1" applyFont="1" applyAlignment="1">
      <alignment horizontal="left" vertical="center"/>
    </xf>
    <xf numFmtId="0" fontId="34" fillId="0" borderId="18" xfId="13" applyFont="1" applyBorder="1" applyAlignment="1"/>
    <xf numFmtId="0" fontId="34" fillId="0" borderId="0" xfId="13" applyFont="1" applyBorder="1" applyAlignment="1"/>
    <xf numFmtId="0" fontId="34" fillId="0" borderId="77" xfId="13" applyFont="1" applyBorder="1" applyAlignment="1"/>
    <xf numFmtId="167" fontId="33" fillId="0" borderId="0" xfId="13" applyNumberFormat="1" applyFont="1" applyAlignment="1">
      <alignment horizontal="center" vertical="center"/>
    </xf>
    <xf numFmtId="167" fontId="28" fillId="0" borderId="0" xfId="4" applyFont="1" applyAlignment="1">
      <alignment vertical="center" wrapText="1"/>
    </xf>
    <xf numFmtId="167" fontId="28" fillId="0" borderId="2" xfId="4" applyFont="1" applyBorder="1" applyAlignment="1">
      <alignment vertical="center" wrapText="1"/>
    </xf>
    <xf numFmtId="167" fontId="34" fillId="0" borderId="0" xfId="4" applyFont="1" applyAlignment="1">
      <alignment horizontal="right" vertical="center" wrapText="1"/>
    </xf>
    <xf numFmtId="167" fontId="98" fillId="0" borderId="0" xfId="4" applyFont="1" applyAlignment="1">
      <alignment horizontal="center" vertical="center" wrapText="1"/>
    </xf>
    <xf numFmtId="167" fontId="97" fillId="0" borderId="2" xfId="4" applyFont="1" applyBorder="1" applyAlignment="1">
      <alignment horizontal="right" vertical="center" wrapText="1"/>
    </xf>
    <xf numFmtId="167" fontId="96" fillId="7" borderId="2" xfId="4" applyFont="1" applyFill="1" applyBorder="1" applyAlignment="1">
      <alignment horizontal="right" vertical="center" wrapText="1"/>
    </xf>
    <xf numFmtId="167" fontId="96" fillId="7" borderId="46" xfId="4" applyFont="1" applyFill="1" applyBorder="1" applyAlignment="1">
      <alignment horizontal="right" vertical="center" wrapText="1"/>
    </xf>
    <xf numFmtId="167" fontId="34" fillId="0" borderId="4" xfId="4" applyFont="1" applyBorder="1" applyAlignment="1">
      <alignment horizontal="right" vertical="center" wrapText="1"/>
    </xf>
    <xf numFmtId="167" fontId="96" fillId="18" borderId="2" xfId="4" applyFont="1" applyFill="1" applyBorder="1" applyAlignment="1">
      <alignment horizontal="center" vertical="center" wrapText="1"/>
    </xf>
    <xf numFmtId="0" fontId="19" fillId="0" borderId="0" xfId="10" applyFont="1" applyAlignment="1">
      <alignment horizontal="justify" vertical="center"/>
    </xf>
    <xf numFmtId="10" fontId="19" fillId="0" borderId="2" xfId="10" applyNumberFormat="1" applyFont="1" applyBorder="1" applyAlignment="1">
      <alignment horizontal="center" vertical="center"/>
    </xf>
    <xf numFmtId="0" fontId="19" fillId="0" borderId="6" xfId="10" applyFont="1" applyBorder="1" applyAlignment="1">
      <alignment vertical="center"/>
    </xf>
    <xf numFmtId="0" fontId="19" fillId="0" borderId="4" xfId="10" applyFont="1" applyBorder="1" applyAlignment="1">
      <alignment vertical="center"/>
    </xf>
    <xf numFmtId="0" fontId="19" fillId="0" borderId="4" xfId="10" applyFont="1" applyBorder="1" applyAlignment="1">
      <alignment horizontal="justify" vertical="center"/>
    </xf>
    <xf numFmtId="10" fontId="18" fillId="0" borderId="2" xfId="18" applyNumberFormat="1" applyFont="1" applyBorder="1" applyAlignment="1">
      <alignment horizontal="center" vertical="center"/>
    </xf>
    <xf numFmtId="10" fontId="19" fillId="0" borderId="2" xfId="10" applyNumberFormat="1" applyFont="1" applyBorder="1" applyAlignment="1">
      <alignment horizontal="center" vertical="center" wrapText="1"/>
    </xf>
    <xf numFmtId="0" fontId="34" fillId="0" borderId="0" xfId="135" applyFont="1" applyAlignment="1">
      <alignment vertical="center" wrapText="1"/>
    </xf>
    <xf numFmtId="0" fontId="19" fillId="0" borderId="0" xfId="10" applyFont="1" applyFill="1" applyAlignment="1">
      <alignment vertical="center"/>
    </xf>
    <xf numFmtId="14" fontId="19" fillId="0" borderId="0" xfId="10" applyNumberFormat="1" applyFont="1" applyFill="1" applyAlignment="1">
      <alignment vertical="center"/>
    </xf>
    <xf numFmtId="14" fontId="19" fillId="0" borderId="2" xfId="49" applyNumberFormat="1" applyFont="1" applyBorder="1" applyAlignment="1">
      <alignment horizontal="center" vertical="center"/>
    </xf>
    <xf numFmtId="0" fontId="18" fillId="3" borderId="46" xfId="10" applyFont="1" applyFill="1" applyBorder="1" applyAlignment="1">
      <alignment horizontal="center" vertical="center" wrapText="1"/>
    </xf>
    <xf numFmtId="0" fontId="18" fillId="0" borderId="2" xfId="10" applyFont="1" applyBorder="1" applyAlignment="1">
      <alignment horizontal="center" vertical="center" wrapText="1"/>
    </xf>
    <xf numFmtId="43" fontId="34" fillId="0" borderId="0" xfId="13" applyNumberFormat="1" applyFont="1"/>
    <xf numFmtId="0" fontId="34" fillId="0" borderId="2" xfId="65" applyFont="1" applyBorder="1" applyAlignment="1">
      <alignment horizontal="justify" vertical="center" wrapText="1"/>
    </xf>
    <xf numFmtId="0" fontId="28" fillId="0" borderId="2" xfId="9" applyFont="1" applyBorder="1" applyAlignment="1">
      <alignment horizontal="justify" vertical="center" wrapText="1"/>
    </xf>
    <xf numFmtId="0" fontId="28" fillId="0" borderId="2" xfId="65" quotePrefix="1" applyFont="1" applyBorder="1" applyAlignment="1">
      <alignment horizontal="justify" vertical="center" wrapText="1"/>
    </xf>
    <xf numFmtId="0" fontId="20" fillId="0" borderId="0" xfId="10" applyFont="1" applyBorder="1" applyAlignment="1">
      <alignment vertical="center"/>
    </xf>
    <xf numFmtId="0" fontId="21" fillId="0" borderId="0" xfId="10" applyFont="1" applyAlignment="1">
      <alignment vertical="center"/>
    </xf>
    <xf numFmtId="0" fontId="20" fillId="0" borderId="0" xfId="10" applyFont="1" applyAlignment="1">
      <alignment horizontal="justify" vertical="center"/>
    </xf>
    <xf numFmtId="0" fontId="20" fillId="4" borderId="0" xfId="10" applyFont="1" applyFill="1" applyAlignment="1">
      <alignment vertical="center"/>
    </xf>
    <xf numFmtId="0" fontId="28" fillId="0" borderId="2" xfId="53" applyFont="1" applyBorder="1" applyAlignment="1">
      <alignment horizontal="left" vertical="center" wrapText="1"/>
    </xf>
    <xf numFmtId="0" fontId="30" fillId="0" borderId="0" xfId="49" applyFont="1" applyAlignment="1" applyProtection="1">
      <alignment horizontal="left" vertical="center"/>
      <protection locked="0"/>
    </xf>
    <xf numFmtId="0" fontId="28" fillId="0" borderId="0" xfId="8" applyFont="1" applyBorder="1" applyAlignment="1">
      <alignment horizontal="left" vertical="center"/>
    </xf>
    <xf numFmtId="0" fontId="28" fillId="0" borderId="22" xfId="8" applyFont="1" applyBorder="1" applyAlignment="1">
      <alignment horizontal="left" vertical="center"/>
    </xf>
    <xf numFmtId="0" fontId="30" fillId="0" borderId="35" xfId="8" applyNumberFormat="1" applyFont="1" applyBorder="1" applyAlignment="1">
      <alignment horizontal="center" vertical="center"/>
    </xf>
    <xf numFmtId="10" fontId="28" fillId="0" borderId="75" xfId="28" applyNumberFormat="1" applyFont="1" applyBorder="1" applyAlignment="1" applyProtection="1">
      <alignment horizontal="center" vertical="center"/>
    </xf>
    <xf numFmtId="0" fontId="34" fillId="0" borderId="0" xfId="135" applyFont="1" applyAlignment="1">
      <alignment vertical="center" wrapText="1"/>
    </xf>
    <xf numFmtId="0" fontId="30" fillId="0" borderId="0" xfId="8" applyFont="1" applyAlignment="1">
      <alignment horizontal="center" vertical="center"/>
    </xf>
    <xf numFmtId="167" fontId="28" fillId="0" borderId="104" xfId="4" applyFont="1" applyFill="1" applyBorder="1" applyAlignment="1">
      <alignment horizontal="center" vertical="center" wrapText="1"/>
    </xf>
    <xf numFmtId="167" fontId="28" fillId="0" borderId="45" xfId="4" applyFont="1" applyFill="1" applyBorder="1" applyAlignment="1">
      <alignment horizontal="center" vertical="center" wrapText="1"/>
    </xf>
    <xf numFmtId="167" fontId="28" fillId="0" borderId="37" xfId="4" applyFont="1" applyFill="1" applyBorder="1" applyAlignment="1">
      <alignment horizontal="center" vertical="center" wrapText="1"/>
    </xf>
    <xf numFmtId="9" fontId="28" fillId="0" borderId="0" xfId="0" applyNumberFormat="1" applyFont="1" applyAlignment="1">
      <alignment vertical="center"/>
    </xf>
    <xf numFmtId="165" fontId="28" fillId="0" borderId="8" xfId="50" applyFont="1" applyFill="1" applyBorder="1" applyAlignment="1">
      <alignment vertical="center"/>
    </xf>
    <xf numFmtId="0" fontId="97" fillId="0" borderId="0" xfId="0" applyFont="1"/>
    <xf numFmtId="10" fontId="100" fillId="0" borderId="0" xfId="1" applyNumberFormat="1" applyFont="1" applyBorder="1" applyAlignment="1" applyProtection="1">
      <alignment horizontal="center" vertical="center"/>
    </xf>
    <xf numFmtId="10" fontId="34" fillId="0" borderId="2" xfId="0" applyNumberFormat="1" applyFont="1" applyBorder="1" applyAlignment="1">
      <alignment vertical="center"/>
    </xf>
    <xf numFmtId="0" fontId="28" fillId="0" borderId="0" xfId="13" applyFont="1" applyAlignment="1">
      <alignment horizontal="center" vertical="center"/>
    </xf>
    <xf numFmtId="167" fontId="36" fillId="16" borderId="0" xfId="8" applyNumberFormat="1" applyFont="1" applyFill="1" applyBorder="1" applyAlignment="1">
      <alignment vertical="center"/>
    </xf>
    <xf numFmtId="2" fontId="28" fillId="14" borderId="70" xfId="8" applyNumberFormat="1" applyFont="1" applyFill="1" applyBorder="1" applyAlignment="1">
      <alignment horizontal="center" vertical="center"/>
    </xf>
    <xf numFmtId="165" fontId="28" fillId="14" borderId="70" xfId="6" applyFont="1" applyFill="1" applyBorder="1" applyAlignment="1">
      <alignment vertical="center"/>
    </xf>
    <xf numFmtId="165" fontId="28" fillId="14" borderId="17" xfId="6" applyFont="1" applyFill="1" applyBorder="1" applyAlignment="1">
      <alignment vertical="center"/>
    </xf>
    <xf numFmtId="0" fontId="101" fillId="0" borderId="0" xfId="49" applyFont="1" applyAlignment="1">
      <alignment horizontal="left" vertical="center"/>
    </xf>
    <xf numFmtId="0" fontId="83" fillId="0" borderId="0" xfId="49" applyFont="1" applyAlignment="1">
      <alignment horizontal="left" vertical="center"/>
    </xf>
    <xf numFmtId="0" fontId="101" fillId="0" borderId="0" xfId="49" quotePrefix="1" applyFont="1" applyAlignment="1">
      <alignment horizontal="left" vertical="center"/>
    </xf>
    <xf numFmtId="0" fontId="101" fillId="0" borderId="0" xfId="49" quotePrefix="1" applyFont="1" applyAlignment="1">
      <alignment horizontal="justify" vertical="center" wrapText="1"/>
    </xf>
    <xf numFmtId="0" fontId="83" fillId="0" borderId="0" xfId="10" applyFont="1" applyAlignment="1">
      <alignment vertical="center"/>
    </xf>
    <xf numFmtId="9" fontId="34" fillId="0" borderId="0" xfId="13" applyNumberFormat="1" applyFont="1"/>
    <xf numFmtId="2" fontId="28" fillId="14" borderId="105" xfId="8" applyNumberFormat="1" applyFont="1" applyFill="1" applyBorder="1" applyAlignment="1">
      <alignment horizontal="center" vertical="center"/>
    </xf>
    <xf numFmtId="165" fontId="28" fillId="14" borderId="105" xfId="6" applyFont="1" applyFill="1" applyBorder="1" applyAlignment="1">
      <alignment vertical="center"/>
    </xf>
    <xf numFmtId="2" fontId="28" fillId="14" borderId="30" xfId="8" applyNumberFormat="1" applyFont="1" applyFill="1" applyBorder="1" applyAlignment="1">
      <alignment horizontal="center" vertical="center"/>
    </xf>
    <xf numFmtId="2" fontId="28" fillId="14" borderId="20" xfId="8" applyNumberFormat="1" applyFont="1" applyFill="1" applyBorder="1" applyAlignment="1">
      <alignment horizontal="center" vertical="center"/>
    </xf>
    <xf numFmtId="165" fontId="28" fillId="14" borderId="20" xfId="6" applyFont="1" applyFill="1" applyBorder="1" applyAlignment="1">
      <alignment vertical="center"/>
    </xf>
    <xf numFmtId="0" fontId="27" fillId="0" borderId="6"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7" xfId="0" applyFont="1" applyBorder="1" applyAlignment="1">
      <alignment horizontal="center" vertical="center" wrapText="1"/>
    </xf>
    <xf numFmtId="10" fontId="27" fillId="0" borderId="2" xfId="18" applyNumberFormat="1" applyFont="1" applyBorder="1" applyAlignment="1">
      <alignment horizontal="center" vertical="center"/>
    </xf>
    <xf numFmtId="10" fontId="27" fillId="0" borderId="6" xfId="18" applyNumberFormat="1" applyFont="1" applyBorder="1" applyAlignment="1">
      <alignment horizontal="center" vertical="center"/>
    </xf>
    <xf numFmtId="10" fontId="27" fillId="0" borderId="4" xfId="18" applyNumberFormat="1" applyFont="1" applyBorder="1" applyAlignment="1">
      <alignment horizontal="center" vertical="center"/>
    </xf>
    <xf numFmtId="10" fontId="27" fillId="0" borderId="7" xfId="18" applyNumberFormat="1" applyFont="1" applyBorder="1" applyAlignment="1">
      <alignment horizontal="center" vertical="center"/>
    </xf>
    <xf numFmtId="0" fontId="47" fillId="0" borderId="0" xfId="0" applyFont="1" applyFill="1" applyBorder="1" applyAlignment="1">
      <alignment horizontal="center" vertical="center"/>
    </xf>
    <xf numFmtId="165" fontId="27" fillId="0" borderId="46" xfId="46" applyFont="1" applyBorder="1" applyAlignment="1">
      <alignment horizontal="center" vertical="center"/>
    </xf>
    <xf numFmtId="165" fontId="27" fillId="0" borderId="63" xfId="46" applyFont="1" applyBorder="1" applyAlignment="1">
      <alignment horizontal="center" vertical="center"/>
    </xf>
    <xf numFmtId="165" fontId="27" fillId="0" borderId="3" xfId="46" applyFont="1" applyBorder="1" applyAlignment="1">
      <alignment horizontal="center" vertical="center"/>
    </xf>
    <xf numFmtId="14" fontId="48" fillId="3" borderId="2" xfId="0" applyNumberFormat="1" applyFont="1" applyFill="1" applyBorder="1" applyAlignment="1">
      <alignment horizontal="center" vertical="center"/>
    </xf>
    <xf numFmtId="0" fontId="27" fillId="0" borderId="4"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wrapText="1"/>
    </xf>
    <xf numFmtId="14" fontId="48" fillId="3" borderId="6" xfId="0" applyNumberFormat="1" applyFont="1" applyFill="1" applyBorder="1" applyAlignment="1">
      <alignment horizontal="center" vertical="center"/>
    </xf>
    <xf numFmtId="14" fontId="48" fillId="3" borderId="4" xfId="0" applyNumberFormat="1" applyFont="1" applyFill="1" applyBorder="1" applyAlignment="1">
      <alignment horizontal="center" vertical="center"/>
    </xf>
    <xf numFmtId="14" fontId="48" fillId="3" borderId="7" xfId="0" applyNumberFormat="1" applyFont="1" applyFill="1" applyBorder="1" applyAlignment="1">
      <alignment horizontal="center" vertical="center"/>
    </xf>
    <xf numFmtId="0" fontId="46" fillId="6" borderId="2" xfId="49" applyFont="1" applyFill="1" applyBorder="1" applyAlignment="1">
      <alignment horizontal="center" vertical="center"/>
    </xf>
    <xf numFmtId="170" fontId="27" fillId="0" borderId="2" xfId="50" applyNumberFormat="1" applyFont="1" applyFill="1" applyBorder="1" applyAlignment="1">
      <alignment horizontal="center" vertical="center" wrapText="1"/>
    </xf>
    <xf numFmtId="0" fontId="48" fillId="5" borderId="5" xfId="49" applyFont="1" applyFill="1" applyBorder="1" applyAlignment="1">
      <alignment horizontal="center" vertical="center" wrapText="1"/>
    </xf>
    <xf numFmtId="0" fontId="48" fillId="5" borderId="58" xfId="49" applyFont="1" applyFill="1" applyBorder="1" applyAlignment="1">
      <alignment horizontal="center" vertical="center" wrapText="1"/>
    </xf>
    <xf numFmtId="0" fontId="48" fillId="5" borderId="52" xfId="49" applyFont="1" applyFill="1" applyBorder="1" applyAlignment="1">
      <alignment horizontal="center" vertical="center" wrapText="1"/>
    </xf>
    <xf numFmtId="0" fontId="48" fillId="5" borderId="40" xfId="49" applyFont="1" applyFill="1" applyBorder="1" applyAlignment="1">
      <alignment horizontal="center" vertical="center" wrapText="1"/>
    </xf>
    <xf numFmtId="0" fontId="48" fillId="5" borderId="46" xfId="49" applyFont="1" applyFill="1" applyBorder="1" applyAlignment="1">
      <alignment horizontal="center" vertical="center" wrapText="1"/>
    </xf>
    <xf numFmtId="0" fontId="48" fillId="5" borderId="3" xfId="49" applyFont="1" applyFill="1" applyBorder="1" applyAlignment="1">
      <alignment horizontal="center" vertical="center" wrapText="1"/>
    </xf>
    <xf numFmtId="170" fontId="27" fillId="0" borderId="6" xfId="50" applyNumberFormat="1" applyFont="1" applyFill="1" applyBorder="1" applyAlignment="1">
      <alignment horizontal="center" vertical="center" wrapText="1"/>
    </xf>
    <xf numFmtId="170" fontId="27" fillId="0" borderId="7" xfId="50" applyNumberFormat="1" applyFont="1" applyFill="1" applyBorder="1" applyAlignment="1">
      <alignment horizontal="center" vertical="center" wrapText="1"/>
    </xf>
    <xf numFmtId="0" fontId="48" fillId="5" borderId="2" xfId="49" applyFont="1" applyFill="1" applyBorder="1" applyAlignment="1">
      <alignment horizontal="center" vertical="center" wrapText="1"/>
    </xf>
    <xf numFmtId="0" fontId="27" fillId="4" borderId="6" xfId="49" applyFont="1" applyFill="1" applyBorder="1" applyAlignment="1">
      <alignment horizontal="center" vertical="center" wrapText="1"/>
    </xf>
    <xf numFmtId="0" fontId="27" fillId="4" borderId="7" xfId="49" applyFont="1" applyFill="1" applyBorder="1" applyAlignment="1">
      <alignment horizontal="center" vertical="center" wrapText="1"/>
    </xf>
    <xf numFmtId="0" fontId="50" fillId="0" borderId="46" xfId="49" applyFont="1" applyFill="1" applyBorder="1" applyAlignment="1">
      <alignment horizontal="left" vertical="center" wrapText="1"/>
    </xf>
    <xf numFmtId="0" fontId="50" fillId="0" borderId="63" xfId="49" applyFont="1" applyFill="1" applyBorder="1" applyAlignment="1">
      <alignment horizontal="left" vertical="center" wrapText="1"/>
    </xf>
    <xf numFmtId="0" fontId="27" fillId="0" borderId="5" xfId="0" applyFont="1" applyFill="1" applyBorder="1" applyAlignment="1">
      <alignment horizontal="left" vertical="center"/>
    </xf>
    <xf numFmtId="0" fontId="27" fillId="0" borderId="48" xfId="0" applyFont="1" applyFill="1" applyBorder="1" applyAlignment="1">
      <alignment horizontal="left" vertical="center"/>
    </xf>
    <xf numFmtId="0" fontId="27" fillId="0" borderId="52" xfId="0" applyFont="1" applyFill="1" applyBorder="1" applyAlignment="1">
      <alignment horizontal="left" vertical="center"/>
    </xf>
    <xf numFmtId="10" fontId="27" fillId="0" borderId="2" xfId="18" applyNumberFormat="1" applyFont="1" applyFill="1" applyBorder="1" applyAlignment="1">
      <alignment horizontal="center" vertical="center" wrapText="1"/>
    </xf>
    <xf numFmtId="10" fontId="27" fillId="0" borderId="5" xfId="18" applyNumberFormat="1" applyFont="1" applyBorder="1" applyAlignment="1">
      <alignment horizontal="center" vertical="center" wrapText="1"/>
    </xf>
    <xf numFmtId="10" fontId="27" fillId="0" borderId="58" xfId="18" applyNumberFormat="1" applyFont="1" applyBorder="1" applyAlignment="1">
      <alignment horizontal="center" vertical="center" wrapText="1"/>
    </xf>
    <xf numFmtId="10" fontId="27" fillId="0" borderId="48" xfId="18" applyNumberFormat="1" applyFont="1" applyBorder="1" applyAlignment="1">
      <alignment horizontal="center" vertical="center" wrapText="1"/>
    </xf>
    <xf numFmtId="10" fontId="27" fillId="0" borderId="71" xfId="18" applyNumberFormat="1" applyFont="1" applyBorder="1" applyAlignment="1">
      <alignment horizontal="center" vertical="center" wrapText="1"/>
    </xf>
    <xf numFmtId="10" fontId="27" fillId="0" borderId="52" xfId="18" applyNumberFormat="1" applyFont="1" applyBorder="1" applyAlignment="1">
      <alignment horizontal="center" vertical="center" wrapText="1"/>
    </xf>
    <xf numFmtId="10" fontId="27" fillId="0" borderId="40" xfId="18" applyNumberFormat="1" applyFont="1" applyBorder="1" applyAlignment="1">
      <alignment horizontal="center" vertical="center" wrapText="1"/>
    </xf>
    <xf numFmtId="0" fontId="27" fillId="0" borderId="46" xfId="0" applyFont="1" applyFill="1" applyBorder="1" applyAlignment="1">
      <alignment horizontal="center" vertical="center"/>
    </xf>
    <xf numFmtId="0" fontId="27" fillId="0" borderId="63" xfId="0" applyFont="1" applyFill="1" applyBorder="1" applyAlignment="1">
      <alignment horizontal="center" vertical="center"/>
    </xf>
    <xf numFmtId="0" fontId="27" fillId="0" borderId="3" xfId="0" applyFont="1" applyFill="1" applyBorder="1" applyAlignment="1">
      <alignment horizontal="center" vertical="center"/>
    </xf>
    <xf numFmtId="0" fontId="48" fillId="3" borderId="2" xfId="0" applyFont="1" applyFill="1" applyBorder="1" applyAlignment="1">
      <alignment horizontal="center" vertical="center"/>
    </xf>
    <xf numFmtId="10" fontId="27" fillId="0" borderId="46" xfId="18" applyNumberFormat="1" applyFont="1" applyFill="1" applyBorder="1" applyAlignment="1">
      <alignment horizontal="center" vertical="center"/>
    </xf>
    <xf numFmtId="10" fontId="27" fillId="0" borderId="63" xfId="18" applyNumberFormat="1" applyFont="1" applyFill="1" applyBorder="1" applyAlignment="1">
      <alignment horizontal="center" vertical="center"/>
    </xf>
    <xf numFmtId="0" fontId="27" fillId="0" borderId="5" xfId="0" applyFont="1" applyFill="1" applyBorder="1" applyAlignment="1">
      <alignment horizontal="center" vertical="center" wrapText="1"/>
    </xf>
    <xf numFmtId="0" fontId="27" fillId="0" borderId="24"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7" fillId="0" borderId="52" xfId="0" applyFont="1" applyFill="1" applyBorder="1" applyAlignment="1">
      <alignment horizontal="center" vertical="center" wrapText="1"/>
    </xf>
    <xf numFmtId="0" fontId="27" fillId="0" borderId="22" xfId="0" applyFont="1" applyFill="1" applyBorder="1" applyAlignment="1">
      <alignment horizontal="center" vertical="center" wrapText="1"/>
    </xf>
    <xf numFmtId="0" fontId="27" fillId="0" borderId="40" xfId="0" applyFont="1" applyFill="1" applyBorder="1" applyAlignment="1">
      <alignment horizontal="center" vertical="center" wrapText="1"/>
    </xf>
    <xf numFmtId="0" fontId="27" fillId="0" borderId="6"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6"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48"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71" xfId="0" applyFont="1" applyFill="1" applyBorder="1" applyAlignment="1">
      <alignment horizontal="center" vertical="center" wrapText="1"/>
    </xf>
    <xf numFmtId="0" fontId="27" fillId="0" borderId="2" xfId="0" applyFont="1" applyFill="1" applyBorder="1" applyAlignment="1">
      <alignment horizontal="center" vertical="center"/>
    </xf>
    <xf numFmtId="0" fontId="46" fillId="0" borderId="2" xfId="0" applyFont="1" applyBorder="1" applyAlignment="1">
      <alignment horizontal="center" vertical="center"/>
    </xf>
    <xf numFmtId="0" fontId="27" fillId="0" borderId="2" xfId="0" applyFont="1" applyFill="1" applyBorder="1" applyAlignment="1">
      <alignment horizontal="center" vertical="center" wrapText="1"/>
    </xf>
    <xf numFmtId="0" fontId="27" fillId="0" borderId="46" xfId="0" applyFont="1" applyBorder="1" applyAlignment="1">
      <alignment horizontal="center" vertical="center"/>
    </xf>
    <xf numFmtId="0" fontId="27" fillId="0" borderId="63" xfId="0" applyFont="1" applyBorder="1" applyAlignment="1">
      <alignment horizontal="center" vertical="center"/>
    </xf>
    <xf numFmtId="0" fontId="27" fillId="0" borderId="3" xfId="0" applyFont="1" applyBorder="1" applyAlignment="1">
      <alignment horizontal="center" vertical="center"/>
    </xf>
    <xf numFmtId="0" fontId="39" fillId="0" borderId="2" xfId="0" applyFont="1" applyBorder="1" applyAlignment="1">
      <alignment horizontal="left" vertical="center"/>
    </xf>
    <xf numFmtId="0" fontId="27" fillId="0" borderId="6" xfId="0" applyFont="1" applyBorder="1" applyAlignment="1">
      <alignment horizontal="center" vertical="center"/>
    </xf>
    <xf numFmtId="0" fontId="87" fillId="0" borderId="6" xfId="0" applyFont="1" applyFill="1" applyBorder="1" applyAlignment="1">
      <alignment horizontal="center" vertical="center"/>
    </xf>
    <xf numFmtId="0" fontId="87" fillId="0" borderId="4" xfId="0" applyFont="1" applyFill="1" applyBorder="1" applyAlignment="1">
      <alignment horizontal="center" vertical="center"/>
    </xf>
    <xf numFmtId="0" fontId="87" fillId="0" borderId="7" xfId="0" applyFont="1" applyFill="1" applyBorder="1" applyAlignment="1">
      <alignment horizontal="center" vertical="center"/>
    </xf>
    <xf numFmtId="0" fontId="39" fillId="0" borderId="6" xfId="0" applyFont="1" applyFill="1" applyBorder="1" applyAlignment="1">
      <alignment horizontal="center" vertical="center"/>
    </xf>
    <xf numFmtId="0" fontId="39" fillId="0" borderId="4" xfId="0" applyFont="1" applyFill="1" applyBorder="1" applyAlignment="1">
      <alignment horizontal="center" vertical="center"/>
    </xf>
    <xf numFmtId="0" fontId="39" fillId="0" borderId="7" xfId="0" applyFont="1" applyFill="1" applyBorder="1" applyAlignment="1">
      <alignment horizontal="center" vertical="center"/>
    </xf>
    <xf numFmtId="14" fontId="48" fillId="4" borderId="6" xfId="0" applyNumberFormat="1" applyFont="1" applyFill="1" applyBorder="1" applyAlignment="1">
      <alignment horizontal="center" vertical="center"/>
    </xf>
    <xf numFmtId="14" fontId="48" fillId="4" borderId="4" xfId="0" applyNumberFormat="1" applyFont="1" applyFill="1" applyBorder="1" applyAlignment="1">
      <alignment horizontal="center" vertical="center"/>
    </xf>
    <xf numFmtId="14" fontId="48" fillId="4" borderId="7" xfId="0" applyNumberFormat="1" applyFont="1" applyFill="1" applyBorder="1" applyAlignment="1">
      <alignment horizontal="center" vertical="center"/>
    </xf>
    <xf numFmtId="0" fontId="51" fillId="4" borderId="6" xfId="0" applyFont="1" applyFill="1" applyBorder="1" applyAlignment="1">
      <alignment horizontal="center" vertical="center"/>
    </xf>
    <xf numFmtId="0" fontId="51" fillId="4" borderId="4" xfId="0" applyFont="1" applyFill="1" applyBorder="1" applyAlignment="1">
      <alignment horizontal="center" vertical="center"/>
    </xf>
    <xf numFmtId="0" fontId="51" fillId="4" borderId="7" xfId="0" applyFont="1" applyFill="1" applyBorder="1" applyAlignment="1">
      <alignment horizontal="center" vertical="center"/>
    </xf>
    <xf numFmtId="0" fontId="48" fillId="4" borderId="2"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7" xfId="0" applyFont="1" applyFill="1" applyBorder="1" applyAlignment="1">
      <alignment horizontal="center" vertical="center"/>
    </xf>
    <xf numFmtId="0" fontId="27" fillId="0" borderId="0" xfId="0" applyFont="1" applyAlignment="1">
      <alignment horizontal="justify" vertical="center" wrapText="1"/>
    </xf>
    <xf numFmtId="0" fontId="27" fillId="0" borderId="0" xfId="0" quotePrefix="1" applyFont="1" applyAlignment="1">
      <alignment horizontal="justify" vertical="center" wrapText="1"/>
    </xf>
    <xf numFmtId="0" fontId="53" fillId="0" borderId="2" xfId="0" applyFont="1" applyBorder="1" applyAlignment="1">
      <alignment horizontal="center" vertical="top" wrapText="1"/>
    </xf>
    <xf numFmtId="0" fontId="27" fillId="0" borderId="2" xfId="0" quotePrefix="1" applyFont="1" applyBorder="1" applyAlignment="1">
      <alignment horizontal="right" vertical="center"/>
    </xf>
    <xf numFmtId="10" fontId="50" fillId="0" borderId="46" xfId="42" applyNumberFormat="1" applyFont="1" applyBorder="1" applyAlignment="1">
      <alignment horizontal="center" vertical="center" wrapText="1"/>
    </xf>
    <xf numFmtId="10" fontId="50" fillId="0" borderId="3" xfId="42" applyNumberFormat="1" applyFont="1" applyBorder="1" applyAlignment="1">
      <alignment horizontal="center" vertical="center" wrapText="1"/>
    </xf>
    <xf numFmtId="0" fontId="53" fillId="0" borderId="2" xfId="42" applyFont="1" applyBorder="1" applyAlignment="1">
      <alignment horizontal="center" vertical="center" wrapText="1"/>
    </xf>
    <xf numFmtId="0" fontId="50" fillId="0" borderId="2" xfId="42" applyFont="1" applyBorder="1" applyAlignment="1">
      <alignment horizontal="center" vertical="center" wrapText="1"/>
    </xf>
    <xf numFmtId="0" fontId="47" fillId="0" borderId="0" xfId="42" applyFont="1" applyFill="1" applyBorder="1" applyAlignment="1">
      <alignment horizontal="center" vertical="center"/>
    </xf>
    <xf numFmtId="0" fontId="48" fillId="7" borderId="2" xfId="42" applyFont="1" applyFill="1" applyBorder="1" applyAlignment="1">
      <alignment horizontal="center" vertical="center" wrapText="1"/>
    </xf>
    <xf numFmtId="14" fontId="48" fillId="3" borderId="2" xfId="42" applyNumberFormat="1" applyFont="1" applyFill="1" applyBorder="1" applyAlignment="1">
      <alignment horizontal="center" vertical="center"/>
    </xf>
    <xf numFmtId="0" fontId="53" fillId="7" borderId="2" xfId="42" applyFont="1" applyFill="1" applyBorder="1" applyAlignment="1">
      <alignment horizontal="center" vertical="center" wrapText="1"/>
    </xf>
    <xf numFmtId="0" fontId="54" fillId="0" borderId="2" xfId="42" applyFont="1" applyBorder="1" applyAlignment="1">
      <alignment horizontal="center" vertical="center" wrapText="1"/>
    </xf>
    <xf numFmtId="10" fontId="27" fillId="6" borderId="2" xfId="43" applyNumberFormat="1" applyFont="1" applyFill="1" applyBorder="1" applyAlignment="1">
      <alignment horizontal="center" vertical="center"/>
    </xf>
    <xf numFmtId="0" fontId="51" fillId="0" borderId="2" xfId="43" applyFont="1" applyBorder="1" applyAlignment="1">
      <alignment horizontal="center" vertical="center" wrapText="1"/>
    </xf>
    <xf numFmtId="0" fontId="49" fillId="0" borderId="2" xfId="42" applyFont="1" applyBorder="1" applyAlignment="1">
      <alignment horizontal="center" vertical="center" wrapText="1"/>
    </xf>
    <xf numFmtId="0" fontId="53" fillId="7" borderId="2" xfId="42" applyFont="1" applyFill="1" applyBorder="1" applyAlignment="1">
      <alignment horizontal="center" vertical="center"/>
    </xf>
    <xf numFmtId="0" fontId="46" fillId="0" borderId="2" xfId="42" applyFont="1" applyBorder="1" applyAlignment="1">
      <alignment horizontal="center"/>
    </xf>
    <xf numFmtId="0" fontId="46" fillId="8" borderId="2" xfId="42" applyFont="1" applyFill="1" applyBorder="1" applyAlignment="1">
      <alignment horizontal="center"/>
    </xf>
    <xf numFmtId="170" fontId="46" fillId="2" borderId="6" xfId="42" applyNumberFormat="1" applyFont="1" applyFill="1" applyBorder="1" applyAlignment="1">
      <alignment horizontal="right" vertical="center"/>
    </xf>
    <xf numFmtId="170" fontId="46" fillId="2" borderId="7" xfId="42" applyNumberFormat="1" applyFont="1" applyFill="1" applyBorder="1" applyAlignment="1">
      <alignment horizontal="right" vertical="center"/>
    </xf>
    <xf numFmtId="0" fontId="46" fillId="2" borderId="5" xfId="42" applyFont="1" applyFill="1" applyBorder="1" applyAlignment="1">
      <alignment horizontal="right" vertical="center"/>
    </xf>
    <xf numFmtId="0" fontId="46" fillId="2" borderId="58" xfId="42" applyFont="1" applyFill="1" applyBorder="1" applyAlignment="1">
      <alignment horizontal="right" vertical="center"/>
    </xf>
    <xf numFmtId="2" fontId="46" fillId="0" borderId="34" xfId="42" applyNumberFormat="1" applyFont="1" applyBorder="1" applyAlignment="1">
      <alignment horizontal="right" vertical="center"/>
    </xf>
    <xf numFmtId="2" fontId="46" fillId="0" borderId="62" xfId="42" applyNumberFormat="1" applyFont="1" applyBorder="1" applyAlignment="1">
      <alignment horizontal="right" vertical="center"/>
    </xf>
    <xf numFmtId="0" fontId="46" fillId="0" borderId="46" xfId="42" applyFont="1" applyBorder="1" applyAlignment="1">
      <alignment horizontal="center" vertical="center"/>
    </xf>
    <xf numFmtId="0" fontId="46" fillId="0" borderId="63" xfId="42" applyFont="1" applyBorder="1" applyAlignment="1">
      <alignment horizontal="center" vertical="center"/>
    </xf>
    <xf numFmtId="0" fontId="46" fillId="0" borderId="46" xfId="42" applyFont="1" applyBorder="1" applyAlignment="1">
      <alignment horizontal="center" vertical="center" wrapText="1"/>
    </xf>
    <xf numFmtId="0" fontId="46" fillId="0" borderId="63" xfId="42" applyFont="1" applyBorder="1" applyAlignment="1">
      <alignment horizontal="center" vertical="center" wrapText="1"/>
    </xf>
    <xf numFmtId="0" fontId="46" fillId="0" borderId="3" xfId="42" applyFont="1" applyBorder="1" applyAlignment="1">
      <alignment horizontal="center" vertical="center"/>
    </xf>
    <xf numFmtId="0" fontId="46" fillId="0" borderId="3" xfId="42" applyFont="1" applyBorder="1" applyAlignment="1">
      <alignment horizontal="center" vertical="center" wrapText="1"/>
    </xf>
    <xf numFmtId="0" fontId="30" fillId="0" borderId="38" xfId="8" applyFont="1" applyBorder="1" applyAlignment="1">
      <alignment horizontal="center" vertical="center" wrapText="1"/>
    </xf>
    <xf numFmtId="0" fontId="30" fillId="0" borderId="55" xfId="8" applyFont="1" applyBorder="1" applyAlignment="1">
      <alignment horizontal="center" vertical="center" wrapText="1"/>
    </xf>
    <xf numFmtId="0" fontId="68" fillId="0" borderId="0" xfId="0" applyFont="1" applyFill="1" applyBorder="1" applyAlignment="1">
      <alignment horizontal="justify" vertical="center" wrapText="1"/>
    </xf>
    <xf numFmtId="167" fontId="28" fillId="0" borderId="6" xfId="4" applyFont="1" applyBorder="1" applyAlignment="1">
      <alignment horizontal="center"/>
    </xf>
    <xf numFmtId="167" fontId="28" fillId="0" borderId="7" xfId="4" applyFont="1" applyBorder="1" applyAlignment="1">
      <alignment horizontal="center"/>
    </xf>
    <xf numFmtId="167" fontId="28" fillId="0" borderId="48" xfId="4" applyFont="1" applyBorder="1" applyAlignment="1">
      <alignment horizontal="center"/>
    </xf>
    <xf numFmtId="167" fontId="28" fillId="0" borderId="71" xfId="4" applyFont="1" applyBorder="1" applyAlignment="1">
      <alignment horizontal="center"/>
    </xf>
    <xf numFmtId="0" fontId="30" fillId="0" borderId="13" xfId="8" applyFont="1" applyFill="1" applyBorder="1" applyAlignment="1">
      <alignment horizontal="center" vertical="center" wrapText="1"/>
    </xf>
    <xf numFmtId="0" fontId="30" fillId="0" borderId="9" xfId="8" applyFont="1" applyFill="1" applyBorder="1" applyAlignment="1">
      <alignment horizontal="center" vertical="center" wrapText="1"/>
    </xf>
    <xf numFmtId="0" fontId="30" fillId="0" borderId="61" xfId="8" applyFont="1" applyFill="1" applyBorder="1" applyAlignment="1">
      <alignment horizontal="center" vertical="center" wrapText="1"/>
    </xf>
    <xf numFmtId="0" fontId="33" fillId="0" borderId="32" xfId="13" applyFont="1" applyBorder="1" applyAlignment="1">
      <alignment horizontal="center" vertical="center"/>
    </xf>
    <xf numFmtId="0" fontId="33" fillId="0" borderId="27" xfId="13" applyFont="1" applyBorder="1" applyAlignment="1">
      <alignment horizontal="center" vertical="center"/>
    </xf>
    <xf numFmtId="14" fontId="28" fillId="0" borderId="74" xfId="8" applyNumberFormat="1" applyFont="1" applyFill="1" applyBorder="1" applyAlignment="1">
      <alignment horizontal="center" vertical="center"/>
    </xf>
    <xf numFmtId="14" fontId="28" fillId="0" borderId="75" xfId="8" applyNumberFormat="1" applyFont="1" applyFill="1" applyBorder="1" applyAlignment="1">
      <alignment horizontal="center" vertical="center"/>
    </xf>
    <xf numFmtId="0" fontId="28" fillId="0" borderId="75" xfId="8" applyFont="1" applyFill="1" applyBorder="1" applyAlignment="1">
      <alignment horizontal="center" shrinkToFit="1"/>
    </xf>
    <xf numFmtId="0" fontId="30" fillId="0" borderId="84" xfId="8" applyFont="1" applyBorder="1" applyAlignment="1">
      <alignment horizontal="center" vertical="center" wrapText="1"/>
    </xf>
    <xf numFmtId="0" fontId="30" fillId="0" borderId="85" xfId="8" applyFont="1" applyBorder="1" applyAlignment="1">
      <alignment horizontal="center" vertical="center" wrapText="1"/>
    </xf>
    <xf numFmtId="165" fontId="30" fillId="0" borderId="28" xfId="6" applyFont="1" applyFill="1" applyBorder="1" applyAlignment="1">
      <alignment horizontal="center" vertical="center"/>
    </xf>
    <xf numFmtId="165" fontId="30" fillId="0" borderId="29" xfId="6" applyFont="1" applyFill="1" applyBorder="1" applyAlignment="1">
      <alignment horizontal="center" vertical="center"/>
    </xf>
    <xf numFmtId="0" fontId="30" fillId="0" borderId="35" xfId="8" applyFont="1" applyBorder="1" applyAlignment="1">
      <alignment horizontal="center" vertical="center"/>
    </xf>
    <xf numFmtId="0" fontId="33" fillId="0" borderId="38" xfId="13" applyFont="1" applyBorder="1" applyAlignment="1">
      <alignment horizontal="center" vertical="center" shrinkToFit="1"/>
    </xf>
    <xf numFmtId="0" fontId="33" fillId="0" borderId="55" xfId="13" applyFont="1" applyBorder="1" applyAlignment="1">
      <alignment horizontal="center" vertical="center" shrinkToFit="1"/>
    </xf>
    <xf numFmtId="2" fontId="30" fillId="0" borderId="62" xfId="0" applyNumberFormat="1" applyFont="1" applyFill="1" applyBorder="1" applyAlignment="1">
      <alignment horizontal="left" vertical="center"/>
    </xf>
    <xf numFmtId="2" fontId="30" fillId="0" borderId="56" xfId="0" applyNumberFormat="1" applyFont="1" applyFill="1" applyBorder="1" applyAlignment="1">
      <alignment horizontal="left" vertical="center"/>
    </xf>
    <xf numFmtId="2" fontId="30" fillId="0" borderId="57" xfId="0" applyNumberFormat="1" applyFont="1" applyFill="1" applyBorder="1" applyAlignment="1">
      <alignment horizontal="left" vertical="center"/>
    </xf>
    <xf numFmtId="0" fontId="30" fillId="2" borderId="11" xfId="0" applyFont="1" applyFill="1" applyBorder="1" applyAlignment="1">
      <alignment horizontal="right" vertical="center"/>
    </xf>
    <xf numFmtId="0" fontId="30" fillId="2" borderId="4" xfId="0" applyFont="1" applyFill="1" applyBorder="1" applyAlignment="1">
      <alignment horizontal="right" vertical="center"/>
    </xf>
    <xf numFmtId="0" fontId="30" fillId="2" borderId="7" xfId="0" applyFont="1" applyFill="1" applyBorder="1" applyAlignment="1">
      <alignment horizontal="right" vertical="center"/>
    </xf>
    <xf numFmtId="170" fontId="68" fillId="0" borderId="42" xfId="0" applyNumberFormat="1" applyFont="1" applyFill="1" applyBorder="1" applyAlignment="1">
      <alignment horizontal="center" vertical="center"/>
    </xf>
    <xf numFmtId="170" fontId="68" fillId="0" borderId="12" xfId="0" applyNumberFormat="1" applyFont="1" applyFill="1" applyBorder="1" applyAlignment="1">
      <alignment horizontal="center" vertical="center"/>
    </xf>
    <xf numFmtId="170" fontId="68" fillId="0" borderId="29" xfId="0" applyNumberFormat="1" applyFont="1" applyFill="1" applyBorder="1" applyAlignment="1">
      <alignment horizontal="center" vertical="center"/>
    </xf>
    <xf numFmtId="170" fontId="68" fillId="0" borderId="23" xfId="0" applyNumberFormat="1" applyFont="1" applyFill="1" applyBorder="1" applyAlignment="1">
      <alignment horizontal="center" vertical="center" wrapText="1"/>
    </xf>
    <xf numFmtId="170" fontId="68" fillId="0" borderId="24" xfId="0" applyNumberFormat="1" applyFont="1" applyFill="1" applyBorder="1" applyAlignment="1">
      <alignment horizontal="center" vertical="center" wrapText="1"/>
    </xf>
    <xf numFmtId="170" fontId="68" fillId="0" borderId="91" xfId="0" applyNumberFormat="1" applyFont="1" applyFill="1" applyBorder="1" applyAlignment="1">
      <alignment horizontal="center" vertical="center" wrapText="1"/>
    </xf>
    <xf numFmtId="170" fontId="30" fillId="12" borderId="43" xfId="0" applyNumberFormat="1" applyFont="1" applyFill="1" applyBorder="1" applyAlignment="1">
      <alignment horizontal="center" vertical="center"/>
    </xf>
    <xf numFmtId="170" fontId="30" fillId="12" borderId="56" xfId="0" applyNumberFormat="1" applyFont="1" applyFill="1" applyBorder="1" applyAlignment="1">
      <alignment horizontal="center" vertical="center"/>
    </xf>
    <xf numFmtId="170" fontId="30" fillId="12" borderId="57" xfId="0" applyNumberFormat="1" applyFont="1" applyFill="1" applyBorder="1" applyAlignment="1">
      <alignment horizontal="center" vertical="center"/>
    </xf>
    <xf numFmtId="170" fontId="30" fillId="11" borderId="43" xfId="0" applyNumberFormat="1" applyFont="1" applyFill="1" applyBorder="1" applyAlignment="1">
      <alignment horizontal="center" vertical="center"/>
    </xf>
    <xf numFmtId="170" fontId="30" fillId="11" borderId="56" xfId="0" applyNumberFormat="1" applyFont="1" applyFill="1" applyBorder="1" applyAlignment="1">
      <alignment horizontal="center" vertical="center"/>
    </xf>
    <xf numFmtId="170" fontId="30" fillId="11" borderId="57" xfId="0" applyNumberFormat="1" applyFont="1" applyFill="1" applyBorder="1" applyAlignment="1">
      <alignment horizontal="center" vertical="center"/>
    </xf>
    <xf numFmtId="0" fontId="68" fillId="0" borderId="0" xfId="0" applyFont="1" applyFill="1" applyBorder="1" applyAlignment="1">
      <alignment horizontal="left" vertical="center" wrapText="1"/>
    </xf>
    <xf numFmtId="0" fontId="28" fillId="0" borderId="14" xfId="8" applyFont="1" applyBorder="1" applyAlignment="1">
      <alignment horizontal="left" vertical="center"/>
    </xf>
    <xf numFmtId="0" fontId="28" fillId="0" borderId="16" xfId="8" applyFont="1" applyBorder="1" applyAlignment="1">
      <alignment horizontal="left" vertical="center"/>
    </xf>
    <xf numFmtId="0" fontId="28" fillId="0" borderId="15" xfId="8" applyFont="1" applyBorder="1" applyAlignment="1">
      <alignment horizontal="left" vertical="center"/>
    </xf>
    <xf numFmtId="0" fontId="28" fillId="0" borderId="13" xfId="8" applyFont="1" applyBorder="1" applyAlignment="1">
      <alignment horizontal="left" vertical="center"/>
    </xf>
    <xf numFmtId="0" fontId="28" fillId="0" borderId="9" xfId="8" applyFont="1" applyBorder="1" applyAlignment="1">
      <alignment horizontal="left" vertical="center"/>
    </xf>
    <xf numFmtId="0" fontId="28" fillId="0" borderId="78" xfId="8" applyFont="1" applyBorder="1" applyAlignment="1">
      <alignment horizontal="left" vertical="center"/>
    </xf>
    <xf numFmtId="165" fontId="30" fillId="0" borderId="72" xfId="6" applyFont="1" applyFill="1" applyBorder="1" applyAlignment="1">
      <alignment horizontal="center" vertical="center"/>
    </xf>
    <xf numFmtId="165" fontId="30" fillId="0" borderId="31" xfId="6" applyFont="1" applyFill="1" applyBorder="1" applyAlignment="1">
      <alignment horizontal="center" vertical="center"/>
    </xf>
    <xf numFmtId="0" fontId="30" fillId="3" borderId="34" xfId="8" applyFont="1" applyFill="1" applyBorder="1" applyAlignment="1">
      <alignment horizontal="center" vertical="center"/>
    </xf>
    <xf numFmtId="0" fontId="30" fillId="3" borderId="35" xfId="8" applyFont="1" applyFill="1" applyBorder="1" applyAlignment="1">
      <alignment horizontal="center" vertical="center"/>
    </xf>
    <xf numFmtId="0" fontId="30" fillId="3" borderId="36" xfId="8" applyFont="1" applyFill="1" applyBorder="1" applyAlignment="1">
      <alignment horizontal="center" vertical="center"/>
    </xf>
    <xf numFmtId="165" fontId="30" fillId="0" borderId="3" xfId="6" applyFont="1" applyFill="1" applyBorder="1" applyAlignment="1">
      <alignment horizontal="center" vertical="center"/>
    </xf>
    <xf numFmtId="165" fontId="30" fillId="0" borderId="54" xfId="6" applyFont="1" applyFill="1" applyBorder="1" applyAlignment="1">
      <alignment horizontal="center" vertical="center"/>
    </xf>
    <xf numFmtId="0" fontId="28" fillId="0" borderId="21" xfId="8" applyFont="1" applyBorder="1" applyAlignment="1">
      <alignment horizontal="left" vertical="center"/>
    </xf>
    <xf numFmtId="0" fontId="28" fillId="0" borderId="22" xfId="8" applyFont="1" applyBorder="1" applyAlignment="1">
      <alignment horizontal="left" vertical="center"/>
    </xf>
    <xf numFmtId="0" fontId="30" fillId="0" borderId="53" xfId="8" applyFont="1" applyFill="1" applyBorder="1" applyAlignment="1">
      <alignment horizontal="center" vertical="center"/>
    </xf>
    <xf numFmtId="0" fontId="30" fillId="0" borderId="3" xfId="8" applyFont="1" applyFill="1" applyBorder="1" applyAlignment="1">
      <alignment horizontal="center" vertical="center"/>
    </xf>
    <xf numFmtId="0" fontId="30" fillId="3" borderId="43" xfId="8" applyFont="1" applyFill="1" applyBorder="1" applyAlignment="1">
      <alignment horizontal="center" vertical="center"/>
    </xf>
    <xf numFmtId="0" fontId="30" fillId="3" borderId="56" xfId="8" applyFont="1" applyFill="1" applyBorder="1" applyAlignment="1">
      <alignment horizontal="center" vertical="center"/>
    </xf>
    <xf numFmtId="0" fontId="30" fillId="3" borderId="57" xfId="8" applyFont="1" applyFill="1" applyBorder="1" applyAlignment="1">
      <alignment horizontal="center" vertical="center"/>
    </xf>
    <xf numFmtId="0" fontId="30" fillId="0" borderId="27" xfId="8" applyFont="1" applyFill="1" applyBorder="1" applyAlignment="1">
      <alignment horizontal="center" vertical="center"/>
    </xf>
    <xf numFmtId="0" fontId="30" fillId="0" borderId="55" xfId="8" applyFont="1" applyFill="1" applyBorder="1" applyAlignment="1">
      <alignment horizontal="center" vertical="center"/>
    </xf>
    <xf numFmtId="0" fontId="30" fillId="0" borderId="34" xfId="8" applyFont="1" applyBorder="1" applyAlignment="1">
      <alignment horizontal="center" vertical="center"/>
    </xf>
    <xf numFmtId="0" fontId="30" fillId="0" borderId="36" xfId="8" applyFont="1" applyBorder="1" applyAlignment="1">
      <alignment horizontal="center" vertical="center"/>
    </xf>
    <xf numFmtId="0" fontId="30" fillId="0" borderId="35" xfId="8" applyNumberFormat="1" applyFont="1" applyBorder="1" applyAlignment="1">
      <alignment horizontal="center" vertical="center"/>
    </xf>
    <xf numFmtId="10" fontId="28" fillId="0" borderId="75" xfId="28" applyNumberFormat="1" applyFont="1" applyBorder="1" applyAlignment="1" applyProtection="1">
      <alignment horizontal="center" vertical="center"/>
    </xf>
    <xf numFmtId="0" fontId="33" fillId="0" borderId="34" xfId="13" applyFont="1" applyBorder="1" applyAlignment="1">
      <alignment horizontal="center" vertical="center"/>
    </xf>
    <xf numFmtId="0" fontId="33" fillId="0" borderId="35" xfId="13" applyFont="1" applyBorder="1" applyAlignment="1">
      <alignment horizontal="center" vertical="center"/>
    </xf>
    <xf numFmtId="165" fontId="30" fillId="0" borderId="55" xfId="6" applyFont="1" applyFill="1" applyBorder="1" applyAlignment="1">
      <alignment horizontal="center" vertical="center"/>
    </xf>
    <xf numFmtId="165" fontId="30" fillId="0" borderId="39" xfId="6" applyFont="1" applyFill="1" applyBorder="1" applyAlignment="1">
      <alignment horizontal="center" vertical="center"/>
    </xf>
    <xf numFmtId="2" fontId="30" fillId="2" borderId="62" xfId="0" applyNumberFormat="1" applyFont="1" applyFill="1" applyBorder="1" applyAlignment="1">
      <alignment horizontal="left" vertical="center"/>
    </xf>
    <xf numFmtId="2" fontId="30" fillId="2" borderId="56" xfId="0" applyNumberFormat="1" applyFont="1" applyFill="1" applyBorder="1" applyAlignment="1">
      <alignment horizontal="left" vertical="center"/>
    </xf>
    <xf numFmtId="2" fontId="30" fillId="2" borderId="57" xfId="0" applyNumberFormat="1" applyFont="1" applyFill="1" applyBorder="1" applyAlignment="1">
      <alignment horizontal="left" vertical="center"/>
    </xf>
    <xf numFmtId="0" fontId="36" fillId="14" borderId="74" xfId="13" applyFont="1" applyFill="1" applyBorder="1" applyAlignment="1" applyProtection="1">
      <alignment horizontal="center" vertical="center" shrinkToFit="1"/>
      <protection locked="0"/>
    </xf>
    <xf numFmtId="0" fontId="36" fillId="14" borderId="75" xfId="13" applyFont="1" applyFill="1" applyBorder="1" applyAlignment="1" applyProtection="1">
      <alignment horizontal="center" vertical="center" shrinkToFit="1"/>
      <protection locked="0"/>
    </xf>
    <xf numFmtId="0" fontId="30" fillId="6" borderId="62" xfId="8" applyFont="1" applyFill="1" applyBorder="1" applyAlignment="1">
      <alignment horizontal="center" vertical="center"/>
    </xf>
    <xf numFmtId="0" fontId="30" fillId="6" borderId="57" xfId="8" applyFont="1" applyFill="1" applyBorder="1" applyAlignment="1">
      <alignment horizontal="center" vertical="center"/>
    </xf>
    <xf numFmtId="0" fontId="30" fillId="0" borderId="0" xfId="49" applyFont="1" applyAlignment="1" applyProtection="1">
      <alignment horizontal="left" vertical="center"/>
      <protection locked="0"/>
    </xf>
    <xf numFmtId="165" fontId="30" fillId="0" borderId="43" xfId="50" applyFont="1" applyBorder="1" applyAlignment="1">
      <alignment horizontal="center" vertical="center"/>
    </xf>
    <xf numFmtId="165" fontId="30" fillId="0" borderId="56" xfId="50" applyFont="1" applyBorder="1" applyAlignment="1">
      <alignment horizontal="center" vertical="center"/>
    </xf>
    <xf numFmtId="165" fontId="30" fillId="0" borderId="57" xfId="50" applyFont="1" applyBorder="1" applyAlignment="1">
      <alignment horizontal="center" vertical="center"/>
    </xf>
    <xf numFmtId="0" fontId="33" fillId="0" borderId="73" xfId="13" applyFont="1" applyBorder="1" applyAlignment="1">
      <alignment horizontal="center" vertical="center" wrapText="1" shrinkToFit="1"/>
    </xf>
    <xf numFmtId="0" fontId="33" fillId="0" borderId="45" xfId="13" applyFont="1" applyBorder="1" applyAlignment="1">
      <alignment horizontal="center" vertical="center" wrapText="1" shrinkToFit="1"/>
    </xf>
    <xf numFmtId="0" fontId="28" fillId="0" borderId="32" xfId="8" applyFont="1" applyBorder="1" applyAlignment="1">
      <alignment horizontal="right" vertical="center"/>
    </xf>
    <xf numFmtId="0" fontId="28" fillId="0" borderId="72" xfId="8" applyFont="1" applyBorder="1" applyAlignment="1">
      <alignment horizontal="right" vertical="center"/>
    </xf>
    <xf numFmtId="0" fontId="28" fillId="0" borderId="27" xfId="8" applyFont="1" applyBorder="1" applyAlignment="1">
      <alignment horizontal="right" vertical="center"/>
    </xf>
    <xf numFmtId="0" fontId="28" fillId="0" borderId="28" xfId="8" applyFont="1" applyBorder="1" applyAlignment="1">
      <alignment horizontal="right" vertical="center"/>
    </xf>
    <xf numFmtId="0" fontId="28" fillId="0" borderId="10" xfId="8" applyFont="1" applyBorder="1" applyAlignment="1">
      <alignment horizontal="center" vertical="center" shrinkToFit="1"/>
    </xf>
    <xf numFmtId="0" fontId="28" fillId="0" borderId="31" xfId="8" applyFont="1" applyBorder="1" applyAlignment="1">
      <alignment horizontal="center" vertical="center" shrinkToFit="1"/>
    </xf>
    <xf numFmtId="14" fontId="28" fillId="0" borderId="11" xfId="8" applyNumberFormat="1" applyFont="1" applyBorder="1" applyAlignment="1" applyProtection="1">
      <alignment horizontal="center" vertical="center"/>
      <protection locked="0"/>
    </xf>
    <xf numFmtId="14" fontId="28" fillId="0" borderId="26" xfId="8" applyNumberFormat="1" applyFont="1" applyBorder="1" applyAlignment="1" applyProtection="1">
      <alignment horizontal="center" vertical="center"/>
      <protection locked="0"/>
    </xf>
    <xf numFmtId="170" fontId="28" fillId="0" borderId="11" xfId="8" applyNumberFormat="1" applyFont="1" applyBorder="1" applyAlignment="1" applyProtection="1">
      <alignment horizontal="center" vertical="center"/>
      <protection locked="0"/>
    </xf>
    <xf numFmtId="170" fontId="28" fillId="0" borderId="26" xfId="8" applyNumberFormat="1" applyFont="1" applyBorder="1" applyAlignment="1" applyProtection="1">
      <alignment horizontal="center" vertical="center"/>
      <protection locked="0"/>
    </xf>
    <xf numFmtId="14" fontId="28" fillId="14" borderId="11" xfId="8" applyNumberFormat="1" applyFont="1" applyFill="1" applyBorder="1" applyAlignment="1" applyProtection="1">
      <alignment horizontal="center" vertical="center"/>
      <protection locked="0"/>
    </xf>
    <xf numFmtId="14" fontId="28" fillId="14" borderId="26" xfId="8" applyNumberFormat="1" applyFont="1" applyFill="1" applyBorder="1" applyAlignment="1" applyProtection="1">
      <alignment horizontal="center" vertical="center"/>
      <protection locked="0"/>
    </xf>
    <xf numFmtId="49" fontId="28" fillId="0" borderId="11" xfId="8" quotePrefix="1" applyNumberFormat="1" applyFont="1" applyBorder="1" applyAlignment="1" applyProtection="1">
      <alignment horizontal="center" vertical="center"/>
      <protection locked="0"/>
    </xf>
    <xf numFmtId="49" fontId="28" fillId="0" borderId="26" xfId="8" quotePrefix="1" applyNumberFormat="1" applyFont="1" applyBorder="1" applyAlignment="1" applyProtection="1">
      <alignment horizontal="center" vertical="center"/>
      <protection locked="0"/>
    </xf>
    <xf numFmtId="0" fontId="34" fillId="0" borderId="86" xfId="13" applyFont="1" applyBorder="1" applyAlignment="1">
      <alignment horizontal="center" vertical="center"/>
    </xf>
    <xf numFmtId="0" fontId="34" fillId="0" borderId="87" xfId="13" applyFont="1" applyBorder="1" applyAlignment="1">
      <alignment horizontal="center" vertical="center"/>
    </xf>
    <xf numFmtId="0" fontId="28" fillId="0" borderId="14" xfId="49" applyFont="1" applyBorder="1" applyAlignment="1">
      <alignment horizontal="center" vertical="center"/>
    </xf>
    <xf numFmtId="0" fontId="28" fillId="0" borderId="87" xfId="49" applyFont="1" applyBorder="1" applyAlignment="1">
      <alignment horizontal="center" vertical="center"/>
    </xf>
    <xf numFmtId="14" fontId="30" fillId="0" borderId="11" xfId="8" applyNumberFormat="1" applyFont="1" applyFill="1" applyBorder="1" applyAlignment="1" applyProtection="1">
      <alignment horizontal="center" vertical="center"/>
      <protection locked="0"/>
    </xf>
    <xf numFmtId="14" fontId="30" fillId="0" borderId="26" xfId="8" applyNumberFormat="1" applyFont="1" applyFill="1" applyBorder="1" applyAlignment="1" applyProtection="1">
      <alignment horizontal="center" vertical="center"/>
      <protection locked="0"/>
    </xf>
    <xf numFmtId="0" fontId="28" fillId="0" borderId="21" xfId="8" applyFont="1" applyBorder="1" applyAlignment="1" applyProtection="1">
      <alignment horizontal="center" vertical="center"/>
      <protection locked="0"/>
    </xf>
    <xf numFmtId="0" fontId="28" fillId="0" borderId="82" xfId="8" applyFont="1" applyBorder="1" applyAlignment="1" applyProtection="1">
      <alignment horizontal="center" vertical="center"/>
      <protection locked="0"/>
    </xf>
    <xf numFmtId="170" fontId="28" fillId="0" borderId="42" xfId="8" applyNumberFormat="1" applyFont="1" applyBorder="1" applyAlignment="1" applyProtection="1">
      <alignment horizontal="center" vertical="center"/>
      <protection locked="0"/>
    </xf>
    <xf numFmtId="170" fontId="28" fillId="0" borderId="29" xfId="8" applyNumberFormat="1" applyFont="1" applyBorder="1" applyAlignment="1" applyProtection="1">
      <alignment horizontal="center" vertical="center"/>
      <protection locked="0"/>
    </xf>
    <xf numFmtId="14" fontId="37" fillId="0" borderId="11" xfId="49" applyNumberFormat="1" applyFont="1" applyBorder="1" applyAlignment="1" applyProtection="1">
      <alignment horizontal="center" vertical="center"/>
      <protection locked="0"/>
    </xf>
    <xf numFmtId="14" fontId="37" fillId="0" borderId="26" xfId="49" applyNumberFormat="1" applyFont="1" applyBorder="1" applyAlignment="1" applyProtection="1">
      <alignment horizontal="center" vertical="center"/>
      <protection locked="0"/>
    </xf>
    <xf numFmtId="20" fontId="28" fillId="0" borderId="11" xfId="8" applyNumberFormat="1" applyFont="1" applyBorder="1" applyAlignment="1" applyProtection="1">
      <alignment horizontal="center" vertical="center"/>
      <protection locked="0"/>
    </xf>
    <xf numFmtId="20" fontId="28" fillId="0" borderId="26" xfId="8" applyNumberFormat="1" applyFont="1" applyBorder="1" applyAlignment="1" applyProtection="1">
      <alignment horizontal="center" vertical="center"/>
      <protection locked="0"/>
    </xf>
    <xf numFmtId="0" fontId="33" fillId="0" borderId="89" xfId="13" applyFont="1" applyBorder="1" applyAlignment="1">
      <alignment horizontal="center" vertical="center" wrapText="1"/>
    </xf>
    <xf numFmtId="0" fontId="33" fillId="0" borderId="74" xfId="13" applyFont="1" applyBorder="1" applyAlignment="1">
      <alignment horizontal="center" vertical="center" wrapText="1"/>
    </xf>
    <xf numFmtId="0" fontId="28" fillId="0" borderId="23" xfId="49" applyFont="1" applyBorder="1" applyAlignment="1">
      <alignment horizontal="center" vertical="center"/>
    </xf>
    <xf numFmtId="0" fontId="28" fillId="0" borderId="58" xfId="49" applyFont="1" applyBorder="1" applyAlignment="1">
      <alignment horizontal="center" vertical="center"/>
    </xf>
    <xf numFmtId="0" fontId="34" fillId="0" borderId="5" xfId="13" applyFont="1" applyBorder="1" applyAlignment="1">
      <alignment horizontal="center" vertical="center"/>
    </xf>
    <xf numFmtId="0" fontId="34" fillId="0" borderId="58" xfId="13" applyFont="1" applyBorder="1" applyAlignment="1">
      <alignment horizontal="center" vertical="center"/>
    </xf>
    <xf numFmtId="0" fontId="28" fillId="0" borderId="11" xfId="49" applyFont="1" applyBorder="1" applyAlignment="1">
      <alignment horizontal="center" vertical="center"/>
    </xf>
    <xf numFmtId="0" fontId="28" fillId="0" borderId="7" xfId="49" applyFont="1" applyBorder="1" applyAlignment="1">
      <alignment horizontal="center" vertical="center"/>
    </xf>
    <xf numFmtId="0" fontId="33" fillId="0" borderId="0" xfId="13" applyFont="1" applyAlignment="1">
      <alignment horizontal="center"/>
    </xf>
    <xf numFmtId="0" fontId="30" fillId="0" borderId="16" xfId="8" applyFont="1" applyBorder="1" applyAlignment="1">
      <alignment horizontal="left" wrapText="1"/>
    </xf>
    <xf numFmtId="0" fontId="32" fillId="0" borderId="11" xfId="8" applyFont="1" applyBorder="1" applyAlignment="1">
      <alignment horizontal="left" vertical="center"/>
    </xf>
    <xf numFmtId="0" fontId="32" fillId="0" borderId="4" xfId="8" applyFont="1" applyBorder="1" applyAlignment="1">
      <alignment horizontal="left" vertical="center"/>
    </xf>
    <xf numFmtId="0" fontId="32" fillId="0" borderId="26" xfId="8" applyFont="1" applyBorder="1" applyAlignment="1">
      <alignment horizontal="left" vertical="center"/>
    </xf>
    <xf numFmtId="0" fontId="36" fillId="14" borderId="13" xfId="13" applyFont="1" applyFill="1" applyBorder="1" applyAlignment="1">
      <alignment horizontal="center"/>
    </xf>
    <xf numFmtId="0" fontId="36" fillId="14" borderId="9" xfId="13" applyFont="1" applyFill="1" applyBorder="1" applyAlignment="1">
      <alignment horizontal="center"/>
    </xf>
    <xf numFmtId="0" fontId="36" fillId="14" borderId="78" xfId="13" applyFont="1" applyFill="1" applyBorder="1" applyAlignment="1">
      <alignment horizontal="center"/>
    </xf>
    <xf numFmtId="0" fontId="30" fillId="0" borderId="33" xfId="8" applyFont="1" applyBorder="1" applyAlignment="1">
      <alignment horizontal="center" vertical="center" wrapText="1"/>
    </xf>
    <xf numFmtId="0" fontId="30" fillId="0" borderId="39" xfId="8" applyFont="1" applyBorder="1" applyAlignment="1">
      <alignment horizontal="center" vertical="center" wrapText="1"/>
    </xf>
    <xf numFmtId="170" fontId="68" fillId="2" borderId="23" xfId="0" applyNumberFormat="1" applyFont="1" applyFill="1" applyBorder="1" applyAlignment="1">
      <alignment horizontal="center" vertical="center" wrapText="1"/>
    </xf>
    <xf numFmtId="170" fontId="68" fillId="2" borderId="24" xfId="0" applyNumberFormat="1" applyFont="1" applyFill="1" applyBorder="1" applyAlignment="1">
      <alignment horizontal="center" vertical="center" wrapText="1"/>
    </xf>
    <xf numFmtId="170" fontId="68" fillId="2" borderId="91" xfId="0" applyNumberFormat="1" applyFont="1" applyFill="1" applyBorder="1" applyAlignment="1">
      <alignment horizontal="center" vertical="center" wrapText="1"/>
    </xf>
    <xf numFmtId="170" fontId="68" fillId="2" borderId="18" xfId="0" applyNumberFormat="1" applyFont="1" applyFill="1" applyBorder="1" applyAlignment="1">
      <alignment horizontal="center" vertical="center" wrapText="1"/>
    </xf>
    <xf numFmtId="170" fontId="68" fillId="2" borderId="0" xfId="0" applyNumberFormat="1" applyFont="1" applyFill="1" applyBorder="1" applyAlignment="1">
      <alignment horizontal="center" vertical="center" wrapText="1"/>
    </xf>
    <xf numFmtId="170" fontId="68" fillId="2" borderId="77" xfId="0" applyNumberFormat="1" applyFont="1" applyFill="1" applyBorder="1" applyAlignment="1">
      <alignment horizontal="center" vertical="center" wrapText="1"/>
    </xf>
    <xf numFmtId="170" fontId="30" fillId="2" borderId="43" xfId="0" applyNumberFormat="1" applyFont="1" applyFill="1" applyBorder="1" applyAlignment="1">
      <alignment horizontal="right" vertical="center"/>
    </xf>
    <xf numFmtId="170" fontId="30" fillId="2" borderId="56" xfId="0" applyNumberFormat="1" applyFont="1" applyFill="1" applyBorder="1" applyAlignment="1">
      <alignment horizontal="right" vertical="center"/>
    </xf>
    <xf numFmtId="170" fontId="30" fillId="2" borderId="44" xfId="0" applyNumberFormat="1" applyFont="1" applyFill="1" applyBorder="1" applyAlignment="1">
      <alignment horizontal="right" vertical="center"/>
    </xf>
    <xf numFmtId="14" fontId="30" fillId="0" borderId="35" xfId="8" applyNumberFormat="1" applyFont="1" applyBorder="1" applyAlignment="1">
      <alignment horizontal="center" vertical="center"/>
    </xf>
    <xf numFmtId="14" fontId="30" fillId="0" borderId="36" xfId="8" applyNumberFormat="1" applyFont="1" applyBorder="1" applyAlignment="1">
      <alignment horizontal="center" vertical="center"/>
    </xf>
    <xf numFmtId="14" fontId="30" fillId="0" borderId="34" xfId="8" applyNumberFormat="1" applyFont="1" applyBorder="1" applyAlignment="1">
      <alignment horizontal="center" vertical="center"/>
    </xf>
    <xf numFmtId="170" fontId="30" fillId="0" borderId="43" xfId="0" applyNumberFormat="1" applyFont="1" applyFill="1" applyBorder="1" applyAlignment="1">
      <alignment horizontal="right" vertical="center"/>
    </xf>
    <xf numFmtId="170" fontId="30" fillId="0" borderId="56" xfId="0" applyNumberFormat="1" applyFont="1" applyFill="1" applyBorder="1" applyAlignment="1">
      <alignment horizontal="right" vertical="center"/>
    </xf>
    <xf numFmtId="170" fontId="30" fillId="0" borderId="44" xfId="0" applyNumberFormat="1" applyFont="1" applyFill="1" applyBorder="1" applyAlignment="1">
      <alignment horizontal="right" vertical="center"/>
    </xf>
    <xf numFmtId="2" fontId="30" fillId="0" borderId="62" xfId="0" applyNumberFormat="1" applyFont="1" applyBorder="1" applyAlignment="1">
      <alignment horizontal="left" vertical="center"/>
    </xf>
    <xf numFmtId="2" fontId="30" fillId="0" borderId="56" xfId="0" applyNumberFormat="1" applyFont="1" applyBorder="1" applyAlignment="1">
      <alignment horizontal="left" vertical="center"/>
    </xf>
    <xf numFmtId="2" fontId="30" fillId="0" borderId="43" xfId="0" applyNumberFormat="1" applyFont="1" applyBorder="1" applyAlignment="1">
      <alignment horizontal="right" vertical="center"/>
    </xf>
    <xf numFmtId="2" fontId="30" fillId="0" borderId="56" xfId="0" applyNumberFormat="1" applyFont="1" applyBorder="1" applyAlignment="1">
      <alignment horizontal="right" vertical="center"/>
    </xf>
    <xf numFmtId="2" fontId="30" fillId="0" borderId="44" xfId="0" applyNumberFormat="1" applyFont="1" applyBorder="1" applyAlignment="1">
      <alignment horizontal="right" vertical="center"/>
    </xf>
    <xf numFmtId="0" fontId="34" fillId="0" borderId="6" xfId="13" applyFont="1" applyBorder="1" applyAlignment="1">
      <alignment horizontal="center" vertical="center"/>
    </xf>
    <xf numFmtId="0" fontId="34" fillId="0" borderId="7" xfId="13" applyFont="1" applyBorder="1" applyAlignment="1">
      <alignment horizontal="center" vertical="center"/>
    </xf>
    <xf numFmtId="0" fontId="28" fillId="0" borderId="13" xfId="49" applyFont="1" applyBorder="1" applyAlignment="1">
      <alignment horizontal="center" vertical="center"/>
    </xf>
    <xf numFmtId="0" fontId="28" fillId="0" borderId="61" xfId="49" applyFont="1" applyBorder="1" applyAlignment="1">
      <alignment horizontal="center" vertical="center"/>
    </xf>
    <xf numFmtId="0" fontId="34" fillId="0" borderId="88" xfId="13" applyFont="1" applyBorder="1" applyAlignment="1">
      <alignment horizontal="center" vertical="center"/>
    </xf>
    <xf numFmtId="0" fontId="34" fillId="0" borderId="61" xfId="13" applyFont="1" applyBorder="1" applyAlignment="1">
      <alignment horizontal="center" vertical="center"/>
    </xf>
    <xf numFmtId="0" fontId="28" fillId="0" borderId="18" xfId="8" applyFont="1" applyBorder="1" applyAlignment="1">
      <alignment horizontal="left" vertical="center"/>
    </xf>
    <xf numFmtId="0" fontId="28" fillId="0" borderId="0" xfId="8" applyFont="1" applyBorder="1" applyAlignment="1">
      <alignment horizontal="left" vertical="center"/>
    </xf>
    <xf numFmtId="0" fontId="28" fillId="0" borderId="77" xfId="8" applyFont="1" applyBorder="1" applyAlignment="1">
      <alignment horizontal="left" vertical="center"/>
    </xf>
    <xf numFmtId="0" fontId="32" fillId="0" borderId="21" xfId="8" applyFont="1" applyBorder="1" applyAlignment="1">
      <alignment horizontal="left" vertical="center"/>
    </xf>
    <xf numFmtId="0" fontId="32" fillId="0" borderId="22" xfId="8" applyFont="1" applyBorder="1" applyAlignment="1">
      <alignment horizontal="left" vertical="center"/>
    </xf>
    <xf numFmtId="0" fontId="32" fillId="0" borderId="82" xfId="8" applyFont="1" applyBorder="1" applyAlignment="1">
      <alignment horizontal="left" vertical="center"/>
    </xf>
    <xf numFmtId="0" fontId="34" fillId="0" borderId="62" xfId="13" applyFont="1" applyBorder="1" applyAlignment="1">
      <alignment horizontal="center" vertical="center"/>
    </xf>
    <xf numFmtId="0" fontId="34" fillId="0" borderId="44" xfId="13" applyFont="1" applyBorder="1" applyAlignment="1">
      <alignment horizontal="center" vertical="center"/>
    </xf>
    <xf numFmtId="0" fontId="31" fillId="3" borderId="14" xfId="8" applyFont="1" applyFill="1" applyBorder="1" applyAlignment="1">
      <alignment horizontal="center" vertical="center"/>
    </xf>
    <xf numFmtId="0" fontId="31" fillId="3" borderId="16" xfId="8" applyFont="1" applyFill="1" applyBorder="1" applyAlignment="1">
      <alignment horizontal="center" vertical="center"/>
    </xf>
    <xf numFmtId="0" fontId="36" fillId="14" borderId="14" xfId="13" applyFont="1" applyFill="1" applyBorder="1" applyAlignment="1">
      <alignment horizontal="center"/>
    </xf>
    <xf numFmtId="0" fontId="36" fillId="14" borderId="16" xfId="13" applyFont="1" applyFill="1" applyBorder="1" applyAlignment="1">
      <alignment horizontal="center"/>
    </xf>
    <xf numFmtId="0" fontId="36" fillId="14" borderId="15" xfId="13" applyFont="1" applyFill="1" applyBorder="1" applyAlignment="1">
      <alignment horizontal="center"/>
    </xf>
    <xf numFmtId="0" fontId="33" fillId="0" borderId="86" xfId="13" applyFont="1" applyBorder="1" applyAlignment="1">
      <alignment horizontal="center" vertical="center" wrapText="1"/>
    </xf>
    <xf numFmtId="0" fontId="33" fillId="0" borderId="87" xfId="13" applyFont="1" applyBorder="1" applyAlignment="1">
      <alignment horizontal="center" vertical="center" wrapText="1"/>
    </xf>
    <xf numFmtId="0" fontId="33" fillId="0" borderId="88" xfId="13" applyFont="1" applyBorder="1" applyAlignment="1">
      <alignment horizontal="center" vertical="center" wrapText="1"/>
    </xf>
    <xf numFmtId="0" fontId="33" fillId="0" borderId="61" xfId="13" applyFont="1" applyBorder="1" applyAlignment="1">
      <alignment horizontal="center" vertical="center" wrapText="1"/>
    </xf>
    <xf numFmtId="0" fontId="28" fillId="0" borderId="11" xfId="8" applyFont="1" applyBorder="1" applyAlignment="1">
      <alignment horizontal="left" vertical="center"/>
    </xf>
    <xf numFmtId="0" fontId="28" fillId="0" borderId="4" xfId="8" applyFont="1" applyBorder="1" applyAlignment="1">
      <alignment horizontal="left" vertical="center"/>
    </xf>
    <xf numFmtId="0" fontId="28" fillId="0" borderId="26" xfId="8" applyFont="1" applyBorder="1" applyAlignment="1">
      <alignment horizontal="left" vertical="center"/>
    </xf>
    <xf numFmtId="167" fontId="58" fillId="15" borderId="10" xfId="5" applyFont="1" applyFill="1" applyBorder="1" applyAlignment="1">
      <alignment horizontal="center" vertical="center"/>
    </xf>
    <xf numFmtId="167" fontId="58" fillId="15" borderId="8" xfId="5" applyFont="1" applyFill="1" applyBorder="1" applyAlignment="1">
      <alignment horizontal="center" vertical="center"/>
    </xf>
    <xf numFmtId="167" fontId="58" fillId="15" borderId="31" xfId="5" applyFont="1" applyFill="1" applyBorder="1" applyAlignment="1">
      <alignment horizontal="center" vertical="center"/>
    </xf>
    <xf numFmtId="0" fontId="33" fillId="16" borderId="28" xfId="13" applyFont="1" applyFill="1" applyBorder="1" applyAlignment="1">
      <alignment horizontal="center"/>
    </xf>
    <xf numFmtId="0" fontId="33" fillId="16" borderId="85" xfId="13" applyFont="1" applyFill="1" applyBorder="1" applyAlignment="1">
      <alignment horizontal="center"/>
    </xf>
    <xf numFmtId="167" fontId="28" fillId="0" borderId="86" xfId="4" applyFont="1" applyBorder="1" applyAlignment="1">
      <alignment horizontal="center"/>
    </xf>
    <xf numFmtId="167" fontId="28" fillId="0" borderId="87" xfId="4" applyFont="1" applyBorder="1" applyAlignment="1">
      <alignment horizontal="center"/>
    </xf>
    <xf numFmtId="0" fontId="36" fillId="16" borderId="43" xfId="8" applyFont="1" applyFill="1" applyBorder="1" applyAlignment="1">
      <alignment horizontal="right" vertical="center"/>
    </xf>
    <xf numFmtId="0" fontId="36" fillId="16" borderId="56" xfId="8" applyFont="1" applyFill="1" applyBorder="1" applyAlignment="1">
      <alignment horizontal="right" vertical="center"/>
    </xf>
    <xf numFmtId="0" fontId="36" fillId="16" borderId="44" xfId="8" applyFont="1" applyFill="1" applyBorder="1" applyAlignment="1">
      <alignment horizontal="right" vertical="center"/>
    </xf>
    <xf numFmtId="0" fontId="19" fillId="0" borderId="0" xfId="10" applyFont="1" applyAlignment="1">
      <alignment horizontal="justify" vertical="center" wrapText="1"/>
    </xf>
    <xf numFmtId="171" fontId="18" fillId="0" borderId="0" xfId="49" applyNumberFormat="1" applyFont="1" applyAlignment="1">
      <alignment horizontal="center" vertical="center"/>
    </xf>
    <xf numFmtId="14" fontId="19" fillId="0" borderId="2" xfId="49" applyNumberFormat="1" applyFont="1" applyBorder="1" applyAlignment="1">
      <alignment horizontal="center" vertical="center"/>
    </xf>
    <xf numFmtId="179" fontId="19" fillId="0" borderId="2" xfId="49" applyNumberFormat="1" applyFont="1" applyBorder="1" applyAlignment="1">
      <alignment horizontal="center" vertical="center" shrinkToFit="1"/>
    </xf>
    <xf numFmtId="165" fontId="19" fillId="0" borderId="6" xfId="6" applyFont="1" applyFill="1" applyBorder="1" applyAlignment="1">
      <alignment horizontal="center" vertical="center"/>
    </xf>
    <xf numFmtId="165" fontId="19" fillId="0" borderId="7" xfId="6" applyFont="1" applyFill="1" applyBorder="1" applyAlignment="1">
      <alignment horizontal="center" vertical="center"/>
    </xf>
    <xf numFmtId="0" fontId="19" fillId="0" borderId="6" xfId="10" applyFont="1" applyFill="1" applyBorder="1" applyAlignment="1">
      <alignment horizontal="justify" vertical="center" wrapText="1"/>
    </xf>
    <xf numFmtId="0" fontId="19" fillId="0" borderId="4" xfId="10" applyFont="1" applyFill="1" applyBorder="1" applyAlignment="1">
      <alignment horizontal="justify" vertical="center" wrapText="1"/>
    </xf>
    <xf numFmtId="0" fontId="19" fillId="0" borderId="7" xfId="10" applyFont="1" applyFill="1" applyBorder="1" applyAlignment="1">
      <alignment horizontal="justify" vertical="center" wrapText="1"/>
    </xf>
    <xf numFmtId="0" fontId="19" fillId="0" borderId="0" xfId="49" applyFont="1" applyAlignment="1">
      <alignment horizontal="left" vertical="center" wrapText="1"/>
    </xf>
    <xf numFmtId="0" fontId="19" fillId="0" borderId="2" xfId="49" applyFont="1" applyBorder="1" applyAlignment="1">
      <alignment horizontal="center" vertical="center" shrinkToFit="1"/>
    </xf>
    <xf numFmtId="0" fontId="18" fillId="3" borderId="52" xfId="8" quotePrefix="1" applyFont="1" applyFill="1" applyBorder="1" applyAlignment="1">
      <alignment horizontal="center" vertical="center" wrapText="1"/>
    </xf>
    <xf numFmtId="0" fontId="18" fillId="3" borderId="40" xfId="8" quotePrefix="1" applyFont="1" applyFill="1" applyBorder="1" applyAlignment="1">
      <alignment horizontal="center" vertical="center" wrapText="1"/>
    </xf>
    <xf numFmtId="0" fontId="18" fillId="3" borderId="5" xfId="10" applyFont="1" applyFill="1" applyBorder="1" applyAlignment="1">
      <alignment horizontal="center" vertical="center" wrapText="1"/>
    </xf>
    <xf numFmtId="0" fontId="18" fillId="3" borderId="58" xfId="10" applyFont="1" applyFill="1" applyBorder="1" applyAlignment="1">
      <alignment horizontal="center" vertical="center" wrapText="1"/>
    </xf>
    <xf numFmtId="0" fontId="18" fillId="3" borderId="46" xfId="10" applyFont="1" applyFill="1" applyBorder="1" applyAlignment="1">
      <alignment horizontal="center" vertical="center"/>
    </xf>
    <xf numFmtId="0" fontId="18" fillId="3" borderId="3" xfId="10" applyFont="1" applyFill="1" applyBorder="1" applyAlignment="1">
      <alignment horizontal="center" vertical="center"/>
    </xf>
    <xf numFmtId="0" fontId="18" fillId="3" borderId="5" xfId="10" applyFont="1" applyFill="1" applyBorder="1" applyAlignment="1">
      <alignment horizontal="center" vertical="center"/>
    </xf>
    <xf numFmtId="0" fontId="18" fillId="3" borderId="24" xfId="10" applyFont="1" applyFill="1" applyBorder="1" applyAlignment="1">
      <alignment horizontal="center" vertical="center"/>
    </xf>
    <xf numFmtId="0" fontId="18" fillId="3" borderId="58" xfId="10" applyFont="1" applyFill="1" applyBorder="1" applyAlignment="1">
      <alignment horizontal="center" vertical="center"/>
    </xf>
    <xf numFmtId="0" fontId="18" fillId="3" borderId="52" xfId="10" applyFont="1" applyFill="1" applyBorder="1" applyAlignment="1">
      <alignment horizontal="center" vertical="center"/>
    </xf>
    <xf numFmtId="0" fontId="18" fillId="3" borderId="22" xfId="10" applyFont="1" applyFill="1" applyBorder="1" applyAlignment="1">
      <alignment horizontal="center" vertical="center"/>
    </xf>
    <xf numFmtId="0" fontId="18" fillId="3" borderId="40" xfId="10" applyFont="1" applyFill="1" applyBorder="1" applyAlignment="1">
      <alignment horizontal="center" vertical="center"/>
    </xf>
    <xf numFmtId="0" fontId="18" fillId="3" borderId="46" xfId="10" applyFont="1" applyFill="1" applyBorder="1" applyAlignment="1">
      <alignment horizontal="center" vertical="center" wrapText="1"/>
    </xf>
    <xf numFmtId="0" fontId="18" fillId="3" borderId="3" xfId="10" applyFont="1" applyFill="1" applyBorder="1" applyAlignment="1">
      <alignment horizontal="center" vertical="center" wrapText="1"/>
    </xf>
    <xf numFmtId="165" fontId="18" fillId="3" borderId="6" xfId="10" applyNumberFormat="1" applyFont="1" applyFill="1" applyBorder="1" applyAlignment="1">
      <alignment horizontal="center" vertical="center"/>
    </xf>
    <xf numFmtId="165" fontId="18" fillId="3" borderId="7" xfId="10" applyNumberFormat="1" applyFont="1" applyFill="1" applyBorder="1" applyAlignment="1">
      <alignment horizontal="center" vertical="center"/>
    </xf>
    <xf numFmtId="0" fontId="18" fillId="3" borderId="6" xfId="10" applyFont="1" applyFill="1" applyBorder="1" applyAlignment="1">
      <alignment horizontal="right" vertical="center"/>
    </xf>
    <xf numFmtId="0" fontId="18" fillId="3" borderId="4" xfId="10" applyFont="1" applyFill="1" applyBorder="1" applyAlignment="1">
      <alignment horizontal="right" vertical="center"/>
    </xf>
    <xf numFmtId="0" fontId="18" fillId="3" borderId="7" xfId="10" applyFont="1" applyFill="1" applyBorder="1" applyAlignment="1">
      <alignment horizontal="right" vertical="center"/>
    </xf>
    <xf numFmtId="0" fontId="19" fillId="0" borderId="2" xfId="8" applyFont="1" applyBorder="1" applyAlignment="1">
      <alignment horizontal="left" vertical="center"/>
    </xf>
    <xf numFmtId="0" fontId="0" fillId="0" borderId="0" xfId="0" applyAlignment="1">
      <alignment horizontal="justify" vertical="center" wrapText="1"/>
    </xf>
    <xf numFmtId="0" fontId="18" fillId="0" borderId="0" xfId="10" applyFont="1" applyFill="1" applyAlignment="1">
      <alignment horizontal="center" vertical="center"/>
    </xf>
    <xf numFmtId="0" fontId="19" fillId="0" borderId="0" xfId="43" applyFont="1" applyAlignment="1">
      <alignment horizontal="justify" vertical="center" wrapText="1"/>
    </xf>
    <xf numFmtId="0" fontId="18" fillId="0" borderId="2" xfId="49" applyFont="1" applyBorder="1" applyAlignment="1">
      <alignment horizontal="center" vertical="center"/>
    </xf>
    <xf numFmtId="0" fontId="18" fillId="0" borderId="2" xfId="10" applyFont="1" applyBorder="1" applyAlignment="1">
      <alignment horizontal="center" vertical="center" wrapText="1"/>
    </xf>
    <xf numFmtId="0" fontId="19" fillId="0" borderId="4" xfId="10" applyFont="1" applyBorder="1" applyAlignment="1">
      <alignment horizontal="right" vertical="center"/>
    </xf>
    <xf numFmtId="0" fontId="19" fillId="0" borderId="7" xfId="10" applyFont="1" applyBorder="1" applyAlignment="1">
      <alignment horizontal="right" vertical="center"/>
    </xf>
    <xf numFmtId="0" fontId="18" fillId="0" borderId="4" xfId="10" applyFont="1" applyBorder="1" applyAlignment="1">
      <alignment horizontal="right" vertical="center"/>
    </xf>
    <xf numFmtId="0" fontId="18" fillId="0" borderId="7" xfId="10" applyFont="1" applyBorder="1" applyAlignment="1">
      <alignment horizontal="right" vertical="center"/>
    </xf>
    <xf numFmtId="0" fontId="34" fillId="0" borderId="0" xfId="0" applyFont="1" applyAlignment="1">
      <alignment horizontal="justify" vertical="center" wrapText="1"/>
    </xf>
    <xf numFmtId="0" fontId="28" fillId="0" borderId="0" xfId="49" quotePrefix="1" applyFont="1" applyAlignment="1">
      <alignment horizontal="justify" vertical="center" wrapText="1"/>
    </xf>
    <xf numFmtId="0" fontId="30" fillId="0" borderId="0" xfId="0" applyFont="1" applyAlignment="1">
      <alignment horizontal="center" vertical="center"/>
    </xf>
    <xf numFmtId="0" fontId="28" fillId="0" borderId="52" xfId="49" quotePrefix="1" applyFont="1" applyBorder="1" applyAlignment="1">
      <alignment horizontal="left" vertical="center" wrapText="1"/>
    </xf>
    <xf numFmtId="0" fontId="28" fillId="0" borderId="22" xfId="49" quotePrefix="1" applyFont="1" applyBorder="1" applyAlignment="1">
      <alignment horizontal="left" vertical="center" wrapText="1"/>
    </xf>
    <xf numFmtId="14" fontId="28" fillId="0" borderId="22" xfId="49" quotePrefix="1" applyNumberFormat="1" applyFont="1" applyBorder="1" applyAlignment="1">
      <alignment horizontal="center" vertical="center" wrapText="1"/>
    </xf>
    <xf numFmtId="0" fontId="28" fillId="0" borderId="48" xfId="49" quotePrefix="1" applyFont="1" applyBorder="1" applyAlignment="1">
      <alignment horizontal="left" vertical="center"/>
    </xf>
    <xf numFmtId="0" fontId="28" fillId="0" borderId="0" xfId="49" quotePrefix="1" applyFont="1" applyBorder="1" applyAlignment="1">
      <alignment horizontal="left" vertical="center"/>
    </xf>
    <xf numFmtId="0" fontId="28" fillId="0" borderId="5" xfId="49" quotePrefix="1" applyFont="1" applyBorder="1" applyAlignment="1">
      <alignment horizontal="left" vertical="center" wrapText="1"/>
    </xf>
    <xf numFmtId="0" fontId="28" fillId="0" borderId="24" xfId="49" quotePrefix="1" applyFont="1" applyBorder="1" applyAlignment="1">
      <alignment horizontal="left" vertical="center" wrapText="1"/>
    </xf>
    <xf numFmtId="44" fontId="28" fillId="0" borderId="0" xfId="50" quotePrefix="1" applyNumberFormat="1" applyFont="1" applyBorder="1" applyAlignment="1">
      <alignment horizontal="center" vertical="center"/>
    </xf>
    <xf numFmtId="0" fontId="28" fillId="0" borderId="0" xfId="49" applyFont="1" applyAlignment="1">
      <alignment horizontal="justify" vertical="center"/>
    </xf>
    <xf numFmtId="171" fontId="28" fillId="0" borderId="0" xfId="49" applyNumberFormat="1" applyFont="1" applyAlignment="1">
      <alignment horizontal="right" vertical="center"/>
    </xf>
    <xf numFmtId="0" fontId="30" fillId="0" borderId="0" xfId="49" applyFont="1" applyAlignment="1">
      <alignment horizontal="left" vertical="center" shrinkToFit="1"/>
    </xf>
    <xf numFmtId="0" fontId="29" fillId="0" borderId="0" xfId="49" applyFont="1" applyAlignment="1">
      <alignment horizontal="left" vertical="center"/>
    </xf>
    <xf numFmtId="0" fontId="28" fillId="0" borderId="0" xfId="0" applyFont="1" applyFill="1" applyBorder="1" applyAlignment="1">
      <alignment horizontal="justify" vertical="center" wrapText="1"/>
    </xf>
    <xf numFmtId="17" fontId="28" fillId="0" borderId="49" xfId="0" applyNumberFormat="1" applyFont="1" applyFill="1" applyBorder="1" applyAlignment="1" applyProtection="1">
      <alignment horizontal="center" vertical="center"/>
      <protection locked="0"/>
    </xf>
    <xf numFmtId="17" fontId="28" fillId="0" borderId="51" xfId="0" applyNumberFormat="1" applyFont="1" applyFill="1" applyBorder="1" applyAlignment="1" applyProtection="1">
      <alignment horizontal="center" vertical="center"/>
      <protection locked="0"/>
    </xf>
    <xf numFmtId="0" fontId="28" fillId="0" borderId="64" xfId="0" applyFont="1" applyFill="1" applyBorder="1" applyAlignment="1">
      <alignment horizontal="left" vertical="center" shrinkToFit="1"/>
    </xf>
    <xf numFmtId="0" fontId="28" fillId="0" borderId="83" xfId="0" applyFont="1" applyFill="1" applyBorder="1" applyAlignment="1">
      <alignment horizontal="left" vertical="center" shrinkToFit="1"/>
    </xf>
    <xf numFmtId="0" fontId="28" fillId="0" borderId="69" xfId="0" applyFont="1" applyFill="1" applyBorder="1" applyAlignment="1">
      <alignment horizontal="left" vertical="center" shrinkToFit="1"/>
    </xf>
    <xf numFmtId="0" fontId="28" fillId="0" borderId="66" xfId="0" applyFont="1" applyFill="1" applyBorder="1" applyAlignment="1">
      <alignment horizontal="left" vertical="center" shrinkToFit="1"/>
    </xf>
    <xf numFmtId="0" fontId="28" fillId="0" borderId="59" xfId="0" applyFont="1" applyFill="1" applyBorder="1" applyAlignment="1">
      <alignment horizontal="left" vertical="center" shrinkToFit="1"/>
    </xf>
    <xf numFmtId="0" fontId="28" fillId="0" borderId="67" xfId="0" applyFont="1" applyFill="1" applyBorder="1" applyAlignment="1">
      <alignment horizontal="left" vertical="center" shrinkToFit="1"/>
    </xf>
    <xf numFmtId="0" fontId="28" fillId="0" borderId="66" xfId="0" applyFont="1" applyFill="1" applyBorder="1" applyAlignment="1" applyProtection="1">
      <alignment horizontal="center" vertical="center" wrapText="1"/>
      <protection locked="0"/>
    </xf>
    <xf numFmtId="0" fontId="28" fillId="0" borderId="67" xfId="0" applyFont="1" applyFill="1" applyBorder="1" applyAlignment="1" applyProtection="1">
      <alignment horizontal="center" vertical="center" wrapText="1"/>
      <protection locked="0"/>
    </xf>
    <xf numFmtId="0" fontId="30" fillId="0" borderId="0" xfId="0" applyFont="1" applyFill="1" applyBorder="1" applyAlignment="1">
      <alignment horizontal="left" vertical="center" wrapText="1"/>
    </xf>
    <xf numFmtId="0" fontId="67" fillId="0" borderId="0" xfId="0" applyFont="1" applyFill="1" applyBorder="1" applyAlignment="1">
      <alignment horizontal="center" vertical="center" wrapText="1"/>
    </xf>
    <xf numFmtId="0" fontId="28" fillId="0" borderId="47" xfId="0" applyFont="1" applyFill="1" applyBorder="1" applyAlignment="1">
      <alignment horizontal="center" vertical="center" wrapText="1"/>
    </xf>
    <xf numFmtId="0" fontId="30" fillId="0" borderId="0" xfId="0" applyFont="1" applyFill="1" applyBorder="1" applyAlignment="1">
      <alignment horizontal="left" vertical="center"/>
    </xf>
    <xf numFmtId="0" fontId="28" fillId="0" borderId="47" xfId="0" applyFont="1" applyFill="1" applyBorder="1" applyAlignment="1">
      <alignment horizontal="left" vertical="center" wrapText="1"/>
    </xf>
    <xf numFmtId="0" fontId="28" fillId="0" borderId="83" xfId="0" applyFont="1" applyFill="1" applyBorder="1" applyAlignment="1">
      <alignment horizontal="justify" vertical="center" wrapText="1"/>
    </xf>
    <xf numFmtId="0" fontId="30" fillId="0" borderId="47" xfId="0" applyFont="1" applyFill="1" applyBorder="1" applyAlignment="1">
      <alignment horizontal="center" vertical="center" wrapText="1"/>
    </xf>
    <xf numFmtId="0" fontId="28" fillId="0" borderId="59" xfId="0" applyFont="1" applyFill="1" applyBorder="1" applyAlignment="1">
      <alignment horizontal="left" vertical="center" wrapText="1"/>
    </xf>
    <xf numFmtId="0" fontId="29" fillId="0" borderId="0" xfId="0" applyFont="1" applyFill="1" applyBorder="1" applyAlignment="1">
      <alignment horizontal="center" vertical="center" wrapText="1"/>
    </xf>
    <xf numFmtId="0" fontId="30" fillId="0" borderId="59" xfId="0" applyFont="1" applyFill="1" applyBorder="1" applyAlignment="1">
      <alignment horizontal="center" vertical="center" wrapText="1"/>
    </xf>
    <xf numFmtId="14" fontId="28" fillId="0" borderId="47" xfId="0" applyNumberFormat="1" applyFont="1" applyFill="1" applyBorder="1" applyAlignment="1" applyProtection="1">
      <alignment horizontal="center" vertical="center" wrapText="1"/>
      <protection locked="0"/>
    </xf>
    <xf numFmtId="0" fontId="28" fillId="0" borderId="47" xfId="0" applyFont="1" applyFill="1" applyBorder="1" applyAlignment="1" applyProtection="1">
      <alignment horizontal="center" vertical="center" wrapText="1"/>
      <protection locked="0"/>
    </xf>
    <xf numFmtId="14" fontId="30" fillId="0" borderId="65" xfId="8" applyNumberFormat="1" applyFont="1" applyFill="1" applyBorder="1" applyAlignment="1">
      <alignment horizontal="center" vertical="center" wrapText="1"/>
    </xf>
    <xf numFmtId="14" fontId="30" fillId="0" borderId="68" xfId="8" applyNumberFormat="1" applyFont="1" applyFill="1" applyBorder="1" applyAlignment="1">
      <alignment horizontal="center" vertical="center" wrapText="1"/>
    </xf>
    <xf numFmtId="0" fontId="77" fillId="0" borderId="0" xfId="0" applyFont="1" applyFill="1" applyBorder="1" applyAlignment="1">
      <alignment horizontal="justify" vertical="center" wrapText="1"/>
    </xf>
    <xf numFmtId="0" fontId="30" fillId="0" borderId="49" xfId="0" applyFont="1" applyFill="1" applyBorder="1" applyAlignment="1">
      <alignment horizontal="right" vertical="center" wrapText="1"/>
    </xf>
    <xf numFmtId="0" fontId="30" fillId="0" borderId="50" xfId="0" applyFont="1" applyFill="1" applyBorder="1" applyAlignment="1">
      <alignment horizontal="right" vertical="center" wrapText="1"/>
    </xf>
    <xf numFmtId="0" fontId="30" fillId="0" borderId="51" xfId="0" applyFont="1" applyFill="1" applyBorder="1" applyAlignment="1">
      <alignment horizontal="right" vertical="center" wrapText="1"/>
    </xf>
    <xf numFmtId="0" fontId="30" fillId="0" borderId="49" xfId="8" applyFont="1" applyFill="1" applyBorder="1" applyAlignment="1">
      <alignment horizontal="center" vertical="center" wrapText="1"/>
    </xf>
    <xf numFmtId="0" fontId="30" fillId="0" borderId="50" xfId="8" applyFont="1" applyFill="1" applyBorder="1" applyAlignment="1">
      <alignment horizontal="center" vertical="center" wrapText="1"/>
    </xf>
    <xf numFmtId="0" fontId="30" fillId="0" borderId="51" xfId="8" applyFont="1" applyFill="1" applyBorder="1" applyAlignment="1">
      <alignment horizontal="center" vertical="center" wrapText="1"/>
    </xf>
    <xf numFmtId="0" fontId="30" fillId="0" borderId="64" xfId="8" applyFont="1" applyFill="1" applyBorder="1" applyAlignment="1">
      <alignment horizontal="center" vertical="center"/>
    </xf>
    <xf numFmtId="0" fontId="30" fillId="0" borderId="69" xfId="8" applyFont="1" applyFill="1" applyBorder="1" applyAlignment="1">
      <alignment horizontal="center" vertical="center"/>
    </xf>
    <xf numFmtId="0" fontId="30" fillId="0" borderId="49" xfId="0" applyFont="1" applyFill="1" applyBorder="1" applyAlignment="1">
      <alignment horizontal="center" vertical="center" wrapText="1"/>
    </xf>
    <xf numFmtId="0" fontId="30" fillId="0" borderId="50" xfId="0" applyFont="1" applyFill="1" applyBorder="1" applyAlignment="1">
      <alignment horizontal="center" vertical="center" wrapText="1"/>
    </xf>
    <xf numFmtId="0" fontId="30" fillId="0" borderId="51" xfId="0" applyFont="1" applyFill="1" applyBorder="1" applyAlignment="1">
      <alignment horizontal="center" vertical="center" wrapText="1"/>
    </xf>
    <xf numFmtId="0" fontId="28" fillId="0" borderId="47" xfId="0" applyFont="1" applyFill="1" applyBorder="1" applyAlignment="1">
      <alignment horizontal="justify" vertical="center" wrapText="1"/>
    </xf>
    <xf numFmtId="0" fontId="30" fillId="0" borderId="47" xfId="8" applyFont="1" applyFill="1" applyBorder="1" applyAlignment="1">
      <alignment horizontal="center" vertical="center"/>
    </xf>
    <xf numFmtId="0" fontId="30" fillId="0" borderId="47" xfId="0" applyFont="1" applyFill="1" applyBorder="1" applyAlignment="1">
      <alignment horizontal="left" vertical="center" wrapText="1"/>
    </xf>
    <xf numFmtId="0" fontId="30" fillId="0" borderId="47" xfId="0" applyFont="1" applyFill="1" applyBorder="1" applyAlignment="1">
      <alignment horizontal="center" vertical="center"/>
    </xf>
    <xf numFmtId="0" fontId="46" fillId="0" borderId="66" xfId="8" applyFont="1" applyFill="1" applyBorder="1" applyAlignment="1">
      <alignment horizontal="center" vertical="center"/>
    </xf>
    <xf numFmtId="0" fontId="46" fillId="0" borderId="67" xfId="8" applyFont="1" applyFill="1" applyBorder="1" applyAlignment="1">
      <alignment horizontal="center" vertical="center"/>
    </xf>
    <xf numFmtId="0" fontId="30" fillId="0" borderId="83" xfId="8" applyFont="1" applyFill="1" applyBorder="1" applyAlignment="1">
      <alignment horizontal="center" vertical="center"/>
    </xf>
    <xf numFmtId="0" fontId="30" fillId="0" borderId="66" xfId="8" applyFont="1" applyFill="1" applyBorder="1" applyAlignment="1">
      <alignment horizontal="center" vertical="center"/>
    </xf>
    <xf numFmtId="0" fontId="30" fillId="0" borderId="59" xfId="8" applyFont="1" applyFill="1" applyBorder="1" applyAlignment="1">
      <alignment horizontal="center" vertical="center"/>
    </xf>
    <xf numFmtId="0" fontId="30" fillId="0" borderId="67" xfId="8" applyFont="1" applyFill="1" applyBorder="1" applyAlignment="1">
      <alignment horizontal="center" vertical="center"/>
    </xf>
    <xf numFmtId="14" fontId="28" fillId="0" borderId="49" xfId="8" applyNumberFormat="1" applyFont="1" applyFill="1" applyBorder="1" applyAlignment="1">
      <alignment horizontal="center" vertical="center" wrapText="1"/>
    </xf>
    <xf numFmtId="14" fontId="28" fillId="0" borderId="50" xfId="8" applyNumberFormat="1" applyFont="1" applyFill="1" applyBorder="1" applyAlignment="1">
      <alignment horizontal="center" vertical="center" wrapText="1"/>
    </xf>
    <xf numFmtId="14" fontId="28" fillId="0" borderId="51" xfId="8" applyNumberFormat="1" applyFont="1" applyFill="1" applyBorder="1" applyAlignment="1">
      <alignment horizontal="center" vertical="center" wrapText="1"/>
    </xf>
    <xf numFmtId="0" fontId="30" fillId="0" borderId="65" xfId="8" applyFont="1" applyFill="1" applyBorder="1" applyAlignment="1">
      <alignment horizontal="center" vertical="center" wrapText="1"/>
    </xf>
    <xf numFmtId="0" fontId="30" fillId="0" borderId="68" xfId="8" applyFont="1" applyFill="1" applyBorder="1" applyAlignment="1">
      <alignment horizontal="center" vertical="center" wrapText="1"/>
    </xf>
    <xf numFmtId="3" fontId="28" fillId="0" borderId="49" xfId="0" applyNumberFormat="1" applyFont="1" applyFill="1" applyBorder="1" applyAlignment="1" applyProtection="1">
      <alignment horizontal="center" vertical="center" wrapText="1"/>
      <protection locked="0"/>
    </xf>
    <xf numFmtId="3" fontId="28" fillId="0" borderId="51" xfId="0" applyNumberFormat="1" applyFont="1" applyFill="1" applyBorder="1" applyAlignment="1" applyProtection="1">
      <alignment horizontal="center" vertical="center" wrapText="1"/>
      <protection locked="0"/>
    </xf>
    <xf numFmtId="0" fontId="30" fillId="0" borderId="49" xfId="0" applyFont="1" applyFill="1" applyBorder="1" applyAlignment="1">
      <alignment horizontal="center" vertical="center"/>
    </xf>
    <xf numFmtId="0" fontId="30" fillId="0" borderId="50" xfId="0" applyFont="1" applyFill="1" applyBorder="1" applyAlignment="1">
      <alignment horizontal="center" vertical="center"/>
    </xf>
    <xf numFmtId="0" fontId="30" fillId="0" borderId="51" xfId="0" applyFont="1" applyFill="1" applyBorder="1" applyAlignment="1">
      <alignment horizontal="center" vertical="center"/>
    </xf>
    <xf numFmtId="0" fontId="28" fillId="0" borderId="65" xfId="0" applyFont="1" applyFill="1" applyBorder="1" applyAlignment="1">
      <alignment horizontal="center" vertical="center" wrapText="1"/>
    </xf>
    <xf numFmtId="0" fontId="28" fillId="0" borderId="94" xfId="0" applyFont="1" applyFill="1" applyBorder="1" applyAlignment="1">
      <alignment horizontal="center" vertical="center" wrapText="1"/>
    </xf>
    <xf numFmtId="0" fontId="28" fillId="0" borderId="68" xfId="0" applyFont="1" applyFill="1" applyBorder="1" applyAlignment="1">
      <alignment horizontal="center" vertical="center" wrapText="1"/>
    </xf>
    <xf numFmtId="0" fontId="28" fillId="4" borderId="65" xfId="0" applyFont="1" applyFill="1" applyBorder="1" applyAlignment="1">
      <alignment horizontal="center" vertical="center" wrapText="1"/>
    </xf>
    <xf numFmtId="0" fontId="28" fillId="4" borderId="94" xfId="0" applyFont="1" applyFill="1" applyBorder="1" applyAlignment="1">
      <alignment horizontal="center" vertical="center" wrapText="1"/>
    </xf>
    <xf numFmtId="0" fontId="28" fillId="4" borderId="68" xfId="0" applyFont="1" applyFill="1" applyBorder="1" applyAlignment="1">
      <alignment horizontal="center" vertical="center" wrapText="1"/>
    </xf>
    <xf numFmtId="0" fontId="28" fillId="0" borderId="65" xfId="0" applyFont="1" applyFill="1" applyBorder="1" applyAlignment="1" applyProtection="1">
      <alignment horizontal="center" vertical="center" wrapText="1"/>
      <protection locked="0"/>
    </xf>
    <xf numFmtId="169" fontId="28" fillId="0" borderId="47" xfId="0" applyNumberFormat="1" applyFont="1" applyFill="1" applyBorder="1" applyAlignment="1" applyProtection="1">
      <alignment horizontal="center" vertical="center" wrapText="1"/>
      <protection locked="0"/>
    </xf>
    <xf numFmtId="0" fontId="28" fillId="0" borderId="49" xfId="0" applyFont="1" applyFill="1" applyBorder="1" applyAlignment="1">
      <alignment horizontal="left" vertical="center"/>
    </xf>
    <xf numFmtId="0" fontId="28" fillId="0" borderId="50" xfId="0" applyFont="1" applyFill="1" applyBorder="1" applyAlignment="1">
      <alignment horizontal="left" vertical="center"/>
    </xf>
    <xf numFmtId="0" fontId="28" fillId="0" borderId="51" xfId="0" applyFont="1" applyFill="1" applyBorder="1" applyAlignment="1">
      <alignment horizontal="left" vertical="center"/>
    </xf>
    <xf numFmtId="0" fontId="30" fillId="0" borderId="49" xfId="0" applyFont="1" applyFill="1" applyBorder="1" applyAlignment="1">
      <alignment horizontal="right" vertical="center"/>
    </xf>
    <xf numFmtId="0" fontId="30" fillId="0" borderId="50" xfId="0" applyFont="1" applyFill="1" applyBorder="1" applyAlignment="1">
      <alignment horizontal="right" vertical="center"/>
    </xf>
    <xf numFmtId="0" fontId="30" fillId="0" borderId="51" xfId="0" applyFont="1" applyFill="1" applyBorder="1" applyAlignment="1">
      <alignment horizontal="right" vertical="center"/>
    </xf>
    <xf numFmtId="14" fontId="28" fillId="0" borderId="66" xfId="0" applyNumberFormat="1" applyFont="1" applyFill="1" applyBorder="1" applyAlignment="1" applyProtection="1">
      <alignment horizontal="center" vertical="center" wrapText="1"/>
      <protection locked="0"/>
    </xf>
    <xf numFmtId="14" fontId="28" fillId="0" borderId="67" xfId="0" applyNumberFormat="1" applyFont="1" applyFill="1" applyBorder="1" applyAlignment="1" applyProtection="1">
      <alignment horizontal="center" vertical="center" wrapText="1"/>
      <protection locked="0"/>
    </xf>
    <xf numFmtId="0" fontId="30" fillId="3" borderId="6" xfId="14" applyFont="1" applyFill="1" applyBorder="1" applyAlignment="1">
      <alignment horizontal="right" vertical="center" wrapText="1"/>
    </xf>
    <xf numFmtId="0" fontId="30" fillId="3" borderId="4" xfId="14" applyFont="1" applyFill="1" applyBorder="1" applyAlignment="1">
      <alignment horizontal="right" vertical="center" wrapText="1"/>
    </xf>
    <xf numFmtId="0" fontId="30" fillId="3" borderId="7" xfId="14" applyFont="1" applyFill="1" applyBorder="1" applyAlignment="1">
      <alignment horizontal="right" vertical="center" wrapText="1"/>
    </xf>
    <xf numFmtId="0" fontId="29" fillId="0" borderId="0" xfId="14" applyFont="1" applyFill="1" applyAlignment="1">
      <alignment horizontal="center" vertical="center"/>
    </xf>
    <xf numFmtId="0" fontId="29" fillId="0" borderId="0" xfId="14" applyFont="1" applyFill="1" applyAlignment="1">
      <alignment horizontal="center" vertical="center" wrapText="1"/>
    </xf>
    <xf numFmtId="0" fontId="30" fillId="13" borderId="2" xfId="14" applyFont="1" applyFill="1" applyBorder="1" applyAlignment="1">
      <alignment horizontal="center" vertical="center" wrapText="1"/>
    </xf>
    <xf numFmtId="0" fontId="30" fillId="13" borderId="5" xfId="14" applyFont="1" applyFill="1" applyBorder="1" applyAlignment="1">
      <alignment horizontal="center" vertical="center" wrapText="1"/>
    </xf>
    <xf numFmtId="0" fontId="30" fillId="13" borderId="52" xfId="14" applyFont="1" applyFill="1" applyBorder="1" applyAlignment="1">
      <alignment horizontal="center" vertical="center" wrapText="1"/>
    </xf>
    <xf numFmtId="0" fontId="67" fillId="0" borderId="0" xfId="14" applyFont="1" applyFill="1" applyAlignment="1">
      <alignment horizontal="center" vertical="center"/>
    </xf>
    <xf numFmtId="0" fontId="28" fillId="0" borderId="46" xfId="15" applyFont="1" applyBorder="1" applyAlignment="1">
      <alignment horizontal="center" vertical="center"/>
    </xf>
    <xf numFmtId="0" fontId="28" fillId="0" borderId="63" xfId="15" applyFont="1" applyBorder="1" applyAlignment="1">
      <alignment horizontal="center" vertical="center"/>
    </xf>
    <xf numFmtId="0" fontId="28" fillId="0" borderId="3" xfId="15" applyFont="1" applyBorder="1" applyAlignment="1">
      <alignment horizontal="center" vertical="center"/>
    </xf>
    <xf numFmtId="0" fontId="30" fillId="3" borderId="2" xfId="65" applyFont="1" applyFill="1" applyBorder="1" applyAlignment="1">
      <alignment horizontal="center" vertical="center"/>
    </xf>
    <xf numFmtId="0" fontId="28" fillId="0" borderId="2" xfId="65" applyFont="1" applyFill="1" applyBorder="1" applyAlignment="1">
      <alignment horizontal="center" vertical="center"/>
    </xf>
    <xf numFmtId="0" fontId="30" fillId="3" borderId="2" xfId="15" applyFont="1" applyFill="1" applyBorder="1" applyAlignment="1">
      <alignment horizontal="center" vertical="center"/>
    </xf>
    <xf numFmtId="0" fontId="31" fillId="0" borderId="0" xfId="0" applyFont="1" applyFill="1" applyBorder="1" applyAlignment="1">
      <alignment horizontal="left" vertical="center" wrapText="1"/>
    </xf>
    <xf numFmtId="0" fontId="28" fillId="0" borderId="2" xfId="15" applyFont="1" applyBorder="1" applyAlignment="1">
      <alignment horizontal="center" vertical="center" wrapText="1"/>
    </xf>
    <xf numFmtId="0" fontId="29" fillId="0" borderId="0" xfId="10" applyFont="1" applyAlignment="1">
      <alignment horizontal="center" vertical="center"/>
    </xf>
    <xf numFmtId="0" fontId="28" fillId="0" borderId="6" xfId="15" applyFont="1" applyBorder="1" applyAlignment="1">
      <alignment horizontal="center" vertical="center"/>
    </xf>
    <xf numFmtId="0" fontId="28" fillId="0" borderId="4" xfId="15" applyFont="1" applyBorder="1" applyAlignment="1">
      <alignment horizontal="center" vertical="center"/>
    </xf>
    <xf numFmtId="0" fontId="28" fillId="0" borderId="7" xfId="15" applyFont="1" applyBorder="1" applyAlignment="1">
      <alignment horizontal="center" vertical="center"/>
    </xf>
    <xf numFmtId="0" fontId="30" fillId="3" borderId="2" xfId="15" applyFont="1" applyFill="1" applyBorder="1" applyAlignment="1">
      <alignment horizontal="center" vertical="center" wrapText="1"/>
    </xf>
    <xf numFmtId="0" fontId="67" fillId="0" borderId="0" xfId="10" applyFont="1" applyAlignment="1">
      <alignment horizontal="center" vertical="center"/>
    </xf>
    <xf numFmtId="0" fontId="29" fillId="0" borderId="0" xfId="8" applyFont="1" applyFill="1" applyAlignment="1">
      <alignment horizontal="center" vertical="center" wrapText="1"/>
    </xf>
    <xf numFmtId="0" fontId="81" fillId="0" borderId="24" xfId="0" applyFont="1" applyFill="1" applyBorder="1" applyAlignment="1">
      <alignment horizontal="justify" vertical="center" wrapText="1"/>
    </xf>
    <xf numFmtId="0" fontId="81" fillId="0" borderId="0" xfId="0" applyFont="1" applyFill="1" applyBorder="1" applyAlignment="1">
      <alignment horizontal="justify" vertical="center" wrapText="1"/>
    </xf>
    <xf numFmtId="0" fontId="28" fillId="0" borderId="2" xfId="15" applyFont="1" applyBorder="1" applyAlignment="1">
      <alignment horizontal="center" vertical="center"/>
    </xf>
    <xf numFmtId="0" fontId="101" fillId="0" borderId="0" xfId="49" quotePrefix="1" applyFont="1" applyAlignment="1">
      <alignment horizontal="justify" vertical="center" wrapText="1"/>
    </xf>
    <xf numFmtId="170" fontId="30" fillId="0" borderId="2" xfId="15" applyNumberFormat="1" applyFont="1" applyFill="1" applyBorder="1" applyAlignment="1">
      <alignment horizontal="center" vertical="center"/>
    </xf>
    <xf numFmtId="0" fontId="29" fillId="0" borderId="0" xfId="15" applyFont="1" applyFill="1" applyAlignment="1">
      <alignment horizontal="center" vertical="center"/>
    </xf>
    <xf numFmtId="0" fontId="67" fillId="0" borderId="0" xfId="15" applyFont="1" applyFill="1" applyAlignment="1">
      <alignment horizontal="center" vertical="center"/>
    </xf>
    <xf numFmtId="2" fontId="30" fillId="0" borderId="2" xfId="15" applyNumberFormat="1" applyFont="1" applyFill="1" applyBorder="1" applyAlignment="1">
      <alignment horizontal="center" vertical="center"/>
    </xf>
    <xf numFmtId="0" fontId="30" fillId="0" borderId="2" xfId="15" applyFont="1" applyFill="1" applyBorder="1" applyAlignment="1">
      <alignment horizontal="center" vertical="center"/>
    </xf>
    <xf numFmtId="170" fontId="30" fillId="0" borderId="6" xfId="15" applyNumberFormat="1" applyFont="1" applyFill="1" applyBorder="1" applyAlignment="1">
      <alignment horizontal="center" vertical="center"/>
    </xf>
    <xf numFmtId="170" fontId="30" fillId="0" borderId="7" xfId="15" applyNumberFormat="1" applyFont="1" applyFill="1" applyBorder="1" applyAlignment="1">
      <alignment horizontal="center" vertical="center"/>
    </xf>
    <xf numFmtId="170" fontId="30" fillId="0" borderId="24" xfId="43" applyNumberFormat="1" applyFont="1" applyFill="1" applyBorder="1" applyAlignment="1">
      <alignment horizontal="justify" vertical="center" wrapText="1"/>
    </xf>
    <xf numFmtId="170" fontId="30" fillId="0" borderId="0" xfId="43" applyNumberFormat="1" applyFont="1" applyFill="1" applyBorder="1" applyAlignment="1">
      <alignment horizontal="justify" vertical="center" wrapText="1"/>
    </xf>
    <xf numFmtId="0" fontId="30" fillId="0" borderId="0" xfId="54" applyFont="1" applyFill="1" applyAlignment="1">
      <alignment horizontal="justify" vertical="center" wrapText="1"/>
    </xf>
    <xf numFmtId="0" fontId="29" fillId="0" borderId="0" xfId="49" applyFont="1" applyFill="1" applyAlignment="1">
      <alignment horizontal="center" vertical="center"/>
    </xf>
    <xf numFmtId="0" fontId="29" fillId="0" borderId="0" xfId="49" applyFont="1" applyFill="1" applyAlignment="1">
      <alignment horizontal="center" vertical="center" wrapText="1"/>
    </xf>
    <xf numFmtId="0" fontId="30" fillId="0" borderId="6" xfId="53" applyFont="1" applyFill="1" applyBorder="1" applyAlignment="1">
      <alignment horizontal="left" vertical="center" wrapText="1"/>
    </xf>
    <xf numFmtId="0" fontId="30" fillId="0" borderId="4" xfId="53" applyFont="1" applyFill="1" applyBorder="1" applyAlignment="1">
      <alignment horizontal="left" vertical="center" wrapText="1"/>
    </xf>
    <xf numFmtId="0" fontId="30" fillId="0" borderId="7" xfId="53" applyFont="1" applyFill="1" applyBorder="1" applyAlignment="1">
      <alignment horizontal="left" vertical="center" wrapText="1"/>
    </xf>
    <xf numFmtId="0" fontId="67" fillId="0" borderId="0" xfId="49" applyFont="1" applyFill="1" applyAlignment="1">
      <alignment horizontal="center" vertical="center"/>
    </xf>
    <xf numFmtId="0" fontId="28" fillId="0" borderId="46" xfId="53" applyFont="1" applyFill="1" applyBorder="1" applyAlignment="1">
      <alignment horizontal="center" vertical="center" wrapText="1"/>
    </xf>
    <xf numFmtId="0" fontId="28" fillId="0" borderId="63" xfId="53" applyFont="1" applyFill="1" applyBorder="1" applyAlignment="1">
      <alignment horizontal="center" vertical="center" wrapText="1"/>
    </xf>
    <xf numFmtId="0" fontId="28" fillId="0" borderId="3" xfId="53" applyFont="1" applyFill="1" applyBorder="1" applyAlignment="1">
      <alignment horizontal="center" vertical="center" wrapText="1"/>
    </xf>
    <xf numFmtId="0" fontId="29" fillId="0" borderId="0" xfId="49" applyFont="1" applyAlignment="1">
      <alignment horizontal="center" vertical="center"/>
    </xf>
    <xf numFmtId="0" fontId="29" fillId="0" borderId="0" xfId="49" applyFont="1" applyFill="1" applyBorder="1" applyAlignment="1">
      <alignment horizontal="center" vertical="center"/>
    </xf>
    <xf numFmtId="0" fontId="67" fillId="0" borderId="0" xfId="49" applyFont="1" applyAlignment="1">
      <alignment horizontal="center" vertical="center"/>
    </xf>
    <xf numFmtId="0" fontId="31" fillId="3" borderId="6" xfId="49" applyFont="1" applyFill="1" applyBorder="1" applyAlignment="1">
      <alignment horizontal="center" vertical="center"/>
    </xf>
    <xf numFmtId="0" fontId="31" fillId="3" borderId="7" xfId="49" applyFont="1" applyFill="1" applyBorder="1" applyAlignment="1">
      <alignment horizontal="center" vertical="center"/>
    </xf>
    <xf numFmtId="0" fontId="28" fillId="0" borderId="24" xfId="49" applyFont="1" applyBorder="1" applyAlignment="1">
      <alignment horizontal="justify" vertical="center" wrapText="1"/>
    </xf>
    <xf numFmtId="0" fontId="28" fillId="0" borderId="0" xfId="49" applyFont="1" applyBorder="1" applyAlignment="1">
      <alignment horizontal="justify" vertical="center" wrapText="1"/>
    </xf>
    <xf numFmtId="0" fontId="28" fillId="0" borderId="0" xfId="49" applyFont="1" applyAlignment="1">
      <alignment horizontal="justify" vertical="center" wrapText="1"/>
    </xf>
    <xf numFmtId="0" fontId="31" fillId="0" borderId="6" xfId="49" applyFont="1" applyBorder="1" applyAlignment="1">
      <alignment horizontal="right" vertical="center"/>
    </xf>
    <xf numFmtId="0" fontId="31" fillId="0" borderId="4" xfId="49" applyFont="1" applyBorder="1" applyAlignment="1">
      <alignment horizontal="right" vertical="center"/>
    </xf>
    <xf numFmtId="0" fontId="31" fillId="0" borderId="2" xfId="49" applyFont="1" applyBorder="1" applyAlignment="1">
      <alignment horizontal="center" vertical="center"/>
    </xf>
    <xf numFmtId="0" fontId="32" fillId="0" borderId="2" xfId="49" applyFont="1" applyBorder="1" applyAlignment="1">
      <alignment horizontal="center" vertical="center"/>
    </xf>
    <xf numFmtId="0" fontId="32" fillId="0" borderId="2" xfId="49" applyFont="1" applyBorder="1" applyAlignment="1">
      <alignment horizontal="center" vertical="center" wrapText="1"/>
    </xf>
    <xf numFmtId="0" fontId="32" fillId="0" borderId="6" xfId="49" applyFont="1" applyBorder="1" applyAlignment="1">
      <alignment horizontal="center" vertical="center" wrapText="1"/>
    </xf>
    <xf numFmtId="0" fontId="32" fillId="0" borderId="7" xfId="49" applyFont="1" applyBorder="1" applyAlignment="1">
      <alignment horizontal="center" vertical="center" wrapText="1"/>
    </xf>
    <xf numFmtId="0" fontId="30" fillId="3" borderId="5" xfId="49" applyFont="1" applyFill="1" applyBorder="1" applyAlignment="1">
      <alignment horizontal="center" vertical="center" wrapText="1"/>
    </xf>
    <xf numFmtId="0" fontId="30" fillId="3" borderId="58" xfId="49" applyFont="1" applyFill="1" applyBorder="1" applyAlignment="1">
      <alignment horizontal="center" vertical="center" wrapText="1"/>
    </xf>
    <xf numFmtId="0" fontId="30" fillId="3" borderId="52" xfId="49" applyFont="1" applyFill="1" applyBorder="1" applyAlignment="1">
      <alignment horizontal="center" vertical="center" wrapText="1"/>
    </xf>
    <xf numFmtId="0" fontId="30" fillId="3" borderId="40" xfId="49" applyFont="1" applyFill="1" applyBorder="1" applyAlignment="1">
      <alignment horizontal="center" vertical="center" wrapText="1"/>
    </xf>
    <xf numFmtId="4" fontId="30" fillId="3" borderId="5" xfId="49" applyNumberFormat="1" applyFont="1" applyFill="1" applyBorder="1" applyAlignment="1">
      <alignment horizontal="center" vertical="center" wrapText="1"/>
    </xf>
    <xf numFmtId="4" fontId="30" fillId="3" borderId="58" xfId="49" applyNumberFormat="1" applyFont="1" applyFill="1" applyBorder="1" applyAlignment="1">
      <alignment horizontal="center" vertical="center" wrapText="1"/>
    </xf>
    <xf numFmtId="0" fontId="30" fillId="3" borderId="52" xfId="49" quotePrefix="1" applyNumberFormat="1" applyFont="1" applyFill="1" applyBorder="1" applyAlignment="1">
      <alignment horizontal="center" vertical="center" wrapText="1"/>
    </xf>
    <xf numFmtId="0" fontId="30" fillId="3" borderId="40" xfId="49" quotePrefix="1" applyNumberFormat="1" applyFont="1" applyFill="1" applyBorder="1" applyAlignment="1">
      <alignment horizontal="center" vertical="center" wrapText="1"/>
    </xf>
    <xf numFmtId="0" fontId="30" fillId="3" borderId="52" xfId="49" quotePrefix="1" applyFont="1" applyFill="1" applyBorder="1" applyAlignment="1">
      <alignment horizontal="center" vertical="center" wrapText="1"/>
    </xf>
    <xf numFmtId="0" fontId="30" fillId="3" borderId="40" xfId="49" quotePrefix="1" applyFont="1" applyFill="1" applyBorder="1" applyAlignment="1">
      <alignment horizontal="center" vertical="center" wrapText="1"/>
    </xf>
    <xf numFmtId="0" fontId="28" fillId="0" borderId="6" xfId="49" applyFont="1" applyFill="1" applyBorder="1" applyAlignment="1">
      <alignment horizontal="left" vertical="center" wrapText="1"/>
    </xf>
    <xf numFmtId="0" fontId="28" fillId="0" borderId="7" xfId="49" applyFont="1" applyFill="1" applyBorder="1" applyAlignment="1">
      <alignment horizontal="left" vertical="center" wrapText="1"/>
    </xf>
    <xf numFmtId="3" fontId="28" fillId="0" borderId="6" xfId="0" applyNumberFormat="1" applyFont="1" applyFill="1" applyBorder="1" applyAlignment="1" applyProtection="1">
      <alignment horizontal="center" vertical="center"/>
      <protection locked="0"/>
    </xf>
    <xf numFmtId="3" fontId="28" fillId="0" borderId="7" xfId="0" applyNumberFormat="1" applyFont="1" applyFill="1" applyBorder="1" applyAlignment="1" applyProtection="1">
      <alignment horizontal="center" vertical="center"/>
      <protection locked="0"/>
    </xf>
    <xf numFmtId="164" fontId="28" fillId="0" borderId="6" xfId="50" applyNumberFormat="1" applyFont="1" applyFill="1" applyBorder="1" applyAlignment="1">
      <alignment horizontal="center" vertical="center"/>
    </xf>
    <xf numFmtId="165" fontId="28" fillId="0" borderId="7" xfId="50" applyFont="1" applyFill="1" applyBorder="1" applyAlignment="1">
      <alignment horizontal="center" vertical="center"/>
    </xf>
    <xf numFmtId="0" fontId="30" fillId="3" borderId="6" xfId="49" applyFont="1" applyFill="1" applyBorder="1" applyAlignment="1">
      <alignment horizontal="right" vertical="center"/>
    </xf>
    <xf numFmtId="0" fontId="30" fillId="3" borderId="4" xfId="49" applyFont="1" applyFill="1" applyBorder="1" applyAlignment="1">
      <alignment horizontal="right" vertical="center"/>
    </xf>
    <xf numFmtId="0" fontId="30" fillId="3" borderId="7" xfId="49" applyFont="1" applyFill="1" applyBorder="1" applyAlignment="1">
      <alignment horizontal="right" vertical="center"/>
    </xf>
    <xf numFmtId="165" fontId="30" fillId="3" borderId="6" xfId="49" applyNumberFormat="1" applyFont="1" applyFill="1" applyBorder="1" applyAlignment="1">
      <alignment horizontal="center" vertical="center"/>
    </xf>
    <xf numFmtId="165" fontId="30" fillId="3" borderId="7" xfId="49" applyNumberFormat="1" applyFont="1" applyFill="1" applyBorder="1" applyAlignment="1">
      <alignment horizontal="center" vertical="center"/>
    </xf>
    <xf numFmtId="0" fontId="28" fillId="0" borderId="0" xfId="49" applyFont="1" applyFill="1" applyAlignment="1">
      <alignment horizontal="left" vertical="center"/>
    </xf>
    <xf numFmtId="165" fontId="28" fillId="0" borderId="6" xfId="50" applyFont="1" applyFill="1" applyBorder="1" applyAlignment="1">
      <alignment horizontal="center" vertical="center"/>
    </xf>
    <xf numFmtId="0" fontId="30" fillId="3" borderId="46" xfId="49" applyFont="1" applyFill="1" applyBorder="1" applyAlignment="1">
      <alignment horizontal="center" vertical="center" wrapText="1"/>
    </xf>
    <xf numFmtId="0" fontId="30" fillId="3" borderId="3" xfId="49" applyFont="1" applyFill="1" applyBorder="1" applyAlignment="1">
      <alignment horizontal="center" vertical="center" wrapText="1"/>
    </xf>
    <xf numFmtId="0" fontId="30" fillId="3" borderId="6" xfId="49" applyFont="1" applyFill="1" applyBorder="1" applyAlignment="1">
      <alignment horizontal="center" vertical="center" wrapText="1"/>
    </xf>
    <xf numFmtId="0" fontId="30" fillId="3" borderId="7" xfId="49" applyFont="1" applyFill="1" applyBorder="1" applyAlignment="1">
      <alignment horizontal="center" vertical="center" wrapText="1"/>
    </xf>
    <xf numFmtId="4" fontId="30" fillId="3" borderId="6" xfId="49" applyNumberFormat="1" applyFont="1" applyFill="1" applyBorder="1" applyAlignment="1">
      <alignment horizontal="center" vertical="center" wrapText="1"/>
    </xf>
    <xf numFmtId="4" fontId="30" fillId="3" borderId="7" xfId="49" applyNumberFormat="1" applyFont="1" applyFill="1" applyBorder="1" applyAlignment="1">
      <alignment horizontal="center" vertical="center" wrapText="1"/>
    </xf>
    <xf numFmtId="177" fontId="28" fillId="0" borderId="6" xfId="50" applyNumberFormat="1" applyFont="1" applyFill="1" applyBorder="1" applyAlignment="1">
      <alignment horizontal="center" vertical="center" wrapText="1"/>
    </xf>
    <xf numFmtId="177" fontId="28" fillId="0" borderId="7" xfId="50" applyNumberFormat="1" applyFont="1" applyFill="1" applyBorder="1" applyAlignment="1">
      <alignment horizontal="center" vertical="center" wrapText="1"/>
    </xf>
    <xf numFmtId="0" fontId="98" fillId="0" borderId="0" xfId="135" applyFont="1" applyAlignment="1">
      <alignment horizontal="center" vertical="center" wrapText="1"/>
    </xf>
    <xf numFmtId="0" fontId="96" fillId="7" borderId="46" xfId="135" applyFont="1" applyFill="1" applyBorder="1" applyAlignment="1">
      <alignment horizontal="center" vertical="center" wrapText="1"/>
    </xf>
    <xf numFmtId="0" fontId="96" fillId="7" borderId="3" xfId="135" applyFont="1" applyFill="1" applyBorder="1" applyAlignment="1">
      <alignment horizontal="center" vertical="center" wrapText="1"/>
    </xf>
    <xf numFmtId="0" fontId="33" fillId="17" borderId="2" xfId="135" applyFont="1" applyFill="1" applyBorder="1" applyAlignment="1">
      <alignment horizontal="center" vertical="center" wrapText="1"/>
    </xf>
    <xf numFmtId="0" fontId="96" fillId="7" borderId="2" xfId="135" applyFont="1" applyFill="1" applyBorder="1" applyAlignment="1">
      <alignment horizontal="center" vertical="center" wrapText="1"/>
    </xf>
    <xf numFmtId="0" fontId="34" fillId="0" borderId="0" xfId="135" applyFont="1" applyAlignment="1">
      <alignment vertical="center" wrapText="1"/>
    </xf>
    <xf numFmtId="0" fontId="96" fillId="17" borderId="2" xfId="135" applyFont="1" applyFill="1" applyBorder="1" applyAlignment="1">
      <alignment horizontal="center" vertical="center" wrapText="1"/>
    </xf>
    <xf numFmtId="0" fontId="30" fillId="0" borderId="0" xfId="8" applyFont="1" applyAlignment="1">
      <alignment horizontal="center" vertical="center"/>
    </xf>
    <xf numFmtId="0" fontId="30" fillId="3" borderId="2" xfId="8" applyFont="1" applyFill="1" applyBorder="1" applyAlignment="1">
      <alignment horizontal="right" vertical="center"/>
    </xf>
    <xf numFmtId="0" fontId="30" fillId="3" borderId="2" xfId="10" applyFont="1" applyFill="1" applyBorder="1" applyAlignment="1">
      <alignment horizontal="center" vertical="center"/>
    </xf>
    <xf numFmtId="0" fontId="28" fillId="0" borderId="2" xfId="8" applyFont="1" applyBorder="1" applyAlignment="1">
      <alignment horizontal="justify" vertical="center" wrapText="1"/>
    </xf>
    <xf numFmtId="0" fontId="29" fillId="0" borderId="0" xfId="8" applyFont="1" applyAlignment="1">
      <alignment horizontal="center" vertical="center"/>
    </xf>
    <xf numFmtId="0" fontId="67" fillId="0" borderId="0" xfId="8" applyFont="1" applyAlignment="1">
      <alignment horizontal="center" vertical="center"/>
    </xf>
    <xf numFmtId="0" fontId="55" fillId="9" borderId="43" xfId="0" applyFont="1" applyFill="1" applyBorder="1" applyAlignment="1">
      <alignment horizontal="center" vertical="center"/>
    </xf>
    <xf numFmtId="0" fontId="55" fillId="9" borderId="56" xfId="0" applyFont="1" applyFill="1" applyBorder="1" applyAlignment="1">
      <alignment horizontal="center" vertical="center"/>
    </xf>
    <xf numFmtId="0" fontId="29" fillId="0" borderId="0" xfId="0" applyFont="1" applyAlignment="1">
      <alignment horizontal="center" vertical="center"/>
    </xf>
    <xf numFmtId="0" fontId="67" fillId="0" borderId="0" xfId="0" applyFont="1" applyAlignment="1">
      <alignment horizontal="center" vertical="center"/>
    </xf>
    <xf numFmtId="0" fontId="30" fillId="0" borderId="9" xfId="0" applyFont="1" applyBorder="1" applyAlignment="1">
      <alignment horizontal="center" vertical="center"/>
    </xf>
    <xf numFmtId="0" fontId="55" fillId="9" borderId="14" xfId="0" applyFont="1" applyFill="1" applyBorder="1" applyAlignment="1">
      <alignment horizontal="center" vertical="center"/>
    </xf>
    <xf numFmtId="0" fontId="55" fillId="9" borderId="18" xfId="0" applyFont="1" applyFill="1" applyBorder="1" applyAlignment="1">
      <alignment horizontal="center" vertical="center"/>
    </xf>
    <xf numFmtId="0" fontId="55" fillId="9" borderId="13" xfId="0" applyFont="1" applyFill="1" applyBorder="1" applyAlignment="1">
      <alignment horizontal="center" vertical="center"/>
    </xf>
    <xf numFmtId="165" fontId="28" fillId="0" borderId="0" xfId="6" applyFont="1" applyAlignment="1">
      <alignment horizontal="center" vertical="center"/>
    </xf>
    <xf numFmtId="165" fontId="30" fillId="0" borderId="0" xfId="6" applyFont="1" applyAlignment="1">
      <alignment horizontal="center" vertical="center"/>
    </xf>
    <xf numFmtId="0" fontId="30" fillId="0" borderId="6" xfId="8" applyFont="1" applyBorder="1" applyAlignment="1">
      <alignment horizontal="right" vertical="center"/>
    </xf>
    <xf numFmtId="0" fontId="30" fillId="0" borderId="4" xfId="8" applyFont="1" applyBorder="1" applyAlignment="1">
      <alignment horizontal="right" vertical="center"/>
    </xf>
    <xf numFmtId="0" fontId="30" fillId="0" borderId="7" xfId="8" applyFont="1" applyBorder="1" applyAlignment="1">
      <alignment horizontal="right" vertical="center"/>
    </xf>
  </cellXfs>
  <cellStyles count="137">
    <cellStyle name="Hiperlink" xfId="1" builtinId="8"/>
    <cellStyle name="Hiperlink 2" xfId="2"/>
    <cellStyle name="Hiperlink 2 2" xfId="3"/>
    <cellStyle name="Hiperlink 2 3" xfId="128"/>
    <cellStyle name="Hiperlink 3" xfId="41"/>
    <cellStyle name="Moeda" xfId="4" builtinId="4"/>
    <cellStyle name="Moeda 2" xfId="5"/>
    <cellStyle name="Moeda 2 2" xfId="6"/>
    <cellStyle name="Moeda 2 2 2" xfId="50"/>
    <cellStyle name="Moeda 2 3" xfId="30"/>
    <cellStyle name="Moeda 2 3 2" xfId="71"/>
    <cellStyle name="Moeda 2 4" xfId="59"/>
    <cellStyle name="Moeda 2 4 2" xfId="109"/>
    <cellStyle name="Moeda 2 5" xfId="91"/>
    <cellStyle name="Moeda 3" xfId="7"/>
    <cellStyle name="Moeda 3 2" xfId="32"/>
    <cellStyle name="Moeda 3 3" xfId="31"/>
    <cellStyle name="Moeda 3 3 2" xfId="72"/>
    <cellStyle name="Moeda 3 4" xfId="55"/>
    <cellStyle name="Moeda 3 4 2" xfId="85"/>
    <cellStyle name="Moeda 3 4 2 2" xfId="124"/>
    <cellStyle name="Moeda 3 4 3" xfId="106"/>
    <cellStyle name="Moeda 3 5" xfId="60"/>
    <cellStyle name="Moeda 3 6" xfId="129"/>
    <cellStyle name="Moeda 4" xfId="33"/>
    <cellStyle name="Moeda 4 2" xfId="134"/>
    <cellStyle name="Moeda 4 3" xfId="136"/>
    <cellStyle name="Moeda 5" xfId="46"/>
    <cellStyle name="Normal" xfId="0" builtinId="0"/>
    <cellStyle name="Normal 10" xfId="56"/>
    <cellStyle name="Normal 10 2" xfId="86"/>
    <cellStyle name="Normal 10 2 2" xfId="125"/>
    <cellStyle name="Normal 10 3" xfId="107"/>
    <cellStyle name="Normal 11" xfId="88"/>
    <cellStyle name="Normal 12" xfId="127"/>
    <cellStyle name="Normal 13" xfId="135"/>
    <cellStyle name="Normal 2" xfId="8"/>
    <cellStyle name="Normal 2 2" xfId="9"/>
    <cellStyle name="Normal 2 2 2" xfId="10"/>
    <cellStyle name="Normal 2 2 2 2" xfId="49"/>
    <cellStyle name="Normal 2 2 3" xfId="35"/>
    <cellStyle name="Normal 2 2 3 2" xfId="74"/>
    <cellStyle name="Normal 2 2 3 2 2" xfId="115"/>
    <cellStyle name="Normal 2 2 3 3" xfId="97"/>
    <cellStyle name="Normal 2 2 4" xfId="53"/>
    <cellStyle name="Normal 2 2 4 2" xfId="84"/>
    <cellStyle name="Normal 2 2 4 2 2" xfId="123"/>
    <cellStyle name="Normal 2 2 4 3" xfId="105"/>
    <cellStyle name="Normal 2 2 5" xfId="61"/>
    <cellStyle name="Normal 2 2 5 2" xfId="110"/>
    <cellStyle name="Normal 2 2 6" xfId="92"/>
    <cellStyle name="Normal 2 2 7" xfId="130"/>
    <cellStyle name="Normal 2 3" xfId="11"/>
    <cellStyle name="Normal 2 3 2" xfId="62"/>
    <cellStyle name="Normal 2 4" xfId="12"/>
    <cellStyle name="Normal 2 4 2" xfId="40"/>
    <cellStyle name="Normal 2 4 2 2" xfId="79"/>
    <cellStyle name="Normal 2 4 2 2 2" xfId="118"/>
    <cellStyle name="Normal 2 4 2 3" xfId="100"/>
    <cellStyle name="Normal 2 4 3" xfId="36"/>
    <cellStyle name="Normal 2 4 3 2" xfId="75"/>
    <cellStyle name="Normal 2 4 3 2 2" xfId="116"/>
    <cellStyle name="Normal 2 4 3 3" xfId="98"/>
    <cellStyle name="Normal 2 4 4" xfId="48"/>
    <cellStyle name="Normal 2 4 4 2" xfId="82"/>
    <cellStyle name="Normal 2 4 4 2 2" xfId="121"/>
    <cellStyle name="Normal 2 4 4 3" xfId="103"/>
    <cellStyle name="Normal 2 4 5" xfId="57"/>
    <cellStyle name="Normal 2 4 5 2" xfId="87"/>
    <cellStyle name="Normal 2 4 5 2 2" xfId="126"/>
    <cellStyle name="Normal 2 4 5 3" xfId="108"/>
    <cellStyle name="Normal 2 4 6" xfId="63"/>
    <cellStyle name="Normal 2 4 6 2" xfId="111"/>
    <cellStyle name="Normal 2 4 7" xfId="93"/>
    <cellStyle name="Normal 2 4 8" xfId="133"/>
    <cellStyle name="Normal 2 5" xfId="34"/>
    <cellStyle name="Normal 2 5 2" xfId="73"/>
    <cellStyle name="Normal 2 5 2 2" xfId="114"/>
    <cellStyle name="Normal 2 5 3" xfId="96"/>
    <cellStyle name="Normal 2 6" xfId="45"/>
    <cellStyle name="Normal 2 6 2" xfId="80"/>
    <cellStyle name="Normal 2 6 2 2" xfId="119"/>
    <cellStyle name="Normal 2 6 3" xfId="101"/>
    <cellStyle name="Normal 3" xfId="13"/>
    <cellStyle name="Normal 3 2" xfId="14"/>
    <cellStyle name="Normal 3 2 2" xfId="54"/>
    <cellStyle name="Normal 3 3" xfId="64"/>
    <cellStyle name="Normal 3 3 2" xfId="112"/>
    <cellStyle name="Normal 3 4" xfId="94"/>
    <cellStyle name="Normal 4" xfId="15"/>
    <cellStyle name="Normal 4 2" xfId="16"/>
    <cellStyle name="Normal 4 2 2" xfId="65"/>
    <cellStyle name="Normal 4 3" xfId="43"/>
    <cellStyle name="Normal 5" xfId="17"/>
    <cellStyle name="Normal 5 2" xfId="66"/>
    <cellStyle name="Normal 6" xfId="39"/>
    <cellStyle name="Normal 6 2" xfId="78"/>
    <cellStyle name="Normal 6 2 2" xfId="117"/>
    <cellStyle name="Normal 6 3" xfId="99"/>
    <cellStyle name="Normal 7" xfId="42"/>
    <cellStyle name="Normal 8" xfId="47"/>
    <cellStyle name="Normal 8 2" xfId="81"/>
    <cellStyle name="Normal 8 2 2" xfId="120"/>
    <cellStyle name="Normal 8 3" xfId="102"/>
    <cellStyle name="Normal 9" xfId="52"/>
    <cellStyle name="Normal 9 2" xfId="83"/>
    <cellStyle name="Normal 9 2 2" xfId="122"/>
    <cellStyle name="Normal 9 3" xfId="104"/>
    <cellStyle name="Porcentagem" xfId="18" builtinId="5"/>
    <cellStyle name="Porcentagem 2" xfId="19"/>
    <cellStyle name="Porcentagem 2 2" xfId="20"/>
    <cellStyle name="Porcentagem 2 2 2" xfId="68"/>
    <cellStyle name="Porcentagem 2 3" xfId="58"/>
    <cellStyle name="Porcentagem 2 4" xfId="67"/>
    <cellStyle name="Porcentagem 2 4 2" xfId="113"/>
    <cellStyle name="Porcentagem 2 5" xfId="95"/>
    <cellStyle name="Porcentagem 2 6" xfId="131"/>
    <cellStyle name="Porcentagem 3" xfId="21"/>
    <cellStyle name="Porcentagem 3 2" xfId="69"/>
    <cellStyle name="Porcentagem 4" xfId="22"/>
    <cellStyle name="Porcentagem 4 2" xfId="51"/>
    <cellStyle name="Porcentagem 5" xfId="90"/>
    <cellStyle name="Separador de milhares 2" xfId="23"/>
    <cellStyle name="Separador de milhares 2 2" xfId="132"/>
    <cellStyle name="Separador de milhares 3" xfId="24"/>
    <cellStyle name="Separador de milhares 4" xfId="25"/>
    <cellStyle name="Título 1 1" xfId="26"/>
    <cellStyle name="Título 1 1 1" xfId="27"/>
    <cellStyle name="Vírgula" xfId="29" builtinId="3"/>
    <cellStyle name="Vírgula 2" xfId="28"/>
    <cellStyle name="Vírgula 2 2" xfId="37"/>
    <cellStyle name="Vírgula 2 2 2" xfId="76"/>
    <cellStyle name="Vírgula 2 3" xfId="70"/>
    <cellStyle name="Vírgula 3" xfId="38"/>
    <cellStyle name="Vírgula 3 2" xfId="77"/>
    <cellStyle name="Vírgula 4" xfId="44"/>
    <cellStyle name="Vírgula 5" xfId="89"/>
  </cellStyles>
  <dxfs count="0"/>
  <tableStyles count="0" defaultTableStyle="TableStyleMedium9" defaultPivotStyle="PivotStyleLight16"/>
  <colors>
    <mruColors>
      <color rgb="FFFFCCFF"/>
      <color rgb="FF0000FF"/>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worksheet" Target="worksheets/sheet26.xml"/><Relationship Id="rId21" Type="http://purl.oclc.org/ooxml/officeDocument/relationships/worksheet" Target="worksheets/sheet21.xml"/><Relationship Id="rId34" Type="http://purl.oclc.org/ooxml/officeDocument/relationships/externalLink" Target="externalLinks/externalLink5.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worksheet" Target="worksheets/sheet25.xml"/><Relationship Id="rId33" Type="http://purl.oclc.org/ooxml/officeDocument/relationships/externalLink" Target="externalLinks/externalLink4.xml"/><Relationship Id="rId38"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worksheet" Target="worksheets/sheet20.xml"/><Relationship Id="rId29" Type="http://purl.oclc.org/ooxml/officeDocument/relationships/worksheet" Target="worksheets/sheet29.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worksheet" Target="worksheets/sheet24.xml"/><Relationship Id="rId32" Type="http://purl.oclc.org/ooxml/officeDocument/relationships/externalLink" Target="externalLinks/externalLink3.xml"/><Relationship Id="rId37"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worksheet" Target="worksheets/sheet28.xml"/><Relationship Id="rId36" Type="http://purl.oclc.org/ooxml/officeDocument/relationships/styles" Target="styles.xml"/><Relationship Id="rId10" Type="http://purl.oclc.org/ooxml/officeDocument/relationships/worksheet" Target="worksheets/sheet10.xml"/><Relationship Id="rId19" Type="http://purl.oclc.org/ooxml/officeDocument/relationships/worksheet" Target="worksheets/sheet19.xml"/><Relationship Id="rId31"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worksheet" Target="worksheets/sheet27.xml"/><Relationship Id="rId30" Type="http://purl.oclc.org/ooxml/officeDocument/relationships/externalLink" Target="externalLinks/externalLink1.xml"/><Relationship Id="rId35" Type="http://purl.oclc.org/ooxml/officeDocument/relationships/theme" Target="theme/theme1.xml"/><Relationship Id="rId8" Type="http://purl.oclc.org/ooxml/officeDocument/relationships/worksheet" Target="worksheets/sheet8.xml"/><Relationship Id="rId3" Type="http://purl.oclc.org/ooxml/officeDocument/relationships/worksheet" Target="worksheets/sheet3.xml"/></Relationships>
</file>

<file path=xl/drawings/_rels/drawing3.xml.rels><?xml version="1.0" encoding="UTF-8" standalone="yes"?>
<Relationships xmlns="http://schemas.openxmlformats.org/package/2006/relationships"><Relationship Id="rId2" Type="http://purl.oclc.org/ooxml/officeDocument/relationships/image" Target="../media/image2.jpeg"/><Relationship Id="rId1" Type="http://purl.oclc.org/ooxml/officeDocument/relationships/image" Target="../media/image1.jpeg"/></Relationships>
</file>

<file path=xl/drawings/_rels/drawing5.xml.rels><?xml version="1.0" encoding="UTF-8" standalone="yes"?>
<Relationships xmlns="http://schemas.openxmlformats.org/package/2006/relationships"><Relationship Id="rId2" Type="http://purl.oclc.org/ooxml/officeDocument/relationships/image" Target="../media/image2.jpeg"/><Relationship Id="rId1" Type="http://purl.oclc.org/ooxml/officeDocument/relationships/image" Target="../media/image1.jpeg"/></Relationships>
</file>

<file path=xl/drawings/_rels/vmlDrawing3.vml.rels><?xml version="1.0" encoding="UTF-8" standalone="yes"?>
<Relationships xmlns="http://schemas.openxmlformats.org/package/2006/relationships"><Relationship Id="rId2" Type="http://purl.oclc.org/ooxml/officeDocument/relationships/image" Target="../media/image4.jpeg"/><Relationship Id="rId1" Type="http://purl.oclc.org/ooxml/officeDocument/relationships/image" Target="../media/image3.jpeg"/></Relationships>
</file>

<file path=xl/drawings/_rels/vmlDrawing5.vml.rels><?xml version="1.0" encoding="UTF-8" standalone="yes"?>
<Relationships xmlns="http://schemas.openxmlformats.org/package/2006/relationships"><Relationship Id="rId2" Type="http://purl.oclc.org/ooxml/officeDocument/relationships/image" Target="../media/image4.jpeg"/><Relationship Id="rId1" Type="http://purl.oclc.org/ooxml/officeDocument/relationships/image" Target="../media/image3.jpeg"/></Relationships>
</file>

<file path=xl/drawings/drawing1.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2</xdr:col>
          <xdr:colOff>180975</xdr:colOff>
          <xdr:row>1</xdr:row>
          <xdr:rowOff>57150</xdr:rowOff>
        </xdr:from>
        <xdr:to>
          <xdr:col>3</xdr:col>
          <xdr:colOff>1504950</xdr:colOff>
          <xdr:row>6</xdr:row>
          <xdr:rowOff>9525</xdr:rowOff>
        </xdr:to>
        <xdr:sp macro="" textlink="">
          <xdr:nvSpPr>
            <xdr:cNvPr id="4097" name="Comentário 1" hidden="1">
              <a:extLst>
                <a:ext uri="{FF2B5EF4-FFF2-40B4-BE49-F238E27FC236}">
                  <a16:creationId xmlns:a16="http://schemas.microsoft.com/office/drawing/2014/main" id="{D1BDF316-0A9E-4FA5-AA37-119B5ADC9257}"/>
                </a:ext>
              </a:extLst>
            </xdr:cNvPr>
            <xdr:cNvSpPr txBox="1">
              <a:spLocks noChangeArrowheads="1"/>
            </xdr:cNvSpPr>
          </xdr:nvSpPr>
          <xdr:spPr bwMode="auto">
            <a:xfrm>
              <a:off x="4333875" y="219075"/>
              <a:ext cx="3038475" cy="762000"/>
            </a:xfrm>
            <a:prstGeom prst="rect">
              <a:avLst/>
            </a:prstGeom>
            <a:solidFill>
              <a:srgbClr val="FFFFE1"/>
            </a:solidFill>
            <a:ln w="9525">
              <a:solidFill>
                <a:srgbClr val="000000"/>
              </a:solidFill>
              <a:miter lim="8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pt-BR" sz="900" b="1" i="0" u="none" strike="noStrike" baseline="0%">
                  <a:solidFill>
                    <a:srgbClr val="000000"/>
                  </a:solidFill>
                  <a:latin typeface="Tahoma"/>
                  <a:ea typeface="Tahoma"/>
                  <a:cs typeface="Tahoma"/>
                </a:rPr>
                <a:t>CCT 2021/2021:</a:t>
              </a:r>
              <a:endParaRPr lang="pt-BR" sz="900" b="0" i="0" u="none" strike="noStrike" baseline="0%">
                <a:solidFill>
                  <a:srgbClr val="000000"/>
                </a:solidFill>
                <a:latin typeface="Tahoma"/>
                <a:ea typeface="Tahoma"/>
                <a:cs typeface="Tahoma"/>
              </a:endParaRPr>
            </a:p>
            <a:p>
              <a:pPr algn="l" rtl="0">
                <a:defRPr sz="1000"/>
              </a:pPr>
              <a:r>
                <a:rPr lang="pt-BR" sz="900" b="0" i="0" u="none" strike="noStrike" baseline="0%">
                  <a:solidFill>
                    <a:srgbClr val="000000"/>
                  </a:solidFill>
                  <a:latin typeface="Tahoma"/>
                  <a:ea typeface="Tahoma"/>
                  <a:cs typeface="Tahoma"/>
                </a:rPr>
                <a:t>- Limitado ao valor de até R$ 0,70 (setenta centavos), aos trabalhadores </a:t>
              </a:r>
              <a:r>
                <a:rPr lang="pt-BR" sz="900" b="1" i="0" u="sng" strike="noStrike" baseline="0%">
                  <a:solidFill>
                    <a:srgbClr val="000000"/>
                  </a:solidFill>
                  <a:latin typeface="Tahoma"/>
                  <a:ea typeface="Tahoma"/>
                  <a:cs typeface="Tahoma"/>
                </a:rPr>
                <a:t>não associados ao SISDF</a:t>
              </a:r>
              <a:r>
                <a:rPr lang="pt-BR" sz="900" b="0" i="0" u="none" strike="noStrike" baseline="0%">
                  <a:solidFill>
                    <a:srgbClr val="000000"/>
                  </a:solidFill>
                  <a:latin typeface="Tahoma"/>
                  <a:ea typeface="Tahoma"/>
                  <a:cs typeface="Tahoma"/>
                </a:rPr>
                <a:t>.</a:t>
              </a:r>
            </a:p>
            <a:p>
              <a:pPr algn="l" rtl="0">
                <a:defRPr sz="1000"/>
              </a:pPr>
              <a:r>
                <a:rPr lang="pt-BR" sz="900" b="0" i="0" u="none" strike="noStrike" baseline="0%">
                  <a:solidFill>
                    <a:srgbClr val="000000"/>
                  </a:solidFill>
                  <a:latin typeface="Tahoma"/>
                  <a:ea typeface="Tahoma"/>
                  <a:cs typeface="Tahoma"/>
                </a:rPr>
                <a:t>- Limitado ao valor de até R$ 0,30 (trinta centavos), aos trabalhadores associados ao SISDF</a:t>
              </a:r>
            </a:p>
          </xdr:txBody>
        </xdr:sp>
        <xdr:clientData/>
      </xdr:twoCellAnchor>
    </mc:Fallback>
  </mc:AlternateContent>
  <mc:AlternateContent xmlns:mc="http://schemas.openxmlformats.org/markup-compatibility/2006">
    <mc:Choice xmlns:v="urn:schemas-microsoft-com:vml" Requires="v"/>
    <mc:Fallback>
      <xdr:twoCellAnchor editAs="absolute">
        <xdr:from>
          <xdr:col>8</xdr:col>
          <xdr:colOff>142875</xdr:colOff>
          <xdr:row>7</xdr:row>
          <xdr:rowOff>57150</xdr:rowOff>
        </xdr:from>
        <xdr:to>
          <xdr:col>10</xdr:col>
          <xdr:colOff>571500</xdr:colOff>
          <xdr:row>19</xdr:row>
          <xdr:rowOff>123825</xdr:rowOff>
        </xdr:to>
        <xdr:sp macro="" textlink="">
          <xdr:nvSpPr>
            <xdr:cNvPr id="4098" name="Comentário 2" hidden="1">
              <a:extLst>
                <a:ext uri="{FF2B5EF4-FFF2-40B4-BE49-F238E27FC236}">
                  <a16:creationId xmlns:a16="http://schemas.microsoft.com/office/drawing/2014/main" id="{F1D1DD6C-D39A-4B20-9F51-B756A0FE7F58}"/>
                </a:ext>
              </a:extLst>
            </xdr:cNvPr>
            <xdr:cNvSpPr txBox="1">
              <a:spLocks noChangeArrowheads="1"/>
            </xdr:cNvSpPr>
          </xdr:nvSpPr>
          <xdr:spPr bwMode="auto">
            <a:xfrm>
              <a:off x="14154150" y="1190625"/>
              <a:ext cx="3686175" cy="2333625"/>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pt-BR" sz="900" b="0" i="0" u="none" strike="noStrike" baseline="0%">
                  <a:solidFill>
                    <a:srgbClr val="000000"/>
                  </a:solidFill>
                  <a:latin typeface="Segoe UI"/>
                  <a:cs typeface="Segoe UI"/>
                </a:rPr>
                <a:t>Parágrafo Quarto – Em cumprimento à legislação que regulamenta o benefício do PAT, aos trabalhadores associados ao STIG/DF, fica estabelecido que as empresas procederão ao desconto no valor facial do vale alimentação, limitado ao valor de até R$ 0,30 (trinta centavos),  que deverá ser multiplicado pelo número total de vales alimentação fornecidos ao profissional, descontado no contracheque. </a:t>
              </a:r>
            </a:p>
            <a:p>
              <a:pPr algn="l" rtl="0">
                <a:defRPr sz="1000"/>
              </a:pPr>
              <a:r>
                <a:rPr lang="pt-BR" sz="900" b="1" i="0" u="none" strike="noStrike" baseline="0%">
                  <a:solidFill>
                    <a:srgbClr val="000000"/>
                  </a:solidFill>
                  <a:latin typeface="Segoe UI"/>
                  <a:cs typeface="Segoe UI"/>
                </a:rPr>
                <a:t>Parágrafo Quinto </a:t>
              </a:r>
              <a:r>
                <a:rPr lang="pt-BR" sz="900" b="0" i="0" u="none" strike="noStrike" baseline="0%">
                  <a:solidFill>
                    <a:srgbClr val="000000"/>
                  </a:solidFill>
                  <a:latin typeface="Segoe UI"/>
                  <a:cs typeface="Segoe UI"/>
                </a:rPr>
                <a:t>- Em cumprimento à legislação que regulamenta o benefício do PAT, fica estabelecido que as empresas procederão ao desconto no valor facial do vale alimentação, </a:t>
              </a:r>
              <a:r>
                <a:rPr lang="pt-BR" sz="900" b="1" i="0" u="sng" strike="noStrike" baseline="0%">
                  <a:solidFill>
                    <a:srgbClr val="000000"/>
                  </a:solidFill>
                  <a:latin typeface="Segoe UI"/>
                  <a:cs typeface="Segoe UI"/>
                </a:rPr>
                <a:t>limitado ao valor de até R$ 0,70 (setenta centavos), aos profissionais não associados ao  STIG/DF</a:t>
              </a:r>
              <a:r>
                <a:rPr lang="pt-BR" sz="900" b="0" i="0" u="none" strike="noStrike" baseline="0%">
                  <a:solidFill>
                    <a:srgbClr val="000000"/>
                  </a:solidFill>
                  <a:latin typeface="Segoe UI"/>
                  <a:cs typeface="Segoe UI"/>
                </a:rPr>
                <a:t>, que deverá ser multiplicado pelo número total de vales alimentação fornecidos ao profissional, descontado no contracheque.</a:t>
              </a:r>
            </a:p>
          </xdr:txBody>
        </xdr:sp>
        <xdr:clientData/>
      </xdr:twoCellAnchor>
    </mc:Fallback>
  </mc:AlternateContent>
  <mc:AlternateContent xmlns:mc="http://schemas.openxmlformats.org/markup-compatibility/2006">
    <mc:Choice xmlns:v="urn:schemas-microsoft-com:vml" Requires="v"/>
    <mc:Fallback>
      <xdr:twoCellAnchor editAs="absolute">
        <xdr:from>
          <xdr:col>8</xdr:col>
          <xdr:colOff>142875</xdr:colOff>
          <xdr:row>11</xdr:row>
          <xdr:rowOff>57150</xdr:rowOff>
        </xdr:from>
        <xdr:to>
          <xdr:col>11</xdr:col>
          <xdr:colOff>323850</xdr:colOff>
          <xdr:row>18</xdr:row>
          <xdr:rowOff>247650</xdr:rowOff>
        </xdr:to>
        <xdr:sp macro="" textlink="">
          <xdr:nvSpPr>
            <xdr:cNvPr id="4099" name="Comentário 3" hidden="1">
              <a:extLst>
                <a:ext uri="{FF2B5EF4-FFF2-40B4-BE49-F238E27FC236}">
                  <a16:creationId xmlns:a16="http://schemas.microsoft.com/office/drawing/2014/main" id="{7FEB01CA-F611-49D2-A433-805862C2D1DF}"/>
                </a:ext>
              </a:extLst>
            </xdr:cNvPr>
            <xdr:cNvSpPr txBox="1">
              <a:spLocks noChangeArrowheads="1"/>
            </xdr:cNvSpPr>
          </xdr:nvSpPr>
          <xdr:spPr bwMode="auto">
            <a:xfrm>
              <a:off x="14154150" y="2000250"/>
              <a:ext cx="5067300" cy="1323975"/>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pt-BR" sz="900" b="1" i="0" u="none" strike="noStrike" baseline="0%">
                  <a:solidFill>
                    <a:srgbClr val="000000"/>
                  </a:solidFill>
                  <a:latin typeface="Segoe UI"/>
                  <a:cs typeface="Segoe UI"/>
                </a:rPr>
                <a:t>DF000234/2021 - CLÁUSULA DÉCIMA QUINTA - PLANO AMBULATORIAL:</a:t>
              </a:r>
              <a:endParaRPr lang="pt-BR" sz="900" b="0" i="0" u="none" strike="noStrike" baseline="0%">
                <a:solidFill>
                  <a:srgbClr val="000000"/>
                </a:solidFill>
                <a:latin typeface="Segoe UI"/>
                <a:cs typeface="Segoe UI"/>
              </a:endParaRPr>
            </a:p>
            <a:p>
              <a:pPr algn="l" rtl="0">
                <a:defRPr sz="1000"/>
              </a:pPr>
              <a:r>
                <a:rPr lang="pt-BR" sz="900" b="0" i="0" u="none" strike="noStrike" baseline="0%">
                  <a:solidFill>
                    <a:srgbClr val="000000"/>
                  </a:solidFill>
                  <a:latin typeface="Segoe UI"/>
                  <a:cs typeface="Segoe UI"/>
                </a:rPr>
                <a:t>Parágrafo Quarto – A partir da assinatura e registro desta Convenção Coletiva de Trabalho no Sistema Mediador do Ministério do Trabalho e Emprego, as empresas representadas pelo SEAC/DF ficam obrigadas a incluir nas suas planilhas de custos e formação de preços, como também nas propostas, o valor destinado ao plano ambulatorial, nas próximas licitações e contratações públicas, como também nas contratações privadas.</a:t>
              </a:r>
            </a:p>
          </xdr:txBody>
        </xdr:sp>
        <xdr:clientData/>
      </xdr:twoCellAnchor>
    </mc:Fallback>
  </mc:AlternateContent>
  <mc:AlternateContent xmlns:mc="http://schemas.openxmlformats.org/markup-compatibility/2006">
    <mc:Choice xmlns:v="urn:schemas-microsoft-com:vml" Requires="v"/>
    <mc:Fallback>
      <xdr:twoCellAnchor editAs="absolute">
        <xdr:from>
          <xdr:col>7</xdr:col>
          <xdr:colOff>142875</xdr:colOff>
          <xdr:row>11</xdr:row>
          <xdr:rowOff>66675</xdr:rowOff>
        </xdr:from>
        <xdr:to>
          <xdr:col>9</xdr:col>
          <xdr:colOff>1495425</xdr:colOff>
          <xdr:row>17</xdr:row>
          <xdr:rowOff>66675</xdr:rowOff>
        </xdr:to>
        <xdr:sp macro="" textlink="">
          <xdr:nvSpPr>
            <xdr:cNvPr id="4100" name="Comentário 4" hidden="1">
              <a:extLst>
                <a:ext uri="{FF2B5EF4-FFF2-40B4-BE49-F238E27FC236}">
                  <a16:creationId xmlns:a16="http://schemas.microsoft.com/office/drawing/2014/main" id="{8F89ED55-6609-4407-845A-C640F819D1E6}"/>
                </a:ext>
              </a:extLst>
            </xdr:cNvPr>
            <xdr:cNvSpPr txBox="1">
              <a:spLocks noChangeArrowheads="1"/>
            </xdr:cNvSpPr>
          </xdr:nvSpPr>
          <xdr:spPr bwMode="auto">
            <a:xfrm>
              <a:off x="12525375" y="2009775"/>
              <a:ext cx="4610100" cy="971550"/>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pt-BR" sz="900" b="1" i="0" u="none" strike="noStrike" baseline="0%">
                  <a:solidFill>
                    <a:srgbClr val="000000"/>
                  </a:solidFill>
                  <a:latin typeface="Segoe UI"/>
                  <a:cs typeface="Segoe UI"/>
                </a:rPr>
                <a:t>DF000198/2021 - CLÁUSULA DÉCIMA QUINTA - PLANO AMBULATORIAL:</a:t>
              </a:r>
              <a:endParaRPr lang="pt-BR" sz="900" b="0" i="0" u="none" strike="noStrike" baseline="0%">
                <a:solidFill>
                  <a:srgbClr val="000000"/>
                </a:solidFill>
                <a:latin typeface="Segoe UI"/>
                <a:cs typeface="Segoe UI"/>
              </a:endParaRPr>
            </a:p>
            <a:p>
              <a:pPr algn="l" rtl="0">
                <a:defRPr sz="1000"/>
              </a:pPr>
              <a:r>
                <a:rPr lang="pt-BR" sz="900" b="0" i="0" u="none" strike="noStrike" baseline="0%">
                  <a:solidFill>
                    <a:srgbClr val="000000"/>
                  </a:solidFill>
                  <a:latin typeface="Segoe UI"/>
                  <a:cs typeface="Segoe UI"/>
                </a:rPr>
                <a:t>Parágrafo Quarto – A partir da assinatura e registro desta Convenção Coletiva de Trabalho no Sistema Mediador do Ministério do Trabalho e Emprego, as empresas representadas pelo SEAC/DF ficam obrigadas a incluir nas suas planilhas de custos e formação de preços, como também nas propostas, o valor destinado ao plano de saúde ambulatorial, nas próximas licitações e contratações públicas, como também nas contratações privadas.</a:t>
              </a:r>
            </a:p>
          </xdr:txBody>
        </xdr:sp>
        <xdr:clientData/>
      </xdr:twoCellAnchor>
    </mc:Fallback>
  </mc:AlternateContent>
</xdr:wsDr>
</file>

<file path=xl/drawings/drawing2.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10</xdr:col>
          <xdr:colOff>142875</xdr:colOff>
          <xdr:row>42</xdr:row>
          <xdr:rowOff>85725</xdr:rowOff>
        </xdr:from>
        <xdr:to>
          <xdr:col>11</xdr:col>
          <xdr:colOff>1114425</xdr:colOff>
          <xdr:row>44</xdr:row>
          <xdr:rowOff>114300</xdr:rowOff>
        </xdr:to>
        <xdr:sp macro="" textlink="">
          <xdr:nvSpPr>
            <xdr:cNvPr id="10242" name="Comentário 2">
              <a:extLst>
                <a:ext uri="{FF2B5EF4-FFF2-40B4-BE49-F238E27FC236}">
                  <a16:creationId xmlns:a16="http://schemas.microsoft.com/office/drawing/2014/main" id="{7EEBAC4A-4845-428C-8FD4-F8E0256BEDF9}"/>
                </a:ext>
              </a:extLst>
            </xdr:cNvPr>
            <xdr:cNvSpPr txBox="1">
              <a:spLocks noChangeArrowheads="1"/>
            </xdr:cNvSpPr>
          </xdr:nvSpPr>
          <xdr:spPr bwMode="auto">
            <a:xfrm>
              <a:off x="7391400" y="5781675"/>
              <a:ext cx="2171700" cy="400050"/>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pt-BR" sz="900" b="1" i="0" u="none" strike="noStrike" baseline="0%">
                  <a:solidFill>
                    <a:srgbClr val="000000"/>
                  </a:solidFill>
                  <a:latin typeface="Segoe UI"/>
                  <a:cs typeface="Segoe UI"/>
                </a:rPr>
                <a:t>Administrador:</a:t>
              </a:r>
              <a:endParaRPr lang="pt-BR" sz="900" b="0" i="0" u="none" strike="noStrike" baseline="0%">
                <a:solidFill>
                  <a:srgbClr val="000000"/>
                </a:solidFill>
                <a:latin typeface="Segoe UI"/>
                <a:cs typeface="Segoe UI"/>
              </a:endParaRPr>
            </a:p>
            <a:p>
              <a:pPr algn="l" rtl="0">
                <a:defRPr sz="1000"/>
              </a:pPr>
              <a:r>
                <a:rPr lang="pt-BR" sz="900" b="0" i="0" u="none" strike="noStrike" baseline="0%">
                  <a:solidFill>
                    <a:srgbClr val="000000"/>
                  </a:solidFill>
                  <a:latin typeface="Segoe UI"/>
                  <a:cs typeface="Segoe UI"/>
                </a:rPr>
                <a:t>No estimado foi considerado R$18,60.</a:t>
              </a:r>
            </a:p>
          </xdr:txBody>
        </xdr:sp>
        <xdr:clientData/>
      </xdr:twoCellAnchor>
    </mc:Fallback>
  </mc:AlternateContent>
</xdr:wsDr>
</file>

<file path=xl/drawings/drawing3.xml><?xml version="1.0" encoding="utf-8"?>
<xdr:wsDr xmlns:xdr="http://purl.oclc.org/ooxml/drawingml/spreadsheetDrawing" xmlns:a="http://purl.oclc.org/ooxml/drawingml/main">
  <xdr:absoluteAnchor>
    <xdr:pos x="0" y="0"/>
    <xdr:ext cx="1352550" cy="533400"/>
    <xdr:pic>
      <xdr:nvPicPr>
        <xdr:cNvPr id="2" name="CH" descr="Logo Real JG Serviços - EIRELI">
          <a:extLst>
            <a:ext uri="{FF2B5EF4-FFF2-40B4-BE49-F238E27FC236}">
              <a16:creationId xmlns:a16="http://schemas.microsoft.com/office/drawing/2014/main" id="{171C6BD6-DCC8-4E2D-8F26-52BF6BD6C64F}"/>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352550" cy="5334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619125" cy="514350"/>
    <xdr:pic>
      <xdr:nvPicPr>
        <xdr:cNvPr id="3" name="RH" descr="SELO QUALITY DIAMANTE 2016">
          <a:extLst>
            <a:ext uri="{FF2B5EF4-FFF2-40B4-BE49-F238E27FC236}">
              <a16:creationId xmlns:a16="http://schemas.microsoft.com/office/drawing/2014/main" id="{75DC80B4-183E-45E8-8EC3-49936A87CDC3}"/>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619125" cy="51435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4.xml><?xml version="1.0" encoding="utf-8"?>
<xdr:wsDr xmlns:xdr="http://purl.oclc.org/ooxml/drawingml/spreadsheetDrawing" xmlns:a="http://purl.oclc.org/ooxml/drawingml/main">
  <mc:AlternateContent xmlns:mc="http://schemas.openxmlformats.org/markup-compatibility/2006">
    <mc:Choice xmlns:v="urn:schemas-microsoft-com:vml" Requires="v"/>
    <mc:Fallback>
      <xdr:twoCellAnchor editAs="absolute">
        <xdr:from>
          <xdr:col>0</xdr:col>
          <xdr:colOff>3857625</xdr:colOff>
          <xdr:row>22</xdr:row>
          <xdr:rowOff>180975</xdr:rowOff>
        </xdr:from>
        <xdr:to>
          <xdr:col>1</xdr:col>
          <xdr:colOff>514350</xdr:colOff>
          <xdr:row>24</xdr:row>
          <xdr:rowOff>180975</xdr:rowOff>
        </xdr:to>
        <xdr:sp macro="" textlink="">
          <xdr:nvSpPr>
            <xdr:cNvPr id="34817" name="Comentário 1" hidden="1">
              <a:extLst>
                <a:ext uri="{FF2B5EF4-FFF2-40B4-BE49-F238E27FC236}">
                  <a16:creationId xmlns:a16="http://schemas.microsoft.com/office/drawing/2014/main" id="{D2ADF7B6-EA48-4CFD-9183-F18E142B0FD2}"/>
                </a:ext>
              </a:extLst>
            </xdr:cNvPr>
            <xdr:cNvSpPr txBox="1">
              <a:spLocks noChangeArrowheads="1"/>
            </xdr:cNvSpPr>
          </xdr:nvSpPr>
          <xdr:spPr bwMode="auto">
            <a:xfrm>
              <a:off x="3857625" y="5429250"/>
              <a:ext cx="1209675" cy="904875"/>
            </a:xfrm>
            <a:prstGeom prst="rect">
              <a:avLst/>
            </a:prstGeom>
            <a:solidFill>
              <a:srgbClr xmlns:a14="http://schemas.microsoft.com/office/drawing/2010/main" val="FFFFE1" mc:Ignorable="a14" a14:legacySpreadsheetColorIndex="80"/>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pt-BR" sz="900" b="1" i="0" u="none" strike="noStrike" baseline="0%">
                  <a:solidFill>
                    <a:srgbClr val="000000"/>
                  </a:solidFill>
                  <a:latin typeface="Segoe UI"/>
                  <a:cs typeface="Segoe UI"/>
                </a:rPr>
                <a:t>Administrador:</a:t>
              </a:r>
              <a:endParaRPr lang="pt-BR" sz="900" b="0" i="0" u="none" strike="noStrike" baseline="0%">
                <a:solidFill>
                  <a:srgbClr val="000000"/>
                </a:solidFill>
                <a:latin typeface="Segoe UI"/>
                <a:cs typeface="Segoe UI"/>
              </a:endParaRPr>
            </a:p>
            <a:p>
              <a:pPr algn="l" rtl="0">
                <a:defRPr sz="1000"/>
              </a:pPr>
              <a:endParaRPr lang="pt-BR" sz="900" b="0" i="0" u="none" strike="noStrike" baseline="0%">
                <a:solidFill>
                  <a:srgbClr val="000000"/>
                </a:solidFill>
                <a:latin typeface="Segoe UI"/>
                <a:cs typeface="Segoe UI"/>
              </a:endParaRPr>
            </a:p>
          </xdr:txBody>
        </xdr:sp>
        <xdr:clientData/>
      </xdr:twoCellAnchor>
    </mc:Fallback>
  </mc:AlternateContent>
</xdr:wsDr>
</file>

<file path=xl/drawings/drawing5.xml><?xml version="1.0" encoding="utf-8"?>
<xdr:wsDr xmlns:xdr="http://purl.oclc.org/ooxml/drawingml/spreadsheetDrawing" xmlns:a="http://purl.oclc.org/ooxml/drawingml/main">
  <xdr:absoluteAnchor>
    <xdr:pos x="0" y="0"/>
    <xdr:ext cx="1352550" cy="533400"/>
    <xdr:pic>
      <xdr:nvPicPr>
        <xdr:cNvPr id="2" name="CH" descr="Logo Real JG Serviços - EIRELI">
          <a:extLst>
            <a:ext uri="{FF2B5EF4-FFF2-40B4-BE49-F238E27FC236}">
              <a16:creationId xmlns:a16="http://schemas.microsoft.com/office/drawing/2014/main" id="{89E33350-11C4-4EC2-BE56-EC82F7052639}"/>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1352550" cy="5334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absoluteAnchor>
    <xdr:pos x="0" y="0"/>
    <xdr:ext cx="619125" cy="514350"/>
    <xdr:pic>
      <xdr:nvPicPr>
        <xdr:cNvPr id="3" name="RH" descr="SELO QUALITY DIAMANTE 2016">
          <a:extLst>
            <a:ext uri="{FF2B5EF4-FFF2-40B4-BE49-F238E27FC236}">
              <a16:creationId xmlns:a16="http://schemas.microsoft.com/office/drawing/2014/main" id="{D8F1324F-8670-4C0E-9D98-2DBEB8C83230}"/>
            </a:ext>
          </a:extLst>
        </xdr:cNvPr>
        <xdr:cNvPicPr>
          <a:picLocks noRot="1" noChangeAspect="1" noChangeArrowheads="1"/>
        </xdr:cNvPicPr>
      </xdr:nvPicPr>
      <xdr:blipFill>
        <a:blip xmlns:r="http://purl.oclc.org/ooxml/officeDocument/relationships" r:embed="rId2" cstate="print">
          <a:extLst>
            <a:ext uri="{28A0092B-C50C-407E-A947-70E740481C1C}">
              <a14:useLocalDpi xmlns:a14="http://schemas.microsoft.com/office/drawing/2010/main" val="0"/>
            </a:ext>
          </a:extLst>
        </a:blip>
        <a:srcRect/>
        <a:stretch>
          <a:fillRect/>
        </a:stretch>
      </xdr:blipFill>
      <xdr:spPr bwMode="auto">
        <a:xfrm>
          <a:off x="0" y="0"/>
          <a:ext cx="619125" cy="51435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1" Type="http://purl.oclc.org/ooxml/officeDocument/relationships/externalLinkPath" Target="file:///Y:\Administra&#231;&#227;o\2014\095\095.xls"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Y:\Seguran&#231;a\2017\010\Lances\029%20INICIAL%20LANCE%20FINAL%20-%20arredondamentote.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Y:\Administra&#231;&#227;o\2017\039\039.xlsm" TargetMode="External"/></Relationships>
</file>

<file path=xl/externalLinks/_rels/externalLink4.xml.rels><?xml version="1.0" encoding="UTF-8" standalone="yes"?>
<Relationships xmlns="http://schemas.openxmlformats.org/package/2006/relationships"><Relationship Id="rId1" Type="http://purl.oclc.org/ooxml/officeDocument/relationships/externalLinkPath" Target="file:///Y:\Habilita&#231;&#227;o\Documenta&#231;&#227;o-Habilita&#231;&#227;o\DACON\DACON%20ADM\DACON%20ADM%202017\APURA&#199;&#195;O\C&#243;pia%20de%20pe45auxsaudebucal.xls" TargetMode="External"/></Relationships>
</file>

<file path=xl/externalLinks/_rels/externalLink5.xml.rels><?xml version="1.0" encoding="UTF-8" standalone="yes"?>
<Relationships xmlns="http://schemas.openxmlformats.org/package/2006/relationships"><Relationship Id="rId1" Type="http://purl.oclc.org/ooxml/officeDocument/relationships/externalLinkPath" Target="file:///Y:\Users\denilma\Documents\029%20INICIAL%20LANCE%20FINAL%20-%20arredondamentote.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Apoio"/>
      <sheetName val="Dados"/>
      <sheetName val="Proposta"/>
      <sheetName val="AVISO"/>
      <sheetName val="Dados Contratação"/>
      <sheetName val="Dados Proponente"/>
      <sheetName val="Insumos"/>
      <sheetName val="Copeiro"/>
      <sheetName val="Garçom"/>
      <sheetName val="Chefe"/>
      <sheetName val="Ajudante"/>
      <sheetName val="Almoxarife"/>
      <sheetName val="Nutricionista"/>
      <sheetName val="Supervisor"/>
      <sheetName val="Encarregado"/>
      <sheetName val="Horas extra"/>
      <sheetName val="Valor Global"/>
      <sheetName val="Memória Desp.Adm"/>
      <sheetName val="Mem.VT, VA, Benefícios"/>
      <sheetName val="Mem. encargos"/>
      <sheetName val="k"/>
    </sheetNames>
    <sheetDataSet>
      <sheetData sheetId="0">
        <row r="1">
          <cell r="A1" t="str">
            <v>Tipo de Joranda de Trabalho</v>
          </cell>
        </row>
        <row r="2">
          <cell r="A2" t="str">
            <v>Escala 12x36 horas</v>
          </cell>
        </row>
        <row r="3">
          <cell r="A3" t="str">
            <v>44 horas semanais</v>
          </cell>
        </row>
        <row r="4">
          <cell r="A4" t="str">
            <v>40 horas semanais</v>
          </cell>
        </row>
        <row r="5">
          <cell r="A5" t="str">
            <v>36 horas semanais</v>
          </cell>
        </row>
        <row r="6">
          <cell r="A6" t="str">
            <v>30 horas semanais</v>
          </cell>
        </row>
        <row r="7">
          <cell r="A7" t="str">
            <v>15 horas semanais (TQQ)</v>
          </cell>
        </row>
        <row r="8">
          <cell r="A8" t="str">
            <v>20 horas semanais</v>
          </cell>
        </row>
        <row r="9">
          <cell r="A9" t="str">
            <v>35 horas semanais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Apoio"/>
      <sheetName val="AVISO"/>
      <sheetName val="Dados"/>
      <sheetName val="Proposta"/>
      <sheetName val="Dados Contratação"/>
      <sheetName val="Dados Proponente"/>
      <sheetName val="Insumos"/>
      <sheetName val="Vig Armada - Diurno"/>
      <sheetName val="Vig Armada - Noturno"/>
      <sheetName val="Valor Global"/>
      <sheetName val="Memória VT e VA"/>
      <sheetName val="Memória Desp.Adm"/>
      <sheetName val="Mem. encargos"/>
      <sheetName val="Resumo"/>
      <sheetName val="k"/>
    </sheetNames>
    <sheetDataSet>
      <sheetData sheetId="0">
        <row r="1">
          <cell r="A1" t="str">
            <v>Tipo de Joranda de Trabalho</v>
          </cell>
        </row>
        <row r="2">
          <cell r="A2" t="str">
            <v>Escala 12x36 horas</v>
          </cell>
        </row>
        <row r="3">
          <cell r="A3" t="str">
            <v>44 horas semanais</v>
          </cell>
        </row>
        <row r="4">
          <cell r="A4" t="str">
            <v>40 horas semanais</v>
          </cell>
        </row>
        <row r="5">
          <cell r="A5" t="str">
            <v>36 horas semanais</v>
          </cell>
        </row>
        <row r="6">
          <cell r="A6" t="str">
            <v>30 horas semanais</v>
          </cell>
        </row>
        <row r="7">
          <cell r="A7" t="str">
            <v>15 horas semanais (TQQ)</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Apoio"/>
      <sheetName val="dados"/>
      <sheetName val="Proposta"/>
      <sheetName val="AVISO"/>
      <sheetName val="Dados Contratação"/>
      <sheetName val="Dados Proponente"/>
      <sheetName val="Insumos"/>
      <sheetName val="Auxiliar de Saúde Bucal"/>
      <sheetName val="Memórias Desp.Adm"/>
      <sheetName val="Memórias VT, VA e outros"/>
      <sheetName val="Memórias Encargos"/>
      <sheetName val="Tributos"/>
      <sheetName val="Valor Global"/>
      <sheetName val="k"/>
    </sheetNames>
    <sheetDataSet>
      <sheetData sheetId="0">
        <row r="1">
          <cell r="A1" t="str">
            <v>Tipo de Joranda de Trabalho</v>
          </cell>
        </row>
        <row r="2">
          <cell r="A2" t="str">
            <v>Escala 12x36 horas</v>
          </cell>
        </row>
        <row r="3">
          <cell r="A3" t="str">
            <v>44 horas semanais</v>
          </cell>
        </row>
        <row r="4">
          <cell r="A4" t="str">
            <v>40 horas semanais</v>
          </cell>
        </row>
        <row r="5">
          <cell r="A5" t="str">
            <v>36 horas semanais</v>
          </cell>
        </row>
        <row r="6">
          <cell r="A6" t="str">
            <v>30 horas semanais</v>
          </cell>
        </row>
        <row r="7">
          <cell r="A7" t="str">
            <v>15 horas semanais (TQQ)</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Apoio"/>
      <sheetName val="AVISO"/>
      <sheetName val="Dados Contratação"/>
      <sheetName val="Dados Proponente"/>
      <sheetName val="Insumos"/>
      <sheetName val="Aux. Consult. Dentário"/>
      <sheetName val="Valor Global"/>
    </sheetNames>
    <sheetDataSet>
      <sheetData sheetId="0">
        <row r="1">
          <cell r="A1" t="str">
            <v>Tipo de Joranda de Trabalho</v>
          </cell>
        </row>
        <row r="2">
          <cell r="A2" t="str">
            <v>Escala 12x36 horas</v>
          </cell>
        </row>
        <row r="3">
          <cell r="A3" t="str">
            <v>44 horas semanais</v>
          </cell>
        </row>
        <row r="4">
          <cell r="A4" t="str">
            <v>40 horas semanais</v>
          </cell>
        </row>
        <row r="5">
          <cell r="A5" t="str">
            <v>36 horas semanais</v>
          </cell>
        </row>
        <row r="6">
          <cell r="A6" t="str">
            <v>30 horas semanais</v>
          </cell>
        </row>
        <row r="7">
          <cell r="A7" t="str">
            <v>15 horas semanais (TQQ)</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purl.oclc.org/ooxml/spreadsheetml/main" xmlns:mc="http://schemas.openxmlformats.org/markup-compatibility/2006" xmlns:x14="http://schemas.microsoft.com/office/spreadsheetml/2009/9/main" mc:Ignorable="x14">
  <externalBook xmlns:r="http://purl.oclc.org/ooxml/officeDocument/relationships" r:id="rId1">
    <sheetNames>
      <sheetName val="Apoio"/>
      <sheetName val="AVISO"/>
      <sheetName val="Dados"/>
      <sheetName val="Proposta"/>
      <sheetName val="Dados Contratação"/>
      <sheetName val="Dados Proponente"/>
      <sheetName val="Insumos"/>
      <sheetName val="Vig Armada - Diurno"/>
      <sheetName val="Vig Armada - Noturno"/>
      <sheetName val="Valor Global"/>
      <sheetName val="Memória VT e VA"/>
      <sheetName val="Memória Desp.Adm"/>
      <sheetName val="Mem. encargos"/>
      <sheetName val="Resumo"/>
      <sheetName val="k"/>
      <sheetName val="CCT'S"/>
      <sheetName val="rascunho"/>
      <sheetName val="SALÁRIOS"/>
      <sheetName val="BENEFÍCIOS"/>
      <sheetName val="ENCARGOS"/>
      <sheetName val="Recepcionista"/>
      <sheetName val="Memórias Desp.Adm"/>
      <sheetName val="Tributos"/>
    </sheetNames>
    <sheetDataSet>
      <sheetData sheetId="0">
        <row r="1">
          <cell r="A1" t="str">
            <v>Tipo de Joranda de Trabalho</v>
          </cell>
        </row>
        <row r="2">
          <cell r="A2" t="str">
            <v>Escala 12x36 horas</v>
          </cell>
        </row>
        <row r="3">
          <cell r="A3" t="str">
            <v>44 horas semanais</v>
          </cell>
        </row>
        <row r="4">
          <cell r="A4" t="str">
            <v>40 horas semanais</v>
          </cell>
        </row>
        <row r="5">
          <cell r="A5" t="str">
            <v>36 horas semanais</v>
          </cell>
        </row>
        <row r="6">
          <cell r="A6" t="str">
            <v>30 horas semanais</v>
          </cell>
        </row>
        <row r="7">
          <cell r="A7" t="str">
            <v>15 horas semanais (TQQ)</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v>0</v>
          </cell>
        </row>
      </sheetData>
      <sheetData sheetId="16"/>
      <sheetData sheetId="17"/>
      <sheetData sheetId="18"/>
      <sheetData sheetId="19"/>
      <sheetData sheetId="20"/>
      <sheetData sheetId="21"/>
      <sheetData sheetId="22"/>
    </sheetDataSet>
  </externalBook>
</externalLink>
</file>

<file path=xl/theme/theme1.xml><?xml version="1.0" encoding="utf-8"?>
<a:theme xmlns:a="http://purl.oclc.org/ooxml/drawingml/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6.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7.bin"/></Relationships>
</file>

<file path=xl/worksheets/_rels/sheet18.xml.rels><?xml version="1.0" encoding="UTF-8" standalone="yes"?>
<Relationships xmlns="http://schemas.openxmlformats.org/package/2006/relationships"><Relationship Id="rId1" Type="http://purl.oclc.org/ooxml/officeDocument/relationships/printerSettings" Target="../printerSettings/printerSettings18.bin"/></Relationships>
</file>

<file path=xl/worksheets/_rels/sheet19.xml.rels><?xml version="1.0" encoding="UTF-8" standalone="yes"?>
<Relationships xmlns="http://schemas.openxmlformats.org/package/2006/relationships"><Relationship Id="rId1" Type="http://purl.oclc.org/ooxml/officeDocument/relationships/printerSettings" Target="../printerSettings/printerSettings19.bin"/></Relationships>
</file>

<file path=xl/worksheets/_rels/sheet2.xml.rels><?xml version="1.0" encoding="UTF-8" standalone="yes"?>
<Relationships xmlns="http://schemas.openxmlformats.org/package/2006/relationships"><Relationship Id="rId1" Type="http://purl.oclc.org/ooxml/officeDocument/relationships/printerSettings" Target="../printerSettings/printerSettings2.bin"/></Relationships>
</file>

<file path=xl/worksheets/_rels/sheet20.xml.rels><?xml version="1.0" encoding="UTF-8" standalone="yes"?>
<Relationships xmlns="http://schemas.openxmlformats.org/package/2006/relationships"><Relationship Id="rId1" Type="http://purl.oclc.org/ooxml/officeDocument/relationships/printerSettings" Target="../printerSettings/printerSettings20.bin"/></Relationships>
</file>

<file path=xl/worksheets/_rels/sheet21.xml.rels><?xml version="1.0" encoding="UTF-8" standalone="yes"?>
<Relationships xmlns="http://schemas.openxmlformats.org/package/2006/relationships"><Relationship Id="rId1" Type="http://purl.oclc.org/ooxml/officeDocument/relationships/printerSettings" Target="../printerSettings/printerSettings21.bin"/></Relationships>
</file>

<file path=xl/worksheets/_rels/sheet22.xml.rels><?xml version="1.0" encoding="UTF-8" standalone="yes"?>
<Relationships xmlns="http://schemas.openxmlformats.org/package/2006/relationships"><Relationship Id="rId1" Type="http://purl.oclc.org/ooxml/officeDocument/relationships/printerSettings" Target="../printerSettings/printerSettings22.bin"/></Relationships>
</file>

<file path=xl/worksheets/_rels/sheet23.xml.rels><?xml version="1.0" encoding="UTF-8" standalone="yes"?>
<Relationships xmlns="http://schemas.openxmlformats.org/package/2006/relationships"><Relationship Id="rId1" Type="http://purl.oclc.org/ooxml/officeDocument/relationships/printerSettings" Target="../printerSettings/printerSettings23.bin"/></Relationships>
</file>

<file path=xl/worksheets/_rels/sheet24.xml.rels><?xml version="1.0" encoding="UTF-8" standalone="yes"?>
<Relationships xmlns="http://schemas.openxmlformats.org/package/2006/relationships"><Relationship Id="rId1" Type="http://purl.oclc.org/ooxml/officeDocument/relationships/printerSettings" Target="../printerSettings/printerSettings24.bin"/></Relationships>
</file>

<file path=xl/worksheets/_rels/sheet25.xml.rels><?xml version="1.0" encoding="UTF-8" standalone="yes"?>
<Relationships xmlns="http://schemas.openxmlformats.org/package/2006/relationships"><Relationship Id="rId3" Type="http://purl.oclc.org/ooxml/officeDocument/relationships/drawing" Target="../drawings/drawing3.xml"/><Relationship Id="rId2" Type="http://schemas.openxmlformats.org/officeDocument/2006/relationships/vmlDrawing" Target="../drawings/vmlDrawing3.vml"/><Relationship Id="rId1" Type="http://purl.oclc.org/ooxml/officeDocument/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purl.oclc.org/ooxml/officeDocument/relationships/drawing" Target="../drawings/drawing4.xml"/><Relationship Id="rId1" Type="http://purl.oclc.org/ooxml/officeDocument/relationships/printerSettings" Target="../printerSettings/printerSettings26.bin"/><Relationship Id="rId6" Type="http://purl.oclc.org/ooxml/officeDocument/relationships/comments" Target="../comments3.xml"/><Relationship Id="rId5" Type="http://purl.oclc.org/ooxml/officeDocument/relationships/drawing" Target="../drawings/drawing5.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1" Type="http://purl.oclc.org/ooxml/officeDocument/relationships/printerSettings" Target="../printerSettings/printerSettings27.bin"/></Relationships>
</file>

<file path=xl/worksheets/_rels/sheet28.xml.rels><?xml version="1.0" encoding="UTF-8" standalone="yes"?>
<Relationships xmlns="http://schemas.openxmlformats.org/package/2006/relationships"><Relationship Id="rId1" Type="http://purl.oclc.org/ooxml/officeDocument/relationships/printerSettings" Target="../printerSettings/printerSettings28.bin"/></Relationships>
</file>

<file path=xl/worksheets/_rels/sheet29.xml.rels><?xml version="1.0" encoding="UTF-8" standalone="yes"?>
<Relationships xmlns="http://schemas.openxmlformats.org/package/2006/relationships"><Relationship Id="rId1" Type="http://purl.oclc.org/ooxml/officeDocument/relationships/printerSettings" Target="../printerSettings/printerSettings29.bin"/></Relationships>
</file>

<file path=xl/worksheets/_rels/sheet3.xml.rels><?xml version="1.0" encoding="UTF-8" standalone="yes"?>
<Relationships xmlns="http://schemas.openxmlformats.org/package/2006/relationships"><Relationship Id="rId1" Type="http://purl.oclc.org/ooxml/officeDocument/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purl.oclc.org/ooxml/officeDocument/relationships/drawing" Target="../drawings/drawing1.xml"/><Relationship Id="rId1" Type="http://purl.oclc.org/ooxml/officeDocument/relationships/printerSettings" Target="../printerSettings/printerSettings4.bin"/><Relationship Id="rId4" Type="http://purl.oclc.org/ooxml/officeDocument/relationships/comments" Target="../comments1.xml"/></Relationships>
</file>

<file path=xl/worksheets/_rels/sheet5.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purl.oclc.org/ooxml/officeDocument/relationships/drawing" Target="../drawings/drawing2.xml"/><Relationship Id="rId1" Type="http://purl.oclc.org/ooxml/officeDocument/relationships/printerSettings" Target="../printerSettings/printerSettings7.bin"/><Relationship Id="rId4" Type="http://purl.oclc.org/ooxml/officeDocument/relationships/comments" Target="../comments2.xml"/></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9.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3">
    <tabColor rgb="FFFF0000"/>
  </sheetPr>
  <dimension ref="A1:M142"/>
  <sheetViews>
    <sheetView view="pageBreakPreview" zoomScaleNormal="100" zoomScaleSheetLayoutView="100" workbookViewId="0">
      <selection activeCell="K8" sqref="K8:K21"/>
    </sheetView>
  </sheetViews>
  <sheetFormatPr defaultRowHeight="12.75" x14ac:dyDescent="0.2"/>
  <cols>
    <col min="1" max="1" width="33.140625" style="383" customWidth="1"/>
    <col min="2" max="2" width="13.140625" style="383" customWidth="1"/>
    <col min="3" max="3" width="16.28515625" style="383" customWidth="1"/>
    <col min="4" max="4" width="14.42578125" style="383" customWidth="1"/>
    <col min="5" max="5" width="17.140625" style="383" customWidth="1"/>
    <col min="6" max="6" width="15.5703125" style="383" customWidth="1"/>
    <col min="7" max="7" width="17.42578125" style="383" customWidth="1"/>
    <col min="8" max="8" width="15" style="383" customWidth="1"/>
    <col min="9" max="9" width="15.85546875" style="383" bestFit="1" customWidth="1"/>
    <col min="10" max="10" width="14.5703125" style="383" customWidth="1"/>
    <col min="11" max="11" width="13.140625" style="383" customWidth="1"/>
    <col min="12" max="12" width="13.5703125" style="383" bestFit="1" customWidth="1"/>
    <col min="13" max="13" width="9.140625" style="383" customWidth="1"/>
    <col min="14" max="14" width="9.5703125" style="383" customWidth="1"/>
    <col min="15" max="15" width="9.140625" style="383"/>
    <col min="16" max="16" width="10" style="383" bestFit="1" customWidth="1"/>
    <col min="17" max="16384" width="9.140625" style="383"/>
  </cols>
  <sheetData>
    <row r="1" spans="1:12" x14ac:dyDescent="0.2">
      <c r="A1" s="382"/>
      <c r="B1" s="382"/>
      <c r="C1" s="382"/>
      <c r="D1" s="382"/>
      <c r="E1" s="382"/>
      <c r="F1" s="382"/>
    </row>
    <row r="2" spans="1:12" x14ac:dyDescent="0.2">
      <c r="A2" s="1266" t="s">
        <v>197</v>
      </c>
      <c r="B2" s="1266"/>
      <c r="C2" s="1266"/>
      <c r="D2" s="1266"/>
      <c r="E2" s="1266"/>
      <c r="F2" s="1266"/>
      <c r="G2" s="1266"/>
      <c r="H2" s="1266"/>
      <c r="I2" s="1266"/>
      <c r="J2" s="1266"/>
      <c r="K2" s="1266"/>
      <c r="L2" s="1266"/>
    </row>
    <row r="3" spans="1:12" x14ac:dyDescent="0.2">
      <c r="A3" s="384"/>
      <c r="B3" s="384"/>
      <c r="C3" s="384"/>
      <c r="D3" s="384"/>
      <c r="E3" s="384"/>
      <c r="F3" s="384"/>
      <c r="G3" s="384"/>
      <c r="H3" s="384"/>
      <c r="I3" s="384"/>
      <c r="J3" s="384"/>
      <c r="K3" s="384"/>
      <c r="L3" s="384"/>
    </row>
    <row r="4" spans="1:12" x14ac:dyDescent="0.2">
      <c r="A4" s="384"/>
      <c r="B4" s="384"/>
      <c r="C4" s="384"/>
      <c r="D4" s="384"/>
      <c r="E4" s="384"/>
      <c r="F4" s="384"/>
      <c r="G4" s="384"/>
      <c r="H4" s="384"/>
      <c r="I4" s="384"/>
      <c r="J4" s="946"/>
      <c r="K4" s="946"/>
      <c r="L4" s="384"/>
    </row>
    <row r="5" spans="1:12" x14ac:dyDescent="0.2">
      <c r="A5" s="382"/>
      <c r="B5" s="382"/>
      <c r="C5" s="382"/>
      <c r="D5" s="382"/>
      <c r="E5" s="382"/>
      <c r="F5" s="382"/>
    </row>
    <row r="6" spans="1:12" x14ac:dyDescent="0.2">
      <c r="A6" s="385" t="s">
        <v>405</v>
      </c>
      <c r="B6" s="382"/>
      <c r="C6" s="382"/>
      <c r="D6" s="382"/>
      <c r="E6" s="382"/>
      <c r="F6" s="382"/>
    </row>
    <row r="7" spans="1:12" ht="27.75" customHeight="1" x14ac:dyDescent="0.2">
      <c r="A7" s="398" t="s">
        <v>259</v>
      </c>
      <c r="B7" s="479"/>
      <c r="C7" s="480" t="s">
        <v>260</v>
      </c>
      <c r="D7" s="481"/>
      <c r="E7" s="646" t="s">
        <v>417</v>
      </c>
      <c r="F7" s="646" t="s">
        <v>52</v>
      </c>
      <c r="G7" s="646" t="s">
        <v>261</v>
      </c>
      <c r="H7" s="646" t="s">
        <v>166</v>
      </c>
      <c r="I7" s="646" t="s">
        <v>262</v>
      </c>
      <c r="J7" s="646" t="s">
        <v>163</v>
      </c>
      <c r="K7" s="464" t="s">
        <v>1237</v>
      </c>
      <c r="L7" s="646" t="s">
        <v>431</v>
      </c>
    </row>
    <row r="8" spans="1:12" s="895" customFormat="1" x14ac:dyDescent="0.2">
      <c r="A8" s="1013" t="s">
        <v>257</v>
      </c>
      <c r="B8" s="1014"/>
      <c r="C8" s="1015" t="s">
        <v>1207</v>
      </c>
      <c r="D8" s="1016"/>
      <c r="E8" s="1017" t="s">
        <v>1208</v>
      </c>
      <c r="F8" s="1017" t="d">
        <v>2021-01-01</v>
      </c>
      <c r="G8" s="1017" t="d">
        <v>2021-01-22</v>
      </c>
      <c r="H8" s="1018" t="s">
        <v>1216</v>
      </c>
      <c r="I8" s="1017" t="s">
        <v>263</v>
      </c>
      <c r="J8" s="1019">
        <v>1287.96</v>
      </c>
      <c r="K8" s="1267">
        <v>1100</v>
      </c>
      <c r="L8" s="876"/>
    </row>
    <row r="9" spans="1:12" s="405" customFormat="1" x14ac:dyDescent="0.2">
      <c r="A9" s="1022" t="s">
        <v>401</v>
      </c>
      <c r="B9" s="1023"/>
      <c r="C9" s="1024" t="s">
        <v>1207</v>
      </c>
      <c r="D9" s="1025"/>
      <c r="E9" s="1026" t="s">
        <v>1208</v>
      </c>
      <c r="F9" s="1026" t="d">
        <v>2021-01-01</v>
      </c>
      <c r="G9" s="1027" t="d">
        <v>2021-01-25</v>
      </c>
      <c r="H9" s="1027" t="s">
        <v>1217</v>
      </c>
      <c r="I9" s="1026" t="s">
        <v>415</v>
      </c>
      <c r="J9" s="1028">
        <v>2311.02</v>
      </c>
      <c r="K9" s="1268"/>
      <c r="L9" s="386"/>
    </row>
    <row r="10" spans="1:12" s="1042" customFormat="1" x14ac:dyDescent="0.2">
      <c r="A10" s="1022" t="s">
        <v>413</v>
      </c>
      <c r="B10" s="1023"/>
      <c r="C10" s="1024" t="s">
        <v>1207</v>
      </c>
      <c r="D10" s="1025"/>
      <c r="E10" s="1026" t="s">
        <v>1208</v>
      </c>
      <c r="F10" s="1026" t="d">
        <v>2021-01-01</v>
      </c>
      <c r="G10" s="1026" t="d">
        <v>2021-05-07</v>
      </c>
      <c r="H10" s="1026" t="s">
        <v>1232</v>
      </c>
      <c r="I10" s="1026" t="s">
        <v>422</v>
      </c>
      <c r="J10" s="1028">
        <v>1368.91</v>
      </c>
      <c r="K10" s="1268"/>
      <c r="L10" s="1026"/>
    </row>
    <row r="11" spans="1:12" s="1072" customFormat="1" x14ac:dyDescent="0.2">
      <c r="A11" s="1067" t="s">
        <v>432</v>
      </c>
      <c r="B11" s="1068"/>
      <c r="C11" s="1069" t="s">
        <v>1207</v>
      </c>
      <c r="D11" s="1070"/>
      <c r="E11" s="1027" t="s">
        <v>1208</v>
      </c>
      <c r="F11" s="1027" t="d">
        <v>2021-01-01</v>
      </c>
      <c r="G11" s="1027" t="d">
        <v>2021-06-22</v>
      </c>
      <c r="H11" s="1027" t="s">
        <v>1250</v>
      </c>
      <c r="I11" s="1027" t="s">
        <v>433</v>
      </c>
      <c r="J11" s="1071">
        <v>1148.47</v>
      </c>
      <c r="K11" s="1268"/>
      <c r="L11" s="1027"/>
    </row>
    <row r="12" spans="1:12" x14ac:dyDescent="0.2">
      <c r="A12" s="870" t="s">
        <v>435</v>
      </c>
      <c r="B12" s="446"/>
      <c r="C12" s="465" t="s">
        <v>1073</v>
      </c>
      <c r="D12" s="447"/>
      <c r="E12" s="386" t="s">
        <v>1074</v>
      </c>
      <c r="F12" s="386" t="d">
        <v>2019-05-01</v>
      </c>
      <c r="G12" s="386" t="d">
        <v>2019-07-05</v>
      </c>
      <c r="H12" s="386" t="s">
        <v>1075</v>
      </c>
      <c r="I12" s="386" t="s">
        <v>436</v>
      </c>
      <c r="J12" s="387">
        <v>1531.6</v>
      </c>
      <c r="K12" s="1268"/>
      <c r="L12" s="386"/>
    </row>
    <row r="13" spans="1:12" x14ac:dyDescent="0.2">
      <c r="A13" s="1013" t="s">
        <v>455</v>
      </c>
      <c r="B13" s="1051"/>
      <c r="C13" s="1015" t="s">
        <v>1207</v>
      </c>
      <c r="D13" s="1016"/>
      <c r="E13" s="1017" t="s">
        <v>1208</v>
      </c>
      <c r="F13" s="1017" t="d">
        <v>2021-01-01</v>
      </c>
      <c r="G13" s="1017" t="d">
        <v>2021-04-13</v>
      </c>
      <c r="H13" s="1017" t="s">
        <v>1244</v>
      </c>
      <c r="I13" s="1017" t="s">
        <v>456</v>
      </c>
      <c r="J13" s="1019">
        <v>2997.3</v>
      </c>
      <c r="K13" s="1268"/>
      <c r="L13" s="386"/>
    </row>
    <row r="14" spans="1:12" x14ac:dyDescent="0.2">
      <c r="A14" s="1013" t="s">
        <v>522</v>
      </c>
      <c r="B14" s="1051"/>
      <c r="C14" s="1015" t="s">
        <v>1207</v>
      </c>
      <c r="D14" s="1016"/>
      <c r="E14" s="1017" t="s">
        <v>1208</v>
      </c>
      <c r="F14" s="1017" t="d">
        <v>2021-01-01</v>
      </c>
      <c r="G14" s="1017" t="d">
        <v>2021-04-26</v>
      </c>
      <c r="H14" s="1017" t="s">
        <v>1239</v>
      </c>
      <c r="I14" s="1017" t="s">
        <v>523</v>
      </c>
      <c r="J14" s="1019">
        <v>1746.62</v>
      </c>
      <c r="K14" s="1268"/>
      <c r="L14" s="386"/>
    </row>
    <row r="15" spans="1:12" x14ac:dyDescent="0.2">
      <c r="A15" s="870" t="s">
        <v>583</v>
      </c>
      <c r="B15" s="873"/>
      <c r="C15" s="874" t="s">
        <v>1174</v>
      </c>
      <c r="D15" s="875"/>
      <c r="E15" s="876" t="s">
        <v>1175</v>
      </c>
      <c r="F15" s="876" t="d">
        <v>2019-05-01</v>
      </c>
      <c r="G15" s="876" t="d">
        <v>2019-08-06</v>
      </c>
      <c r="H15" s="876" t="s">
        <v>1203</v>
      </c>
      <c r="I15" s="876" t="s">
        <v>582</v>
      </c>
      <c r="J15" s="894">
        <v>1104.4000000000001</v>
      </c>
      <c r="K15" s="1268"/>
      <c r="L15" s="386"/>
    </row>
    <row r="16" spans="1:12" s="405" customFormat="1" x14ac:dyDescent="0.2">
      <c r="A16" s="1032" t="s">
        <v>637</v>
      </c>
      <c r="B16" s="1033"/>
      <c r="C16" s="1034" t="s">
        <v>1077</v>
      </c>
      <c r="D16" s="1035"/>
      <c r="E16" s="1036" t="s">
        <v>1074</v>
      </c>
      <c r="F16" s="1036" t="d">
        <v>2019-01-01</v>
      </c>
      <c r="G16" s="1036" t="d">
        <v>2019-08-14</v>
      </c>
      <c r="H16" s="1036" t="s">
        <v>1078</v>
      </c>
      <c r="I16" s="1036" t="s">
        <v>638</v>
      </c>
      <c r="J16" s="914">
        <f>1155.33*(1+3.5%)</f>
        <v>1195.77</v>
      </c>
      <c r="K16" s="1268"/>
      <c r="L16" s="1038"/>
    </row>
    <row r="17" spans="1:12" x14ac:dyDescent="0.2">
      <c r="A17" s="1078" t="s">
        <v>656</v>
      </c>
      <c r="B17" s="1079"/>
      <c r="C17" s="1080" t="s">
        <v>1284</v>
      </c>
      <c r="D17" s="1081"/>
      <c r="E17" s="1082" t="s">
        <v>1285</v>
      </c>
      <c r="F17" s="1082" t="d">
        <v>2020-09-01</v>
      </c>
      <c r="G17" s="1082" t="d">
        <v>2020-12-24</v>
      </c>
      <c r="H17" s="1082" t="s">
        <v>1286</v>
      </c>
      <c r="I17" s="1082" t="s">
        <v>657</v>
      </c>
      <c r="J17" s="1083">
        <v>1049</v>
      </c>
      <c r="K17" s="1268"/>
      <c r="L17" s="1084"/>
    </row>
    <row r="18" spans="1:12" x14ac:dyDescent="0.2">
      <c r="A18" s="997" t="s">
        <v>1152</v>
      </c>
      <c r="B18" s="971"/>
      <c r="C18" s="972" t="s">
        <v>1153</v>
      </c>
      <c r="D18" s="973"/>
      <c r="E18" s="974" t="s">
        <v>1074</v>
      </c>
      <c r="F18" s="974" t="d">
        <v>2019-05-01</v>
      </c>
      <c r="G18" s="974" t="d">
        <v>2019-08-09</v>
      </c>
      <c r="H18" s="975" t="s">
        <v>1154</v>
      </c>
      <c r="I18" s="974" t="s">
        <v>1152</v>
      </c>
      <c r="J18" s="894">
        <v>1086</v>
      </c>
      <c r="K18" s="1268"/>
      <c r="L18" s="386"/>
    </row>
    <row r="19" spans="1:12" s="1042" customFormat="1" x14ac:dyDescent="0.2">
      <c r="A19" s="1013" t="s">
        <v>1155</v>
      </c>
      <c r="B19" s="1014"/>
      <c r="C19" s="1015" t="s">
        <v>1234</v>
      </c>
      <c r="D19" s="1016"/>
      <c r="E19" s="1017" t="s">
        <v>1235</v>
      </c>
      <c r="F19" s="1017" t="d">
        <v>2021-05-01</v>
      </c>
      <c r="G19" s="1017" t="d">
        <v>2021-05-17</v>
      </c>
      <c r="H19" s="1018" t="s">
        <v>1236</v>
      </c>
      <c r="I19" s="1017" t="s">
        <v>1156</v>
      </c>
      <c r="J19" s="1019">
        <v>2142.84</v>
      </c>
      <c r="K19" s="1268"/>
      <c r="L19" s="1026"/>
    </row>
    <row r="20" spans="1:12" x14ac:dyDescent="0.2">
      <c r="A20" s="876" t="s">
        <v>1173</v>
      </c>
      <c r="B20" s="873"/>
      <c r="C20" s="874" t="s">
        <v>1174</v>
      </c>
      <c r="D20" s="875"/>
      <c r="E20" s="876" t="s">
        <v>1175</v>
      </c>
      <c r="F20" s="876" t="d">
        <v>2019-05-01</v>
      </c>
      <c r="G20" s="876" t="d">
        <v>2019-09-02</v>
      </c>
      <c r="H20" s="876" t="s">
        <v>1176</v>
      </c>
      <c r="I20" s="876" t="s">
        <v>1177</v>
      </c>
      <c r="J20" s="894">
        <v>5988</v>
      </c>
      <c r="K20" s="1268"/>
      <c r="L20" s="386"/>
    </row>
    <row r="21" spans="1:12" x14ac:dyDescent="0.2">
      <c r="A21" s="1022" t="s">
        <v>666</v>
      </c>
      <c r="B21" s="1023"/>
      <c r="C21" s="1024" t="s">
        <v>1207</v>
      </c>
      <c r="D21" s="1025"/>
      <c r="E21" s="1026" t="s">
        <v>1208</v>
      </c>
      <c r="F21" s="1026" t="d">
        <v>2021-01-01</v>
      </c>
      <c r="G21" s="1027" t="d">
        <v>2021-02-10</v>
      </c>
      <c r="H21" s="1027" t="s">
        <v>1228</v>
      </c>
      <c r="I21" s="1026" t="s">
        <v>667</v>
      </c>
      <c r="J21" s="1028">
        <v>3044.5</v>
      </c>
      <c r="K21" s="1269"/>
      <c r="L21" s="386"/>
    </row>
    <row r="22" spans="1:12" x14ac:dyDescent="0.2">
      <c r="F22" s="390"/>
      <c r="L22" s="391"/>
    </row>
    <row r="23" spans="1:12" x14ac:dyDescent="0.2">
      <c r="A23" s="385" t="s">
        <v>404</v>
      </c>
      <c r="B23" s="382"/>
      <c r="C23" s="382"/>
      <c r="D23" s="382"/>
      <c r="E23" s="382"/>
      <c r="F23" s="382"/>
      <c r="K23" s="397"/>
      <c r="L23" s="397"/>
    </row>
    <row r="24" spans="1:12" x14ac:dyDescent="0.2">
      <c r="A24" s="398" t="s">
        <v>143</v>
      </c>
      <c r="B24" s="604" t="s">
        <v>198</v>
      </c>
      <c r="C24" s="1270" t="s">
        <v>340</v>
      </c>
      <c r="D24" s="1270"/>
      <c r="E24" s="1270"/>
      <c r="F24" s="604" t="s">
        <v>341</v>
      </c>
      <c r="G24" s="1274" t="s">
        <v>406</v>
      </c>
      <c r="H24" s="1275"/>
      <c r="I24" s="1275"/>
      <c r="J24" s="1275"/>
      <c r="K24" s="1275"/>
      <c r="L24" s="1276"/>
    </row>
    <row r="25" spans="1:12" ht="12.75" customHeight="1" x14ac:dyDescent="0.2">
      <c r="A25" s="399" t="s">
        <v>40</v>
      </c>
      <c r="B25" s="603">
        <v>0</v>
      </c>
      <c r="C25" s="1262" t="s">
        <v>342</v>
      </c>
      <c r="D25" s="1262"/>
      <c r="E25" s="1262"/>
      <c r="F25" s="472" t="s">
        <v>343</v>
      </c>
      <c r="G25" s="1259" t="s">
        <v>717</v>
      </c>
      <c r="H25" s="1271"/>
      <c r="I25" s="1271"/>
      <c r="J25" s="1271"/>
      <c r="K25" s="1271"/>
      <c r="L25" s="1272"/>
    </row>
    <row r="26" spans="1:12" ht="22.5" customHeight="1" x14ac:dyDescent="0.2">
      <c r="A26" s="400" t="s">
        <v>161</v>
      </c>
      <c r="B26" s="603">
        <v>0.2</v>
      </c>
      <c r="C26" s="1262" t="s">
        <v>344</v>
      </c>
      <c r="D26" s="1262"/>
      <c r="E26" s="472" t="s">
        <v>572</v>
      </c>
      <c r="F26" s="472" t="s">
        <v>343</v>
      </c>
      <c r="G26" s="1273" t="s">
        <v>873</v>
      </c>
      <c r="H26" s="1273"/>
      <c r="I26" s="1273"/>
      <c r="J26" s="1273"/>
      <c r="K26" s="1273"/>
      <c r="L26" s="1273"/>
    </row>
    <row r="27" spans="1:12" ht="16.5" customHeight="1" x14ac:dyDescent="0.2">
      <c r="A27" s="401" t="s">
        <v>345</v>
      </c>
      <c r="B27" s="603">
        <v>0.4</v>
      </c>
      <c r="C27" s="1263" t="s">
        <v>344</v>
      </c>
      <c r="D27" s="1264"/>
      <c r="E27" s="1265"/>
      <c r="F27" s="472" t="s">
        <v>343</v>
      </c>
      <c r="G27" s="1273"/>
      <c r="H27" s="1273"/>
      <c r="I27" s="1273"/>
      <c r="J27" s="1273"/>
      <c r="K27" s="1273"/>
      <c r="L27" s="1273"/>
    </row>
    <row r="28" spans="1:12" ht="12.75" hidden="1" customHeight="1" x14ac:dyDescent="0.2">
      <c r="A28" s="401" t="s">
        <v>517</v>
      </c>
      <c r="B28" s="603">
        <v>0.1</v>
      </c>
      <c r="C28" s="1263" t="s">
        <v>516</v>
      </c>
      <c r="D28" s="1264"/>
      <c r="E28" s="1265"/>
      <c r="F28" s="472" t="s">
        <v>343</v>
      </c>
      <c r="G28" s="1259" t="s">
        <v>518</v>
      </c>
      <c r="H28" s="1260"/>
      <c r="I28" s="1260"/>
      <c r="J28" s="1260"/>
      <c r="K28" s="1260"/>
      <c r="L28" s="1261"/>
    </row>
    <row r="29" spans="1:12" ht="36.75" customHeight="1" x14ac:dyDescent="0.2">
      <c r="A29" s="399" t="s">
        <v>162</v>
      </c>
      <c r="B29" s="603">
        <v>0.3</v>
      </c>
      <c r="C29" s="1262" t="s">
        <v>346</v>
      </c>
      <c r="D29" s="1262"/>
      <c r="E29" s="1262"/>
      <c r="F29" s="1302" t="s">
        <v>343</v>
      </c>
      <c r="G29" s="1259" t="s">
        <v>1000</v>
      </c>
      <c r="H29" s="1260"/>
      <c r="I29" s="1260"/>
      <c r="J29" s="1260"/>
      <c r="K29" s="1260"/>
      <c r="L29" s="1261"/>
    </row>
    <row r="30" spans="1:12" ht="25.5" customHeight="1" x14ac:dyDescent="0.2">
      <c r="A30" s="270" t="s">
        <v>505</v>
      </c>
      <c r="B30" s="402">
        <v>0.5</v>
      </c>
      <c r="C30" s="1295" t="s">
        <v>510</v>
      </c>
      <c r="D30" s="1295"/>
      <c r="E30" s="1295"/>
      <c r="F30" s="1303"/>
      <c r="G30" s="1314" t="s">
        <v>872</v>
      </c>
      <c r="H30" s="1315"/>
      <c r="I30" s="1315"/>
      <c r="J30" s="1315"/>
      <c r="K30" s="1315"/>
      <c r="L30" s="1316"/>
    </row>
    <row r="31" spans="1:12" ht="26.25" customHeight="1" x14ac:dyDescent="0.2">
      <c r="A31" s="270" t="s">
        <v>506</v>
      </c>
      <c r="B31" s="402">
        <v>0.7</v>
      </c>
      <c r="C31" s="1295" t="s">
        <v>511</v>
      </c>
      <c r="D31" s="1295"/>
      <c r="E31" s="1295"/>
      <c r="F31" s="1304"/>
      <c r="G31" s="1317" t="s">
        <v>1058</v>
      </c>
      <c r="H31" s="1318"/>
      <c r="I31" s="1318"/>
      <c r="J31" s="1318"/>
      <c r="K31" s="1318"/>
      <c r="L31" s="1319"/>
    </row>
    <row r="32" spans="1:12" ht="22.5" customHeight="1" x14ac:dyDescent="0.2">
      <c r="A32" s="270" t="s">
        <v>507</v>
      </c>
      <c r="B32" s="402">
        <v>1</v>
      </c>
      <c r="C32" s="1295" t="s">
        <v>1146</v>
      </c>
      <c r="D32" s="1295"/>
      <c r="E32" s="1295"/>
      <c r="F32" s="602" t="s">
        <v>343</v>
      </c>
      <c r="G32" s="1314" t="s">
        <v>504</v>
      </c>
      <c r="H32" s="1315"/>
      <c r="I32" s="1315"/>
      <c r="J32" s="1315"/>
      <c r="K32" s="1315"/>
      <c r="L32" s="1316"/>
    </row>
    <row r="33" spans="1:12" ht="28.5" customHeight="1" x14ac:dyDescent="0.2">
      <c r="A33" s="270" t="s">
        <v>347</v>
      </c>
      <c r="B33" s="402">
        <v>0.5</v>
      </c>
      <c r="C33" s="1295" t="s">
        <v>1147</v>
      </c>
      <c r="D33" s="1295"/>
      <c r="E33" s="1295"/>
      <c r="F33" s="602" t="s">
        <v>343</v>
      </c>
      <c r="G33" s="1317" t="s">
        <v>407</v>
      </c>
      <c r="H33" s="1318"/>
      <c r="I33" s="1318"/>
      <c r="J33" s="1318"/>
      <c r="K33" s="1318"/>
      <c r="L33" s="1319"/>
    </row>
    <row r="34" spans="1:12" ht="26.25" customHeight="1" x14ac:dyDescent="0.2">
      <c r="A34" s="270" t="s">
        <v>348</v>
      </c>
      <c r="B34" s="402">
        <v>0</v>
      </c>
      <c r="C34" s="1295" t="s">
        <v>349</v>
      </c>
      <c r="D34" s="1295"/>
      <c r="E34" s="1295"/>
      <c r="F34" s="602" t="s">
        <v>343</v>
      </c>
      <c r="G34" s="1317" t="s">
        <v>350</v>
      </c>
      <c r="H34" s="1318"/>
      <c r="I34" s="1318"/>
      <c r="J34" s="1318"/>
      <c r="K34" s="1318"/>
      <c r="L34" s="1319"/>
    </row>
    <row r="35" spans="1:12" ht="12.75" customHeight="1" x14ac:dyDescent="0.2">
      <c r="A35" s="1290" t="s">
        <v>508</v>
      </c>
      <c r="B35" s="1306">
        <v>0.2</v>
      </c>
      <c r="C35" s="1295" t="s">
        <v>512</v>
      </c>
      <c r="D35" s="1295"/>
      <c r="E35" s="1295"/>
      <c r="F35" s="1302" t="s">
        <v>343</v>
      </c>
      <c r="G35" s="1308" t="s">
        <v>909</v>
      </c>
      <c r="H35" s="1309"/>
      <c r="I35" s="1309"/>
      <c r="J35" s="1309"/>
      <c r="K35" s="1309"/>
      <c r="L35" s="1310"/>
    </row>
    <row r="36" spans="1:12" ht="12.75" customHeight="1" x14ac:dyDescent="0.2">
      <c r="A36" s="1291"/>
      <c r="B36" s="1307"/>
      <c r="C36" s="1295"/>
      <c r="D36" s="1295"/>
      <c r="E36" s="1295"/>
      <c r="F36" s="1303"/>
      <c r="G36" s="1320"/>
      <c r="H36" s="1321"/>
      <c r="I36" s="1321"/>
      <c r="J36" s="1321"/>
      <c r="K36" s="1321"/>
      <c r="L36" s="1322"/>
    </row>
    <row r="37" spans="1:12" ht="12.75" customHeight="1" x14ac:dyDescent="0.2">
      <c r="A37" s="1290" t="s">
        <v>509</v>
      </c>
      <c r="B37" s="1306">
        <v>0.22500000000000001</v>
      </c>
      <c r="C37" s="1295" t="s">
        <v>821</v>
      </c>
      <c r="D37" s="1295"/>
      <c r="E37" s="1295"/>
      <c r="F37" s="1303"/>
      <c r="G37" s="1308" t="s">
        <v>1209</v>
      </c>
      <c r="H37" s="1309"/>
      <c r="I37" s="1309"/>
      <c r="J37" s="1309"/>
      <c r="K37" s="1309"/>
      <c r="L37" s="1310"/>
    </row>
    <row r="38" spans="1:12" ht="12.75" customHeight="1" x14ac:dyDescent="0.2">
      <c r="A38" s="1291"/>
      <c r="B38" s="1307"/>
      <c r="C38" s="1295"/>
      <c r="D38" s="1295"/>
      <c r="E38" s="1295"/>
      <c r="F38" s="1303"/>
      <c r="G38" s="1311"/>
      <c r="H38" s="1312"/>
      <c r="I38" s="1312"/>
      <c r="J38" s="1312"/>
      <c r="K38" s="1312"/>
      <c r="L38" s="1313"/>
    </row>
    <row r="39" spans="1:12" ht="12.75" customHeight="1" x14ac:dyDescent="0.2">
      <c r="A39" s="1290" t="s">
        <v>818</v>
      </c>
      <c r="B39" s="1306">
        <v>0.4</v>
      </c>
      <c r="C39" s="1295" t="s">
        <v>513</v>
      </c>
      <c r="D39" s="1295"/>
      <c r="E39" s="1295"/>
      <c r="F39" s="1303"/>
      <c r="G39" s="1320" t="s">
        <v>910</v>
      </c>
      <c r="H39" s="1321"/>
      <c r="I39" s="1321"/>
      <c r="J39" s="1321"/>
      <c r="K39" s="1321"/>
      <c r="L39" s="1322"/>
    </row>
    <row r="40" spans="1:12" x14ac:dyDescent="0.2">
      <c r="A40" s="1291"/>
      <c r="B40" s="1307"/>
      <c r="C40" s="1295"/>
      <c r="D40" s="1295"/>
      <c r="E40" s="1295"/>
      <c r="F40" s="1304"/>
      <c r="G40" s="1311"/>
      <c r="H40" s="1312"/>
      <c r="I40" s="1312"/>
      <c r="J40" s="1312"/>
      <c r="K40" s="1312"/>
      <c r="L40" s="1313"/>
    </row>
    <row r="41" spans="1:12" ht="12.75" customHeight="1" x14ac:dyDescent="0.2">
      <c r="A41" s="403" t="s">
        <v>351</v>
      </c>
      <c r="B41" s="402">
        <v>0.2</v>
      </c>
      <c r="C41" s="1295" t="s">
        <v>352</v>
      </c>
      <c r="D41" s="1295"/>
      <c r="E41" s="1295"/>
      <c r="F41" s="602" t="s">
        <v>343</v>
      </c>
      <c r="G41" s="1323" t="s">
        <v>353</v>
      </c>
      <c r="H41" s="1323"/>
      <c r="I41" s="1323"/>
      <c r="J41" s="1323"/>
      <c r="K41" s="1323"/>
      <c r="L41" s="1323"/>
    </row>
    <row r="42" spans="1:12" x14ac:dyDescent="0.2">
      <c r="A42" s="403" t="s">
        <v>354</v>
      </c>
      <c r="B42" s="402">
        <v>0.3</v>
      </c>
      <c r="C42" s="1295"/>
      <c r="D42" s="1295"/>
      <c r="E42" s="1295"/>
      <c r="F42" s="602" t="s">
        <v>343</v>
      </c>
      <c r="G42" s="1323"/>
      <c r="H42" s="1323"/>
      <c r="I42" s="1323"/>
      <c r="J42" s="1323"/>
      <c r="K42" s="1323"/>
      <c r="L42" s="1323"/>
    </row>
    <row r="43" spans="1:12" x14ac:dyDescent="0.2">
      <c r="A43" s="403" t="s">
        <v>355</v>
      </c>
      <c r="B43" s="402">
        <v>0.4</v>
      </c>
      <c r="C43" s="1295"/>
      <c r="D43" s="1295"/>
      <c r="E43" s="1295"/>
      <c r="F43" s="602" t="s">
        <v>343</v>
      </c>
      <c r="G43" s="1323"/>
      <c r="H43" s="1323"/>
      <c r="I43" s="1323"/>
      <c r="J43" s="1323"/>
      <c r="K43" s="1323"/>
      <c r="L43" s="1323"/>
    </row>
    <row r="44" spans="1:12" ht="27.75" customHeight="1" x14ac:dyDescent="0.2">
      <c r="A44" s="1292" t="s">
        <v>149</v>
      </c>
      <c r="B44" s="1302">
        <v>10</v>
      </c>
      <c r="C44" s="1295" t="s">
        <v>356</v>
      </c>
      <c r="D44" s="1295"/>
      <c r="E44" s="1295"/>
      <c r="F44" s="602" t="s">
        <v>343</v>
      </c>
      <c r="G44" s="1308" t="s">
        <v>570</v>
      </c>
      <c r="H44" s="1309"/>
      <c r="I44" s="1309"/>
      <c r="J44" s="1309"/>
      <c r="K44" s="1309"/>
      <c r="L44" s="1310"/>
    </row>
    <row r="45" spans="1:12" ht="25.5" customHeight="1" x14ac:dyDescent="0.2">
      <c r="A45" s="1293"/>
      <c r="B45" s="1303"/>
      <c r="C45" s="1295" t="s">
        <v>357</v>
      </c>
      <c r="D45" s="1295"/>
      <c r="E45" s="1295"/>
      <c r="F45" s="602" t="s">
        <v>343</v>
      </c>
      <c r="G45" s="1320"/>
      <c r="H45" s="1321"/>
      <c r="I45" s="1321"/>
      <c r="J45" s="1321"/>
      <c r="K45" s="1321"/>
      <c r="L45" s="1322"/>
    </row>
    <row r="46" spans="1:12" ht="39.75" customHeight="1" x14ac:dyDescent="0.2">
      <c r="A46" s="1294"/>
      <c r="B46" s="1304"/>
      <c r="C46" s="1295" t="s">
        <v>571</v>
      </c>
      <c r="D46" s="1295"/>
      <c r="E46" s="1295"/>
      <c r="F46" s="602" t="s">
        <v>343</v>
      </c>
      <c r="G46" s="1317" t="s">
        <v>790</v>
      </c>
      <c r="H46" s="1318"/>
      <c r="I46" s="1318"/>
      <c r="J46" s="1318"/>
      <c r="K46" s="1318"/>
      <c r="L46" s="1319"/>
    </row>
    <row r="48" spans="1:12" x14ac:dyDescent="0.2">
      <c r="A48" s="404" t="s">
        <v>434</v>
      </c>
    </row>
    <row r="49" spans="1:8" ht="6" customHeight="1" x14ac:dyDescent="0.2"/>
    <row r="50" spans="1:8" s="405" customFormat="1" x14ac:dyDescent="0.2">
      <c r="A50" s="405" t="s">
        <v>358</v>
      </c>
      <c r="F50" s="406"/>
    </row>
    <row r="51" spans="1:8" x14ac:dyDescent="0.2">
      <c r="A51" s="383" t="s">
        <v>359</v>
      </c>
      <c r="F51" s="407"/>
    </row>
    <row r="52" spans="1:8" x14ac:dyDescent="0.2">
      <c r="A52" s="383" t="s">
        <v>360</v>
      </c>
      <c r="F52" s="408"/>
    </row>
    <row r="53" spans="1:8" x14ac:dyDescent="0.2">
      <c r="A53" s="383" t="s">
        <v>361</v>
      </c>
      <c r="F53" s="408"/>
    </row>
    <row r="54" spans="1:8" s="405" customFormat="1" x14ac:dyDescent="0.2">
      <c r="A54" s="405" t="s">
        <v>362</v>
      </c>
      <c r="F54" s="409"/>
    </row>
    <row r="55" spans="1:8" s="405" customFormat="1" x14ac:dyDescent="0.2">
      <c r="A55" s="405" t="s">
        <v>363</v>
      </c>
      <c r="F55" s="406"/>
    </row>
    <row r="56" spans="1:8" s="405" customFormat="1" x14ac:dyDescent="0.2">
      <c r="A56" s="405" t="s">
        <v>364</v>
      </c>
      <c r="F56" s="406"/>
    </row>
    <row r="57" spans="1:8" x14ac:dyDescent="0.2">
      <c r="A57" s="383" t="s">
        <v>366</v>
      </c>
      <c r="F57" s="410"/>
      <c r="G57" s="411"/>
      <c r="H57" s="411"/>
    </row>
    <row r="58" spans="1:8" s="405" customFormat="1" x14ac:dyDescent="0.2">
      <c r="A58" s="405" t="s">
        <v>368</v>
      </c>
      <c r="F58" s="406"/>
    </row>
    <row r="59" spans="1:8" s="405" customFormat="1" x14ac:dyDescent="0.2">
      <c r="A59" s="405" t="s">
        <v>370</v>
      </c>
      <c r="F59" s="409"/>
    </row>
    <row r="60" spans="1:8" x14ac:dyDescent="0.2">
      <c r="A60" s="383" t="s">
        <v>372</v>
      </c>
      <c r="F60" s="414"/>
    </row>
    <row r="61" spans="1:8" s="405" customFormat="1" x14ac:dyDescent="0.2">
      <c r="A61" s="405" t="s">
        <v>374</v>
      </c>
      <c r="F61" s="406"/>
    </row>
    <row r="62" spans="1:8" s="405" customFormat="1" x14ac:dyDescent="0.2">
      <c r="A62" s="405" t="s">
        <v>376</v>
      </c>
      <c r="F62" s="406"/>
    </row>
    <row r="63" spans="1:8" s="405" customFormat="1" x14ac:dyDescent="0.2">
      <c r="A63" s="405" t="s">
        <v>378</v>
      </c>
      <c r="F63" s="409"/>
    </row>
    <row r="64" spans="1:8" s="405" customFormat="1" x14ac:dyDescent="0.2">
      <c r="A64" s="405" t="s">
        <v>380</v>
      </c>
      <c r="F64" s="406"/>
    </row>
    <row r="65" spans="1:13" x14ac:dyDescent="0.2">
      <c r="F65" s="414"/>
      <c r="G65" s="427" t="s">
        <v>233</v>
      </c>
    </row>
    <row r="66" spans="1:13" x14ac:dyDescent="0.2">
      <c r="F66" s="414"/>
      <c r="G66" s="427"/>
    </row>
    <row r="67" spans="1:13" s="391" customFormat="1" x14ac:dyDescent="0.2">
      <c r="A67" s="415" t="s">
        <v>707</v>
      </c>
      <c r="H67" s="382"/>
      <c r="I67" s="382"/>
      <c r="J67" s="382"/>
      <c r="K67" s="382"/>
      <c r="L67" s="382"/>
      <c r="M67" s="416"/>
    </row>
    <row r="68" spans="1:13" x14ac:dyDescent="0.2">
      <c r="A68" s="1305" t="s">
        <v>382</v>
      </c>
      <c r="B68" s="1305"/>
      <c r="C68" s="1305"/>
      <c r="D68" s="604" t="s">
        <v>383</v>
      </c>
      <c r="E68" s="604" t="s">
        <v>384</v>
      </c>
      <c r="F68" s="1274" t="s">
        <v>340</v>
      </c>
      <c r="G68" s="1276"/>
      <c r="H68" s="604" t="s">
        <v>385</v>
      </c>
      <c r="I68" s="1270" t="s">
        <v>199</v>
      </c>
      <c r="J68" s="1270"/>
      <c r="K68" s="1270"/>
      <c r="L68" s="1270"/>
      <c r="M68" s="417"/>
    </row>
    <row r="69" spans="1:13" ht="15.75" customHeight="1" x14ac:dyDescent="0.2">
      <c r="A69" s="412" t="s">
        <v>147</v>
      </c>
      <c r="B69" s="1329" t="s">
        <v>154</v>
      </c>
      <c r="C69" s="1329"/>
      <c r="D69" s="387">
        <v>5.5</v>
      </c>
      <c r="E69" s="1262">
        <v>0.06</v>
      </c>
      <c r="F69" s="1296" t="s">
        <v>629</v>
      </c>
      <c r="G69" s="1297"/>
      <c r="H69" s="1326" t="s">
        <v>343</v>
      </c>
      <c r="I69" s="1325" t="s">
        <v>1104</v>
      </c>
      <c r="J69" s="1325"/>
      <c r="K69" s="1325"/>
      <c r="L69" s="1325"/>
      <c r="M69" s="417"/>
    </row>
    <row r="70" spans="1:13" ht="15.75" customHeight="1" x14ac:dyDescent="0.2">
      <c r="A70" s="412" t="s">
        <v>150</v>
      </c>
      <c r="B70" s="1329" t="s">
        <v>155</v>
      </c>
      <c r="C70" s="1329"/>
      <c r="D70" s="418">
        <f>(C75+C76+C77+C78+C79+C80+C81+C82)/8</f>
        <v>6.93</v>
      </c>
      <c r="E70" s="1262"/>
      <c r="F70" s="1298"/>
      <c r="G70" s="1299"/>
      <c r="H70" s="1327"/>
      <c r="I70" s="1325"/>
      <c r="J70" s="1325"/>
      <c r="K70" s="1325"/>
      <c r="L70" s="1325"/>
      <c r="M70" s="417"/>
    </row>
    <row r="71" spans="1:13" ht="15.75" customHeight="1" x14ac:dyDescent="0.2">
      <c r="A71" s="412" t="s">
        <v>152</v>
      </c>
      <c r="B71" s="1329" t="s">
        <v>156</v>
      </c>
      <c r="C71" s="1329"/>
      <c r="D71" s="387">
        <v>3.8</v>
      </c>
      <c r="E71" s="1262">
        <v>0</v>
      </c>
      <c r="F71" s="1298"/>
      <c r="G71" s="1299"/>
      <c r="H71" s="1327"/>
      <c r="I71" s="1325"/>
      <c r="J71" s="1325"/>
      <c r="K71" s="1325"/>
      <c r="L71" s="1325"/>
      <c r="M71" s="417"/>
    </row>
    <row r="72" spans="1:13" ht="15.75" customHeight="1" x14ac:dyDescent="0.2">
      <c r="A72" s="412" t="s">
        <v>153</v>
      </c>
      <c r="B72" s="1329" t="s">
        <v>386</v>
      </c>
      <c r="C72" s="1329"/>
      <c r="D72" s="387">
        <v>2.7</v>
      </c>
      <c r="E72" s="1262"/>
      <c r="F72" s="1300"/>
      <c r="G72" s="1301"/>
      <c r="H72" s="1328"/>
      <c r="I72" s="1325"/>
      <c r="J72" s="1325"/>
      <c r="K72" s="1325"/>
      <c r="L72" s="1325"/>
      <c r="M72" s="417"/>
    </row>
    <row r="73" spans="1:13" x14ac:dyDescent="0.2">
      <c r="A73" s="391"/>
      <c r="B73" s="391"/>
      <c r="C73" s="229"/>
      <c r="D73" s="229"/>
      <c r="E73" s="395"/>
      <c r="F73" s="433"/>
      <c r="G73" s="434"/>
      <c r="H73" s="434"/>
      <c r="I73" s="391"/>
      <c r="J73" s="426"/>
      <c r="K73" s="426"/>
      <c r="L73" s="426"/>
      <c r="M73" s="417"/>
    </row>
    <row r="74" spans="1:13" x14ac:dyDescent="0.2">
      <c r="A74" s="391"/>
      <c r="B74" s="1324" t="s">
        <v>365</v>
      </c>
      <c r="C74" s="1324"/>
      <c r="F74" s="433"/>
      <c r="G74" s="434"/>
      <c r="H74" s="434"/>
      <c r="I74" s="391" t="s">
        <v>0</v>
      </c>
      <c r="J74" s="426"/>
      <c r="K74" s="426"/>
      <c r="L74" s="426"/>
      <c r="M74" s="417"/>
    </row>
    <row r="75" spans="1:13" x14ac:dyDescent="0.2">
      <c r="A75" s="391"/>
      <c r="B75" s="412" t="s">
        <v>367</v>
      </c>
      <c r="C75" s="413">
        <v>7.45</v>
      </c>
      <c r="E75" s="630" t="s">
        <v>815</v>
      </c>
      <c r="F75" s="630" t="s">
        <v>816</v>
      </c>
      <c r="G75" s="631" t="s">
        <v>185</v>
      </c>
      <c r="H75" s="434"/>
      <c r="I75" s="391"/>
      <c r="J75" s="426"/>
      <c r="K75" s="426"/>
      <c r="L75" s="426"/>
      <c r="M75" s="417"/>
    </row>
    <row r="76" spans="1:13" x14ac:dyDescent="0.2">
      <c r="A76" s="391"/>
      <c r="B76" s="412" t="s">
        <v>369</v>
      </c>
      <c r="C76" s="413">
        <v>7.45</v>
      </c>
      <c r="E76" s="632" t="s">
        <v>179</v>
      </c>
      <c r="F76" s="633" t="s">
        <v>188</v>
      </c>
      <c r="G76" s="634">
        <v>15</v>
      </c>
      <c r="H76" s="434"/>
      <c r="I76" s="391"/>
      <c r="J76" s="426"/>
      <c r="K76" s="426"/>
      <c r="L76" s="426"/>
      <c r="M76" s="417"/>
    </row>
    <row r="77" spans="1:13" x14ac:dyDescent="0.2">
      <c r="A77" s="391"/>
      <c r="B77" s="412" t="s">
        <v>371</v>
      </c>
      <c r="C77" s="413">
        <v>5.2</v>
      </c>
      <c r="E77" s="632" t="s">
        <v>870</v>
      </c>
      <c r="F77" s="633" t="s">
        <v>189</v>
      </c>
      <c r="G77" s="634">
        <v>21</v>
      </c>
      <c r="H77" s="434"/>
      <c r="I77" s="391"/>
      <c r="J77" s="426"/>
      <c r="K77" s="426"/>
      <c r="L77" s="426"/>
      <c r="M77" s="417"/>
    </row>
    <row r="78" spans="1:13" x14ac:dyDescent="0.2">
      <c r="A78" s="391"/>
      <c r="B78" s="412" t="s">
        <v>373</v>
      </c>
      <c r="C78" s="413">
        <v>7.15</v>
      </c>
      <c r="E78" s="632" t="s">
        <v>180</v>
      </c>
      <c r="F78" s="633" t="s">
        <v>189</v>
      </c>
      <c r="G78" s="634">
        <v>22</v>
      </c>
      <c r="H78" s="434"/>
      <c r="I78" s="391"/>
      <c r="J78" s="426"/>
      <c r="K78" s="426"/>
      <c r="L78" s="426"/>
      <c r="M78" s="417"/>
    </row>
    <row r="79" spans="1:13" x14ac:dyDescent="0.2">
      <c r="A79" s="391"/>
      <c r="B79" s="412" t="s">
        <v>375</v>
      </c>
      <c r="C79" s="413">
        <v>7.55</v>
      </c>
      <c r="E79" s="632" t="s">
        <v>691</v>
      </c>
      <c r="F79" s="633" t="s">
        <v>189</v>
      </c>
      <c r="G79" s="634">
        <v>26</v>
      </c>
      <c r="H79" s="434"/>
      <c r="I79" s="391"/>
      <c r="J79" s="426"/>
      <c r="K79" s="426"/>
      <c r="L79" s="426"/>
      <c r="M79" s="417"/>
    </row>
    <row r="80" spans="1:13" x14ac:dyDescent="0.2">
      <c r="A80" s="391"/>
      <c r="B80" s="412" t="s">
        <v>377</v>
      </c>
      <c r="C80" s="413">
        <v>6.9</v>
      </c>
      <c r="E80" s="632" t="s">
        <v>871</v>
      </c>
      <c r="F80" s="633" t="s">
        <v>190</v>
      </c>
      <c r="G80" s="634">
        <v>21</v>
      </c>
      <c r="H80" s="434"/>
      <c r="I80" s="391"/>
      <c r="J80" s="426"/>
      <c r="K80" s="426"/>
      <c r="L80" s="426"/>
      <c r="M80" s="417"/>
    </row>
    <row r="81" spans="1:13" x14ac:dyDescent="0.2">
      <c r="A81" s="391"/>
      <c r="B81" s="412" t="s">
        <v>379</v>
      </c>
      <c r="C81" s="413">
        <v>6.7</v>
      </c>
      <c r="E81" s="632" t="s">
        <v>181</v>
      </c>
      <c r="F81" s="633" t="s">
        <v>190</v>
      </c>
      <c r="G81" s="634">
        <v>22</v>
      </c>
      <c r="H81" s="434"/>
      <c r="I81" s="391"/>
      <c r="J81" s="426"/>
      <c r="K81" s="426"/>
      <c r="L81" s="426"/>
      <c r="M81" s="417"/>
    </row>
    <row r="82" spans="1:13" x14ac:dyDescent="0.2">
      <c r="A82" s="391"/>
      <c r="B82" s="412" t="s">
        <v>381</v>
      </c>
      <c r="C82" s="413">
        <v>7</v>
      </c>
      <c r="E82" s="632" t="s">
        <v>182</v>
      </c>
      <c r="F82" s="633" t="s">
        <v>188</v>
      </c>
      <c r="G82" s="634">
        <v>22</v>
      </c>
      <c r="H82" s="434"/>
      <c r="I82" s="391"/>
      <c r="J82" s="426"/>
      <c r="K82" s="426"/>
      <c r="L82" s="426"/>
      <c r="M82" s="417"/>
    </row>
    <row r="83" spans="1:13" x14ac:dyDescent="0.2">
      <c r="A83" s="391"/>
      <c r="B83" s="391"/>
      <c r="C83" s="229"/>
      <c r="D83" s="229"/>
      <c r="E83" s="632" t="s">
        <v>186</v>
      </c>
      <c r="F83" s="633" t="s">
        <v>191</v>
      </c>
      <c r="G83" s="634">
        <v>22</v>
      </c>
      <c r="H83" s="434"/>
      <c r="I83" s="391"/>
      <c r="J83" s="426"/>
      <c r="K83" s="426"/>
      <c r="L83" s="426"/>
      <c r="M83" s="417"/>
    </row>
    <row r="84" spans="1:13" x14ac:dyDescent="0.2">
      <c r="A84" s="391"/>
      <c r="B84" s="391"/>
      <c r="C84" s="229"/>
      <c r="D84" s="229"/>
      <c r="E84" s="632" t="s">
        <v>187</v>
      </c>
      <c r="F84" s="633" t="s">
        <v>192</v>
      </c>
      <c r="G84" s="634">
        <v>12</v>
      </c>
      <c r="H84" s="434"/>
      <c r="I84" s="391"/>
      <c r="J84" s="426"/>
      <c r="K84" s="426"/>
      <c r="L84" s="426"/>
      <c r="M84" s="417"/>
    </row>
    <row r="85" spans="1:13" s="391" customFormat="1" x14ac:dyDescent="0.2">
      <c r="A85" s="415" t="s">
        <v>706</v>
      </c>
    </row>
    <row r="86" spans="1:13" s="391" customFormat="1" x14ac:dyDescent="0.2">
      <c r="A86" s="415" t="s">
        <v>408</v>
      </c>
    </row>
    <row r="87" spans="1:13" s="391" customFormat="1" x14ac:dyDescent="0.2">
      <c r="A87" s="1020" t="s">
        <v>1210</v>
      </c>
      <c r="G87" s="1020" t="s">
        <v>1211</v>
      </c>
    </row>
    <row r="88" spans="1:13" s="391" customFormat="1" ht="12.75" customHeight="1" x14ac:dyDescent="0.2">
      <c r="A88" s="1283" t="s">
        <v>382</v>
      </c>
      <c r="B88" s="1287" t="s">
        <v>387</v>
      </c>
      <c r="C88" s="1287" t="s">
        <v>388</v>
      </c>
      <c r="D88" s="1287" t="s">
        <v>389</v>
      </c>
      <c r="E88" s="1287"/>
      <c r="G88" s="1279" t="s">
        <v>382</v>
      </c>
      <c r="H88" s="1280"/>
      <c r="I88" s="1283" t="s">
        <v>387</v>
      </c>
      <c r="J88" s="1287" t="s">
        <v>388</v>
      </c>
      <c r="K88" s="1287" t="s">
        <v>389</v>
      </c>
      <c r="L88" s="1287"/>
    </row>
    <row r="89" spans="1:13" s="391" customFormat="1" ht="12.75" customHeight="1" x14ac:dyDescent="0.2">
      <c r="A89" s="1284"/>
      <c r="B89" s="1287"/>
      <c r="C89" s="1287"/>
      <c r="D89" s="1287"/>
      <c r="E89" s="1287"/>
      <c r="G89" s="1281"/>
      <c r="H89" s="1282"/>
      <c r="I89" s="1284"/>
      <c r="J89" s="1287"/>
      <c r="K89" s="1287"/>
      <c r="L89" s="1287"/>
    </row>
    <row r="90" spans="1:13" s="391" customFormat="1" ht="12.75" customHeight="1" x14ac:dyDescent="0.2">
      <c r="A90" s="448" t="s">
        <v>390</v>
      </c>
      <c r="B90" s="455" t="s">
        <v>85</v>
      </c>
      <c r="C90" s="644">
        <v>1</v>
      </c>
      <c r="D90" s="1278" t="s">
        <v>391</v>
      </c>
      <c r="E90" s="1278"/>
      <c r="G90" s="1288" t="s">
        <v>392</v>
      </c>
      <c r="H90" s="1289"/>
      <c r="I90" s="645" t="s">
        <v>77</v>
      </c>
      <c r="J90" s="644">
        <v>1</v>
      </c>
      <c r="K90" s="1278" t="s">
        <v>393</v>
      </c>
      <c r="L90" s="1278"/>
    </row>
    <row r="91" spans="1:13" s="391" customFormat="1" ht="12.75" customHeight="1" x14ac:dyDescent="0.2">
      <c r="A91" s="448" t="s">
        <v>394</v>
      </c>
      <c r="B91" s="455" t="s">
        <v>77</v>
      </c>
      <c r="C91" s="644">
        <v>2</v>
      </c>
      <c r="D91" s="1278" t="s">
        <v>391</v>
      </c>
      <c r="E91" s="1278"/>
      <c r="G91" s="1288" t="s">
        <v>395</v>
      </c>
      <c r="H91" s="1289"/>
      <c r="I91" s="645" t="s">
        <v>77</v>
      </c>
      <c r="J91" s="644">
        <v>1</v>
      </c>
      <c r="K91" s="1285" t="s">
        <v>396</v>
      </c>
      <c r="L91" s="1286"/>
    </row>
    <row r="92" spans="1:13" s="391" customFormat="1" ht="12.75" customHeight="1" x14ac:dyDescent="0.2">
      <c r="A92" s="448" t="s">
        <v>397</v>
      </c>
      <c r="B92" s="455" t="s">
        <v>77</v>
      </c>
      <c r="C92" s="644">
        <v>2</v>
      </c>
      <c r="D92" s="1278" t="s">
        <v>391</v>
      </c>
      <c r="E92" s="1278"/>
    </row>
    <row r="93" spans="1:13" s="391" customFormat="1" ht="12.75" customHeight="1" x14ac:dyDescent="0.2">
      <c r="A93" s="448" t="s">
        <v>398</v>
      </c>
      <c r="B93" s="455" t="s">
        <v>85</v>
      </c>
      <c r="C93" s="644">
        <v>1</v>
      </c>
      <c r="D93" s="1278" t="s">
        <v>391</v>
      </c>
      <c r="E93" s="1278"/>
      <c r="G93" s="390"/>
      <c r="H93" s="390"/>
      <c r="I93" s="390"/>
      <c r="J93" s="390"/>
      <c r="K93" s="390"/>
      <c r="L93" s="390"/>
    </row>
    <row r="94" spans="1:13" s="391" customFormat="1" ht="12.75" customHeight="1" x14ac:dyDescent="0.2">
      <c r="A94" s="448" t="s">
        <v>399</v>
      </c>
      <c r="B94" s="455" t="s">
        <v>77</v>
      </c>
      <c r="C94" s="644">
        <v>1</v>
      </c>
      <c r="D94" s="1278" t="s">
        <v>400</v>
      </c>
      <c r="E94" s="1278"/>
      <c r="G94" s="422"/>
      <c r="H94" s="422"/>
      <c r="I94" s="422"/>
      <c r="J94" s="422"/>
      <c r="K94" s="422"/>
      <c r="L94" s="422"/>
    </row>
    <row r="95" spans="1:13" s="391" customFormat="1" ht="12.75" customHeight="1" x14ac:dyDescent="0.2">
      <c r="G95" s="422"/>
      <c r="H95" s="422"/>
      <c r="I95" s="422"/>
      <c r="J95" s="422"/>
      <c r="K95" s="422"/>
      <c r="L95" s="422"/>
    </row>
    <row r="96" spans="1:13" s="391" customFormat="1" x14ac:dyDescent="0.2">
      <c r="A96" s="415" t="s">
        <v>409</v>
      </c>
      <c r="G96" s="390"/>
      <c r="H96" s="390"/>
      <c r="I96" s="390"/>
      <c r="J96" s="390"/>
      <c r="K96" s="390"/>
      <c r="L96" s="390"/>
    </row>
    <row r="97" spans="1:6" s="391" customFormat="1" x14ac:dyDescent="0.2">
      <c r="A97" s="1020" t="s">
        <v>1218</v>
      </c>
    </row>
    <row r="98" spans="1:6" ht="12.75" customHeight="1" x14ac:dyDescent="0.2">
      <c r="A98" s="1283" t="s">
        <v>382</v>
      </c>
      <c r="B98" s="1287" t="s">
        <v>387</v>
      </c>
      <c r="C98" s="1287" t="s">
        <v>388</v>
      </c>
      <c r="D98" s="1287" t="s">
        <v>389</v>
      </c>
      <c r="E98" s="1287"/>
    </row>
    <row r="99" spans="1:6" x14ac:dyDescent="0.2">
      <c r="A99" s="1284"/>
      <c r="B99" s="1287"/>
      <c r="C99" s="1287"/>
      <c r="D99" s="1287"/>
      <c r="E99" s="1287"/>
    </row>
    <row r="100" spans="1:6" ht="12.75" customHeight="1" x14ac:dyDescent="0.2">
      <c r="A100" s="448" t="s">
        <v>402</v>
      </c>
      <c r="B100" s="455" t="s">
        <v>77</v>
      </c>
      <c r="C100" s="647">
        <v>2</v>
      </c>
      <c r="D100" s="1278" t="s">
        <v>391</v>
      </c>
      <c r="E100" s="1278"/>
    </row>
    <row r="101" spans="1:6" x14ac:dyDescent="0.2">
      <c r="F101" s="423"/>
    </row>
    <row r="102" spans="1:6" x14ac:dyDescent="0.2">
      <c r="A102" s="415" t="s">
        <v>575</v>
      </c>
      <c r="B102" s="391"/>
      <c r="C102" s="391"/>
      <c r="D102" s="391"/>
      <c r="E102" s="391"/>
      <c r="F102" s="423"/>
    </row>
    <row r="103" spans="1:6" x14ac:dyDescent="0.2">
      <c r="A103" s="391" t="s">
        <v>874</v>
      </c>
      <c r="B103" s="391"/>
      <c r="C103" s="391"/>
      <c r="D103" s="391"/>
      <c r="E103" s="391"/>
      <c r="F103" s="423"/>
    </row>
    <row r="104" spans="1:6" ht="12.75" customHeight="1" x14ac:dyDescent="0.2">
      <c r="A104" s="1283" t="s">
        <v>382</v>
      </c>
      <c r="B104" s="1287" t="s">
        <v>387</v>
      </c>
      <c r="C104" s="1287" t="s">
        <v>388</v>
      </c>
      <c r="D104" s="1287" t="s">
        <v>389</v>
      </c>
      <c r="E104" s="1287"/>
      <c r="F104" s="423"/>
    </row>
    <row r="105" spans="1:6" x14ac:dyDescent="0.2">
      <c r="A105" s="1284"/>
      <c r="B105" s="1287"/>
      <c r="C105" s="1287"/>
      <c r="D105" s="1287"/>
      <c r="E105" s="1287"/>
      <c r="F105" s="423"/>
    </row>
    <row r="106" spans="1:6" ht="12.75" customHeight="1" x14ac:dyDescent="0.2">
      <c r="A106" s="448" t="s">
        <v>402</v>
      </c>
      <c r="B106" s="455" t="s">
        <v>77</v>
      </c>
      <c r="C106" s="598">
        <v>2</v>
      </c>
      <c r="D106" s="1278" t="s">
        <v>391</v>
      </c>
      <c r="E106" s="1278"/>
      <c r="F106" s="423"/>
    </row>
    <row r="107" spans="1:6" x14ac:dyDescent="0.2">
      <c r="F107" s="423"/>
    </row>
    <row r="108" spans="1:6" x14ac:dyDescent="0.2">
      <c r="A108" s="415" t="s">
        <v>591</v>
      </c>
      <c r="B108" s="391"/>
      <c r="C108" s="391"/>
      <c r="D108" s="391"/>
      <c r="E108" s="391"/>
      <c r="F108" s="423"/>
    </row>
    <row r="109" spans="1:6" x14ac:dyDescent="0.2">
      <c r="A109" s="391" t="s">
        <v>576</v>
      </c>
      <c r="B109" s="391"/>
      <c r="C109" s="391"/>
      <c r="D109" s="391"/>
      <c r="E109" s="391"/>
      <c r="F109" s="423"/>
    </row>
    <row r="110" spans="1:6" ht="12.75" customHeight="1" x14ac:dyDescent="0.2">
      <c r="A110" s="1283" t="s">
        <v>382</v>
      </c>
      <c r="B110" s="1287" t="s">
        <v>387</v>
      </c>
      <c r="C110" s="1287" t="s">
        <v>388</v>
      </c>
      <c r="D110" s="1287" t="s">
        <v>389</v>
      </c>
      <c r="E110" s="1287"/>
      <c r="F110" s="423"/>
    </row>
    <row r="111" spans="1:6" x14ac:dyDescent="0.2">
      <c r="A111" s="1284"/>
      <c r="B111" s="1287"/>
      <c r="C111" s="1287"/>
      <c r="D111" s="1287"/>
      <c r="E111" s="1287"/>
      <c r="F111" s="423"/>
    </row>
    <row r="112" spans="1:6" ht="12.75" customHeight="1" x14ac:dyDescent="0.2">
      <c r="A112" s="448" t="s">
        <v>394</v>
      </c>
      <c r="B112" s="455" t="s">
        <v>77</v>
      </c>
      <c r="C112" s="598">
        <v>2</v>
      </c>
      <c r="D112" s="1278" t="s">
        <v>391</v>
      </c>
      <c r="E112" s="1278"/>
      <c r="F112" s="423"/>
    </row>
    <row r="113" spans="1:12" ht="12.75" customHeight="1" x14ac:dyDescent="0.2">
      <c r="A113" s="448" t="s">
        <v>397</v>
      </c>
      <c r="B113" s="455" t="s">
        <v>77</v>
      </c>
      <c r="C113" s="598">
        <v>2</v>
      </c>
      <c r="D113" s="1278" t="s">
        <v>391</v>
      </c>
      <c r="E113" s="1278"/>
      <c r="F113" s="423"/>
    </row>
    <row r="114" spans="1:12" x14ac:dyDescent="0.2">
      <c r="F114" s="423"/>
    </row>
    <row r="115" spans="1:12" x14ac:dyDescent="0.2">
      <c r="A115" s="415" t="s">
        <v>655</v>
      </c>
      <c r="B115" s="391"/>
      <c r="C115" s="391"/>
      <c r="D115" s="391"/>
      <c r="E115" s="391"/>
      <c r="F115" s="423"/>
    </row>
    <row r="116" spans="1:12" x14ac:dyDescent="0.2">
      <c r="A116" s="391" t="s">
        <v>664</v>
      </c>
      <c r="B116" s="391"/>
      <c r="C116" s="391"/>
      <c r="D116" s="391"/>
      <c r="E116" s="391"/>
      <c r="F116" s="423"/>
    </row>
    <row r="117" spans="1:12" x14ac:dyDescent="0.2">
      <c r="F117" s="423"/>
    </row>
    <row r="118" spans="1:12" x14ac:dyDescent="0.2">
      <c r="A118" s="415" t="s">
        <v>665</v>
      </c>
      <c r="F118" s="423"/>
    </row>
    <row r="119" spans="1:12" x14ac:dyDescent="0.2">
      <c r="A119" s="391" t="s">
        <v>995</v>
      </c>
      <c r="F119" s="423"/>
    </row>
    <row r="120" spans="1:12" x14ac:dyDescent="0.2">
      <c r="F120" s="423"/>
    </row>
    <row r="121" spans="1:12" x14ac:dyDescent="0.2">
      <c r="A121" s="415" t="s">
        <v>668</v>
      </c>
      <c r="B121" s="391"/>
      <c r="C121" s="391"/>
      <c r="D121" s="391"/>
      <c r="E121" s="391"/>
      <c r="F121" s="391"/>
      <c r="G121" s="391"/>
      <c r="H121" s="391"/>
      <c r="I121" s="391"/>
      <c r="J121" s="391"/>
      <c r="K121" s="391"/>
      <c r="L121" s="391"/>
    </row>
    <row r="122" spans="1:12" ht="12.75" customHeight="1" x14ac:dyDescent="0.2">
      <c r="A122" s="391" t="s">
        <v>997</v>
      </c>
      <c r="B122" s="391"/>
      <c r="C122" s="391"/>
      <c r="D122" s="391"/>
      <c r="E122" s="391"/>
      <c r="F122" s="391"/>
      <c r="G122" s="510"/>
      <c r="H122" s="510"/>
      <c r="I122" s="510"/>
      <c r="J122" s="510"/>
      <c r="K122" s="510"/>
      <c r="L122" s="510"/>
    </row>
    <row r="123" spans="1:12" ht="12.75" customHeight="1" x14ac:dyDescent="0.2">
      <c r="A123" s="1283" t="s">
        <v>382</v>
      </c>
      <c r="B123" s="1287" t="s">
        <v>387</v>
      </c>
      <c r="C123" s="1287" t="s">
        <v>388</v>
      </c>
      <c r="D123" s="1287" t="s">
        <v>389</v>
      </c>
      <c r="E123" s="1287"/>
      <c r="F123" s="391"/>
      <c r="G123" s="422"/>
      <c r="H123" s="422"/>
      <c r="I123" s="422"/>
      <c r="J123" s="422"/>
      <c r="K123" s="422"/>
      <c r="L123" s="422"/>
    </row>
    <row r="124" spans="1:12" ht="12.75" customHeight="1" x14ac:dyDescent="0.2">
      <c r="A124" s="1284"/>
      <c r="B124" s="1287"/>
      <c r="C124" s="1287"/>
      <c r="D124" s="1287"/>
      <c r="E124" s="1287"/>
      <c r="F124" s="391"/>
      <c r="G124" s="422"/>
      <c r="H124" s="422"/>
      <c r="I124" s="422"/>
      <c r="J124" s="422"/>
      <c r="K124" s="422"/>
      <c r="L124" s="422"/>
    </row>
    <row r="125" spans="1:12" ht="12.75" customHeight="1" x14ac:dyDescent="0.2">
      <c r="A125" s="448" t="s">
        <v>390</v>
      </c>
      <c r="B125" s="455" t="s">
        <v>85</v>
      </c>
      <c r="C125" s="745">
        <v>2</v>
      </c>
      <c r="D125" s="1285" t="s">
        <v>400</v>
      </c>
      <c r="E125" s="1286"/>
      <c r="F125" s="391"/>
      <c r="G125" s="511"/>
      <c r="H125" s="511"/>
      <c r="I125" s="512"/>
      <c r="J125" s="513"/>
      <c r="K125" s="514"/>
      <c r="L125" s="514"/>
    </row>
    <row r="126" spans="1:12" ht="12.75" customHeight="1" x14ac:dyDescent="0.2">
      <c r="A126" s="448" t="s">
        <v>676</v>
      </c>
      <c r="B126" s="455" t="s">
        <v>77</v>
      </c>
      <c r="C126" s="745">
        <v>2</v>
      </c>
      <c r="D126" s="1285" t="s">
        <v>400</v>
      </c>
      <c r="E126" s="1286"/>
      <c r="F126" s="391"/>
      <c r="G126" s="511"/>
      <c r="H126" s="511"/>
      <c r="I126" s="512"/>
      <c r="J126" s="513"/>
      <c r="K126" s="514"/>
      <c r="L126" s="514"/>
    </row>
    <row r="127" spans="1:12" ht="12.75" customHeight="1" x14ac:dyDescent="0.2">
      <c r="A127" s="448" t="s">
        <v>397</v>
      </c>
      <c r="B127" s="455" t="s">
        <v>77</v>
      </c>
      <c r="C127" s="745">
        <v>2</v>
      </c>
      <c r="D127" s="1285" t="s">
        <v>400</v>
      </c>
      <c r="E127" s="1286"/>
      <c r="F127" s="391"/>
      <c r="G127" s="510"/>
      <c r="H127" s="510"/>
      <c r="I127" s="510"/>
      <c r="J127" s="510"/>
      <c r="K127" s="510"/>
      <c r="L127" s="510"/>
    </row>
    <row r="128" spans="1:12" ht="12.75" customHeight="1" x14ac:dyDescent="0.2">
      <c r="A128" s="448" t="s">
        <v>677</v>
      </c>
      <c r="B128" s="455" t="s">
        <v>77</v>
      </c>
      <c r="C128" s="745">
        <v>2</v>
      </c>
      <c r="D128" s="1285" t="s">
        <v>400</v>
      </c>
      <c r="E128" s="1286"/>
      <c r="F128" s="391"/>
      <c r="G128" s="510"/>
      <c r="H128" s="510"/>
      <c r="I128" s="510"/>
      <c r="J128" s="510"/>
      <c r="K128" s="510"/>
      <c r="L128" s="510"/>
    </row>
    <row r="129" spans="1:12" ht="12.75" customHeight="1" x14ac:dyDescent="0.2">
      <c r="A129" s="448" t="s">
        <v>678</v>
      </c>
      <c r="B129" s="455" t="s">
        <v>85</v>
      </c>
      <c r="C129" s="745">
        <v>1</v>
      </c>
      <c r="D129" s="1285" t="s">
        <v>400</v>
      </c>
      <c r="E129" s="1286"/>
      <c r="F129" s="391"/>
      <c r="G129" s="390"/>
      <c r="H129" s="390"/>
      <c r="I129" s="390"/>
      <c r="J129" s="390"/>
      <c r="K129" s="390"/>
      <c r="L129" s="390"/>
    </row>
    <row r="130" spans="1:12" ht="12.75" customHeight="1" x14ac:dyDescent="0.2">
      <c r="A130" s="448" t="s">
        <v>679</v>
      </c>
      <c r="B130" s="455" t="s">
        <v>77</v>
      </c>
      <c r="C130" s="745">
        <v>1</v>
      </c>
      <c r="D130" s="1285" t="s">
        <v>400</v>
      </c>
      <c r="E130" s="1286"/>
      <c r="F130" s="391"/>
      <c r="G130" s="422"/>
      <c r="H130" s="422"/>
      <c r="I130" s="422"/>
      <c r="J130" s="422"/>
      <c r="K130" s="422"/>
      <c r="L130" s="422"/>
    </row>
    <row r="131" spans="1:12" ht="12.75" customHeight="1" x14ac:dyDescent="0.2">
      <c r="A131" s="448" t="s">
        <v>680</v>
      </c>
      <c r="B131" s="455" t="s">
        <v>77</v>
      </c>
      <c r="C131" s="745">
        <v>1</v>
      </c>
      <c r="D131" s="1285" t="s">
        <v>400</v>
      </c>
      <c r="E131" s="1286"/>
      <c r="F131" s="390"/>
      <c r="G131" s="422"/>
      <c r="H131" s="422"/>
      <c r="I131" s="422"/>
      <c r="J131" s="422"/>
      <c r="K131" s="422"/>
      <c r="L131" s="422"/>
    </row>
    <row r="132" spans="1:12" x14ac:dyDescent="0.2">
      <c r="A132" s="509" t="s">
        <v>681</v>
      </c>
      <c r="B132" s="501"/>
      <c r="C132" s="499"/>
      <c r="D132" s="499"/>
      <c r="E132" s="499"/>
      <c r="F132" s="390"/>
      <c r="G132" s="422"/>
      <c r="H132" s="422"/>
      <c r="I132" s="422"/>
      <c r="J132" s="422"/>
      <c r="K132" s="422"/>
      <c r="L132" s="422"/>
    </row>
    <row r="133" spans="1:12" x14ac:dyDescent="0.2">
      <c r="A133" s="500"/>
      <c r="B133" s="501"/>
      <c r="C133" s="499"/>
      <c r="D133" s="499"/>
      <c r="E133" s="499"/>
      <c r="F133" s="390"/>
      <c r="G133" s="422"/>
      <c r="H133" s="422"/>
      <c r="I133" s="422"/>
      <c r="J133" s="422"/>
      <c r="K133" s="422"/>
      <c r="L133" s="422"/>
    </row>
    <row r="134" spans="1:12" x14ac:dyDescent="0.2">
      <c r="A134" s="502" t="s">
        <v>414</v>
      </c>
      <c r="B134" s="503"/>
      <c r="C134" s="503"/>
      <c r="D134" s="503"/>
      <c r="E134" s="503"/>
      <c r="F134" s="503"/>
      <c r="G134" s="503"/>
      <c r="H134" s="503"/>
      <c r="I134" s="503"/>
      <c r="J134" s="503"/>
      <c r="K134" s="503"/>
      <c r="L134" s="503"/>
    </row>
    <row r="135" spans="1:12" x14ac:dyDescent="0.2">
      <c r="A135" s="449" t="s">
        <v>24</v>
      </c>
      <c r="B135" s="608" t="s">
        <v>193</v>
      </c>
      <c r="C135" s="608" t="s">
        <v>22</v>
      </c>
      <c r="D135" s="609" t="s">
        <v>21</v>
      </c>
      <c r="E135" s="1277"/>
      <c r="F135" s="1277"/>
    </row>
    <row r="136" spans="1:12" x14ac:dyDescent="0.2">
      <c r="A136" s="449" t="s">
        <v>519</v>
      </c>
      <c r="B136" s="450">
        <v>0.05</v>
      </c>
      <c r="C136" s="451">
        <v>0.03</v>
      </c>
      <c r="D136" s="451">
        <v>6.4999999999999997E-3</v>
      </c>
      <c r="E136" s="610">
        <f>SUM(B136:D136)</f>
        <v>8.6499999999999994E-2</v>
      </c>
      <c r="F136" s="610">
        <f>(100%-E136)</f>
        <v>0.91349999999999998</v>
      </c>
    </row>
    <row r="137" spans="1:12" x14ac:dyDescent="0.2">
      <c r="A137" s="449" t="s">
        <v>520</v>
      </c>
      <c r="B137" s="450">
        <v>0.05</v>
      </c>
      <c r="C137" s="451">
        <v>7.5999999999999998E-2</v>
      </c>
      <c r="D137" s="451">
        <v>1.6500000000000001E-2</v>
      </c>
      <c r="E137" s="610">
        <f>SUM(B137:D137)</f>
        <v>0.14249999999999999</v>
      </c>
      <c r="F137" s="610">
        <f>(100%-E137)</f>
        <v>0.85750000000000004</v>
      </c>
      <c r="K137" s="423"/>
    </row>
    <row r="138" spans="1:12" x14ac:dyDescent="0.2">
      <c r="A138" s="449" t="s">
        <v>521</v>
      </c>
      <c r="B138" s="450">
        <v>0.05</v>
      </c>
      <c r="C138" s="451">
        <f>Tributos!F45</f>
        <v>5.3499999999999999E-2</v>
      </c>
      <c r="D138" s="451">
        <f>Tributos!F26</f>
        <v>1.17E-2</v>
      </c>
      <c r="E138" s="610">
        <f>SUM(B138:D138)</f>
        <v>0.1152</v>
      </c>
      <c r="F138" s="610">
        <f>(100%-E138)</f>
        <v>0.88480000000000003</v>
      </c>
      <c r="K138" s="423"/>
    </row>
    <row r="139" spans="1:12" x14ac:dyDescent="0.2">
      <c r="K139" s="423"/>
    </row>
    <row r="140" spans="1:12" x14ac:dyDescent="0.2">
      <c r="D140" s="424"/>
      <c r="E140" s="424"/>
      <c r="K140" s="423"/>
    </row>
    <row r="141" spans="1:12" x14ac:dyDescent="0.2">
      <c r="K141" s="391"/>
    </row>
    <row r="142" spans="1:12" x14ac:dyDescent="0.2">
      <c r="F142" s="425"/>
      <c r="G142" s="391"/>
      <c r="H142" s="391"/>
      <c r="I142" s="391"/>
      <c r="J142" s="391"/>
      <c r="K142" s="391"/>
    </row>
  </sheetData>
  <mergeCells count="104">
    <mergeCell ref="D128:E128"/>
    <mergeCell ref="A123:A124"/>
    <mergeCell ref="B123:B124"/>
    <mergeCell ref="C123:C124"/>
    <mergeCell ref="D123:E124"/>
    <mergeCell ref="A110:A111"/>
    <mergeCell ref="B110:B111"/>
    <mergeCell ref="C110:C111"/>
    <mergeCell ref="D110:E111"/>
    <mergeCell ref="D112:E112"/>
    <mergeCell ref="A88:A89"/>
    <mergeCell ref="A98:A99"/>
    <mergeCell ref="A104:A105"/>
    <mergeCell ref="B104:B105"/>
    <mergeCell ref="C104:C105"/>
    <mergeCell ref="D104:E105"/>
    <mergeCell ref="B69:C69"/>
    <mergeCell ref="B70:C70"/>
    <mergeCell ref="B71:C71"/>
    <mergeCell ref="B72:C72"/>
    <mergeCell ref="B98:B99"/>
    <mergeCell ref="D106:E106"/>
    <mergeCell ref="G30:L30"/>
    <mergeCell ref="G31:L31"/>
    <mergeCell ref="G32:L32"/>
    <mergeCell ref="G33:L33"/>
    <mergeCell ref="G34:L34"/>
    <mergeCell ref="F35:F40"/>
    <mergeCell ref="G44:L45"/>
    <mergeCell ref="G46:L46"/>
    <mergeCell ref="G35:L36"/>
    <mergeCell ref="G39:L40"/>
    <mergeCell ref="G41:L43"/>
    <mergeCell ref="E69:E70"/>
    <mergeCell ref="C30:E30"/>
    <mergeCell ref="C98:C99"/>
    <mergeCell ref="B74:C74"/>
    <mergeCell ref="B88:B89"/>
    <mergeCell ref="C88:C89"/>
    <mergeCell ref="I68:L68"/>
    <mergeCell ref="I69:L72"/>
    <mergeCell ref="H69:H72"/>
    <mergeCell ref="B35:B36"/>
    <mergeCell ref="B39:B40"/>
    <mergeCell ref="A35:A36"/>
    <mergeCell ref="A39:A40"/>
    <mergeCell ref="A44:A46"/>
    <mergeCell ref="C33:E33"/>
    <mergeCell ref="C32:E32"/>
    <mergeCell ref="C31:E31"/>
    <mergeCell ref="F69:G72"/>
    <mergeCell ref="F68:G68"/>
    <mergeCell ref="C45:E45"/>
    <mergeCell ref="C44:E44"/>
    <mergeCell ref="C41:E43"/>
    <mergeCell ref="C39:E40"/>
    <mergeCell ref="C35:E36"/>
    <mergeCell ref="E71:E72"/>
    <mergeCell ref="C46:E46"/>
    <mergeCell ref="B44:B46"/>
    <mergeCell ref="C34:E34"/>
    <mergeCell ref="A68:C68"/>
    <mergeCell ref="A37:A38"/>
    <mergeCell ref="B37:B38"/>
    <mergeCell ref="C37:E38"/>
    <mergeCell ref="G37:L38"/>
    <mergeCell ref="F29:F31"/>
    <mergeCell ref="G29:L29"/>
    <mergeCell ref="E135:F135"/>
    <mergeCell ref="D100:E100"/>
    <mergeCell ref="G88:H89"/>
    <mergeCell ref="I88:I89"/>
    <mergeCell ref="K91:L91"/>
    <mergeCell ref="D92:E92"/>
    <mergeCell ref="J88:J89"/>
    <mergeCell ref="K88:L89"/>
    <mergeCell ref="D90:E90"/>
    <mergeCell ref="G90:H90"/>
    <mergeCell ref="K90:L90"/>
    <mergeCell ref="G91:H91"/>
    <mergeCell ref="D113:E113"/>
    <mergeCell ref="D98:E99"/>
    <mergeCell ref="D93:E93"/>
    <mergeCell ref="D94:E94"/>
    <mergeCell ref="D91:E91"/>
    <mergeCell ref="D88:E89"/>
    <mergeCell ref="D130:E130"/>
    <mergeCell ref="D126:E126"/>
    <mergeCell ref="D127:E127"/>
    <mergeCell ref="D129:E129"/>
    <mergeCell ref="D125:E125"/>
    <mergeCell ref="D131:E131"/>
    <mergeCell ref="G28:L28"/>
    <mergeCell ref="C29:E29"/>
    <mergeCell ref="C28:E28"/>
    <mergeCell ref="A2:L2"/>
    <mergeCell ref="K8:K21"/>
    <mergeCell ref="C25:E25"/>
    <mergeCell ref="C24:E24"/>
    <mergeCell ref="C26:D26"/>
    <mergeCell ref="G25:L25"/>
    <mergeCell ref="G26:L27"/>
    <mergeCell ref="G24:L24"/>
    <mergeCell ref="C27:E27"/>
  </mergeCells>
  <printOptions horizontalCentered="1"/>
  <pageMargins left="0.39370078740157483" right="0.27559055118110237" top="0.4" bottom="0.19685039370078741" header="0.23622047244094491" footer="0.19685039370078741"/>
  <pageSetup paperSize="9" scale="42" fitToHeight="0" orientation="portrait" r:id="rId1"/>
  <headerFooter alignWithMargins="0"/>
  <rowBreaks count="2" manualBreakCount="2">
    <brk id="138" max="11" man="1"/>
    <brk id="140" max="11" man="1"/>
  </rowBreaks>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4"/>
  <dimension ref="A1:M223"/>
  <sheetViews>
    <sheetView view="pageBreakPreview" topLeftCell="A14" zoomScale="90" zoomScaleNormal="100" zoomScaleSheetLayoutView="90" workbookViewId="0">
      <selection activeCell="C45" sqref="B45:K48"/>
    </sheetView>
  </sheetViews>
  <sheetFormatPr defaultRowHeight="14.25" x14ac:dyDescent="0.2"/>
  <cols>
    <col min="1" max="1" width="5.85546875" style="68" customWidth="1"/>
    <col min="2" max="2" width="29.42578125" style="68" customWidth="1"/>
    <col min="3" max="3" width="19.7109375" style="68" customWidth="1"/>
    <col min="4" max="4" width="17.140625" style="68" customWidth="1"/>
    <col min="5" max="5" width="18" style="68" customWidth="1"/>
    <col min="6" max="6" width="15.42578125" style="68" customWidth="1"/>
    <col min="7" max="7" width="18" style="97" bestFit="1" customWidth="1"/>
    <col min="8" max="8" width="17.28515625" style="69" bestFit="1" customWidth="1"/>
    <col min="9" max="9" width="15.28515625" style="69" bestFit="1" customWidth="1"/>
    <col min="10" max="11" width="13.42578125" style="69" bestFit="1" customWidth="1"/>
    <col min="12" max="12" width="11.5703125" style="69" bestFit="1" customWidth="1"/>
    <col min="13" max="13" width="12.5703125" style="69" bestFit="1" customWidth="1"/>
    <col min="14" max="16384" width="9.140625" style="69"/>
  </cols>
  <sheetData>
    <row r="1" spans="1:7" ht="11.25" hidden="1" customHeight="1" x14ac:dyDescent="0.2">
      <c r="A1" s="96" t="str">
        <f>Proposta!C83</f>
        <v>Razão Social: BRASFORT ADMINISTRAÇÃO E SERVIÇOS LTDA</v>
      </c>
    </row>
    <row r="2" spans="1:7" ht="11.25" hidden="1" customHeight="1" x14ac:dyDescent="0.2">
      <c r="A2" s="96" t="str">
        <f>Proposta!C84</f>
        <v>CNPJ: 36.770.857/0001-38</v>
      </c>
    </row>
    <row r="3" spans="1:7" hidden="1" x14ac:dyDescent="0.2">
      <c r="A3" s="97"/>
    </row>
    <row r="4" spans="1:7" hidden="1" x14ac:dyDescent="0.2">
      <c r="A4" s="97"/>
    </row>
    <row r="5" spans="1:7" hidden="1" x14ac:dyDescent="0.2">
      <c r="A5" s="1630" t="str">
        <f>Dados!H2</f>
        <v xml:space="preserve">REPACTUAÇÃO CONTRATUAL 20___ - </v>
      </c>
      <c r="B5" s="1630"/>
      <c r="C5" s="1630"/>
      <c r="D5" s="1630"/>
      <c r="E5" s="1630"/>
      <c r="F5" s="1630"/>
      <c r="G5" s="1630"/>
    </row>
    <row r="6" spans="1:7" hidden="1" x14ac:dyDescent="0.2">
      <c r="A6" s="1630" t="str">
        <f>Dados!A10</f>
        <v>CONTRATO Nº __________/201__ - CONTRATANTE - PRESTAÇÃO DE SERVIÇOS --------</v>
      </c>
      <c r="B6" s="1630"/>
      <c r="C6" s="1630"/>
      <c r="D6" s="1630"/>
      <c r="E6" s="1630"/>
      <c r="F6" s="1630"/>
      <c r="G6" s="1630"/>
    </row>
    <row r="7" spans="1:7" x14ac:dyDescent="0.2">
      <c r="A7" s="723"/>
      <c r="B7" s="723"/>
      <c r="C7" s="723"/>
      <c r="D7" s="723"/>
      <c r="E7" s="723"/>
      <c r="F7" s="723"/>
      <c r="G7" s="723"/>
    </row>
    <row r="8" spans="1:7" ht="18" customHeight="1" x14ac:dyDescent="0.2">
      <c r="A8" s="1637"/>
      <c r="B8" s="1637"/>
      <c r="C8" s="1637"/>
      <c r="D8" s="1637"/>
      <c r="E8" s="1637"/>
      <c r="F8" s="1637"/>
      <c r="G8" s="1637"/>
    </row>
    <row r="9" spans="1:7" x14ac:dyDescent="0.2">
      <c r="A9" s="1637" t="str">
        <f>Dados!$A$11</f>
        <v>PLANILHA DE CUSTOS E FORMAÇÃO DE PREÇOS - CJF</v>
      </c>
      <c r="B9" s="1637"/>
      <c r="C9" s="1637"/>
      <c r="D9" s="1637"/>
      <c r="E9" s="1637"/>
      <c r="F9" s="1637"/>
      <c r="G9" s="1637"/>
    </row>
    <row r="10" spans="1:7" x14ac:dyDescent="0.2">
      <c r="A10" s="1637"/>
      <c r="B10" s="1637"/>
      <c r="C10" s="1637"/>
      <c r="D10" s="1637"/>
      <c r="E10" s="1637"/>
      <c r="F10" s="1637"/>
      <c r="G10" s="1637"/>
    </row>
    <row r="11" spans="1:7" x14ac:dyDescent="0.2">
      <c r="A11" s="98"/>
      <c r="B11" s="98"/>
      <c r="C11" s="98"/>
      <c r="D11" s="98"/>
      <c r="E11" s="98"/>
      <c r="F11" s="98"/>
      <c r="G11" s="98"/>
    </row>
    <row r="12" spans="1:7" ht="15" thickBot="1" x14ac:dyDescent="0.25">
      <c r="A12" s="99"/>
      <c r="B12" s="99"/>
      <c r="C12" s="99"/>
      <c r="D12" s="99"/>
      <c r="E12" s="99"/>
      <c r="F12" s="99"/>
      <c r="G12" s="99"/>
    </row>
    <row r="13" spans="1:7" ht="15.75" customHeight="1" thickTop="1" thickBot="1" x14ac:dyDescent="0.25">
      <c r="A13" s="1631" t="s">
        <v>117</v>
      </c>
      <c r="B13" s="1631"/>
      <c r="C13" s="1670" t="str">
        <f>Dados!$G$14</f>
        <v>0001561-97.2021.4.90.8000</v>
      </c>
      <c r="D13" s="1671"/>
      <c r="E13" s="102"/>
      <c r="F13" s="135"/>
      <c r="G13" s="100"/>
    </row>
    <row r="14" spans="1:7" ht="15.75" customHeight="1" thickTop="1" thickBot="1" x14ac:dyDescent="0.25">
      <c r="A14" s="1631" t="s">
        <v>116</v>
      </c>
      <c r="B14" s="1631"/>
      <c r="C14" s="1619" t="str">
        <f>"Pregão Eletrônico nº:" &amp; " " &amp; Dados!$G$22</f>
        <v>Pregão Eletrônico nº: PE 32/2021</v>
      </c>
      <c r="D14" s="1620"/>
      <c r="E14" s="102"/>
      <c r="F14" s="298">
        <v>1</v>
      </c>
      <c r="G14" s="100"/>
    </row>
    <row r="15" spans="1:7" ht="15.75" customHeight="1" thickTop="1" x14ac:dyDescent="0.2">
      <c r="A15" s="101" t="str">
        <f>"Dia:" &amp; " " &amp; TEXT(Dados!$G$15,"dd/mm/aaaa") &amp; " " &amp; "às" &amp; " " &amp; TEXT(Dados!$G$18,"hh:mm") &amp; " " &amp; "horas"</f>
        <v>Dia: 15/10/2021 às 10:00 horas</v>
      </c>
      <c r="B15" s="101"/>
      <c r="C15" s="101"/>
      <c r="D15" s="99"/>
      <c r="E15" s="102"/>
      <c r="F15" s="297"/>
      <c r="G15" s="104"/>
    </row>
    <row r="16" spans="1:7" ht="15.75" customHeight="1" x14ac:dyDescent="0.2">
      <c r="A16" s="101"/>
      <c r="B16" s="101"/>
      <c r="C16" s="101"/>
      <c r="D16" s="99"/>
      <c r="E16" s="102"/>
      <c r="F16" s="103"/>
      <c r="G16" s="104"/>
    </row>
    <row r="17" spans="1:7" ht="18" customHeight="1" thickBot="1" x14ac:dyDescent="0.25">
      <c r="A17" s="1638" t="s">
        <v>723</v>
      </c>
      <c r="B17" s="1638"/>
      <c r="C17" s="1638"/>
      <c r="D17" s="1638"/>
      <c r="E17" s="1638"/>
      <c r="F17" s="1638"/>
      <c r="G17" s="1638"/>
    </row>
    <row r="18" spans="1:7" ht="16.5" customHeight="1" thickTop="1" thickBot="1" x14ac:dyDescent="0.25">
      <c r="A18" s="563" t="s">
        <v>1</v>
      </c>
      <c r="B18" s="105" t="s">
        <v>119</v>
      </c>
      <c r="C18" s="113"/>
      <c r="D18" s="566"/>
      <c r="E18" s="106"/>
      <c r="F18" s="1639" t="d">
        <f>Dados!G16</f>
        <v>2021-10-21</v>
      </c>
      <c r="G18" s="1640"/>
    </row>
    <row r="19" spans="1:7" ht="16.5" customHeight="1" thickTop="1" thickBot="1" x14ac:dyDescent="0.25">
      <c r="A19" s="563" t="s">
        <v>2</v>
      </c>
      <c r="B19" s="565" t="s">
        <v>3</v>
      </c>
      <c r="C19" s="566"/>
      <c r="D19" s="566"/>
      <c r="E19" s="107"/>
      <c r="F19" s="1639" t="str">
        <f>Dados!G19</f>
        <v>Brasília - DF</v>
      </c>
      <c r="G19" s="1640"/>
    </row>
    <row r="20" spans="1:7" ht="15" thickTop="1" x14ac:dyDescent="0.2">
      <c r="A20" s="1675" t="s">
        <v>4</v>
      </c>
      <c r="B20" s="1621" t="s">
        <v>118</v>
      </c>
      <c r="C20" s="1622"/>
      <c r="D20" s="1622"/>
      <c r="E20" s="1623"/>
      <c r="F20" s="1681" t="str">
        <f>Dados!N101</f>
        <v>SINDISERVIÇOS/SEAC-DF</v>
      </c>
      <c r="G20" s="1681"/>
    </row>
    <row r="21" spans="1:7" ht="15" thickBot="1" x14ac:dyDescent="0.25">
      <c r="A21" s="1677"/>
      <c r="B21" s="1624"/>
      <c r="C21" s="1625"/>
      <c r="D21" s="1625"/>
      <c r="E21" s="1626"/>
      <c r="F21" s="1627" t="str">
        <f>VLOOKUP(F20,'CCT''S'!$A$7:$J$21,5,FALSE)</f>
        <v>2021/2021</v>
      </c>
      <c r="G21" s="1628"/>
    </row>
    <row r="22" spans="1:7" ht="16.5" customHeight="1" thickTop="1" thickBot="1" x14ac:dyDescent="0.25">
      <c r="A22" s="563" t="s">
        <v>5</v>
      </c>
      <c r="B22" s="105" t="s">
        <v>120</v>
      </c>
      <c r="C22" s="113"/>
      <c r="D22" s="566"/>
      <c r="E22" s="107"/>
      <c r="F22" s="1640">
        <f>Dados!G26</f>
        <v>12</v>
      </c>
      <c r="G22" s="1640"/>
    </row>
    <row r="23" spans="1:7" ht="15" thickTop="1" x14ac:dyDescent="0.2">
      <c r="A23" s="98"/>
      <c r="B23" s="99"/>
      <c r="C23" s="99"/>
      <c r="D23" s="99"/>
      <c r="E23" s="99"/>
      <c r="F23" s="108"/>
      <c r="G23" s="109"/>
    </row>
    <row r="24" spans="1:7" ht="16.5" customHeight="1" thickBot="1" x14ac:dyDescent="0.25">
      <c r="A24" s="1638" t="s">
        <v>722</v>
      </c>
      <c r="B24" s="1638"/>
      <c r="C24" s="1638"/>
      <c r="D24" s="1638"/>
      <c r="E24" s="1638"/>
      <c r="F24" s="1638"/>
      <c r="G24" s="1638"/>
    </row>
    <row r="25" spans="1:7" ht="51" customHeight="1" thickTop="1" thickBot="1" x14ac:dyDescent="0.25">
      <c r="A25" s="1635" t="s">
        <v>89</v>
      </c>
      <c r="B25" s="1635"/>
      <c r="C25" s="561" t="s">
        <v>194</v>
      </c>
      <c r="D25" s="561" t="s">
        <v>115</v>
      </c>
      <c r="E25" s="561" t="s">
        <v>73</v>
      </c>
      <c r="F25" s="561" t="s">
        <v>195</v>
      </c>
      <c r="G25" s="561" t="s">
        <v>86</v>
      </c>
    </row>
    <row r="26" spans="1:7" ht="33.75" customHeight="1" thickTop="1" thickBot="1" x14ac:dyDescent="0.25">
      <c r="A26" s="1631" t="str">
        <f>Dados!N84</f>
        <v>Encarregado</v>
      </c>
      <c r="B26" s="1631"/>
      <c r="C26" s="563" t="str">
        <f>Dados!J30</f>
        <v>44 horas semanais - 5x2</v>
      </c>
      <c r="D26" s="563" t="str">
        <f>Dados!G25</f>
        <v>Postos de Serviços</v>
      </c>
      <c r="E26" s="292">
        <f>Dados!R84</f>
        <v>2</v>
      </c>
      <c r="F26" s="292">
        <f>Dados!S84</f>
        <v>1</v>
      </c>
      <c r="G26" s="292">
        <f>E26*F26</f>
        <v>2</v>
      </c>
    </row>
    <row r="27" spans="1:7" ht="14.25" hidden="1" customHeight="1" thickTop="1" x14ac:dyDescent="0.2">
      <c r="A27" s="1634" t="s">
        <v>725</v>
      </c>
      <c r="B27" s="1634"/>
      <c r="C27" s="1634"/>
      <c r="D27" s="1634"/>
      <c r="E27" s="1634"/>
      <c r="F27" s="1634"/>
      <c r="G27" s="1634"/>
    </row>
    <row r="28" spans="1:7" ht="14.25" hidden="1" customHeight="1" x14ac:dyDescent="0.2">
      <c r="A28" s="1618"/>
      <c r="B28" s="1618"/>
      <c r="C28" s="1618"/>
      <c r="D28" s="1618"/>
      <c r="E28" s="1618"/>
      <c r="F28" s="1618"/>
      <c r="G28" s="1618"/>
    </row>
    <row r="29" spans="1:7" ht="14.25" hidden="1" customHeight="1" x14ac:dyDescent="0.2">
      <c r="A29" s="1618" t="s">
        <v>724</v>
      </c>
      <c r="B29" s="1618"/>
      <c r="C29" s="1618"/>
      <c r="D29" s="1618"/>
      <c r="E29" s="1618"/>
      <c r="F29" s="1618"/>
      <c r="G29" s="1618"/>
    </row>
    <row r="30" spans="1:7" ht="14.25" hidden="1" customHeight="1" x14ac:dyDescent="0.2">
      <c r="A30" s="1618"/>
      <c r="B30" s="1618"/>
      <c r="C30" s="1618"/>
      <c r="D30" s="1618"/>
      <c r="E30" s="1618"/>
      <c r="F30" s="1618"/>
      <c r="G30" s="1618"/>
    </row>
    <row r="31" spans="1:7" ht="14.25" customHeight="1" thickTop="1" x14ac:dyDescent="0.2">
      <c r="A31" s="101"/>
      <c r="B31" s="101"/>
      <c r="C31" s="101"/>
      <c r="D31" s="101"/>
      <c r="E31" s="101"/>
      <c r="F31" s="572"/>
      <c r="G31" s="573"/>
    </row>
    <row r="32" spans="1:7" ht="14.25" customHeight="1" x14ac:dyDescent="0.2">
      <c r="A32" s="562" t="s">
        <v>719</v>
      </c>
      <c r="B32" s="98"/>
      <c r="C32" s="98"/>
      <c r="D32" s="98"/>
      <c r="E32" s="98"/>
      <c r="G32" s="110"/>
    </row>
    <row r="33" spans="1:9" ht="6.75" customHeight="1" x14ac:dyDescent="0.2">
      <c r="A33" s="98"/>
      <c r="B33" s="98"/>
      <c r="C33" s="98"/>
      <c r="D33" s="98"/>
      <c r="E33" s="98"/>
      <c r="G33" s="110"/>
    </row>
    <row r="34" spans="1:9" ht="14.25" customHeight="1" x14ac:dyDescent="0.2">
      <c r="A34" s="1632" t="s">
        <v>159</v>
      </c>
      <c r="B34" s="1632"/>
      <c r="C34" s="1632"/>
      <c r="D34" s="1632"/>
      <c r="E34" s="1632"/>
      <c r="F34" s="1632"/>
      <c r="G34" s="1632"/>
    </row>
    <row r="35" spans="1:9" ht="14.25" customHeight="1" thickBot="1" x14ac:dyDescent="0.25">
      <c r="A35" s="1636" t="s">
        <v>102</v>
      </c>
      <c r="B35" s="1636"/>
      <c r="C35" s="1636"/>
      <c r="D35" s="1636"/>
      <c r="E35" s="1636"/>
      <c r="F35" s="1636"/>
      <c r="G35" s="1636"/>
    </row>
    <row r="36" spans="1:9" ht="15" customHeight="1" thickTop="1" thickBot="1" x14ac:dyDescent="0.25">
      <c r="A36" s="1633" t="s">
        <v>88</v>
      </c>
      <c r="B36" s="1633"/>
      <c r="C36" s="1633"/>
      <c r="D36" s="1633"/>
      <c r="E36" s="1633"/>
      <c r="F36" s="1633"/>
      <c r="G36" s="1633"/>
    </row>
    <row r="37" spans="1:9" ht="15.75" thickTop="1" thickBot="1" x14ac:dyDescent="0.25">
      <c r="A37" s="563">
        <v>1</v>
      </c>
      <c r="B37" s="1633" t="s">
        <v>89</v>
      </c>
      <c r="C37" s="1633"/>
      <c r="D37" s="1633"/>
      <c r="E37" s="1633"/>
      <c r="F37" s="1631" t="str">
        <f>A26</f>
        <v>Encarregado</v>
      </c>
      <c r="G37" s="1631"/>
    </row>
    <row r="38" spans="1:9" ht="15.75" thickTop="1" thickBot="1" x14ac:dyDescent="0.25">
      <c r="A38" s="563">
        <v>2</v>
      </c>
      <c r="B38" s="1633" t="s">
        <v>720</v>
      </c>
      <c r="C38" s="1633"/>
      <c r="D38" s="1633"/>
      <c r="E38" s="1633"/>
      <c r="F38" s="1631" t="str">
        <f>Dados!O84</f>
        <v>4101-05</v>
      </c>
      <c r="G38" s="1631"/>
    </row>
    <row r="39" spans="1:9" ht="15.75" customHeight="1" thickTop="1" thickBot="1" x14ac:dyDescent="0.25">
      <c r="A39" s="563">
        <v>3</v>
      </c>
      <c r="B39" s="1633" t="s">
        <v>90</v>
      </c>
      <c r="C39" s="1633"/>
      <c r="D39" s="1633"/>
      <c r="E39" s="1633"/>
      <c r="F39" s="1682">
        <f>Dados!U84</f>
        <v>3714.11</v>
      </c>
      <c r="G39" s="1682"/>
    </row>
    <row r="40" spans="1:9" ht="28.5" customHeight="1" thickTop="1" thickBot="1" x14ac:dyDescent="0.25">
      <c r="A40" s="563">
        <v>4</v>
      </c>
      <c r="B40" s="1633" t="s">
        <v>10</v>
      </c>
      <c r="C40" s="1633"/>
      <c r="D40" s="1633"/>
      <c r="E40" s="1633"/>
      <c r="F40" s="1640" t="str">
        <f>Dados!P84</f>
        <v>Encarregado de segunda a sexta-feira - 44 horas semanais</v>
      </c>
      <c r="G40" s="1640"/>
    </row>
    <row r="41" spans="1:9" ht="14.25" customHeight="1" thickTop="1" thickBot="1" x14ac:dyDescent="0.25">
      <c r="A41" s="563">
        <v>5</v>
      </c>
      <c r="B41" s="1633" t="s">
        <v>11</v>
      </c>
      <c r="C41" s="1633"/>
      <c r="D41" s="1633"/>
      <c r="E41" s="1633"/>
      <c r="F41" s="1689" t="d">
        <f>VLOOKUP(F20,'CCT''S'!$A$7:$J$21,6,FALSE)</f>
        <v>2021-01-01</v>
      </c>
      <c r="G41" s="1690"/>
    </row>
    <row r="42" spans="1:9" ht="14.25" hidden="1" customHeight="1" thickTop="1" x14ac:dyDescent="0.2">
      <c r="A42" s="101" t="s">
        <v>726</v>
      </c>
      <c r="B42" s="129"/>
      <c r="C42" s="129"/>
      <c r="D42" s="129"/>
      <c r="E42" s="129"/>
      <c r="F42" s="103"/>
      <c r="G42" s="103"/>
    </row>
    <row r="43" spans="1:9" ht="14.25" hidden="1" customHeight="1" x14ac:dyDescent="0.2">
      <c r="A43" s="101" t="s">
        <v>727</v>
      </c>
      <c r="B43" s="129"/>
      <c r="C43" s="129"/>
      <c r="D43" s="129"/>
      <c r="E43" s="129"/>
      <c r="F43" s="103"/>
      <c r="G43" s="103"/>
    </row>
    <row r="44" spans="1:9" ht="14.25" customHeight="1" thickTop="1" x14ac:dyDescent="0.2">
      <c r="A44" s="98"/>
      <c r="B44" s="129"/>
      <c r="C44" s="129"/>
      <c r="D44" s="129"/>
      <c r="E44" s="129"/>
      <c r="F44" s="103"/>
      <c r="G44" s="103"/>
    </row>
    <row r="45" spans="1:9" s="576" customFormat="1" ht="15" thickBot="1" x14ac:dyDescent="0.25">
      <c r="A45" s="576" t="s">
        <v>30</v>
      </c>
    </row>
    <row r="46" spans="1:9" ht="18" customHeight="1" thickTop="1" thickBot="1" x14ac:dyDescent="0.25">
      <c r="A46" s="567">
        <v>1</v>
      </c>
      <c r="B46" s="1672" t="s">
        <v>91</v>
      </c>
      <c r="C46" s="1673"/>
      <c r="D46" s="1673"/>
      <c r="E46" s="1674"/>
      <c r="F46" s="561" t="s">
        <v>746</v>
      </c>
      <c r="G46" s="567" t="s">
        <v>121</v>
      </c>
      <c r="H46" s="111"/>
      <c r="I46" s="111"/>
    </row>
    <row r="47" spans="1:9" ht="15.75" thickTop="1" thickBot="1" x14ac:dyDescent="0.25">
      <c r="A47" s="112" t="s">
        <v>1</v>
      </c>
      <c r="B47" s="105" t="s">
        <v>674</v>
      </c>
      <c r="C47" s="113"/>
      <c r="D47" s="113"/>
      <c r="E47" s="114"/>
      <c r="F47" s="115"/>
      <c r="G47" s="116">
        <f>$F$39*F14</f>
        <v>3714.11</v>
      </c>
      <c r="H47" s="111"/>
      <c r="I47" s="111"/>
    </row>
    <row r="48" spans="1:9" ht="15.75" thickTop="1" thickBot="1" x14ac:dyDescent="0.25">
      <c r="A48" s="112" t="s">
        <v>2</v>
      </c>
      <c r="B48" s="105" t="str">
        <f>Dados!A36</f>
        <v xml:space="preserve">Adicional de Periculosidade </v>
      </c>
      <c r="C48" s="113"/>
      <c r="D48" s="113"/>
      <c r="E48" s="114"/>
      <c r="F48" s="369">
        <f>Dados!G36</f>
        <v>0.3</v>
      </c>
      <c r="G48" s="117"/>
      <c r="H48" s="111"/>
      <c r="I48" s="111"/>
    </row>
    <row r="49" spans="1:9" ht="15.75" thickTop="1" thickBot="1" x14ac:dyDescent="0.25">
      <c r="A49" s="112" t="s">
        <v>4</v>
      </c>
      <c r="B49" s="105" t="s">
        <v>908</v>
      </c>
      <c r="C49" s="113"/>
      <c r="D49" s="113"/>
      <c r="E49" s="114"/>
      <c r="F49" s="369"/>
      <c r="G49" s="117"/>
      <c r="H49" s="111"/>
      <c r="I49" s="111"/>
    </row>
    <row r="50" spans="1:9" ht="15.75" thickTop="1" thickBot="1" x14ac:dyDescent="0.25">
      <c r="A50" s="112" t="s">
        <v>5</v>
      </c>
      <c r="B50" s="105" t="s">
        <v>12</v>
      </c>
      <c r="C50" s="113"/>
      <c r="D50" s="113"/>
      <c r="E50" s="114"/>
      <c r="F50" s="369">
        <f>Dados!G39</f>
        <v>0.2</v>
      </c>
      <c r="G50" s="117"/>
      <c r="H50" s="111"/>
      <c r="I50" s="111"/>
    </row>
    <row r="51" spans="1:9" ht="15.75" thickTop="1" thickBot="1" x14ac:dyDescent="0.25">
      <c r="A51" s="112" t="s">
        <v>6</v>
      </c>
      <c r="B51" s="105" t="s">
        <v>728</v>
      </c>
      <c r="C51" s="113"/>
      <c r="D51" s="113"/>
      <c r="E51" s="114"/>
      <c r="F51" s="369"/>
      <c r="G51" s="117"/>
      <c r="H51" s="111"/>
      <c r="I51" s="111"/>
    </row>
    <row r="52" spans="1:9" ht="15.75" thickTop="1" thickBot="1" x14ac:dyDescent="0.25">
      <c r="A52" s="112" t="s">
        <v>7</v>
      </c>
      <c r="B52" s="105" t="s">
        <v>57</v>
      </c>
      <c r="C52" s="113"/>
      <c r="D52" s="113"/>
      <c r="E52" s="114"/>
      <c r="F52" s="369"/>
      <c r="G52" s="117"/>
      <c r="H52" s="111"/>
      <c r="I52" s="111"/>
    </row>
    <row r="53" spans="1:9" ht="16.5" customHeight="1" thickTop="1" thickBot="1" x14ac:dyDescent="0.25">
      <c r="A53" s="1644" t="s">
        <v>232</v>
      </c>
      <c r="B53" s="1645"/>
      <c r="C53" s="1645"/>
      <c r="D53" s="1645"/>
      <c r="E53" s="1645"/>
      <c r="F53" s="1646"/>
      <c r="G53" s="119">
        <f>SUM(G47:G52)</f>
        <v>3714.11</v>
      </c>
      <c r="H53" s="111"/>
      <c r="I53" s="111"/>
    </row>
    <row r="54" spans="1:9" s="68" customFormat="1" ht="15" hidden="1" thickTop="1" x14ac:dyDescent="0.2">
      <c r="A54" s="101" t="s">
        <v>729</v>
      </c>
      <c r="B54" s="101"/>
      <c r="C54" s="101"/>
      <c r="D54" s="101"/>
      <c r="E54" s="101"/>
      <c r="F54" s="574"/>
      <c r="G54" s="575"/>
      <c r="H54" s="122"/>
      <c r="I54" s="122"/>
    </row>
    <row r="55" spans="1:9" s="68" customFormat="1" ht="14.25" hidden="1" customHeight="1" x14ac:dyDescent="0.2">
      <c r="A55" s="1618" t="s">
        <v>958</v>
      </c>
      <c r="B55" s="1618"/>
      <c r="C55" s="1618"/>
      <c r="D55" s="1618"/>
      <c r="E55" s="1618"/>
      <c r="F55" s="1618"/>
      <c r="G55" s="1618"/>
      <c r="H55" s="122"/>
      <c r="I55" s="122"/>
    </row>
    <row r="56" spans="1:9" s="68" customFormat="1" hidden="1" x14ac:dyDescent="0.2">
      <c r="A56" s="1618"/>
      <c r="B56" s="1618"/>
      <c r="C56" s="1618"/>
      <c r="D56" s="1618"/>
      <c r="E56" s="1618"/>
      <c r="F56" s="1618"/>
      <c r="G56" s="1618"/>
      <c r="H56" s="122"/>
      <c r="I56" s="122"/>
    </row>
    <row r="57" spans="1:9" s="68" customFormat="1" ht="15" thickTop="1" x14ac:dyDescent="0.2">
      <c r="A57" s="101"/>
      <c r="B57" s="101"/>
      <c r="C57" s="101"/>
      <c r="D57" s="101"/>
      <c r="E57" s="101"/>
      <c r="F57" s="574"/>
      <c r="G57" s="575"/>
      <c r="H57" s="122"/>
      <c r="I57" s="122"/>
    </row>
    <row r="58" spans="1:9" s="68" customFormat="1" x14ac:dyDescent="0.2">
      <c r="A58" s="1629" t="s">
        <v>730</v>
      </c>
      <c r="B58" s="1629"/>
      <c r="C58" s="1629"/>
      <c r="D58" s="1629"/>
      <c r="E58" s="1629"/>
      <c r="F58" s="1629"/>
      <c r="G58" s="1629"/>
      <c r="H58" s="122"/>
      <c r="I58" s="122"/>
    </row>
    <row r="59" spans="1:9" s="68" customFormat="1" ht="5.25" customHeight="1" x14ac:dyDescent="0.2">
      <c r="A59" s="101"/>
      <c r="B59" s="101"/>
      <c r="C59" s="101"/>
      <c r="D59" s="101"/>
      <c r="E59" s="101"/>
      <c r="F59" s="574"/>
      <c r="G59" s="575"/>
      <c r="H59" s="122"/>
      <c r="I59" s="122"/>
    </row>
    <row r="60" spans="1:9" s="68" customFormat="1" ht="15" thickBot="1" x14ac:dyDescent="0.25">
      <c r="A60" s="1632" t="s">
        <v>737</v>
      </c>
      <c r="B60" s="1632"/>
      <c r="C60" s="1632"/>
      <c r="D60" s="1632"/>
      <c r="E60" s="1632"/>
      <c r="F60" s="1632"/>
      <c r="G60" s="1632"/>
      <c r="H60" s="122"/>
      <c r="I60" s="122"/>
    </row>
    <row r="61" spans="1:9" s="68" customFormat="1" ht="15.75" thickTop="1" thickBot="1" x14ac:dyDescent="0.25">
      <c r="A61" s="561" t="s">
        <v>732</v>
      </c>
      <c r="B61" s="1635" t="s">
        <v>747</v>
      </c>
      <c r="C61" s="1635"/>
      <c r="D61" s="1635"/>
      <c r="E61" s="1635"/>
      <c r="F61" s="561" t="s">
        <v>746</v>
      </c>
      <c r="G61" s="567" t="s">
        <v>121</v>
      </c>
      <c r="H61" s="122"/>
      <c r="I61" s="122"/>
    </row>
    <row r="62" spans="1:9" s="68" customFormat="1" ht="15.75" thickTop="1" thickBot="1" x14ac:dyDescent="0.25">
      <c r="A62" s="563" t="s">
        <v>1</v>
      </c>
      <c r="B62" s="136" t="str">
        <f>Dados!B92</f>
        <v xml:space="preserve">13º (décimo terceiro) salário  </v>
      </c>
      <c r="C62" s="285"/>
      <c r="D62" s="137"/>
      <c r="E62" s="126"/>
      <c r="F62" s="138">
        <f>Dados!G92</f>
        <v>9.0899999999999995E-2</v>
      </c>
      <c r="G62" s="127">
        <f>F62*$G$53</f>
        <v>337.61</v>
      </c>
      <c r="H62" s="122"/>
      <c r="I62" s="122"/>
    </row>
    <row r="63" spans="1:9" s="68" customFormat="1" ht="15.75" thickTop="1" thickBot="1" x14ac:dyDescent="0.25">
      <c r="A63" s="563" t="s">
        <v>2</v>
      </c>
      <c r="B63" s="1655" t="str">
        <f>Dados!B93</f>
        <v xml:space="preserve"> Férias e Adicional de Férias</v>
      </c>
      <c r="C63" s="1655"/>
      <c r="D63" s="1655"/>
      <c r="E63" s="1655"/>
      <c r="F63" s="138">
        <f>Dados!G93</f>
        <v>0.1212</v>
      </c>
      <c r="G63" s="127">
        <f>F63*$G$53</f>
        <v>450.15</v>
      </c>
      <c r="H63" s="122"/>
      <c r="I63" s="122"/>
    </row>
    <row r="64" spans="1:9" s="68" customFormat="1" ht="18.75" customHeight="1" thickTop="1" thickBot="1" x14ac:dyDescent="0.25">
      <c r="A64" s="1644" t="s">
        <v>232</v>
      </c>
      <c r="B64" s="1645"/>
      <c r="C64" s="1645"/>
      <c r="D64" s="1645"/>
      <c r="E64" s="1646"/>
      <c r="F64" s="139">
        <f>SUM(F62:F63)</f>
        <v>0.21210000000000001</v>
      </c>
      <c r="G64" s="133">
        <f>SUM(G62:G63)</f>
        <v>787.76</v>
      </c>
      <c r="H64" s="122"/>
      <c r="I64" s="623"/>
    </row>
    <row r="65" spans="1:9" s="68" customFormat="1" ht="15" hidden="1" customHeight="1" thickTop="1" x14ac:dyDescent="0.2">
      <c r="A65" s="1618" t="s">
        <v>736</v>
      </c>
      <c r="B65" s="1618"/>
      <c r="C65" s="1618"/>
      <c r="D65" s="1618"/>
      <c r="E65" s="1618"/>
      <c r="F65" s="1618"/>
      <c r="G65" s="1618"/>
      <c r="H65" s="122"/>
      <c r="I65" s="623"/>
    </row>
    <row r="66" spans="1:9" s="68" customFormat="1" hidden="1" x14ac:dyDescent="0.2">
      <c r="A66" s="1618"/>
      <c r="B66" s="1618"/>
      <c r="C66" s="1618"/>
      <c r="D66" s="1618"/>
      <c r="E66" s="1618"/>
      <c r="F66" s="1618"/>
      <c r="G66" s="1618"/>
      <c r="H66" s="122"/>
      <c r="I66" s="623"/>
    </row>
    <row r="67" spans="1:9" s="68" customFormat="1" ht="14.25" hidden="1" customHeight="1" x14ac:dyDescent="0.2">
      <c r="A67" s="1643" t="s">
        <v>934</v>
      </c>
      <c r="B67" s="1643"/>
      <c r="C67" s="1643"/>
      <c r="D67" s="1643"/>
      <c r="E67" s="1643"/>
      <c r="F67" s="1643"/>
      <c r="G67" s="1643"/>
      <c r="H67" s="122"/>
      <c r="I67" s="623"/>
    </row>
    <row r="68" spans="1:9" s="68" customFormat="1" hidden="1" x14ac:dyDescent="0.2">
      <c r="A68" s="1643"/>
      <c r="B68" s="1643"/>
      <c r="C68" s="1643"/>
      <c r="D68" s="1643"/>
      <c r="E68" s="1643"/>
      <c r="F68" s="1643"/>
      <c r="G68" s="1643"/>
      <c r="H68" s="122"/>
      <c r="I68" s="623"/>
    </row>
    <row r="69" spans="1:9" s="68" customFormat="1" ht="14.25" hidden="1" customHeight="1" x14ac:dyDescent="0.2">
      <c r="A69" s="1618" t="s">
        <v>916</v>
      </c>
      <c r="B69" s="1618"/>
      <c r="C69" s="1618"/>
      <c r="D69" s="1618"/>
      <c r="E69" s="1618"/>
      <c r="F69" s="1618"/>
      <c r="G69" s="1618"/>
      <c r="H69" s="122"/>
      <c r="I69" s="623"/>
    </row>
    <row r="70" spans="1:9" s="68" customFormat="1" hidden="1" x14ac:dyDescent="0.2">
      <c r="A70" s="1618"/>
      <c r="B70" s="1618"/>
      <c r="C70" s="1618"/>
      <c r="D70" s="1618"/>
      <c r="E70" s="1618"/>
      <c r="F70" s="1618"/>
      <c r="G70" s="1618"/>
      <c r="H70" s="122"/>
      <c r="I70" s="623"/>
    </row>
    <row r="71" spans="1:9" s="68" customFormat="1" hidden="1" x14ac:dyDescent="0.2">
      <c r="A71" s="1618"/>
      <c r="B71" s="1618"/>
      <c r="C71" s="1618"/>
      <c r="D71" s="1618"/>
      <c r="E71" s="1618"/>
      <c r="F71" s="1618"/>
      <c r="G71" s="1618"/>
      <c r="H71" s="122"/>
      <c r="I71" s="623"/>
    </row>
    <row r="72" spans="1:9" s="68" customFormat="1" ht="15.75" thickTop="1" thickBot="1" x14ac:dyDescent="0.25">
      <c r="A72" s="611"/>
      <c r="B72" s="611"/>
      <c r="C72" s="611"/>
      <c r="D72" s="611"/>
      <c r="E72" s="611"/>
      <c r="F72" s="611"/>
      <c r="G72" s="611"/>
      <c r="H72" s="122"/>
      <c r="I72" s="623"/>
    </row>
    <row r="73" spans="1:9" s="68" customFormat="1" ht="15.75" customHeight="1" thickTop="1" thickBot="1" x14ac:dyDescent="0.25">
      <c r="A73" s="1652" t="s">
        <v>804</v>
      </c>
      <c r="B73" s="1653"/>
      <c r="C73" s="1653"/>
      <c r="D73" s="1653"/>
      <c r="E73" s="1653"/>
      <c r="F73" s="1654"/>
      <c r="G73" s="614" t="s">
        <v>121</v>
      </c>
      <c r="H73" s="122"/>
      <c r="I73" s="623"/>
    </row>
    <row r="74" spans="1:9" s="68" customFormat="1" ht="15.75" thickTop="1" thickBot="1" x14ac:dyDescent="0.25">
      <c r="A74" s="612">
        <v>1</v>
      </c>
      <c r="B74" s="136" t="str">
        <f>A45</f>
        <v>Módulo 1 - Composição da Remuneração</v>
      </c>
      <c r="C74" s="285"/>
      <c r="D74" s="137"/>
      <c r="E74" s="137"/>
      <c r="F74" s="582"/>
      <c r="G74" s="127">
        <f>G53</f>
        <v>3714.11</v>
      </c>
      <c r="H74" s="122"/>
      <c r="I74" s="623"/>
    </row>
    <row r="75" spans="1:9" s="68" customFormat="1" ht="15.75" thickTop="1" thickBot="1" x14ac:dyDescent="0.25">
      <c r="A75" s="612" t="s">
        <v>732</v>
      </c>
      <c r="B75" s="136" t="str">
        <f>A60</f>
        <v>Submódulo 2.1 - 13º (décimo terceiro) Salário, Férias e Adicional de Férias</v>
      </c>
      <c r="C75" s="285"/>
      <c r="D75" s="137"/>
      <c r="E75" s="137"/>
      <c r="F75" s="582"/>
      <c r="G75" s="127">
        <f>G64</f>
        <v>787.76</v>
      </c>
      <c r="H75" s="122"/>
      <c r="I75" s="122"/>
    </row>
    <row r="76" spans="1:9" s="68" customFormat="1" ht="15.75" thickTop="1" thickBot="1" x14ac:dyDescent="0.25">
      <c r="A76" s="1686" t="s">
        <v>805</v>
      </c>
      <c r="B76" s="1687"/>
      <c r="C76" s="1687"/>
      <c r="D76" s="1687"/>
      <c r="E76" s="1687"/>
      <c r="F76" s="1688"/>
      <c r="G76" s="133">
        <f>SUM(G74:G75)</f>
        <v>4501.87</v>
      </c>
      <c r="H76" s="122"/>
      <c r="I76" s="122"/>
    </row>
    <row r="77" spans="1:9" s="68" customFormat="1" ht="15" thickTop="1" x14ac:dyDescent="0.2">
      <c r="A77" s="611"/>
      <c r="B77" s="611"/>
      <c r="C77" s="611"/>
      <c r="D77" s="611"/>
      <c r="E77" s="611"/>
      <c r="F77" s="611"/>
      <c r="G77" s="611"/>
      <c r="H77" s="122"/>
      <c r="I77" s="122"/>
    </row>
    <row r="78" spans="1:9" ht="15" thickBot="1" x14ac:dyDescent="0.25">
      <c r="A78" s="134" t="s">
        <v>738</v>
      </c>
      <c r="B78" s="135"/>
      <c r="C78" s="135"/>
      <c r="D78" s="135"/>
      <c r="E78" s="135"/>
      <c r="F78" s="135"/>
      <c r="G78" s="135"/>
      <c r="H78" s="111"/>
      <c r="I78" s="111"/>
    </row>
    <row r="79" spans="1:9" ht="15.75" thickTop="1" thickBot="1" x14ac:dyDescent="0.25">
      <c r="A79" s="561" t="s">
        <v>731</v>
      </c>
      <c r="B79" s="1635" t="s">
        <v>745</v>
      </c>
      <c r="C79" s="1635"/>
      <c r="D79" s="1635"/>
      <c r="E79" s="1635"/>
      <c r="F79" s="561" t="s">
        <v>746</v>
      </c>
      <c r="G79" s="567" t="s">
        <v>121</v>
      </c>
      <c r="H79" s="111"/>
      <c r="I79" s="111"/>
    </row>
    <row r="80" spans="1:9" ht="15.75" thickTop="1" thickBot="1" x14ac:dyDescent="0.25">
      <c r="A80" s="563" t="s">
        <v>1</v>
      </c>
      <c r="B80" s="136" t="str">
        <f>Dados!B98</f>
        <v>INSS</v>
      </c>
      <c r="C80" s="285"/>
      <c r="D80" s="137"/>
      <c r="E80" s="126"/>
      <c r="F80" s="138">
        <f>Dados!G98</f>
        <v>0.2</v>
      </c>
      <c r="G80" s="127">
        <f t="shared" ref="G80:G87" si="0">$G$76*F80</f>
        <v>900.37</v>
      </c>
      <c r="H80" s="111"/>
      <c r="I80" s="111"/>
    </row>
    <row r="81" spans="1:9" ht="15.75" thickTop="1" thickBot="1" x14ac:dyDescent="0.25">
      <c r="A81" s="563" t="s">
        <v>2</v>
      </c>
      <c r="B81" s="136" t="str">
        <f>Dados!B99</f>
        <v>Salário Educação</v>
      </c>
      <c r="C81" s="285"/>
      <c r="D81" s="137"/>
      <c r="E81" s="126"/>
      <c r="F81" s="138">
        <f>Dados!G99</f>
        <v>2.5000000000000001E-2</v>
      </c>
      <c r="G81" s="127">
        <f t="shared" si="0"/>
        <v>112.55</v>
      </c>
      <c r="H81" s="111"/>
      <c r="I81" s="111"/>
    </row>
    <row r="82" spans="1:9" ht="15.75" thickTop="1" thickBot="1" x14ac:dyDescent="0.25">
      <c r="A82" s="563" t="s">
        <v>4</v>
      </c>
      <c r="B82" s="136" t="str">
        <f>Dados!B100</f>
        <v>Seguro Acidente do Trabalho - SAT = RAT x FAP</v>
      </c>
      <c r="C82" s="285"/>
      <c r="D82" s="137"/>
      <c r="E82" s="126"/>
      <c r="F82" s="138">
        <f>Dados!G100</f>
        <v>1.2200000000000001E-2</v>
      </c>
      <c r="G82" s="127">
        <f t="shared" si="0"/>
        <v>54.92</v>
      </c>
      <c r="H82" s="111"/>
      <c r="I82" s="111"/>
    </row>
    <row r="83" spans="1:9" ht="15.75" thickTop="1" thickBot="1" x14ac:dyDescent="0.25">
      <c r="A83" s="563" t="s">
        <v>5</v>
      </c>
      <c r="B83" s="136" t="str">
        <f>Dados!B101</f>
        <v>SESI ou SESC</v>
      </c>
      <c r="C83" s="285"/>
      <c r="D83" s="137"/>
      <c r="E83" s="126"/>
      <c r="F83" s="138">
        <f>Dados!G101</f>
        <v>1.4999999999999999E-2</v>
      </c>
      <c r="G83" s="127">
        <f t="shared" si="0"/>
        <v>67.53</v>
      </c>
      <c r="H83" s="111"/>
      <c r="I83" s="111"/>
    </row>
    <row r="84" spans="1:9" ht="15.75" thickTop="1" thickBot="1" x14ac:dyDescent="0.25">
      <c r="A84" s="563" t="s">
        <v>6</v>
      </c>
      <c r="B84" s="136" t="str">
        <f>Dados!B102</f>
        <v>SENAI ou SENAC</v>
      </c>
      <c r="C84" s="285"/>
      <c r="D84" s="137"/>
      <c r="E84" s="126"/>
      <c r="F84" s="138">
        <f>Dados!G102</f>
        <v>0.01</v>
      </c>
      <c r="G84" s="127">
        <f t="shared" si="0"/>
        <v>45.02</v>
      </c>
      <c r="H84" s="111"/>
      <c r="I84" s="111"/>
    </row>
    <row r="85" spans="1:9" ht="15.75" thickTop="1" thickBot="1" x14ac:dyDescent="0.25">
      <c r="A85" s="563" t="s">
        <v>7</v>
      </c>
      <c r="B85" s="136" t="str">
        <f>Dados!B103</f>
        <v>SEBRAE</v>
      </c>
      <c r="C85" s="285"/>
      <c r="D85" s="137"/>
      <c r="E85" s="126"/>
      <c r="F85" s="138">
        <f>Dados!G103</f>
        <v>6.0000000000000001E-3</v>
      </c>
      <c r="G85" s="127">
        <f t="shared" si="0"/>
        <v>27.01</v>
      </c>
      <c r="H85" s="111"/>
      <c r="I85" s="111"/>
    </row>
    <row r="86" spans="1:9" ht="15.75" thickTop="1" thickBot="1" x14ac:dyDescent="0.25">
      <c r="A86" s="563" t="s">
        <v>8</v>
      </c>
      <c r="B86" s="136" t="str">
        <f>Dados!B104</f>
        <v>INCRA</v>
      </c>
      <c r="C86" s="285"/>
      <c r="D86" s="137"/>
      <c r="E86" s="126"/>
      <c r="F86" s="138">
        <f>Dados!G104</f>
        <v>2E-3</v>
      </c>
      <c r="G86" s="127">
        <f t="shared" si="0"/>
        <v>9</v>
      </c>
      <c r="H86" s="111"/>
      <c r="I86" s="111"/>
    </row>
    <row r="87" spans="1:9" ht="15.75" thickTop="1" thickBot="1" x14ac:dyDescent="0.25">
      <c r="A87" s="563" t="s">
        <v>9</v>
      </c>
      <c r="B87" s="136" t="str">
        <f>Dados!B105</f>
        <v>FGTS</v>
      </c>
      <c r="C87" s="285"/>
      <c r="D87" s="137"/>
      <c r="E87" s="126"/>
      <c r="F87" s="138">
        <f>Dados!G105</f>
        <v>0.08</v>
      </c>
      <c r="G87" s="127">
        <f t="shared" si="0"/>
        <v>360.15</v>
      </c>
      <c r="H87" s="111"/>
      <c r="I87" s="111"/>
    </row>
    <row r="88" spans="1:9" ht="15.75" customHeight="1" thickTop="1" thickBot="1" x14ac:dyDescent="0.25">
      <c r="A88" s="1644" t="s">
        <v>232</v>
      </c>
      <c r="B88" s="1645"/>
      <c r="C88" s="1645"/>
      <c r="D88" s="1645"/>
      <c r="E88" s="1646"/>
      <c r="F88" s="139">
        <f>SUM(F80:F87)</f>
        <v>0.35020000000000001</v>
      </c>
      <c r="G88" s="133">
        <f>SUM(G80:G87)</f>
        <v>1576.55</v>
      </c>
      <c r="H88" s="111"/>
      <c r="I88" s="625"/>
    </row>
    <row r="89" spans="1:9" ht="15" hidden="1" customHeight="1" thickTop="1" x14ac:dyDescent="0.2">
      <c r="A89" s="1618" t="s">
        <v>740</v>
      </c>
      <c r="B89" s="1618"/>
      <c r="C89" s="1618"/>
      <c r="D89" s="1618"/>
      <c r="E89" s="1618"/>
      <c r="F89" s="1618"/>
      <c r="G89" s="1618"/>
      <c r="H89" s="111"/>
      <c r="I89" s="111"/>
    </row>
    <row r="90" spans="1:9" ht="33" hidden="1" customHeight="1" x14ac:dyDescent="0.2">
      <c r="A90" s="1618" t="s">
        <v>739</v>
      </c>
      <c r="B90" s="1618"/>
      <c r="C90" s="1618"/>
      <c r="D90" s="1618"/>
      <c r="E90" s="1618"/>
      <c r="F90" s="1618"/>
      <c r="G90" s="1618"/>
      <c r="H90" s="111"/>
      <c r="I90" s="111"/>
    </row>
    <row r="91" spans="1:9" hidden="1" x14ac:dyDescent="0.2">
      <c r="A91" s="577" t="s">
        <v>917</v>
      </c>
      <c r="B91" s="784"/>
      <c r="C91" s="784"/>
      <c r="D91" s="784"/>
      <c r="E91" s="784"/>
      <c r="F91" s="784"/>
      <c r="G91" s="784"/>
      <c r="H91" s="111"/>
      <c r="I91" s="111"/>
    </row>
    <row r="92" spans="1:9" hidden="1" x14ac:dyDescent="0.2">
      <c r="A92" s="577" t="s">
        <v>803</v>
      </c>
      <c r="B92" s="784"/>
      <c r="C92" s="784"/>
      <c r="D92" s="784"/>
      <c r="E92" s="784"/>
      <c r="F92" s="784"/>
      <c r="G92" s="784"/>
      <c r="H92" s="111"/>
      <c r="I92" s="111"/>
    </row>
    <row r="93" spans="1:9" ht="15.75" thickTop="1" x14ac:dyDescent="0.2">
      <c r="A93" s="578"/>
      <c r="B93" s="613"/>
      <c r="C93" s="613"/>
      <c r="D93" s="613"/>
      <c r="E93" s="613"/>
      <c r="F93" s="613"/>
      <c r="G93" s="613"/>
      <c r="H93" s="111"/>
      <c r="I93" s="111"/>
    </row>
    <row r="94" spans="1:9" ht="15" thickBot="1" x14ac:dyDescent="0.25">
      <c r="A94" s="576" t="s">
        <v>741</v>
      </c>
      <c r="B94" s="562"/>
      <c r="C94" s="562"/>
      <c r="D94" s="562"/>
      <c r="E94" s="562"/>
      <c r="F94" s="562"/>
      <c r="G94" s="562"/>
      <c r="H94" s="111"/>
      <c r="I94" s="111"/>
    </row>
    <row r="95" spans="1:9" ht="15.75" thickTop="1" thickBot="1" x14ac:dyDescent="0.25">
      <c r="A95" s="561" t="s">
        <v>742</v>
      </c>
      <c r="B95" s="1652" t="s">
        <v>26</v>
      </c>
      <c r="C95" s="1653"/>
      <c r="D95" s="1653"/>
      <c r="E95" s="1653"/>
      <c r="F95" s="561" t="s">
        <v>746</v>
      </c>
      <c r="G95" s="560" t="s">
        <v>121</v>
      </c>
      <c r="H95" s="111"/>
      <c r="I95" s="111"/>
    </row>
    <row r="96" spans="1:9" ht="15.75" thickTop="1" thickBot="1" x14ac:dyDescent="0.25">
      <c r="A96" s="1631" t="s">
        <v>1</v>
      </c>
      <c r="B96" s="105" t="str">
        <f>HLOOKUP($F$20,BENEFÍCIOS!$B$25:$O$38,5,FALSE)</f>
        <v>Auxílio Transporte - Cláusula 15ª da CCT</v>
      </c>
      <c r="C96" s="113"/>
      <c r="D96" s="566"/>
      <c r="E96" s="938">
        <f>INDEX(Dados!$J$27:$M$31,MATCH($C$26,Dados!$J$27:$J$31,0),4)</f>
        <v>22</v>
      </c>
      <c r="F96" s="939">
        <v>0</v>
      </c>
      <c r="G96" s="299">
        <f>$E$96*F96*$F$14</f>
        <v>0</v>
      </c>
      <c r="H96" s="111"/>
      <c r="I96" s="111"/>
    </row>
    <row r="97" spans="1:9" ht="15.75" thickTop="1" thickBot="1" x14ac:dyDescent="0.25">
      <c r="A97" s="1631"/>
      <c r="B97" s="105" t="str">
        <f>Dados!A46</f>
        <v>Desconto Legal sobre o salário</v>
      </c>
      <c r="C97" s="113"/>
      <c r="D97" s="566"/>
      <c r="E97" s="940"/>
      <c r="F97" s="937">
        <f>Dados!J46</f>
        <v>0.06</v>
      </c>
      <c r="G97" s="495">
        <f>-MIN(G96,(F97*G47))</f>
        <v>0</v>
      </c>
      <c r="H97" s="111"/>
      <c r="I97" s="111"/>
    </row>
    <row r="98" spans="1:9" ht="15.75" thickTop="1" thickBot="1" x14ac:dyDescent="0.25">
      <c r="A98" s="1675" t="s">
        <v>2</v>
      </c>
      <c r="B98" s="105" t="str">
        <f>HLOOKUP($F$20,BENEFÍCIOS!$B$25:$O$38,2,FALSE)</f>
        <v>Auxílio Alimentação - Cláusula 14ª da CCT</v>
      </c>
      <c r="C98" s="113"/>
      <c r="D98" s="566"/>
      <c r="E98" s="938">
        <f>INDEX(Dados!$J$27:$M$31,MATCH($C$26,Dados!$J$27:$J$31,0),4)</f>
        <v>22</v>
      </c>
      <c r="F98" s="939">
        <f>Dados!J48</f>
        <v>35</v>
      </c>
      <c r="G98" s="299">
        <f>(E98*F98)*$F$14</f>
        <v>770</v>
      </c>
      <c r="H98" s="111"/>
      <c r="I98" s="111"/>
    </row>
    <row r="99" spans="1:9" ht="15.75" hidden="1" thickTop="1" thickBot="1" x14ac:dyDescent="0.25">
      <c r="A99" s="1677"/>
      <c r="B99" s="105" t="str">
        <f>HLOOKUP($F$20,BENEFÍCIOS!$B$25:$O$38,3,FALSE)</f>
        <v>Desconto do Auxílio Alimentação</v>
      </c>
      <c r="C99" s="132"/>
      <c r="D99" s="107"/>
      <c r="E99" s="296"/>
      <c r="F99" s="939">
        <f>Dados!J49</f>
        <v>0</v>
      </c>
      <c r="G99" s="300">
        <f>-F99*E98</f>
        <v>0</v>
      </c>
      <c r="H99" s="111"/>
      <c r="I99" s="111"/>
    </row>
    <row r="100" spans="1:9" ht="15.75" hidden="1" thickTop="1" thickBot="1" x14ac:dyDescent="0.25">
      <c r="A100" s="563" t="s">
        <v>4</v>
      </c>
      <c r="B100" s="105" t="str">
        <f>HLOOKUP($F$20,BENEFÍCIOS!$B$25:$O$38,4,FALSE)</f>
        <v>Auxílio Café da Manhã</v>
      </c>
      <c r="C100" s="132"/>
      <c r="D100" s="107"/>
      <c r="E100" s="296"/>
      <c r="F100" s="939">
        <f>Dados!J50</f>
        <v>0</v>
      </c>
      <c r="G100" s="300">
        <f t="shared" ref="G100:G104" si="1">F100*$F$14</f>
        <v>0</v>
      </c>
      <c r="H100" s="111"/>
      <c r="I100" s="111"/>
    </row>
    <row r="101" spans="1:9" ht="15.75" thickTop="1" thickBot="1" x14ac:dyDescent="0.25">
      <c r="A101" s="1678" t="s">
        <v>4</v>
      </c>
      <c r="B101" s="962" t="str">
        <f>HLOOKUP($F$20,BENEFÍCIOS!$B$25:$O$38,6,FALSE) &amp; " " &amp; "(Pagamento por ressarcimento)"</f>
        <v>Plano Ambulatorial - Cláusula 16ª da CCT (Pagamento por ressarcimento)</v>
      </c>
      <c r="C101" s="963"/>
      <c r="D101" s="964"/>
      <c r="E101" s="965"/>
      <c r="F101" s="966"/>
      <c r="G101" s="967">
        <f>F101*$F$14</f>
        <v>0</v>
      </c>
      <c r="H101" s="111"/>
      <c r="I101" s="111"/>
    </row>
    <row r="102" spans="1:9" ht="15.75" hidden="1" thickTop="1" thickBot="1" x14ac:dyDescent="0.25">
      <c r="A102" s="1679"/>
      <c r="B102" s="962" t="str">
        <f>HLOOKUP($F$20,BENEFÍCIOS!$B$25:$O$38,7,FALSE)</f>
        <v>Plano Ambulatorial - Contr. Empresa - Cláusula 16ª da CCT</v>
      </c>
      <c r="C102" s="963"/>
      <c r="D102" s="964"/>
      <c r="E102" s="965"/>
      <c r="F102" s="966">
        <f>Dados!J52</f>
        <v>0</v>
      </c>
      <c r="G102" s="967">
        <f>F102*$F$14</f>
        <v>0</v>
      </c>
      <c r="H102" s="111"/>
      <c r="I102" s="111"/>
    </row>
    <row r="103" spans="1:9" ht="15.75" hidden="1" thickTop="1" thickBot="1" x14ac:dyDescent="0.25">
      <c r="A103" s="1680"/>
      <c r="B103" s="962" t="str">
        <f>HLOOKUP($F$20,BENEFÍCIOS!$B$25:$O$38,8,FALSE)</f>
        <v>Plano Ambulatorial - Contr. Empregado - Cláusula 16ª da CCT</v>
      </c>
      <c r="C103" s="963"/>
      <c r="D103" s="964"/>
      <c r="E103" s="965"/>
      <c r="F103" s="966">
        <f>Dados!J53</f>
        <v>0</v>
      </c>
      <c r="G103" s="967">
        <f>-F103*$F$14</f>
        <v>0</v>
      </c>
      <c r="H103" s="111"/>
      <c r="I103" s="111"/>
    </row>
    <row r="104" spans="1:9" ht="15.75" thickTop="1" thickBot="1" x14ac:dyDescent="0.25">
      <c r="A104" s="563" t="s">
        <v>5</v>
      </c>
      <c r="B104" s="105" t="str">
        <f>HLOOKUP($F$20,BENEFÍCIOS!$B$25:$O$38,9,FALSE)</f>
        <v>Seguro de Vida e Assistência Funeral - Cláusula 18ª da CCT</v>
      </c>
      <c r="C104" s="132"/>
      <c r="D104" s="107"/>
      <c r="E104" s="296"/>
      <c r="F104" s="939">
        <f>Dados!J54</f>
        <v>2.2999999999999998</v>
      </c>
      <c r="G104" s="300">
        <f t="shared" si="1"/>
        <v>2.2999999999999998</v>
      </c>
      <c r="H104" s="111"/>
      <c r="I104" s="111"/>
    </row>
    <row r="105" spans="1:9" ht="15.75" thickTop="1" thickBot="1" x14ac:dyDescent="0.25">
      <c r="A105" s="563" t="s">
        <v>6</v>
      </c>
      <c r="B105" s="105" t="str">
        <f>HLOOKUP($F$20,BENEFÍCIOS!$B$25:$O$38,10,FALSE) &amp; " " &amp; "(Pagamento por ressarcimento)"</f>
        <v>Assistência Odontológica - Cláusula 17ª da CCT (Pagamento por ressarcimento)</v>
      </c>
      <c r="C105" s="132"/>
      <c r="D105" s="107"/>
      <c r="E105" s="296"/>
      <c r="F105" s="939"/>
      <c r="G105" s="300">
        <f t="shared" ref="G105" si="2">F105*$F$14</f>
        <v>0</v>
      </c>
      <c r="H105" s="111"/>
      <c r="I105" s="111"/>
    </row>
    <row r="106" spans="1:9" ht="15.75" hidden="1" thickTop="1" thickBot="1" x14ac:dyDescent="0.25">
      <c r="A106" s="810" t="s">
        <v>8</v>
      </c>
      <c r="B106" s="809" t="str">
        <f>HLOOKUP($F$20,BENEFÍCIOS!$B$25:$O$38,11,FALSE)</f>
        <v>Auxílio Lazer/Cultura</v>
      </c>
      <c r="C106" s="132"/>
      <c r="D106" s="107"/>
      <c r="E106" s="296"/>
      <c r="F106" s="939">
        <f>Dados!J56</f>
        <v>0</v>
      </c>
      <c r="G106" s="300">
        <f t="shared" ref="G106" si="3">F106*$F$14</f>
        <v>0</v>
      </c>
      <c r="H106" s="111"/>
      <c r="I106" s="111"/>
    </row>
    <row r="107" spans="1:9" ht="15.75" hidden="1" thickTop="1" thickBot="1" x14ac:dyDescent="0.25">
      <c r="A107" s="563" t="s">
        <v>9</v>
      </c>
      <c r="B107" s="809" t="str">
        <f>HLOOKUP($F$20,BENEFÍCIOS!$B$25:$O$38,12,FALSE)</f>
        <v>Treinamento/capacitação/reciclagem - Cláusula 30ª da CCT</v>
      </c>
      <c r="C107" s="132"/>
      <c r="D107" s="107"/>
      <c r="E107" s="296"/>
      <c r="F107" s="939">
        <f>Dados!J57</f>
        <v>0</v>
      </c>
      <c r="G107" s="300">
        <f t="shared" ref="G107:G109" si="4">F107*$F$14</f>
        <v>0</v>
      </c>
      <c r="H107" s="111"/>
      <c r="I107" s="111"/>
    </row>
    <row r="108" spans="1:9" ht="15.75" hidden="1" thickTop="1" thickBot="1" x14ac:dyDescent="0.25">
      <c r="A108" s="563" t="s">
        <v>160</v>
      </c>
      <c r="B108" s="809" t="str">
        <f>HLOOKUP($F$20,BENEFÍCIOS!$B$25:$O$38,13,FALSE)</f>
        <v>Contribuição Assistencial Patronal - Cláusula 61ª da CCT</v>
      </c>
      <c r="C108" s="132"/>
      <c r="D108" s="107"/>
      <c r="E108" s="296"/>
      <c r="F108" s="939">
        <f>Dados!J58</f>
        <v>0</v>
      </c>
      <c r="G108" s="300">
        <f t="shared" si="4"/>
        <v>0</v>
      </c>
      <c r="H108" s="111"/>
      <c r="I108" s="111"/>
    </row>
    <row r="109" spans="1:9" ht="15.75" hidden="1" thickTop="1" thickBot="1" x14ac:dyDescent="0.25">
      <c r="A109" s="810" t="s">
        <v>627</v>
      </c>
      <c r="B109" s="809" t="str">
        <f>HLOOKUP($F$20,BENEFÍCIOS!$B$25:$O$38,14,FALSE)</f>
        <v>Auxílio Creche</v>
      </c>
      <c r="C109" s="132"/>
      <c r="D109" s="107"/>
      <c r="E109" s="296"/>
      <c r="F109" s="939">
        <f>Dados!J59</f>
        <v>0</v>
      </c>
      <c r="G109" s="300">
        <f t="shared" si="4"/>
        <v>0</v>
      </c>
      <c r="H109" s="111"/>
      <c r="I109" s="111"/>
    </row>
    <row r="110" spans="1:9" ht="15.75" thickTop="1" thickBot="1" x14ac:dyDescent="0.25">
      <c r="A110" s="563" t="s">
        <v>7</v>
      </c>
      <c r="B110" s="125" t="s">
        <v>57</v>
      </c>
      <c r="C110" s="132"/>
      <c r="D110" s="107"/>
      <c r="E110" s="296"/>
      <c r="F110" s="939"/>
      <c r="G110" s="301"/>
      <c r="H110" s="111"/>
      <c r="I110" s="111"/>
    </row>
    <row r="111" spans="1:9" ht="18" customHeight="1" thickTop="1" thickBot="1" x14ac:dyDescent="0.25">
      <c r="A111" s="1686" t="s">
        <v>232</v>
      </c>
      <c r="B111" s="1687"/>
      <c r="C111" s="1687"/>
      <c r="D111" s="1687"/>
      <c r="E111" s="1687"/>
      <c r="F111" s="1688"/>
      <c r="G111" s="302">
        <f>SUM(G96,G97,G98,G99,G100,G101,G103,G104,G105,G106,G107,G108,G109,)</f>
        <v>772.3</v>
      </c>
      <c r="H111" s="624"/>
      <c r="I111" s="624"/>
    </row>
    <row r="112" spans="1:9" s="68" customFormat="1" ht="15" hidden="1" customHeight="1" thickTop="1" x14ac:dyDescent="0.2">
      <c r="A112" s="101" t="s">
        <v>744</v>
      </c>
      <c r="B112" s="99"/>
      <c r="C112" s="99"/>
      <c r="D112" s="99"/>
      <c r="E112" s="99"/>
      <c r="F112" s="120"/>
      <c r="G112" s="121"/>
      <c r="H112" s="122"/>
      <c r="I112" s="122"/>
    </row>
    <row r="113" spans="1:10" s="68" customFormat="1" hidden="1" x14ac:dyDescent="0.2">
      <c r="A113" s="1618" t="s">
        <v>743</v>
      </c>
      <c r="B113" s="1618"/>
      <c r="C113" s="1618"/>
      <c r="D113" s="1618"/>
      <c r="E113" s="1618"/>
      <c r="F113" s="1618"/>
      <c r="G113" s="1618"/>
      <c r="H113" s="122"/>
      <c r="I113" s="122"/>
    </row>
    <row r="114" spans="1:10" s="68" customFormat="1" hidden="1" x14ac:dyDescent="0.2">
      <c r="A114" s="1618"/>
      <c r="B114" s="1618"/>
      <c r="C114" s="1618"/>
      <c r="D114" s="1618"/>
      <c r="E114" s="1618"/>
      <c r="F114" s="1618"/>
      <c r="G114" s="1618"/>
      <c r="H114" s="122"/>
      <c r="I114" s="122"/>
    </row>
    <row r="115" spans="1:10" s="68" customFormat="1" ht="15" thickTop="1" x14ac:dyDescent="0.2">
      <c r="A115" s="98"/>
      <c r="B115" s="99"/>
      <c r="C115" s="99"/>
      <c r="D115" s="99"/>
      <c r="E115" s="99"/>
      <c r="F115" s="120"/>
      <c r="G115" s="121"/>
      <c r="H115" s="122"/>
      <c r="I115" s="122"/>
    </row>
    <row r="116" spans="1:10" s="68" customFormat="1" ht="15" thickBot="1" x14ac:dyDescent="0.25">
      <c r="A116" s="576" t="s">
        <v>748</v>
      </c>
      <c r="B116" s="99"/>
      <c r="C116" s="99"/>
      <c r="D116" s="99"/>
      <c r="E116" s="99"/>
      <c r="F116" s="120"/>
      <c r="G116" s="121"/>
      <c r="H116" s="122"/>
      <c r="I116" s="122"/>
    </row>
    <row r="117" spans="1:10" s="68" customFormat="1" ht="15.75" thickTop="1" thickBot="1" x14ac:dyDescent="0.25">
      <c r="A117" s="567">
        <v>2</v>
      </c>
      <c r="B117" s="1672" t="s">
        <v>749</v>
      </c>
      <c r="C117" s="1673"/>
      <c r="D117" s="1673"/>
      <c r="E117" s="1673"/>
      <c r="F117" s="1674"/>
      <c r="G117" s="567" t="s">
        <v>121</v>
      </c>
      <c r="H117" s="122"/>
      <c r="I117" s="122"/>
    </row>
    <row r="118" spans="1:10" s="68" customFormat="1" ht="15.75" thickTop="1" thickBot="1" x14ac:dyDescent="0.25">
      <c r="A118" s="112" t="s">
        <v>732</v>
      </c>
      <c r="B118" s="105" t="str">
        <f>B61</f>
        <v>13º (décimo terceiro) Salário, Férias e Adicional de Férias</v>
      </c>
      <c r="C118" s="131"/>
      <c r="D118" s="131"/>
      <c r="E118" s="131"/>
      <c r="F118" s="288"/>
      <c r="G118" s="123">
        <f>G64</f>
        <v>787.76</v>
      </c>
      <c r="H118" s="122"/>
      <c r="I118" s="122"/>
    </row>
    <row r="119" spans="1:10" s="68" customFormat="1" ht="15.75" thickTop="1" thickBot="1" x14ac:dyDescent="0.25">
      <c r="A119" s="112" t="s">
        <v>731</v>
      </c>
      <c r="B119" s="105" t="str">
        <f>B79</f>
        <v>GPS, FGTS e outras contribuições</v>
      </c>
      <c r="C119" s="131"/>
      <c r="D119" s="131"/>
      <c r="E119" s="131"/>
      <c r="F119" s="288"/>
      <c r="G119" s="123">
        <f>G88</f>
        <v>1576.55</v>
      </c>
      <c r="H119" s="122"/>
      <c r="I119" s="122"/>
    </row>
    <row r="120" spans="1:10" s="68" customFormat="1" ht="15.75" thickTop="1" thickBot="1" x14ac:dyDescent="0.25">
      <c r="A120" s="112" t="s">
        <v>742</v>
      </c>
      <c r="B120" s="105" t="str">
        <f>B95</f>
        <v>Benefícios Mensais e Diários</v>
      </c>
      <c r="C120" s="131"/>
      <c r="D120" s="131"/>
      <c r="E120" s="131"/>
      <c r="F120" s="288"/>
      <c r="G120" s="123">
        <f>G111</f>
        <v>772.3</v>
      </c>
      <c r="H120" s="122"/>
      <c r="I120" s="122"/>
    </row>
    <row r="121" spans="1:10" s="68" customFormat="1" ht="15.75" thickTop="1" thickBot="1" x14ac:dyDescent="0.25">
      <c r="A121" s="1644" t="s">
        <v>232</v>
      </c>
      <c r="B121" s="1645"/>
      <c r="C121" s="1645"/>
      <c r="D121" s="1645"/>
      <c r="E121" s="1645"/>
      <c r="F121" s="1646"/>
      <c r="G121" s="133">
        <f>SUM(G118:G120)</f>
        <v>3136.61</v>
      </c>
      <c r="H121" s="122"/>
      <c r="I121" s="622"/>
      <c r="J121" s="620"/>
    </row>
    <row r="122" spans="1:10" s="68" customFormat="1" ht="15" thickTop="1" x14ac:dyDescent="0.2">
      <c r="A122" s="101"/>
      <c r="B122" s="101"/>
      <c r="C122" s="101"/>
      <c r="D122" s="101"/>
      <c r="E122" s="101"/>
      <c r="F122" s="574"/>
      <c r="G122" s="575"/>
      <c r="H122" s="122"/>
      <c r="I122" s="122"/>
    </row>
    <row r="123" spans="1:10" s="68" customFormat="1" ht="15" thickBot="1" x14ac:dyDescent="0.25">
      <c r="A123" s="1629" t="s">
        <v>750</v>
      </c>
      <c r="B123" s="1629"/>
      <c r="C123" s="1629"/>
      <c r="D123" s="1629"/>
      <c r="E123" s="1629"/>
      <c r="F123" s="1629"/>
      <c r="G123" s="1629"/>
      <c r="H123" s="122"/>
      <c r="I123" s="122"/>
    </row>
    <row r="124" spans="1:10" s="68" customFormat="1" ht="15.75" thickTop="1" thickBot="1" x14ac:dyDescent="0.25">
      <c r="A124" s="561">
        <v>3</v>
      </c>
      <c r="B124" s="1652" t="s">
        <v>99</v>
      </c>
      <c r="C124" s="1653"/>
      <c r="D124" s="1653"/>
      <c r="E124" s="1654"/>
      <c r="F124" s="561" t="s">
        <v>746</v>
      </c>
      <c r="G124" s="567" t="s">
        <v>121</v>
      </c>
      <c r="H124" s="122"/>
      <c r="I124" s="122"/>
    </row>
    <row r="125" spans="1:10" s="68" customFormat="1" ht="15.75" thickTop="1" thickBot="1" x14ac:dyDescent="0.25">
      <c r="A125" s="563" t="s">
        <v>1</v>
      </c>
      <c r="B125" s="136" t="str">
        <f>Dados!B111</f>
        <v>Aviso Prévio Indenizado </v>
      </c>
      <c r="C125" s="285"/>
      <c r="D125" s="137"/>
      <c r="E125" s="126"/>
      <c r="F125" s="138">
        <f>Dados!G111</f>
        <v>2.5000000000000001E-3</v>
      </c>
      <c r="G125" s="127">
        <f>F125*$G$53</f>
        <v>9.2899999999999991</v>
      </c>
      <c r="H125" s="122"/>
      <c r="I125" s="122"/>
    </row>
    <row r="126" spans="1:10" s="68" customFormat="1" ht="15.75" thickTop="1" thickBot="1" x14ac:dyDescent="0.25">
      <c r="A126" s="563" t="s">
        <v>2</v>
      </c>
      <c r="B126" s="136" t="str">
        <f>Dados!B112</f>
        <v>Incidência do FGTS sobre aviso prévio indenizado</v>
      </c>
      <c r="C126" s="285"/>
      <c r="D126" s="137"/>
      <c r="E126" s="126"/>
      <c r="F126" s="138">
        <f>Dados!G112</f>
        <v>2.0000000000000001E-4</v>
      </c>
      <c r="G126" s="127">
        <f t="shared" ref="G126:G130" si="5">F126*$G$53</f>
        <v>0.74</v>
      </c>
      <c r="H126" s="122"/>
      <c r="I126" s="122"/>
    </row>
    <row r="127" spans="1:10" s="68" customFormat="1" ht="15.75" thickTop="1" thickBot="1" x14ac:dyDescent="0.25">
      <c r="A127" s="563" t="s">
        <v>4</v>
      </c>
      <c r="B127" s="136" t="str">
        <f>Dados!B113</f>
        <v>Multa do FGTS e contribuição social sobre o Aviso Prévio Indenizado</v>
      </c>
      <c r="C127" s="285"/>
      <c r="D127" s="137"/>
      <c r="E127" s="126"/>
      <c r="F127" s="138">
        <f>Dados!G113</f>
        <v>0</v>
      </c>
      <c r="G127" s="127">
        <f t="shared" si="5"/>
        <v>0</v>
      </c>
      <c r="H127" s="122"/>
      <c r="I127" s="122"/>
    </row>
    <row r="128" spans="1:10" s="68" customFormat="1" ht="15.75" thickTop="1" thickBot="1" x14ac:dyDescent="0.25">
      <c r="A128" s="563" t="s">
        <v>5</v>
      </c>
      <c r="B128" s="136" t="str">
        <f>Dados!B114</f>
        <v>Aviso Prévio Trabalhado</v>
      </c>
      <c r="C128" s="285"/>
      <c r="D128" s="137"/>
      <c r="E128" s="126"/>
      <c r="F128" s="138">
        <f>Dados!G114</f>
        <v>1.9400000000000001E-2</v>
      </c>
      <c r="G128" s="127">
        <f t="shared" si="5"/>
        <v>72.05</v>
      </c>
      <c r="H128" s="122"/>
      <c r="I128" s="122"/>
    </row>
    <row r="129" spans="1:13" s="68" customFormat="1" ht="15.75" thickTop="1" thickBot="1" x14ac:dyDescent="0.25">
      <c r="A129" s="563" t="s">
        <v>6</v>
      </c>
      <c r="B129" s="136" t="str">
        <f>Dados!B115</f>
        <v>Incidência de GPS, FGTS e outras contribuições sobre o aviso prévio trabalhado</v>
      </c>
      <c r="C129" s="285"/>
      <c r="D129" s="137"/>
      <c r="E129" s="126"/>
      <c r="F129" s="138">
        <f>Dados!G115</f>
        <v>6.7999999999999996E-3</v>
      </c>
      <c r="G129" s="127">
        <f t="shared" si="5"/>
        <v>25.26</v>
      </c>
      <c r="H129" s="122"/>
      <c r="I129" s="122"/>
    </row>
    <row r="130" spans="1:13" s="68" customFormat="1" ht="15.75" thickTop="1" thickBot="1" x14ac:dyDescent="0.25">
      <c r="A130" s="563" t="s">
        <v>7</v>
      </c>
      <c r="B130" s="136" t="str">
        <f>Dados!B116</f>
        <v>Multa do FGTS e contribuição social sobre o Aviso Prévio Trabalhado</v>
      </c>
      <c r="C130" s="285"/>
      <c r="D130" s="137"/>
      <c r="E130" s="126"/>
      <c r="F130" s="138">
        <f>Dados!G116</f>
        <v>1E-4</v>
      </c>
      <c r="G130" s="127">
        <f t="shared" si="5"/>
        <v>0.37</v>
      </c>
      <c r="H130" s="122"/>
      <c r="I130" s="122"/>
    </row>
    <row r="131" spans="1:13" s="68" customFormat="1" ht="15.75" thickTop="1" thickBot="1" x14ac:dyDescent="0.25">
      <c r="A131" s="1157" t="s">
        <v>7</v>
      </c>
      <c r="B131" s="136" t="str">
        <f>Dados!B117</f>
        <v>Multa do FGTS</v>
      </c>
      <c r="C131" s="285"/>
      <c r="D131" s="137"/>
      <c r="E131" s="126"/>
      <c r="F131" s="138">
        <f>Dados!G117</f>
        <v>3.49E-2</v>
      </c>
      <c r="G131" s="127">
        <f t="shared" ref="G131" si="6">F131*$G$53</f>
        <v>129.62</v>
      </c>
      <c r="H131" s="122"/>
      <c r="I131" s="122"/>
    </row>
    <row r="132" spans="1:13" s="68" customFormat="1" ht="15.75" thickTop="1" thickBot="1" x14ac:dyDescent="0.25">
      <c r="A132" s="1644" t="s">
        <v>232</v>
      </c>
      <c r="B132" s="1645"/>
      <c r="C132" s="1645"/>
      <c r="D132" s="1645"/>
      <c r="E132" s="1646"/>
      <c r="F132" s="139">
        <f>SUM(F125:F131)</f>
        <v>6.3899999999999998E-2</v>
      </c>
      <c r="G132" s="133">
        <f>SUM(G125:G131)</f>
        <v>237.33</v>
      </c>
      <c r="H132" s="122"/>
      <c r="I132" s="618"/>
    </row>
    <row r="133" spans="1:13" s="68" customFormat="1" ht="15" thickTop="1" x14ac:dyDescent="0.2">
      <c r="A133" s="129"/>
      <c r="B133" s="129"/>
      <c r="C133" s="129"/>
      <c r="D133" s="129"/>
      <c r="E133" s="129"/>
      <c r="F133" s="120"/>
      <c r="G133" s="140"/>
      <c r="H133" s="122"/>
      <c r="I133" s="122"/>
    </row>
    <row r="134" spans="1:13" s="68" customFormat="1" x14ac:dyDescent="0.2">
      <c r="A134" s="1629" t="s">
        <v>751</v>
      </c>
      <c r="B134" s="1629"/>
      <c r="C134" s="1629"/>
      <c r="D134" s="1629"/>
      <c r="E134" s="1629"/>
      <c r="F134" s="1629"/>
      <c r="G134" s="1629"/>
      <c r="H134" s="122"/>
      <c r="I134" s="122"/>
    </row>
    <row r="135" spans="1:13" s="68" customFormat="1" ht="14.25" hidden="1" customHeight="1" x14ac:dyDescent="0.2">
      <c r="A135" s="1618" t="s">
        <v>919</v>
      </c>
      <c r="B135" s="1618"/>
      <c r="C135" s="1618"/>
      <c r="D135" s="1618"/>
      <c r="E135" s="1618"/>
      <c r="F135" s="1618"/>
      <c r="G135" s="1618"/>
      <c r="H135" s="122"/>
      <c r="I135" s="122"/>
    </row>
    <row r="136" spans="1:13" s="68" customFormat="1" hidden="1" x14ac:dyDescent="0.2">
      <c r="A136" s="1618"/>
      <c r="B136" s="1618"/>
      <c r="C136" s="1618"/>
      <c r="D136" s="1618"/>
      <c r="E136" s="1618"/>
      <c r="F136" s="1618"/>
      <c r="G136" s="1618"/>
      <c r="H136" s="122"/>
      <c r="I136" s="122"/>
    </row>
    <row r="137" spans="1:13" s="68" customFormat="1" hidden="1" x14ac:dyDescent="0.2">
      <c r="A137" s="101" t="s">
        <v>935</v>
      </c>
      <c r="B137" s="784"/>
      <c r="C137" s="784"/>
      <c r="D137" s="784"/>
      <c r="E137" s="784"/>
      <c r="F137" s="784"/>
      <c r="G137" s="784"/>
      <c r="H137" s="122"/>
      <c r="I137" s="122"/>
    </row>
    <row r="138" spans="1:13" s="68" customFormat="1" ht="15" thickBot="1" x14ac:dyDescent="0.25">
      <c r="A138" s="576" t="s">
        <v>929</v>
      </c>
      <c r="B138" s="784"/>
      <c r="C138" s="784"/>
      <c r="D138" s="784"/>
      <c r="E138" s="785"/>
      <c r="F138" s="784"/>
      <c r="G138" s="784"/>
      <c r="H138" s="762"/>
      <c r="I138" s="629"/>
      <c r="J138" s="620"/>
    </row>
    <row r="139" spans="1:13" s="68" customFormat="1" ht="15.75" thickTop="1" thickBot="1" x14ac:dyDescent="0.25">
      <c r="A139" s="761" t="s">
        <v>48</v>
      </c>
      <c r="B139" s="1652" t="s">
        <v>930</v>
      </c>
      <c r="C139" s="1653"/>
      <c r="D139" s="1653"/>
      <c r="E139" s="1654"/>
      <c r="F139" s="761" t="s">
        <v>746</v>
      </c>
      <c r="G139" s="759" t="s">
        <v>121</v>
      </c>
      <c r="H139" s="763"/>
      <c r="I139" s="623"/>
      <c r="J139" s="626"/>
      <c r="K139" s="626"/>
      <c r="L139" s="621"/>
    </row>
    <row r="140" spans="1:13" s="68" customFormat="1" ht="15.75" thickTop="1" thickBot="1" x14ac:dyDescent="0.25">
      <c r="A140" s="760" t="s">
        <v>1</v>
      </c>
      <c r="B140" s="136" t="str">
        <f>Dados!B122</f>
        <v>Substituto na cobertura de Férias</v>
      </c>
      <c r="C140" s="285"/>
      <c r="D140" s="137"/>
      <c r="E140" s="285"/>
      <c r="F140" s="138">
        <f>Dados!G122</f>
        <v>7.6E-3</v>
      </c>
      <c r="G140" s="127">
        <f>$G$53*F140</f>
        <v>28.23</v>
      </c>
      <c r="H140" s="764"/>
      <c r="I140" s="626"/>
      <c r="J140" s="626"/>
      <c r="K140" s="619"/>
      <c r="L140" s="619"/>
      <c r="M140" s="626"/>
    </row>
    <row r="141" spans="1:13" s="68" customFormat="1" ht="15.75" thickTop="1" thickBot="1" x14ac:dyDescent="0.25">
      <c r="A141" s="760" t="s">
        <v>2</v>
      </c>
      <c r="B141" s="136" t="str">
        <f>Dados!B123</f>
        <v>Substituto na cobertura de Ausências Legais</v>
      </c>
      <c r="C141" s="285"/>
      <c r="D141" s="137"/>
      <c r="E141" s="285"/>
      <c r="F141" s="138">
        <f>Dados!G123</f>
        <v>1E-4</v>
      </c>
      <c r="G141" s="127">
        <f t="shared" ref="G141:G145" si="7">$G$53*F141</f>
        <v>0.37</v>
      </c>
      <c r="H141" s="765"/>
      <c r="K141" s="626"/>
      <c r="M141" s="626"/>
    </row>
    <row r="142" spans="1:13" s="68" customFormat="1" ht="15.75" thickTop="1" thickBot="1" x14ac:dyDescent="0.25">
      <c r="A142" s="760" t="s">
        <v>4</v>
      </c>
      <c r="B142" s="136" t="str">
        <f>Dados!B124</f>
        <v>Substituto na cobertura de Licença-Paternidade</v>
      </c>
      <c r="C142" s="285"/>
      <c r="D142" s="137"/>
      <c r="E142" s="285"/>
      <c r="F142" s="138">
        <f>Dados!G124</f>
        <v>1E-4</v>
      </c>
      <c r="G142" s="127">
        <f t="shared" si="7"/>
        <v>0.37</v>
      </c>
      <c r="H142" s="764"/>
      <c r="J142" s="619"/>
      <c r="K142" s="626"/>
      <c r="M142" s="626"/>
    </row>
    <row r="143" spans="1:13" s="68" customFormat="1" ht="15.75" thickTop="1" thickBot="1" x14ac:dyDescent="0.25">
      <c r="A143" s="760" t="s">
        <v>5</v>
      </c>
      <c r="B143" s="136" t="str">
        <f>Dados!B125</f>
        <v>Substituto na cobertura de Ausência por acidente de trabalho</v>
      </c>
      <c r="C143" s="285"/>
      <c r="D143" s="137"/>
      <c r="E143" s="285"/>
      <c r="F143" s="138">
        <f>Dados!G125</f>
        <v>1E-4</v>
      </c>
      <c r="G143" s="127">
        <f t="shared" si="7"/>
        <v>0.37</v>
      </c>
      <c r="H143" s="764"/>
      <c r="K143" s="626"/>
      <c r="M143" s="626"/>
    </row>
    <row r="144" spans="1:13" s="68" customFormat="1" ht="15.75" thickTop="1" thickBot="1" x14ac:dyDescent="0.25">
      <c r="A144" s="760" t="s">
        <v>6</v>
      </c>
      <c r="B144" s="136" t="str">
        <f>Dados!B126</f>
        <v>Substituto na cobertura de Afastamento Maternidade</v>
      </c>
      <c r="C144" s="285"/>
      <c r="D144" s="137"/>
      <c r="E144" s="285"/>
      <c r="F144" s="138">
        <f>Dados!G126</f>
        <v>1E-4</v>
      </c>
      <c r="G144" s="127">
        <f t="shared" si="7"/>
        <v>0.37</v>
      </c>
      <c r="H144" s="764"/>
      <c r="K144" s="626"/>
      <c r="M144" s="626"/>
    </row>
    <row r="145" spans="1:13" s="68" customFormat="1" ht="15.75" thickTop="1" thickBot="1" x14ac:dyDescent="0.25">
      <c r="A145" s="760" t="s">
        <v>7</v>
      </c>
      <c r="B145" s="136" t="str">
        <f>Dados!B127</f>
        <v>Substituto na cobertura de outras ausências (licença por doença)</v>
      </c>
      <c r="C145" s="285"/>
      <c r="D145" s="137"/>
      <c r="E145" s="285"/>
      <c r="F145" s="138">
        <f>Dados!G127</f>
        <v>0</v>
      </c>
      <c r="G145" s="127">
        <f t="shared" si="7"/>
        <v>0</v>
      </c>
      <c r="H145" s="764"/>
      <c r="K145" s="626"/>
      <c r="M145" s="627"/>
    </row>
    <row r="146" spans="1:13" s="68" customFormat="1" ht="15.75" customHeight="1" thickTop="1" thickBot="1" x14ac:dyDescent="0.25">
      <c r="A146" s="1644" t="s">
        <v>232</v>
      </c>
      <c r="B146" s="1645"/>
      <c r="C146" s="1645"/>
      <c r="D146" s="1645"/>
      <c r="E146" s="1646"/>
      <c r="F146" s="139">
        <f>SUM(F140:F145)</f>
        <v>8.0000000000000002E-3</v>
      </c>
      <c r="G146" s="128">
        <f>SUM(G140:G145)</f>
        <v>29.71</v>
      </c>
      <c r="H146" s="766"/>
      <c r="I146" s="619"/>
      <c r="J146" s="620"/>
      <c r="K146" s="619"/>
    </row>
    <row r="147" spans="1:13" s="68" customFormat="1" ht="15" hidden="1" customHeight="1" thickTop="1" x14ac:dyDescent="0.2">
      <c r="A147" s="1618" t="s">
        <v>936</v>
      </c>
      <c r="B147" s="1618"/>
      <c r="C147" s="1618"/>
      <c r="D147" s="1618"/>
      <c r="E147" s="1618"/>
      <c r="F147" s="1618"/>
      <c r="G147" s="1618"/>
      <c r="H147" s="122"/>
      <c r="I147" s="122"/>
    </row>
    <row r="148" spans="1:13" s="68" customFormat="1" hidden="1" x14ac:dyDescent="0.2">
      <c r="A148" s="1618"/>
      <c r="B148" s="1618"/>
      <c r="C148" s="1618"/>
      <c r="D148" s="1618"/>
      <c r="E148" s="1618"/>
      <c r="F148" s="1618"/>
      <c r="G148" s="1618"/>
      <c r="H148" s="122"/>
      <c r="I148" s="617"/>
      <c r="J148" s="617"/>
      <c r="K148" s="617"/>
    </row>
    <row r="149" spans="1:13" s="68" customFormat="1" ht="15" thickTop="1" x14ac:dyDescent="0.2">
      <c r="A149" s="611"/>
      <c r="B149" s="611"/>
      <c r="C149" s="611"/>
      <c r="D149" s="611"/>
      <c r="E149" s="611"/>
      <c r="F149" s="611"/>
      <c r="G149" s="611"/>
      <c r="H149" s="122"/>
      <c r="I149" s="122"/>
    </row>
    <row r="150" spans="1:13" s="68" customFormat="1" ht="15" thickBot="1" x14ac:dyDescent="0.25">
      <c r="A150" s="210" t="s">
        <v>926</v>
      </c>
      <c r="B150" s="779"/>
      <c r="C150" s="779"/>
      <c r="D150" s="779"/>
      <c r="E150" s="779"/>
      <c r="F150" s="779"/>
      <c r="G150" s="562"/>
      <c r="H150" s="122"/>
      <c r="I150" s="619"/>
      <c r="J150" s="621"/>
      <c r="K150" s="621"/>
      <c r="L150" s="619"/>
      <c r="M150" s="621"/>
    </row>
    <row r="151" spans="1:13" s="68" customFormat="1" ht="15.75" thickTop="1" thickBot="1" x14ac:dyDescent="0.25">
      <c r="A151" s="780" t="s">
        <v>53</v>
      </c>
      <c r="B151" s="1652" t="s">
        <v>927</v>
      </c>
      <c r="C151" s="1653"/>
      <c r="D151" s="1653"/>
      <c r="E151" s="1653"/>
      <c r="F151" s="1654"/>
      <c r="G151" s="567" t="s">
        <v>121</v>
      </c>
      <c r="H151" s="122"/>
      <c r="I151" s="122"/>
      <c r="K151" s="621"/>
      <c r="L151" s="619"/>
      <c r="M151" s="626"/>
    </row>
    <row r="152" spans="1:13" s="68" customFormat="1" ht="17.25" thickTop="1" thickBot="1" x14ac:dyDescent="0.25">
      <c r="A152" s="778" t="s">
        <v>1</v>
      </c>
      <c r="B152" s="1683" t="s">
        <v>928</v>
      </c>
      <c r="C152" s="1684"/>
      <c r="D152" s="1684"/>
      <c r="E152" s="1684"/>
      <c r="F152" s="1685"/>
      <c r="G152" s="127">
        <f>ROUND(IF(G52=0,H152,0),2)</f>
        <v>0</v>
      </c>
      <c r="H152" s="628"/>
      <c r="I152" s="122"/>
    </row>
    <row r="153" spans="1:13" s="68" customFormat="1" ht="15.75" customHeight="1" thickTop="1" thickBot="1" x14ac:dyDescent="0.25">
      <c r="A153" s="1644" t="s">
        <v>232</v>
      </c>
      <c r="B153" s="1645"/>
      <c r="C153" s="1645"/>
      <c r="D153" s="1645"/>
      <c r="E153" s="1645"/>
      <c r="F153" s="1646"/>
      <c r="G153" s="128">
        <f>SUM(G147:G152)</f>
        <v>0</v>
      </c>
      <c r="H153" s="122"/>
      <c r="I153" s="122"/>
    </row>
    <row r="154" spans="1:13" s="68" customFormat="1" ht="15" hidden="1" thickTop="1" x14ac:dyDescent="0.2">
      <c r="A154" s="1618" t="s">
        <v>752</v>
      </c>
      <c r="B154" s="1618"/>
      <c r="C154" s="1618"/>
      <c r="D154" s="1618"/>
      <c r="E154" s="1618"/>
      <c r="F154" s="1618"/>
      <c r="G154" s="1618"/>
      <c r="H154" s="122"/>
      <c r="I154" s="122"/>
    </row>
    <row r="155" spans="1:13" s="68" customFormat="1" ht="15.75" hidden="1" customHeight="1" x14ac:dyDescent="0.2">
      <c r="A155" s="1618"/>
      <c r="B155" s="1618"/>
      <c r="C155" s="1618"/>
      <c r="D155" s="1618"/>
      <c r="E155" s="1618"/>
      <c r="F155" s="1618"/>
      <c r="G155" s="1618"/>
      <c r="H155" s="122"/>
      <c r="I155" s="122"/>
    </row>
    <row r="156" spans="1:13" s="68" customFormat="1" ht="15" thickTop="1" x14ac:dyDescent="0.2">
      <c r="A156" s="101"/>
      <c r="B156" s="101"/>
      <c r="C156" s="101"/>
      <c r="D156" s="101"/>
      <c r="E156" s="101"/>
      <c r="F156" s="574"/>
      <c r="G156" s="575"/>
      <c r="H156" s="122"/>
      <c r="I156" s="122"/>
    </row>
    <row r="157" spans="1:13" s="68" customFormat="1" ht="15" thickBot="1" x14ac:dyDescent="0.25">
      <c r="A157" s="576" t="s">
        <v>754</v>
      </c>
      <c r="B157" s="99"/>
      <c r="C157" s="99"/>
      <c r="D157" s="99"/>
      <c r="E157" s="99"/>
      <c r="F157" s="120"/>
      <c r="G157" s="121"/>
      <c r="H157" s="122"/>
      <c r="I157" s="122"/>
    </row>
    <row r="158" spans="1:13" s="68" customFormat="1" ht="15.75" thickTop="1" thickBot="1" x14ac:dyDescent="0.25">
      <c r="A158" s="567">
        <v>4</v>
      </c>
      <c r="B158" s="1672" t="s">
        <v>753</v>
      </c>
      <c r="C158" s="1673"/>
      <c r="D158" s="1673"/>
      <c r="E158" s="1673"/>
      <c r="F158" s="1674"/>
      <c r="G158" s="567" t="s">
        <v>121</v>
      </c>
      <c r="H158" s="122"/>
      <c r="I158" s="122"/>
    </row>
    <row r="159" spans="1:13" s="68" customFormat="1" ht="15.75" thickTop="1" thickBot="1" x14ac:dyDescent="0.25">
      <c r="A159" s="112" t="s">
        <v>48</v>
      </c>
      <c r="B159" s="105" t="str">
        <f>B139</f>
        <v>Substituto nas Ausências Legais</v>
      </c>
      <c r="C159" s="131"/>
      <c r="D159" s="131"/>
      <c r="E159" s="131"/>
      <c r="F159" s="288"/>
      <c r="G159" s="123">
        <f>G146</f>
        <v>29.71</v>
      </c>
      <c r="H159" s="122"/>
      <c r="I159" s="122"/>
    </row>
    <row r="160" spans="1:13" s="68" customFormat="1" ht="15.75" thickTop="1" thickBot="1" x14ac:dyDescent="0.25">
      <c r="A160" s="112" t="s">
        <v>53</v>
      </c>
      <c r="B160" s="105" t="str">
        <f>B151</f>
        <v>Substituo na Intrajornada</v>
      </c>
      <c r="C160" s="131"/>
      <c r="D160" s="131"/>
      <c r="E160" s="131"/>
      <c r="F160" s="288"/>
      <c r="G160" s="123">
        <f>G153</f>
        <v>0</v>
      </c>
      <c r="H160" s="122"/>
      <c r="I160" s="122"/>
    </row>
    <row r="161" spans="1:9" s="68" customFormat="1" ht="15.75" thickTop="1" thickBot="1" x14ac:dyDescent="0.25">
      <c r="A161" s="1644" t="s">
        <v>232</v>
      </c>
      <c r="B161" s="1645"/>
      <c r="C161" s="1645"/>
      <c r="D161" s="1645"/>
      <c r="E161" s="1645"/>
      <c r="F161" s="1646"/>
      <c r="G161" s="133">
        <f>SUM(G159:G160)</f>
        <v>29.71</v>
      </c>
      <c r="H161" s="122"/>
      <c r="I161" s="122"/>
    </row>
    <row r="162" spans="1:9" s="68" customFormat="1" ht="15" thickTop="1" x14ac:dyDescent="0.2">
      <c r="A162" s="101"/>
      <c r="B162" s="101"/>
      <c r="C162" s="101"/>
      <c r="D162" s="101"/>
      <c r="E162" s="101"/>
      <c r="F162" s="574"/>
      <c r="G162" s="575"/>
      <c r="H162" s="122"/>
      <c r="I162" s="122"/>
    </row>
    <row r="163" spans="1:9" ht="15" thickBot="1" x14ac:dyDescent="0.25">
      <c r="A163" s="1629" t="s">
        <v>756</v>
      </c>
      <c r="B163" s="1629"/>
      <c r="C163" s="1629"/>
      <c r="D163" s="1629"/>
      <c r="E163" s="1629"/>
      <c r="F163" s="1629"/>
      <c r="G163" s="1629"/>
      <c r="H163" s="111"/>
      <c r="I163" s="111"/>
    </row>
    <row r="164" spans="1:9" ht="15.75" thickTop="1" thickBot="1" x14ac:dyDescent="0.25">
      <c r="A164" s="567">
        <v>5</v>
      </c>
      <c r="B164" s="1672" t="s">
        <v>93</v>
      </c>
      <c r="C164" s="1673"/>
      <c r="D164" s="1673"/>
      <c r="E164" s="1673"/>
      <c r="F164" s="1674"/>
      <c r="G164" s="567" t="s">
        <v>121</v>
      </c>
      <c r="H164" s="111"/>
      <c r="I164" s="111"/>
    </row>
    <row r="165" spans="1:9" ht="15.75" thickTop="1" thickBot="1" x14ac:dyDescent="0.25">
      <c r="A165" s="112" t="s">
        <v>1</v>
      </c>
      <c r="B165" s="130" t="str">
        <f>Dados!A63</f>
        <v>Uniformes</v>
      </c>
      <c r="C165" s="131"/>
      <c r="D165" s="131"/>
      <c r="E165" s="131"/>
      <c r="F165" s="769">
        <f>Dados!J63</f>
        <v>12.43</v>
      </c>
      <c r="G165" s="123">
        <f>F165*$F$14</f>
        <v>12.43</v>
      </c>
      <c r="H165" s="111"/>
      <c r="I165" s="111"/>
    </row>
    <row r="166" spans="1:9" ht="15.75" thickTop="1" thickBot="1" x14ac:dyDescent="0.25">
      <c r="A166" s="112" t="s">
        <v>2</v>
      </c>
      <c r="B166" s="130" t="str">
        <f>Dados!A71</f>
        <v>Materiais</v>
      </c>
      <c r="C166" s="131"/>
      <c r="D166" s="131"/>
      <c r="E166" s="131"/>
      <c r="F166" s="769"/>
      <c r="G166" s="123">
        <f t="shared" ref="G166:G167" si="8">F166*$F$14</f>
        <v>0</v>
      </c>
      <c r="H166" s="111"/>
      <c r="I166" s="111"/>
    </row>
    <row r="167" spans="1:9" ht="15.75" thickTop="1" thickBot="1" x14ac:dyDescent="0.25">
      <c r="A167" s="112" t="s">
        <v>4</v>
      </c>
      <c r="B167" s="767" t="str">
        <f>Dados!A73</f>
        <v xml:space="preserve">Equipamentos </v>
      </c>
      <c r="C167" s="131"/>
      <c r="D167" s="131"/>
      <c r="E167" s="131"/>
      <c r="F167" s="769"/>
      <c r="G167" s="123">
        <f t="shared" si="8"/>
        <v>0</v>
      </c>
      <c r="H167" s="111"/>
      <c r="I167" s="111"/>
    </row>
    <row r="168" spans="1:9" ht="15.75" thickTop="1" thickBot="1" x14ac:dyDescent="0.25">
      <c r="A168" s="112" t="s">
        <v>5</v>
      </c>
      <c r="B168" s="767" t="str">
        <f>Dados!A74</f>
        <v>Depreciação e manutenção dos equipamentos</v>
      </c>
      <c r="C168" s="131"/>
      <c r="D168" s="131"/>
      <c r="E168" s="131"/>
      <c r="F168" s="770">
        <f>Dados!I74</f>
        <v>0</v>
      </c>
      <c r="G168" s="123">
        <f>G167*F168</f>
        <v>0</v>
      </c>
      <c r="H168" s="111"/>
      <c r="I168" s="111"/>
    </row>
    <row r="169" spans="1:9" ht="15.75" thickTop="1" thickBot="1" x14ac:dyDescent="0.25">
      <c r="A169" s="112" t="s">
        <v>6</v>
      </c>
      <c r="B169" s="125" t="s">
        <v>57</v>
      </c>
      <c r="C169" s="132"/>
      <c r="D169" s="132"/>
      <c r="E169" s="285"/>
      <c r="F169" s="288"/>
      <c r="G169" s="124"/>
      <c r="H169" s="111"/>
      <c r="I169" s="111"/>
    </row>
    <row r="170" spans="1:9" ht="15.75" thickTop="1" thickBot="1" x14ac:dyDescent="0.25">
      <c r="A170" s="118"/>
      <c r="B170" s="1644" t="s">
        <v>232</v>
      </c>
      <c r="C170" s="1645"/>
      <c r="D170" s="1645"/>
      <c r="E170" s="1645"/>
      <c r="F170" s="1646"/>
      <c r="G170" s="133">
        <f>SUM(G165:G169)</f>
        <v>12.43</v>
      </c>
      <c r="H170" s="111"/>
      <c r="I170" s="111"/>
    </row>
    <row r="171" spans="1:9" s="68" customFormat="1" ht="15" hidden="1" thickTop="1" x14ac:dyDescent="0.2">
      <c r="A171" s="101" t="s">
        <v>757</v>
      </c>
      <c r="B171" s="99"/>
      <c r="C171" s="99"/>
      <c r="D171" s="99"/>
      <c r="E171" s="99"/>
      <c r="F171" s="120"/>
      <c r="G171" s="121"/>
      <c r="H171" s="122"/>
      <c r="I171" s="122"/>
    </row>
    <row r="172" spans="1:9" s="68" customFormat="1" ht="15" thickTop="1" x14ac:dyDescent="0.2">
      <c r="A172" s="98"/>
      <c r="B172" s="99"/>
      <c r="C172" s="99"/>
      <c r="D172" s="99"/>
      <c r="E172" s="99"/>
      <c r="F172" s="120"/>
      <c r="G172" s="121"/>
      <c r="H172" s="122"/>
      <c r="I172" s="122"/>
    </row>
    <row r="173" spans="1:9" ht="15" thickBot="1" x14ac:dyDescent="0.25">
      <c r="A173" s="1629" t="s">
        <v>760</v>
      </c>
      <c r="B173" s="1629"/>
      <c r="C173" s="1629"/>
      <c r="D173" s="1629"/>
      <c r="E173" s="1629"/>
      <c r="F173" s="1629"/>
      <c r="G173" s="1629"/>
      <c r="H173" s="111"/>
    </row>
    <row r="174" spans="1:9" ht="15.75" thickTop="1" thickBot="1" x14ac:dyDescent="0.25">
      <c r="A174" s="561">
        <v>6</v>
      </c>
      <c r="B174" s="1657" t="s">
        <v>27</v>
      </c>
      <c r="C174" s="1657"/>
      <c r="D174" s="1657"/>
      <c r="E174" s="1657"/>
      <c r="F174" s="561" t="s">
        <v>746</v>
      </c>
      <c r="G174" s="567" t="s">
        <v>121</v>
      </c>
      <c r="H174" s="111"/>
      <c r="I174" s="111"/>
    </row>
    <row r="175" spans="1:9" ht="14.25" customHeight="1" thickTop="1" thickBot="1" x14ac:dyDescent="0.25">
      <c r="A175" s="563" t="s">
        <v>1</v>
      </c>
      <c r="B175" s="141" t="s">
        <v>28</v>
      </c>
      <c r="C175" s="137"/>
      <c r="D175" s="137"/>
      <c r="E175" s="126"/>
      <c r="F175" s="138">
        <f>Dados!I77</f>
        <v>0.01</v>
      </c>
      <c r="G175" s="142">
        <f>$G$196*F175</f>
        <v>71.3</v>
      </c>
      <c r="H175" s="111"/>
      <c r="I175" s="111"/>
    </row>
    <row r="176" spans="1:9" ht="14.25" customHeight="1" thickTop="1" thickBot="1" x14ac:dyDescent="0.25">
      <c r="A176" s="563" t="s">
        <v>2</v>
      </c>
      <c r="B176" s="141" t="s">
        <v>20</v>
      </c>
      <c r="C176" s="137"/>
      <c r="D176" s="137"/>
      <c r="E176" s="126"/>
      <c r="F176" s="138">
        <f>Dados!I78</f>
        <v>0.01</v>
      </c>
      <c r="G176" s="142">
        <f>($G$196+$G$175)*F176</f>
        <v>72.010000000000005</v>
      </c>
      <c r="H176" s="111"/>
      <c r="I176" s="111"/>
    </row>
    <row r="177" spans="1:9" ht="14.25" customHeight="1" thickTop="1" thickBot="1" x14ac:dyDescent="0.25">
      <c r="A177" s="1675" t="s">
        <v>4</v>
      </c>
      <c r="B177" s="141" t="s">
        <v>24</v>
      </c>
      <c r="C177" s="296"/>
      <c r="D177" s="137"/>
      <c r="E177" s="920"/>
      <c r="F177" s="921"/>
      <c r="G177" s="939">
        <f>SUM(G175:G176)</f>
        <v>143.31</v>
      </c>
      <c r="H177" s="111"/>
      <c r="I177" s="111"/>
    </row>
    <row r="178" spans="1:9" ht="14.25" customHeight="1" thickTop="1" thickBot="1" x14ac:dyDescent="0.25">
      <c r="A178" s="1676"/>
      <c r="B178" s="136" t="s">
        <v>103</v>
      </c>
      <c r="C178" s="285"/>
      <c r="D178" s="137"/>
      <c r="E178" s="920"/>
      <c r="F178" s="921"/>
      <c r="G178" s="919"/>
      <c r="H178" s="111"/>
      <c r="I178" s="111"/>
    </row>
    <row r="179" spans="1:9" ht="14.25" customHeight="1" thickTop="1" thickBot="1" x14ac:dyDescent="0.25">
      <c r="A179" s="1676"/>
      <c r="B179" s="136" t="s">
        <v>21</v>
      </c>
      <c r="C179" s="285"/>
      <c r="D179" s="137"/>
      <c r="F179" s="295">
        <f>Dados!F88</f>
        <v>1.17E-2</v>
      </c>
      <c r="G179" s="143">
        <f>(($G$196+$G$175+$G$176)/Dados!$H$88)*F179</f>
        <v>96.18</v>
      </c>
      <c r="H179" s="111"/>
      <c r="I179" s="111"/>
    </row>
    <row r="180" spans="1:9" ht="14.25" customHeight="1" thickTop="1" thickBot="1" x14ac:dyDescent="0.25">
      <c r="A180" s="1676"/>
      <c r="B180" s="136" t="s">
        <v>22</v>
      </c>
      <c r="C180" s="285"/>
      <c r="D180" s="137"/>
      <c r="E180" s="126"/>
      <c r="F180" s="295">
        <f>Dados!E88</f>
        <v>5.3499999999999999E-2</v>
      </c>
      <c r="G180" s="143">
        <f>(($G$196+$G$175+$G$176)/Dados!$H$88)*F180</f>
        <v>439.8</v>
      </c>
      <c r="H180" s="111"/>
      <c r="I180" s="111"/>
    </row>
    <row r="181" spans="1:9" ht="14.25" customHeight="1" thickTop="1" thickBot="1" x14ac:dyDescent="0.25">
      <c r="A181" s="1676"/>
      <c r="B181" s="136" t="s">
        <v>104</v>
      </c>
      <c r="C181" s="285"/>
      <c r="D181" s="137"/>
      <c r="E181" s="126"/>
      <c r="F181" s="138"/>
      <c r="G181" s="142"/>
      <c r="H181" s="111"/>
      <c r="I181" s="111"/>
    </row>
    <row r="182" spans="1:9" ht="14.25" customHeight="1" thickTop="1" thickBot="1" x14ac:dyDescent="0.25">
      <c r="A182" s="1676"/>
      <c r="B182" s="136" t="s">
        <v>29</v>
      </c>
      <c r="C182" s="285"/>
      <c r="D182" s="137"/>
      <c r="E182" s="126"/>
      <c r="F182" s="138"/>
      <c r="G182" s="143"/>
      <c r="H182" s="111"/>
      <c r="I182" s="111"/>
    </row>
    <row r="183" spans="1:9" ht="14.25" customHeight="1" thickTop="1" thickBot="1" x14ac:dyDescent="0.25">
      <c r="A183" s="1676"/>
      <c r="B183" s="136" t="s">
        <v>105</v>
      </c>
      <c r="C183" s="285"/>
      <c r="D183" s="137"/>
      <c r="E183" s="126"/>
      <c r="F183" s="138"/>
      <c r="G183" s="142"/>
      <c r="H183" s="111"/>
      <c r="I183" s="111"/>
    </row>
    <row r="184" spans="1:9" ht="14.25" customHeight="1" thickTop="1" thickBot="1" x14ac:dyDescent="0.25">
      <c r="A184" s="1677"/>
      <c r="B184" s="136" t="s">
        <v>23</v>
      </c>
      <c r="C184" s="285"/>
      <c r="D184" s="137"/>
      <c r="E184" s="126"/>
      <c r="F184" s="295">
        <f>Dados!C88</f>
        <v>0.05</v>
      </c>
      <c r="G184" s="143">
        <f>(($G$196+$G$175+$G$176)/Dados!$H$88)*F184</f>
        <v>411.03</v>
      </c>
      <c r="H184" s="111"/>
      <c r="I184" s="111"/>
    </row>
    <row r="185" spans="1:9" ht="18" customHeight="1" thickTop="1" thickBot="1" x14ac:dyDescent="0.25">
      <c r="A185" s="1644" t="s">
        <v>232</v>
      </c>
      <c r="B185" s="1645"/>
      <c r="C185" s="1645"/>
      <c r="D185" s="1645"/>
      <c r="E185" s="1646"/>
      <c r="F185" s="139">
        <f>SUM(F175:F184)</f>
        <v>0.13519999999999999</v>
      </c>
      <c r="G185" s="144">
        <f>G175+G179+G180+G184+G176</f>
        <v>1090.32</v>
      </c>
      <c r="H185" s="111"/>
      <c r="I185" s="111"/>
    </row>
    <row r="186" spans="1:9" ht="15" hidden="1" thickTop="1" x14ac:dyDescent="0.2">
      <c r="A186" s="572" t="s">
        <v>759</v>
      </c>
      <c r="B186" s="145"/>
      <c r="C186" s="145"/>
      <c r="D186" s="145"/>
      <c r="E186" s="145"/>
      <c r="F186" s="145"/>
      <c r="G186" s="146"/>
      <c r="H186" s="111"/>
      <c r="I186" s="111"/>
    </row>
    <row r="187" spans="1:9" hidden="1" x14ac:dyDescent="0.2">
      <c r="A187" s="572" t="s">
        <v>758</v>
      </c>
      <c r="B187" s="145"/>
      <c r="C187" s="145"/>
      <c r="D187" s="145"/>
      <c r="E187" s="145"/>
      <c r="F187" s="145"/>
      <c r="G187" s="146"/>
      <c r="H187" s="111"/>
      <c r="I187" s="111"/>
    </row>
    <row r="188" spans="1:9" ht="15" thickTop="1" x14ac:dyDescent="0.2">
      <c r="A188" s="572"/>
      <c r="B188" s="145"/>
      <c r="C188" s="145"/>
      <c r="D188" s="145"/>
      <c r="E188" s="145"/>
      <c r="F188" s="145"/>
      <c r="G188" s="146"/>
      <c r="H188" s="111"/>
      <c r="I188" s="111"/>
    </row>
    <row r="189" spans="1:9" ht="15" thickBot="1" x14ac:dyDescent="0.25">
      <c r="A189" s="562" t="s">
        <v>761</v>
      </c>
      <c r="B189" s="145"/>
      <c r="C189" s="145"/>
      <c r="D189" s="145"/>
      <c r="E189" s="145"/>
      <c r="F189" s="145"/>
      <c r="G189" s="146"/>
      <c r="H189" s="111"/>
      <c r="I189" s="111"/>
    </row>
    <row r="190" spans="1:9" ht="16.5" customHeight="1" thickTop="1" thickBot="1" x14ac:dyDescent="0.25">
      <c r="A190" s="1658" t="s">
        <v>718</v>
      </c>
      <c r="B190" s="1658"/>
      <c r="C190" s="1658"/>
      <c r="D190" s="1658"/>
      <c r="E190" s="1658"/>
      <c r="F190" s="1658"/>
      <c r="G190" s="567" t="s">
        <v>121</v>
      </c>
      <c r="H190" s="111"/>
    </row>
    <row r="191" spans="1:9" ht="14.25" customHeight="1" thickTop="1" thickBot="1" x14ac:dyDescent="0.25">
      <c r="A191" s="563" t="s">
        <v>1</v>
      </c>
      <c r="B191" s="105" t="str">
        <f>A45</f>
        <v>Módulo 1 - Composição da Remuneração</v>
      </c>
      <c r="C191" s="113"/>
      <c r="D191" s="566"/>
      <c r="E191" s="566"/>
      <c r="F191" s="147"/>
      <c r="G191" s="124">
        <f>G53</f>
        <v>3714.11</v>
      </c>
      <c r="H191" s="111"/>
    </row>
    <row r="192" spans="1:9" ht="14.25" customHeight="1" thickTop="1" thickBot="1" x14ac:dyDescent="0.25">
      <c r="A192" s="563" t="s">
        <v>2</v>
      </c>
      <c r="B192" s="105" t="str">
        <f>A58</f>
        <v>Módulo 2 - Encargos e Benefícios Anuais, Mensais e Diários</v>
      </c>
      <c r="C192" s="113"/>
      <c r="D192" s="566"/>
      <c r="E192" s="566"/>
      <c r="F192" s="147"/>
      <c r="G192" s="124">
        <f>G121</f>
        <v>3136.61</v>
      </c>
      <c r="H192" s="111"/>
    </row>
    <row r="193" spans="1:8" ht="14.25" customHeight="1" thickTop="1" thickBot="1" x14ac:dyDescent="0.25">
      <c r="A193" s="563" t="s">
        <v>4</v>
      </c>
      <c r="B193" s="105" t="str">
        <f>A123</f>
        <v>Módulo 3 - Provisão para Rescisão</v>
      </c>
      <c r="C193" s="113"/>
      <c r="D193" s="566"/>
      <c r="E193" s="566"/>
      <c r="F193" s="147"/>
      <c r="G193" s="124">
        <f>G132</f>
        <v>237.33</v>
      </c>
      <c r="H193" s="111"/>
    </row>
    <row r="194" spans="1:8" ht="14.25" customHeight="1" thickTop="1" thickBot="1" x14ac:dyDescent="0.25">
      <c r="A194" s="563" t="s">
        <v>5</v>
      </c>
      <c r="B194" s="105" t="str">
        <f>A134</f>
        <v>Módulo 4 - Custo de Reposição do Profissional</v>
      </c>
      <c r="C194" s="113"/>
      <c r="D194" s="566"/>
      <c r="E194" s="566"/>
      <c r="F194" s="147"/>
      <c r="G194" s="124">
        <f>G161</f>
        <v>29.71</v>
      </c>
      <c r="H194" s="111"/>
    </row>
    <row r="195" spans="1:8" ht="15.75" hidden="1" thickTop="1" thickBot="1" x14ac:dyDescent="0.25">
      <c r="A195" s="583" t="s">
        <v>6</v>
      </c>
      <c r="B195" s="105" t="str">
        <f>A163</f>
        <v>Módulo 5 - Insumos Diversos</v>
      </c>
      <c r="C195" s="579"/>
      <c r="D195" s="579"/>
      <c r="E195" s="579"/>
      <c r="F195" s="580"/>
      <c r="G195" s="584">
        <f>G170</f>
        <v>12.43</v>
      </c>
    </row>
    <row r="196" spans="1:8" ht="15.75" thickTop="1" thickBot="1" x14ac:dyDescent="0.25">
      <c r="A196" s="1644" t="s">
        <v>762</v>
      </c>
      <c r="B196" s="1645"/>
      <c r="C196" s="1645"/>
      <c r="D196" s="1645"/>
      <c r="E196" s="1645"/>
      <c r="F196" s="1646"/>
      <c r="G196" s="133">
        <f>SUM(G191:G195)</f>
        <v>7130.19</v>
      </c>
    </row>
    <row r="197" spans="1:8" ht="14.25" customHeight="1" thickTop="1" thickBot="1" x14ac:dyDescent="0.25">
      <c r="A197" s="563" t="s">
        <v>7</v>
      </c>
      <c r="B197" s="105" t="str">
        <f>A173</f>
        <v>Módulo 6 - Custos Indiretos, Tributos e Lucro</v>
      </c>
      <c r="C197" s="113"/>
      <c r="D197" s="566"/>
      <c r="E197" s="566"/>
      <c r="F197" s="147"/>
      <c r="G197" s="124">
        <f>G185</f>
        <v>1090.32</v>
      </c>
    </row>
    <row r="198" spans="1:8" ht="15.75" customHeight="1" thickTop="1" thickBot="1" x14ac:dyDescent="0.25">
      <c r="A198" s="1644" t="s">
        <v>687</v>
      </c>
      <c r="B198" s="1645"/>
      <c r="C198" s="1645"/>
      <c r="D198" s="1645"/>
      <c r="E198" s="1645"/>
      <c r="F198" s="1646"/>
      <c r="G198" s="133">
        <f>SUM(G196:G197)</f>
        <v>8220.51</v>
      </c>
    </row>
    <row r="199" spans="1:8" ht="15.75" thickTop="1" thickBot="1" x14ac:dyDescent="0.25">
      <c r="A199" s="1644" t="s">
        <v>1445</v>
      </c>
      <c r="B199" s="1645"/>
      <c r="C199" s="1645"/>
      <c r="D199" s="1645"/>
      <c r="E199" s="1645"/>
      <c r="F199" s="1646"/>
      <c r="G199" s="133">
        <f>Dados!J51+Dados!J55</f>
        <v>170.7</v>
      </c>
    </row>
    <row r="200" spans="1:8" ht="15.75" thickTop="1" thickBot="1" x14ac:dyDescent="0.25">
      <c r="A200" s="1644" t="s">
        <v>687</v>
      </c>
      <c r="B200" s="1645"/>
      <c r="C200" s="1645"/>
      <c r="D200" s="1645"/>
      <c r="E200" s="1645"/>
      <c r="F200" s="1646"/>
      <c r="G200" s="133">
        <f>G198+G199</f>
        <v>8391.2099999999991</v>
      </c>
    </row>
    <row r="201" spans="1:8" ht="15" thickTop="1" x14ac:dyDescent="0.2"/>
    <row r="202" spans="1:8" ht="15" hidden="1" thickBot="1" x14ac:dyDescent="0.25">
      <c r="A202" s="562" t="s">
        <v>763</v>
      </c>
    </row>
    <row r="203" spans="1:8" ht="46.5" hidden="1" customHeight="1" thickTop="1" x14ac:dyDescent="0.2">
      <c r="A203" s="1650" t="s">
        <v>167</v>
      </c>
      <c r="B203" s="1651"/>
      <c r="C203" s="281" t="s">
        <v>765</v>
      </c>
      <c r="D203" s="281" t="s">
        <v>764</v>
      </c>
      <c r="E203" s="281" t="s">
        <v>766</v>
      </c>
      <c r="F203" s="282" t="s">
        <v>767</v>
      </c>
      <c r="G203" s="282" t="s">
        <v>768</v>
      </c>
    </row>
    <row r="204" spans="1:8" ht="18" hidden="1" customHeight="1" thickBot="1" x14ac:dyDescent="0.25">
      <c r="A204" s="1659" t="s">
        <v>168</v>
      </c>
      <c r="B204" s="1660"/>
      <c r="C204" s="586" t="s">
        <v>169</v>
      </c>
      <c r="D204" s="586" t="s">
        <v>170</v>
      </c>
      <c r="E204" s="586" t="s">
        <v>171</v>
      </c>
      <c r="F204" s="587" t="s">
        <v>172</v>
      </c>
      <c r="G204" s="587" t="s">
        <v>173</v>
      </c>
    </row>
    <row r="205" spans="1:8" ht="39" hidden="1" customHeight="1" thickTop="1" thickBot="1" x14ac:dyDescent="0.25">
      <c r="A205" s="583" t="s">
        <v>160</v>
      </c>
      <c r="B205" s="568" t="str">
        <f>F40</f>
        <v>Encarregado de segunda a sexta-feira - 44 horas semanais</v>
      </c>
      <c r="C205" s="274">
        <f>G198</f>
        <v>8220.51</v>
      </c>
      <c r="D205" s="275">
        <f>F26</f>
        <v>1</v>
      </c>
      <c r="E205" s="276">
        <f>C205*D205</f>
        <v>8220.51</v>
      </c>
      <c r="F205" s="277">
        <f>E26</f>
        <v>2</v>
      </c>
      <c r="G205" s="278">
        <f>E205*F205</f>
        <v>16441.02</v>
      </c>
    </row>
    <row r="206" spans="1:8" ht="15.75" hidden="1" thickTop="1" thickBot="1" x14ac:dyDescent="0.25">
      <c r="A206" s="1644" t="s">
        <v>769</v>
      </c>
      <c r="B206" s="1645"/>
      <c r="C206" s="1645"/>
      <c r="D206" s="1645"/>
      <c r="E206" s="1645"/>
      <c r="F206" s="1646"/>
      <c r="G206" s="133">
        <f>SUM(G205)</f>
        <v>16441.02</v>
      </c>
    </row>
    <row r="207" spans="1:8" ht="15" hidden="1" thickTop="1" x14ac:dyDescent="0.2">
      <c r="A207" s="247"/>
      <c r="B207" s="247"/>
      <c r="C207" s="247"/>
      <c r="D207" s="247"/>
      <c r="E207" s="247"/>
      <c r="F207" s="247"/>
      <c r="G207" s="247"/>
    </row>
    <row r="208" spans="1:8" ht="15" hidden="1" thickBot="1" x14ac:dyDescent="0.25">
      <c r="A208" s="562" t="s">
        <v>770</v>
      </c>
      <c r="B208" s="247"/>
      <c r="C208" s="247"/>
      <c r="D208" s="247"/>
      <c r="E208" s="247"/>
      <c r="F208" s="247"/>
      <c r="G208" s="247"/>
    </row>
    <row r="209" spans="1:7" ht="15" hidden="1" customHeight="1" thickTop="1" thickBot="1" x14ac:dyDescent="0.25">
      <c r="A209" s="564"/>
      <c r="B209" s="1656" t="s">
        <v>771</v>
      </c>
      <c r="C209" s="1656"/>
      <c r="D209" s="1656"/>
      <c r="E209" s="1656"/>
      <c r="F209" s="1656"/>
      <c r="G209" s="1656"/>
    </row>
    <row r="210" spans="1:7" ht="15.75" hidden="1" thickTop="1" thickBot="1" x14ac:dyDescent="0.25">
      <c r="A210" s="283"/>
      <c r="B210" s="1647" t="s">
        <v>772</v>
      </c>
      <c r="C210" s="1648"/>
      <c r="D210" s="1648"/>
      <c r="E210" s="1648"/>
      <c r="F210" s="1649"/>
      <c r="G210" s="283" t="s">
        <v>773</v>
      </c>
    </row>
    <row r="211" spans="1:7" ht="15.75" hidden="1" thickTop="1" thickBot="1" x14ac:dyDescent="0.25">
      <c r="A211" s="279" t="s">
        <v>1</v>
      </c>
      <c r="B211" s="287" t="s">
        <v>174</v>
      </c>
      <c r="C211" s="286"/>
      <c r="D211" s="284"/>
      <c r="E211" s="284"/>
      <c r="F211" s="284"/>
      <c r="G211" s="280">
        <f>G198</f>
        <v>8220.51</v>
      </c>
    </row>
    <row r="212" spans="1:7" ht="15.75" hidden="1" thickTop="1" thickBot="1" x14ac:dyDescent="0.25">
      <c r="A212" s="279" t="s">
        <v>2</v>
      </c>
      <c r="B212" s="287" t="s">
        <v>175</v>
      </c>
      <c r="C212" s="286"/>
      <c r="D212" s="284"/>
      <c r="E212" s="284"/>
      <c r="F212" s="284"/>
      <c r="G212" s="280">
        <f>G205</f>
        <v>16441.02</v>
      </c>
    </row>
    <row r="213" spans="1:7" ht="15.75" hidden="1" customHeight="1" thickTop="1" thickBot="1" x14ac:dyDescent="0.25">
      <c r="A213" s="279" t="s">
        <v>4</v>
      </c>
      <c r="B213" s="287" t="s">
        <v>914</v>
      </c>
      <c r="C213" s="286"/>
      <c r="D213" s="284"/>
      <c r="E213" s="284"/>
      <c r="F213" s="284"/>
      <c r="G213" s="280">
        <f>G212*$F$22</f>
        <v>197292.24</v>
      </c>
    </row>
    <row r="214" spans="1:7" ht="15" hidden="1" thickTop="1" x14ac:dyDescent="0.2">
      <c r="A214" s="68" t="s">
        <v>774</v>
      </c>
    </row>
    <row r="216" spans="1:7" hidden="1" x14ac:dyDescent="0.2"/>
    <row r="217" spans="1:7" hidden="1" x14ac:dyDescent="0.2">
      <c r="A217" s="562" t="s">
        <v>775</v>
      </c>
    </row>
    <row r="218" spans="1:7" ht="15" hidden="1" thickBot="1" x14ac:dyDescent="0.25">
      <c r="A218" s="145"/>
      <c r="B218" s="585"/>
      <c r="C218" s="585"/>
      <c r="D218" s="585"/>
      <c r="E218" s="585"/>
      <c r="F218" s="585"/>
      <c r="G218" s="585"/>
    </row>
    <row r="219" spans="1:7" ht="15" hidden="1" customHeight="1" thickTop="1" x14ac:dyDescent="0.2">
      <c r="A219" s="1650" t="s">
        <v>776</v>
      </c>
      <c r="B219" s="1661"/>
      <c r="C219" s="1661"/>
      <c r="D219" s="1651"/>
      <c r="E219" s="1668" t="s">
        <v>778</v>
      </c>
      <c r="F219" s="1641" t="s">
        <v>779</v>
      </c>
      <c r="G219" s="1641" t="s">
        <v>54</v>
      </c>
    </row>
    <row r="220" spans="1:7" ht="15" hidden="1" thickBot="1" x14ac:dyDescent="0.25">
      <c r="A220" s="1662"/>
      <c r="B220" s="1663"/>
      <c r="C220" s="1663"/>
      <c r="D220" s="1664"/>
      <c r="E220" s="1669"/>
      <c r="F220" s="1642"/>
      <c r="G220" s="1642"/>
    </row>
    <row r="221" spans="1:7" ht="36" hidden="1" customHeight="1" thickTop="1" thickBot="1" x14ac:dyDescent="0.25">
      <c r="A221" s="588" t="str">
        <f>A205</f>
        <v>I</v>
      </c>
      <c r="B221" s="1665" t="str">
        <f>B205</f>
        <v>Encarregado de segunda a sexta-feira - 44 horas semanais</v>
      </c>
      <c r="C221" s="1666"/>
      <c r="D221" s="1667"/>
      <c r="E221" s="276">
        <f>E205</f>
        <v>8220.51</v>
      </c>
      <c r="F221" s="277">
        <f>F205</f>
        <v>2</v>
      </c>
      <c r="G221" s="278">
        <f>E221*F221</f>
        <v>16441.02</v>
      </c>
    </row>
    <row r="222" spans="1:7" ht="15.75" hidden="1" customHeight="1" thickTop="1" thickBot="1" x14ac:dyDescent="0.25">
      <c r="A222" s="1644" t="s">
        <v>47</v>
      </c>
      <c r="B222" s="1645"/>
      <c r="C222" s="1645"/>
      <c r="D222" s="1645"/>
      <c r="E222" s="1645"/>
      <c r="F222" s="1646"/>
      <c r="G222" s="133">
        <f>SUM(G221)</f>
        <v>16441.02</v>
      </c>
    </row>
    <row r="223" spans="1:7" ht="15" hidden="1" thickTop="1" x14ac:dyDescent="0.2">
      <c r="A223" s="68" t="s">
        <v>777</v>
      </c>
    </row>
  </sheetData>
  <mergeCells count="97">
    <mergeCell ref="A76:F76"/>
    <mergeCell ref="B46:E46"/>
    <mergeCell ref="A10:G10"/>
    <mergeCell ref="A154:G155"/>
    <mergeCell ref="B158:F158"/>
    <mergeCell ref="F19:G19"/>
    <mergeCell ref="B37:E37"/>
    <mergeCell ref="A88:E88"/>
    <mergeCell ref="A14:B14"/>
    <mergeCell ref="A64:E64"/>
    <mergeCell ref="A55:G56"/>
    <mergeCell ref="B40:E40"/>
    <mergeCell ref="F40:G40"/>
    <mergeCell ref="A53:F53"/>
    <mergeCell ref="F41:G41"/>
    <mergeCell ref="B41:E41"/>
    <mergeCell ref="B152:F152"/>
    <mergeCell ref="A153:F153"/>
    <mergeCell ref="A96:A97"/>
    <mergeCell ref="A90:G90"/>
    <mergeCell ref="A113:G114"/>
    <mergeCell ref="A111:F111"/>
    <mergeCell ref="B117:F117"/>
    <mergeCell ref="A121:F121"/>
    <mergeCell ref="B151:F151"/>
    <mergeCell ref="B139:E139"/>
    <mergeCell ref="A98:A99"/>
    <mergeCell ref="A147:G148"/>
    <mergeCell ref="B124:E124"/>
    <mergeCell ref="B95:E95"/>
    <mergeCell ref="A163:G163"/>
    <mergeCell ref="A173:G173"/>
    <mergeCell ref="C13:D13"/>
    <mergeCell ref="B164:F164"/>
    <mergeCell ref="A177:A184"/>
    <mergeCell ref="A101:A103"/>
    <mergeCell ref="F22:G22"/>
    <mergeCell ref="A24:G24"/>
    <mergeCell ref="F20:G20"/>
    <mergeCell ref="A20:A21"/>
    <mergeCell ref="B170:F170"/>
    <mergeCell ref="A60:G60"/>
    <mergeCell ref="F37:G37"/>
    <mergeCell ref="B39:E39"/>
    <mergeCell ref="F39:G39"/>
    <mergeCell ref="A161:F161"/>
    <mergeCell ref="A222:F222"/>
    <mergeCell ref="A219:D220"/>
    <mergeCell ref="B221:D221"/>
    <mergeCell ref="E219:E220"/>
    <mergeCell ref="F219:F220"/>
    <mergeCell ref="A206:F206"/>
    <mergeCell ref="B209:G209"/>
    <mergeCell ref="A198:F198"/>
    <mergeCell ref="B174:E174"/>
    <mergeCell ref="A190:F190"/>
    <mergeCell ref="A204:B204"/>
    <mergeCell ref="A196:F196"/>
    <mergeCell ref="A199:F199"/>
    <mergeCell ref="A200:F200"/>
    <mergeCell ref="G219:G220"/>
    <mergeCell ref="A123:G123"/>
    <mergeCell ref="B61:E61"/>
    <mergeCell ref="B79:E79"/>
    <mergeCell ref="A65:G66"/>
    <mergeCell ref="A67:G68"/>
    <mergeCell ref="A89:G89"/>
    <mergeCell ref="A132:E132"/>
    <mergeCell ref="A146:E146"/>
    <mergeCell ref="A134:G134"/>
    <mergeCell ref="A185:E185"/>
    <mergeCell ref="A135:G136"/>
    <mergeCell ref="B210:F210"/>
    <mergeCell ref="A203:B203"/>
    <mergeCell ref="A73:F73"/>
    <mergeCell ref="B63:E63"/>
    <mergeCell ref="A5:G5"/>
    <mergeCell ref="A6:G6"/>
    <mergeCell ref="A26:B26"/>
    <mergeCell ref="A34:G34"/>
    <mergeCell ref="B38:E38"/>
    <mergeCell ref="F38:G38"/>
    <mergeCell ref="A27:G28"/>
    <mergeCell ref="A29:G30"/>
    <mergeCell ref="A25:B25"/>
    <mergeCell ref="A35:G35"/>
    <mergeCell ref="A36:G36"/>
    <mergeCell ref="A8:G8"/>
    <mergeCell ref="A17:G17"/>
    <mergeCell ref="F18:G18"/>
    <mergeCell ref="A9:G9"/>
    <mergeCell ref="A13:B13"/>
    <mergeCell ref="A69:G71"/>
    <mergeCell ref="C14:D14"/>
    <mergeCell ref="B20:E21"/>
    <mergeCell ref="F21:G21"/>
    <mergeCell ref="A58:G58"/>
  </mergeCells>
  <dataValidations xWindow="1045" yWindow="459" count="2">
    <dataValidation allowBlank="1" showInputMessage="1" showErrorMessage="1" errorTitle="Atenção" error="Não esquecer de buscar os valores e alterar na coluna F - das linhas 50 a 60, em caso de mais de um Sindicato." promptTitle="Benefícios" prompt="- Em caso de mais de um Sindicato em &quot;Dados&quot;, não esquecer de buscar os valores e alterar na coluna F - das linhas 50 a 60." sqref="F96:F110"/>
    <dataValidation allowBlank="1" showInputMessage="1" showErrorMessage="1" errorTitle="Atenção" error="Os dias só poderão ser alterados nos Dados." promptTitle="Jornada de Trabalho" prompt="- Alterando a carga horária, automaticamente será alterado os dias trabalhados._x000a_" sqref="C26"/>
  </dataValidations>
  <printOptions horizontalCentered="1"/>
  <pageMargins left="0.82677165354330717" right="0.55118110236220474" top="0.82677165354330717" bottom="0.43307086614173229" header="0.19685039370078741" footer="0.23622047244094491"/>
  <pageSetup paperSize="9" scale="61" fitToHeight="0" orientation="portrait" r:id="rId1"/>
  <headerFooter alignWithMargins="0"/>
  <rowBreaks count="1" manualBreakCount="1">
    <brk id="111" max="6" man="1"/>
  </rowBreaks>
  <ignoredErrors>
    <ignoredError sqref="D36:E36 D41:E41 D40:F40 G40 D39:E39 G39 A20 D24:E24 D35:E35 G13:G14 A18 D18:E19 A22 D22:E22 D23:G23 F36:G37 F24:G24 F35:G35 D37:E37 G51 G49 B37 B35 B24 A19:B19 B39 B40 B41 A36:B36 A23:B23 G96 E26:G26 D13 G22 G18 G19 F22 G20 F19 F18 F21:G21 F20 D14 G118:G120 G159:G160 G166:G169 G103:G110 G98:G101" unlockedFormula="1"/>
    <ignoredError sqref="F205" formula="1"/>
    <ignoredError sqref="G178 G181:G183" evalError="1"/>
  </ignoredErrors>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1">
    <tabColor theme="3" tint="0.59999389629810485"/>
    <pageSetUpPr fitToPage="1"/>
  </sheetPr>
  <dimension ref="A1:K37"/>
  <sheetViews>
    <sheetView view="pageBreakPreview" zoomScale="110" zoomScaleNormal="100" zoomScaleSheetLayoutView="110" workbookViewId="0">
      <selection activeCell="G15" sqref="G15:G18"/>
    </sheetView>
  </sheetViews>
  <sheetFormatPr defaultRowHeight="18" customHeight="1" x14ac:dyDescent="0.2"/>
  <cols>
    <col min="1" max="1" width="6" style="152" customWidth="1"/>
    <col min="2" max="2" width="27.85546875" style="166" customWidth="1"/>
    <col min="3" max="3" width="11" style="167" customWidth="1"/>
    <col min="4" max="4" width="8.5703125" style="167" customWidth="1"/>
    <col min="5" max="5" width="8.85546875" style="167" customWidth="1"/>
    <col min="6" max="6" width="11.5703125" style="167" customWidth="1"/>
    <col min="7" max="8" width="16" style="166" customWidth="1"/>
    <col min="9" max="9" width="16.42578125" style="152" customWidth="1"/>
    <col min="10" max="11" width="9.140625" style="152"/>
    <col min="12" max="12" width="12.5703125" style="152" bestFit="1" customWidth="1"/>
    <col min="13" max="13" width="9.7109375" style="152" bestFit="1" customWidth="1"/>
    <col min="14" max="16384" width="9.140625" style="152"/>
  </cols>
  <sheetData>
    <row r="1" spans="1:11" ht="14.25" x14ac:dyDescent="0.2"/>
    <row r="2" spans="1:11" ht="14.25" x14ac:dyDescent="0.2">
      <c r="A2" s="1694" t="str">
        <f>Dados!A5</f>
        <v>CONSELHO DA JUSTIÇA FEDERAL – CJF</v>
      </c>
      <c r="B2" s="1694"/>
      <c r="C2" s="1694"/>
      <c r="D2" s="1694"/>
      <c r="E2" s="1694"/>
      <c r="F2" s="1694"/>
      <c r="G2" s="1694"/>
      <c r="H2" s="1694"/>
      <c r="I2" s="1694"/>
    </row>
    <row r="3" spans="1:11" ht="14.25" x14ac:dyDescent="0.2">
      <c r="A3" s="1694" t="str">
        <f>Dados!A9</f>
        <v>PREGÃO ELETRÔNICO Nº32/2021-CJF</v>
      </c>
      <c r="B3" s="1694"/>
      <c r="C3" s="1694"/>
      <c r="D3" s="1694"/>
      <c r="E3" s="1694"/>
      <c r="F3" s="1694"/>
      <c r="G3" s="1694"/>
      <c r="H3" s="1694"/>
      <c r="I3" s="1694"/>
    </row>
    <row r="4" spans="1:11" ht="14.25" hidden="1" x14ac:dyDescent="0.2">
      <c r="A4" s="1699" t="str">
        <f>Dados!A10</f>
        <v>CONTRATO Nº __________/201__ - CONTRATANTE - PRESTAÇÃO DE SERVIÇOS --------</v>
      </c>
      <c r="B4" s="1699"/>
      <c r="C4" s="1699"/>
      <c r="D4" s="1699"/>
      <c r="E4" s="1699"/>
      <c r="F4" s="1699"/>
      <c r="G4" s="1699"/>
      <c r="H4" s="1699"/>
      <c r="I4" s="1699"/>
    </row>
    <row r="5" spans="1:11" ht="14.25" hidden="1" x14ac:dyDescent="0.2">
      <c r="A5" s="1699" t="str">
        <f>Dados!H2</f>
        <v xml:space="preserve">REPACTUAÇÃO CONTRATUAL 20___ - </v>
      </c>
      <c r="B5" s="1699"/>
      <c r="C5" s="1699"/>
      <c r="D5" s="1699"/>
      <c r="E5" s="1699"/>
      <c r="F5" s="1699"/>
      <c r="G5" s="1699"/>
      <c r="H5" s="1699"/>
      <c r="I5" s="1699"/>
    </row>
    <row r="6" spans="1:11" ht="14.25" x14ac:dyDescent="0.2">
      <c r="A6" s="149"/>
      <c r="B6" s="150"/>
      <c r="C6" s="151"/>
      <c r="D6" s="151"/>
      <c r="E6" s="151"/>
      <c r="F6" s="151"/>
      <c r="G6" s="150"/>
      <c r="H6" s="150"/>
      <c r="I6" s="149"/>
    </row>
    <row r="7" spans="1:11" ht="14.25" x14ac:dyDescent="0.2">
      <c r="A7" s="149"/>
      <c r="B7" s="150"/>
      <c r="C7" s="151"/>
      <c r="D7" s="151"/>
      <c r="E7" s="151"/>
      <c r="F7" s="151"/>
      <c r="G7" s="150"/>
      <c r="H7" s="150"/>
      <c r="I7" s="149"/>
    </row>
    <row r="8" spans="1:11" ht="14.25" x14ac:dyDescent="0.2">
      <c r="A8" s="1695" t="s">
        <v>126</v>
      </c>
      <c r="B8" s="1695"/>
      <c r="C8" s="1695"/>
      <c r="D8" s="1695"/>
      <c r="E8" s="1695"/>
      <c r="F8" s="1695"/>
      <c r="G8" s="1695"/>
      <c r="H8" s="1695"/>
      <c r="I8" s="1695"/>
    </row>
    <row r="9" spans="1:11" ht="14.25" x14ac:dyDescent="0.2">
      <c r="B9" s="153"/>
      <c r="C9" s="153"/>
      <c r="D9" s="153"/>
      <c r="E9" s="153"/>
      <c r="F9" s="153"/>
      <c r="G9" s="153"/>
      <c r="H9" s="153"/>
    </row>
    <row r="10" spans="1:11" ht="14.25" x14ac:dyDescent="0.2">
      <c r="A10" s="154" t="s">
        <v>127</v>
      </c>
      <c r="B10" s="153"/>
      <c r="C10" s="153"/>
      <c r="D10" s="153"/>
      <c r="E10" s="153"/>
      <c r="F10" s="153"/>
      <c r="G10" s="153"/>
      <c r="H10" s="153"/>
    </row>
    <row r="11" spans="1:11" ht="6.75" customHeight="1" x14ac:dyDescent="0.2">
      <c r="A11" s="155"/>
      <c r="B11" s="153"/>
      <c r="C11" s="153"/>
      <c r="D11" s="153"/>
      <c r="E11" s="153"/>
      <c r="F11" s="153"/>
      <c r="G11" s="153"/>
      <c r="H11" s="153"/>
    </row>
    <row r="12" spans="1:11" ht="14.25" x14ac:dyDescent="0.2">
      <c r="A12" s="155" t="s">
        <v>1103</v>
      </c>
      <c r="B12" s="912"/>
      <c r="C12" s="912"/>
      <c r="D12" s="912"/>
      <c r="E12" s="912"/>
      <c r="F12" s="912"/>
      <c r="G12" s="912"/>
      <c r="H12" s="912"/>
    </row>
    <row r="13" spans="1:11" s="148" customFormat="1" ht="14.25" x14ac:dyDescent="0.2">
      <c r="A13" s="1696" t="s">
        <v>72</v>
      </c>
      <c r="B13" s="1697" t="s">
        <v>136</v>
      </c>
      <c r="C13" s="1696" t="s">
        <v>77</v>
      </c>
      <c r="D13" s="1696" t="s">
        <v>78</v>
      </c>
      <c r="E13" s="1696"/>
      <c r="F13" s="1696"/>
      <c r="G13" s="1696" t="s">
        <v>79</v>
      </c>
      <c r="H13" s="1696" t="s">
        <v>80</v>
      </c>
      <c r="I13" s="1696" t="s">
        <v>81</v>
      </c>
    </row>
    <row r="14" spans="1:11" s="148" customFormat="1" ht="30.75" customHeight="1" x14ac:dyDescent="0.2">
      <c r="A14" s="1696"/>
      <c r="B14" s="1698"/>
      <c r="C14" s="1696"/>
      <c r="D14" s="923" t="s">
        <v>82</v>
      </c>
      <c r="E14" s="923" t="s">
        <v>83</v>
      </c>
      <c r="F14" s="923" t="s">
        <v>84</v>
      </c>
      <c r="G14" s="1696"/>
      <c r="H14" s="1696"/>
      <c r="I14" s="1696"/>
    </row>
    <row r="15" spans="1:11" s="148" customFormat="1" ht="21.75" customHeight="1" x14ac:dyDescent="0.2">
      <c r="A15" s="156">
        <v>1</v>
      </c>
      <c r="B15" s="880" t="s">
        <v>134</v>
      </c>
      <c r="C15" s="157" t="s">
        <v>77</v>
      </c>
      <c r="D15" s="158">
        <v>2</v>
      </c>
      <c r="E15" s="158">
        <v>2</v>
      </c>
      <c r="F15" s="159">
        <f>D15+E15</f>
        <v>4</v>
      </c>
      <c r="G15" s="160">
        <f>K15*Dados!$I$63</f>
        <v>0</v>
      </c>
      <c r="H15" s="160">
        <f>G15*F15</f>
        <v>0</v>
      </c>
      <c r="I15" s="160">
        <f>H15/12</f>
        <v>0</v>
      </c>
    </row>
    <row r="16" spans="1:11" s="148" customFormat="1" ht="21.75" customHeight="1" x14ac:dyDescent="0.2">
      <c r="A16" s="156">
        <v>2</v>
      </c>
      <c r="B16" s="880" t="s">
        <v>135</v>
      </c>
      <c r="C16" s="157" t="s">
        <v>77</v>
      </c>
      <c r="D16" s="158">
        <v>2</v>
      </c>
      <c r="E16" s="158">
        <v>2</v>
      </c>
      <c r="F16" s="159">
        <f>D16+E16</f>
        <v>4</v>
      </c>
      <c r="G16" s="160" t="e">
        <f>K16*Dados!$I$63</f>
        <v>#VALUE!</v>
      </c>
      <c r="H16" s="160" t="e">
        <f t="shared" ref="H16:H18" si="0">G16*F16</f>
        <v>#VALUE!</v>
      </c>
      <c r="I16" s="160" t="e">
        <f t="shared" ref="I16:I18" si="1">H16/12</f>
        <v>#VALUE!</v>
      </c>
      <c r="K16" s="148" t="s">
        <v>128</v>
      </c>
    </row>
    <row r="17" spans="1:9" ht="21.75" customHeight="1" x14ac:dyDescent="0.2">
      <c r="A17" s="156">
        <v>3</v>
      </c>
      <c r="B17" s="880" t="s">
        <v>129</v>
      </c>
      <c r="C17" s="157" t="s">
        <v>85</v>
      </c>
      <c r="D17" s="158">
        <v>1</v>
      </c>
      <c r="E17" s="158">
        <v>1</v>
      </c>
      <c r="F17" s="159">
        <f t="shared" ref="F17:F18" si="2">D17+E17</f>
        <v>2</v>
      </c>
      <c r="G17" s="160">
        <f>K17*Dados!$I$63</f>
        <v>0</v>
      </c>
      <c r="H17" s="160">
        <f t="shared" si="0"/>
        <v>0</v>
      </c>
      <c r="I17" s="160">
        <f t="shared" si="1"/>
        <v>0</v>
      </c>
    </row>
    <row r="18" spans="1:9" s="168" customFormat="1" ht="21.75" customHeight="1" x14ac:dyDescent="0.2">
      <c r="A18" s="156">
        <v>4</v>
      </c>
      <c r="B18" s="880" t="s">
        <v>122</v>
      </c>
      <c r="C18" s="157" t="s">
        <v>85</v>
      </c>
      <c r="D18" s="158">
        <v>3</v>
      </c>
      <c r="E18" s="158">
        <v>3</v>
      </c>
      <c r="F18" s="159">
        <f t="shared" si="2"/>
        <v>6</v>
      </c>
      <c r="G18" s="160">
        <f>K18*Dados!$I$63</f>
        <v>0</v>
      </c>
      <c r="H18" s="160">
        <f t="shared" si="0"/>
        <v>0</v>
      </c>
      <c r="I18" s="160">
        <f t="shared" si="1"/>
        <v>0</v>
      </c>
    </row>
    <row r="19" spans="1:9" s="168" customFormat="1" ht="21.75" customHeight="1" x14ac:dyDescent="0.2">
      <c r="A19" s="1691" t="s">
        <v>47</v>
      </c>
      <c r="B19" s="1692"/>
      <c r="C19" s="1692"/>
      <c r="D19" s="1692"/>
      <c r="E19" s="1692"/>
      <c r="F19" s="1692"/>
      <c r="G19" s="1693"/>
      <c r="H19" s="924" t="e">
        <f>SUM(H15:H18)</f>
        <v>#VALUE!</v>
      </c>
      <c r="I19" s="929" t="e">
        <f>SUM(I15:I18)</f>
        <v>#VALUE!</v>
      </c>
    </row>
    <row r="20" spans="1:9" s="168" customFormat="1" ht="18" customHeight="1" x14ac:dyDescent="0.2">
      <c r="A20" s="161"/>
      <c r="B20" s="161"/>
      <c r="C20" s="161"/>
      <c r="D20" s="161"/>
      <c r="E20" s="161"/>
      <c r="F20" s="161"/>
      <c r="G20" s="161"/>
      <c r="H20" s="161"/>
      <c r="I20" s="161"/>
    </row>
    <row r="21" spans="1:9" s="168" customFormat="1" ht="18" customHeight="1" x14ac:dyDescent="0.2">
      <c r="A21" s="161"/>
      <c r="B21" s="161"/>
      <c r="C21" s="161"/>
      <c r="D21" s="161"/>
      <c r="E21" s="161"/>
      <c r="F21" s="161"/>
      <c r="G21" s="161"/>
      <c r="H21" s="161"/>
      <c r="I21" s="161"/>
    </row>
    <row r="22" spans="1:9" s="168" customFormat="1" ht="18" customHeight="1" x14ac:dyDescent="0.2">
      <c r="A22" s="161"/>
      <c r="B22" s="161"/>
      <c r="C22" s="161"/>
      <c r="D22" s="161"/>
      <c r="E22" s="161"/>
      <c r="F22" s="161"/>
      <c r="G22" s="161"/>
      <c r="H22" s="161"/>
      <c r="I22" s="161"/>
    </row>
    <row r="23" spans="1:9" s="168" customFormat="1" ht="18" customHeight="1" x14ac:dyDescent="0.2">
      <c r="A23" s="161"/>
      <c r="B23" s="161"/>
      <c r="C23" s="161"/>
      <c r="D23" s="161"/>
      <c r="E23" s="161"/>
      <c r="F23" s="161"/>
      <c r="G23" s="161"/>
      <c r="H23" s="161"/>
      <c r="I23" s="161"/>
    </row>
    <row r="24" spans="1:9" s="168" customFormat="1" ht="18" customHeight="1" x14ac:dyDescent="0.2">
      <c r="A24" s="161"/>
      <c r="B24" s="161"/>
      <c r="C24" s="161"/>
      <c r="D24" s="161"/>
      <c r="E24" s="161"/>
      <c r="F24" s="161"/>
      <c r="G24" s="161"/>
      <c r="H24" s="161"/>
      <c r="I24" s="161"/>
    </row>
    <row r="25" spans="1:9" s="168" customFormat="1" ht="18" customHeight="1" x14ac:dyDescent="0.2">
      <c r="A25" s="161"/>
      <c r="B25" s="161"/>
      <c r="C25" s="161"/>
      <c r="D25" s="161"/>
      <c r="E25" s="161"/>
      <c r="F25" s="161"/>
      <c r="G25" s="161"/>
      <c r="H25" s="161"/>
      <c r="I25" s="161"/>
    </row>
    <row r="26" spans="1:9" s="168" customFormat="1" ht="18" customHeight="1" x14ac:dyDescent="0.2">
      <c r="A26" s="161"/>
      <c r="B26" s="161"/>
      <c r="C26" s="161"/>
      <c r="D26" s="161"/>
      <c r="E26" s="161"/>
      <c r="F26" s="161"/>
      <c r="G26" s="161"/>
      <c r="H26" s="161"/>
      <c r="I26" s="161"/>
    </row>
    <row r="27" spans="1:9" s="168" customFormat="1" ht="18" customHeight="1" x14ac:dyDescent="0.2">
      <c r="A27" s="161"/>
      <c r="B27" s="161"/>
      <c r="C27" s="161"/>
      <c r="D27" s="161"/>
      <c r="E27" s="161"/>
      <c r="F27" s="161"/>
      <c r="G27" s="161"/>
      <c r="H27" s="161"/>
      <c r="I27" s="161"/>
    </row>
    <row r="28" spans="1:9" s="168" customFormat="1" ht="18" customHeight="1" x14ac:dyDescent="0.2">
      <c r="A28" s="161"/>
      <c r="B28" s="161"/>
      <c r="C28" s="161"/>
      <c r="D28" s="161"/>
      <c r="E28" s="161"/>
      <c r="F28" s="161"/>
      <c r="G28" s="161"/>
      <c r="H28" s="161"/>
      <c r="I28" s="161"/>
    </row>
    <row r="29" spans="1:9" s="168" customFormat="1" ht="18" customHeight="1" x14ac:dyDescent="0.2">
      <c r="A29" s="161"/>
      <c r="B29" s="161"/>
      <c r="C29" s="161"/>
      <c r="D29" s="161"/>
      <c r="E29" s="161"/>
      <c r="F29" s="161"/>
      <c r="G29" s="161"/>
      <c r="H29" s="161"/>
      <c r="I29" s="161"/>
    </row>
    <row r="30" spans="1:9" s="168" customFormat="1" ht="18" customHeight="1" x14ac:dyDescent="0.2">
      <c r="A30" s="161"/>
      <c r="B30" s="161"/>
      <c r="C30" s="161"/>
      <c r="D30" s="161"/>
      <c r="E30" s="161"/>
      <c r="F30" s="161"/>
      <c r="G30" s="161"/>
      <c r="H30" s="161"/>
      <c r="I30" s="161"/>
    </row>
    <row r="31" spans="1:9" s="168" customFormat="1" ht="18" customHeight="1" x14ac:dyDescent="0.2">
      <c r="A31" s="161"/>
      <c r="B31" s="161"/>
      <c r="C31" s="161"/>
      <c r="D31" s="161"/>
      <c r="E31" s="161"/>
      <c r="F31" s="161"/>
      <c r="G31" s="161"/>
      <c r="H31" s="161"/>
      <c r="I31" s="161"/>
    </row>
    <row r="32" spans="1:9" s="168" customFormat="1" ht="18" customHeight="1" x14ac:dyDescent="0.2">
      <c r="A32" s="161"/>
      <c r="B32" s="161"/>
      <c r="C32" s="161"/>
      <c r="D32" s="161"/>
      <c r="E32" s="161"/>
      <c r="F32" s="161"/>
      <c r="G32" s="161"/>
      <c r="H32" s="161"/>
      <c r="I32" s="161"/>
    </row>
    <row r="33" spans="1:8" s="165" customFormat="1" ht="18" customHeight="1" x14ac:dyDescent="0.2">
      <c r="A33" s="162"/>
      <c r="B33" s="163"/>
      <c r="C33" s="164"/>
      <c r="D33" s="164"/>
      <c r="E33" s="164"/>
      <c r="F33" s="164"/>
      <c r="G33" s="163"/>
      <c r="H33" s="163"/>
    </row>
    <row r="34" spans="1:8" s="165" customFormat="1" ht="18" customHeight="1" x14ac:dyDescent="0.2">
      <c r="A34" s="162"/>
      <c r="B34" s="163"/>
      <c r="C34" s="164"/>
      <c r="D34" s="164"/>
      <c r="E34" s="164"/>
      <c r="F34" s="164"/>
      <c r="G34" s="163"/>
      <c r="H34" s="163"/>
    </row>
    <row r="36" spans="1:8" ht="18" customHeight="1" x14ac:dyDescent="0.2">
      <c r="A36" s="781"/>
    </row>
    <row r="37" spans="1:8" ht="18" customHeight="1" x14ac:dyDescent="0.2">
      <c r="B37" s="782"/>
      <c r="C37" s="783"/>
      <c r="D37" s="783"/>
    </row>
  </sheetData>
  <mergeCells count="13">
    <mergeCell ref="A19:G19"/>
    <mergeCell ref="A2:I2"/>
    <mergeCell ref="A3:I3"/>
    <mergeCell ref="A8:I8"/>
    <mergeCell ref="A13:A14"/>
    <mergeCell ref="B13:B14"/>
    <mergeCell ref="C13:C14"/>
    <mergeCell ref="D13:F13"/>
    <mergeCell ref="G13:G14"/>
    <mergeCell ref="H13:H14"/>
    <mergeCell ref="I13:I14"/>
    <mergeCell ref="A4:I4"/>
    <mergeCell ref="A5:I5"/>
  </mergeCells>
  <printOptions horizontalCentered="1"/>
  <pageMargins left="0.51181102362204722" right="0.39370078740157483" top="1.6535433070866143" bottom="0.35433070866141736" header="0.19685039370078741" footer="0.27559055118110237"/>
  <pageSetup paperSize="9" scale="78" fitToHeight="0" orientation="portrait" r:id="rId1"/>
  <headerFooter>
    <oddHeader xml:space="preserve">&amp;L&amp;"Cambria,Negrito"&amp;8PROPOSTA N° _____/2017
</oddHeader>
  </headerFooter>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6"/>
  <dimension ref="A1:M223"/>
  <sheetViews>
    <sheetView view="pageBreakPreview" topLeftCell="A82" zoomScale="90" zoomScaleNormal="100" zoomScaleSheetLayoutView="90" workbookViewId="0">
      <selection activeCell="C45" sqref="B45:K48"/>
    </sheetView>
  </sheetViews>
  <sheetFormatPr defaultRowHeight="14.25" x14ac:dyDescent="0.2"/>
  <cols>
    <col min="1" max="1" width="5.85546875" style="68" customWidth="1"/>
    <col min="2" max="2" width="29.42578125" style="68" customWidth="1"/>
    <col min="3" max="3" width="19.7109375" style="68" customWidth="1"/>
    <col min="4" max="4" width="17.140625" style="68" customWidth="1"/>
    <col min="5" max="5" width="18" style="68" customWidth="1"/>
    <col min="6" max="6" width="15.42578125" style="68" customWidth="1"/>
    <col min="7" max="7" width="18" style="97" bestFit="1" customWidth="1"/>
    <col min="8" max="8" width="17.28515625" style="69" bestFit="1" customWidth="1"/>
    <col min="9" max="9" width="15.28515625" style="69" bestFit="1" customWidth="1"/>
    <col min="10" max="11" width="13.42578125" style="69" bestFit="1" customWidth="1"/>
    <col min="12" max="12" width="11.5703125" style="69" bestFit="1" customWidth="1"/>
    <col min="13" max="13" width="12.5703125" style="69" bestFit="1" customWidth="1"/>
    <col min="14" max="16384" width="9.140625" style="69"/>
  </cols>
  <sheetData>
    <row r="1" spans="1:7" ht="11.25" hidden="1" customHeight="1" x14ac:dyDescent="0.2">
      <c r="A1" s="96" t="str">
        <f>Proposta!C83</f>
        <v>Razão Social: BRASFORT ADMINISTRAÇÃO E SERVIÇOS LTDA</v>
      </c>
    </row>
    <row r="2" spans="1:7" ht="11.25" hidden="1" customHeight="1" x14ac:dyDescent="0.2">
      <c r="A2" s="96" t="str">
        <f>Proposta!C84</f>
        <v>CNPJ: 36.770.857/0001-38</v>
      </c>
    </row>
    <row r="3" spans="1:7" hidden="1" x14ac:dyDescent="0.2">
      <c r="A3" s="97"/>
    </row>
    <row r="4" spans="1:7" hidden="1" x14ac:dyDescent="0.2">
      <c r="A4" s="97"/>
    </row>
    <row r="5" spans="1:7" hidden="1" x14ac:dyDescent="0.2">
      <c r="A5" s="1630" t="str">
        <f>Dados!H2</f>
        <v xml:space="preserve">REPACTUAÇÃO CONTRATUAL 20___ - </v>
      </c>
      <c r="B5" s="1630"/>
      <c r="C5" s="1630"/>
      <c r="D5" s="1630"/>
      <c r="E5" s="1630"/>
      <c r="F5" s="1630"/>
      <c r="G5" s="1630"/>
    </row>
    <row r="6" spans="1:7" hidden="1" x14ac:dyDescent="0.2">
      <c r="A6" s="1630" t="str">
        <f>Dados!A10</f>
        <v>CONTRATO Nº __________/201__ - CONTRATANTE - PRESTAÇÃO DE SERVIÇOS --------</v>
      </c>
      <c r="B6" s="1630"/>
      <c r="C6" s="1630"/>
      <c r="D6" s="1630"/>
      <c r="E6" s="1630"/>
      <c r="F6" s="1630"/>
      <c r="G6" s="1630"/>
    </row>
    <row r="7" spans="1:7" x14ac:dyDescent="0.2">
      <c r="A7" s="1123"/>
      <c r="B7" s="1123"/>
      <c r="C7" s="1123"/>
      <c r="D7" s="1123"/>
      <c r="E7" s="1123"/>
      <c r="F7" s="1123"/>
      <c r="G7" s="1123"/>
    </row>
    <row r="8" spans="1:7" ht="18" customHeight="1" x14ac:dyDescent="0.2">
      <c r="A8" s="1637"/>
      <c r="B8" s="1637"/>
      <c r="C8" s="1637"/>
      <c r="D8" s="1637"/>
      <c r="E8" s="1637"/>
      <c r="F8" s="1637"/>
      <c r="G8" s="1637"/>
    </row>
    <row r="9" spans="1:7" x14ac:dyDescent="0.2">
      <c r="A9" s="1637" t="str">
        <f>Dados!$A$11</f>
        <v>PLANILHA DE CUSTOS E FORMAÇÃO DE PREÇOS - CJF</v>
      </c>
      <c r="B9" s="1637"/>
      <c r="C9" s="1637"/>
      <c r="D9" s="1637"/>
      <c r="E9" s="1637"/>
      <c r="F9" s="1637"/>
      <c r="G9" s="1637"/>
    </row>
    <row r="10" spans="1:7" x14ac:dyDescent="0.2">
      <c r="A10" s="1637"/>
      <c r="B10" s="1637"/>
      <c r="C10" s="1637"/>
      <c r="D10" s="1637"/>
      <c r="E10" s="1637"/>
      <c r="F10" s="1637"/>
      <c r="G10" s="1637"/>
    </row>
    <row r="11" spans="1:7" x14ac:dyDescent="0.2">
      <c r="A11" s="98"/>
      <c r="B11" s="98"/>
      <c r="C11" s="98"/>
      <c r="D11" s="98"/>
      <c r="E11" s="98"/>
      <c r="F11" s="98"/>
      <c r="G11" s="98"/>
    </row>
    <row r="12" spans="1:7" ht="15" thickBot="1" x14ac:dyDescent="0.25">
      <c r="A12" s="99"/>
      <c r="B12" s="99"/>
      <c r="C12" s="99"/>
      <c r="D12" s="99"/>
      <c r="E12" s="99"/>
      <c r="F12" s="99"/>
      <c r="G12" s="99"/>
    </row>
    <row r="13" spans="1:7" ht="15.75" customHeight="1" thickTop="1" thickBot="1" x14ac:dyDescent="0.25">
      <c r="A13" s="1631" t="s">
        <v>117</v>
      </c>
      <c r="B13" s="1631"/>
      <c r="C13" s="1670" t="str">
        <f>Dados!$G$14</f>
        <v>0001561-97.2021.4.90.8000</v>
      </c>
      <c r="D13" s="1671"/>
      <c r="E13" s="102"/>
      <c r="F13" s="135"/>
      <c r="G13" s="100"/>
    </row>
    <row r="14" spans="1:7" ht="15.75" customHeight="1" thickTop="1" thickBot="1" x14ac:dyDescent="0.25">
      <c r="A14" s="1631" t="s">
        <v>116</v>
      </c>
      <c r="B14" s="1631"/>
      <c r="C14" s="1619" t="str">
        <f>"Pregão Eletrônico nº:" &amp; " " &amp; Dados!$G$22</f>
        <v>Pregão Eletrônico nº: PE 32/2021</v>
      </c>
      <c r="D14" s="1620"/>
      <c r="E14" s="102"/>
      <c r="F14" s="298">
        <v>1</v>
      </c>
      <c r="G14" s="100"/>
    </row>
    <row r="15" spans="1:7" ht="15.75" customHeight="1" thickTop="1" x14ac:dyDescent="0.2">
      <c r="A15" s="101" t="str">
        <f>"Dia:" &amp; " " &amp; TEXT(Dados!$G$15,"dd/mm/aaaa") &amp; " " &amp; "às" &amp; " " &amp; TEXT(Dados!$G$18,"hh:mm") &amp; " " &amp; "horas"</f>
        <v>Dia: 15/10/2021 às 10:00 horas</v>
      </c>
      <c r="B15" s="101"/>
      <c r="C15" s="101"/>
      <c r="D15" s="99"/>
      <c r="E15" s="102"/>
      <c r="F15" s="297"/>
      <c r="G15" s="104"/>
    </row>
    <row r="16" spans="1:7" ht="15.75" customHeight="1" x14ac:dyDescent="0.2">
      <c r="A16" s="101"/>
      <c r="B16" s="101"/>
      <c r="C16" s="101"/>
      <c r="D16" s="99"/>
      <c r="E16" s="102"/>
      <c r="F16" s="103"/>
      <c r="G16" s="104"/>
    </row>
    <row r="17" spans="1:7" ht="18" customHeight="1" thickBot="1" x14ac:dyDescent="0.25">
      <c r="A17" s="1638" t="s">
        <v>723</v>
      </c>
      <c r="B17" s="1638"/>
      <c r="C17" s="1638"/>
      <c r="D17" s="1638"/>
      <c r="E17" s="1638"/>
      <c r="F17" s="1638"/>
      <c r="G17" s="1638"/>
    </row>
    <row r="18" spans="1:7" ht="16.5" customHeight="1" thickTop="1" thickBot="1" x14ac:dyDescent="0.25">
      <c r="A18" s="1121" t="s">
        <v>1</v>
      </c>
      <c r="B18" s="1132" t="s">
        <v>119</v>
      </c>
      <c r="C18" s="1133"/>
      <c r="D18" s="566"/>
      <c r="E18" s="106"/>
      <c r="F18" s="1639" t="d">
        <f>Dados!G16</f>
        <v>2021-10-21</v>
      </c>
      <c r="G18" s="1640"/>
    </row>
    <row r="19" spans="1:7" ht="16.5" customHeight="1" thickTop="1" thickBot="1" x14ac:dyDescent="0.25">
      <c r="A19" s="1121" t="s">
        <v>2</v>
      </c>
      <c r="B19" s="565" t="s">
        <v>3</v>
      </c>
      <c r="C19" s="566"/>
      <c r="D19" s="566"/>
      <c r="E19" s="107"/>
      <c r="F19" s="1639" t="str">
        <f>Dados!G19</f>
        <v>Brasília - DF</v>
      </c>
      <c r="G19" s="1640"/>
    </row>
    <row r="20" spans="1:7" ht="15" thickTop="1" x14ac:dyDescent="0.2">
      <c r="A20" s="1675" t="s">
        <v>4</v>
      </c>
      <c r="B20" s="1621" t="s">
        <v>118</v>
      </c>
      <c r="C20" s="1622"/>
      <c r="D20" s="1622"/>
      <c r="E20" s="1623"/>
      <c r="F20" s="1681" t="str">
        <f>Dados!N101</f>
        <v>SINDISERVIÇOS/SEAC-DF</v>
      </c>
      <c r="G20" s="1681"/>
    </row>
    <row r="21" spans="1:7" ht="15" thickBot="1" x14ac:dyDescent="0.25">
      <c r="A21" s="1677"/>
      <c r="B21" s="1624"/>
      <c r="C21" s="1625"/>
      <c r="D21" s="1625"/>
      <c r="E21" s="1626"/>
      <c r="F21" s="1627" t="str">
        <f>VLOOKUP(F20,'CCT''S'!$A$7:$J$21,5,FALSE)</f>
        <v>2021/2021</v>
      </c>
      <c r="G21" s="1628"/>
    </row>
    <row r="22" spans="1:7" ht="16.5" customHeight="1" thickTop="1" thickBot="1" x14ac:dyDescent="0.25">
      <c r="A22" s="1121" t="s">
        <v>5</v>
      </c>
      <c r="B22" s="1132" t="s">
        <v>120</v>
      </c>
      <c r="C22" s="1133"/>
      <c r="D22" s="566"/>
      <c r="E22" s="107"/>
      <c r="F22" s="1640">
        <f>Dados!G26</f>
        <v>12</v>
      </c>
      <c r="G22" s="1640"/>
    </row>
    <row r="23" spans="1:7" ht="15" thickTop="1" x14ac:dyDescent="0.2">
      <c r="A23" s="98"/>
      <c r="B23" s="99"/>
      <c r="C23" s="99"/>
      <c r="D23" s="99"/>
      <c r="E23" s="99"/>
      <c r="F23" s="108"/>
      <c r="G23" s="109"/>
    </row>
    <row r="24" spans="1:7" ht="16.5" customHeight="1" thickBot="1" x14ac:dyDescent="0.25">
      <c r="A24" s="1638" t="s">
        <v>722</v>
      </c>
      <c r="B24" s="1638"/>
      <c r="C24" s="1638"/>
      <c r="D24" s="1638"/>
      <c r="E24" s="1638"/>
      <c r="F24" s="1638"/>
      <c r="G24" s="1638"/>
    </row>
    <row r="25" spans="1:7" ht="51" customHeight="1" thickTop="1" thickBot="1" x14ac:dyDescent="0.25">
      <c r="A25" s="1635" t="s">
        <v>89</v>
      </c>
      <c r="B25" s="1635"/>
      <c r="C25" s="1125" t="s">
        <v>194</v>
      </c>
      <c r="D25" s="1125" t="s">
        <v>115</v>
      </c>
      <c r="E25" s="1125" t="s">
        <v>73</v>
      </c>
      <c r="F25" s="1125" t="s">
        <v>195</v>
      </c>
      <c r="G25" s="1125" t="s">
        <v>86</v>
      </c>
    </row>
    <row r="26" spans="1:7" ht="27.75" customHeight="1" thickTop="1" thickBot="1" x14ac:dyDescent="0.25">
      <c r="A26" s="1631" t="str">
        <f>Dados!N85</f>
        <v>Servente</v>
      </c>
      <c r="B26" s="1631"/>
      <c r="C26" s="1121" t="str">
        <f>Dados!J30</f>
        <v>44 horas semanais - 5x2</v>
      </c>
      <c r="D26" s="1121" t="str">
        <f>Dados!G25</f>
        <v>Postos de Serviços</v>
      </c>
      <c r="E26" s="292">
        <f>Dados!R85</f>
        <v>27</v>
      </c>
      <c r="F26" s="292">
        <f>Dados!S85</f>
        <v>1</v>
      </c>
      <c r="G26" s="292">
        <f>E26*F26</f>
        <v>27</v>
      </c>
    </row>
    <row r="27" spans="1:7" ht="14.25" hidden="1" customHeight="1" thickTop="1" x14ac:dyDescent="0.2">
      <c r="A27" s="1634" t="s">
        <v>725</v>
      </c>
      <c r="B27" s="1634"/>
      <c r="C27" s="1634"/>
      <c r="D27" s="1634"/>
      <c r="E27" s="1634"/>
      <c r="F27" s="1634"/>
      <c r="G27" s="1634"/>
    </row>
    <row r="28" spans="1:7" ht="14.25" hidden="1" customHeight="1" x14ac:dyDescent="0.2">
      <c r="A28" s="1618"/>
      <c r="B28" s="1618"/>
      <c r="C28" s="1618"/>
      <c r="D28" s="1618"/>
      <c r="E28" s="1618"/>
      <c r="F28" s="1618"/>
      <c r="G28" s="1618"/>
    </row>
    <row r="29" spans="1:7" ht="14.25" hidden="1" customHeight="1" x14ac:dyDescent="0.2">
      <c r="A29" s="1618" t="s">
        <v>724</v>
      </c>
      <c r="B29" s="1618"/>
      <c r="C29" s="1618"/>
      <c r="D29" s="1618"/>
      <c r="E29" s="1618"/>
      <c r="F29" s="1618"/>
      <c r="G29" s="1618"/>
    </row>
    <row r="30" spans="1:7" ht="14.25" hidden="1" customHeight="1" x14ac:dyDescent="0.2">
      <c r="A30" s="1618"/>
      <c r="B30" s="1618"/>
      <c r="C30" s="1618"/>
      <c r="D30" s="1618"/>
      <c r="E30" s="1618"/>
      <c r="F30" s="1618"/>
      <c r="G30" s="1618"/>
    </row>
    <row r="31" spans="1:7" ht="14.25" customHeight="1" thickTop="1" x14ac:dyDescent="0.2">
      <c r="A31" s="101"/>
      <c r="B31" s="101"/>
      <c r="C31" s="101"/>
      <c r="D31" s="101"/>
      <c r="E31" s="101"/>
      <c r="F31" s="572"/>
      <c r="G31" s="573"/>
    </row>
    <row r="32" spans="1:7" ht="14.25" customHeight="1" x14ac:dyDescent="0.2">
      <c r="A32" s="1124" t="s">
        <v>719</v>
      </c>
      <c r="B32" s="98"/>
      <c r="C32" s="98"/>
      <c r="D32" s="98"/>
      <c r="E32" s="98"/>
      <c r="G32" s="110"/>
    </row>
    <row r="33" spans="1:9" ht="6.75" customHeight="1" x14ac:dyDescent="0.2">
      <c r="A33" s="98"/>
      <c r="B33" s="98"/>
      <c r="C33" s="98"/>
      <c r="D33" s="98"/>
      <c r="E33" s="98"/>
      <c r="G33" s="110"/>
    </row>
    <row r="34" spans="1:9" ht="14.25" customHeight="1" x14ac:dyDescent="0.2">
      <c r="A34" s="1632" t="s">
        <v>159</v>
      </c>
      <c r="B34" s="1632"/>
      <c r="C34" s="1632"/>
      <c r="D34" s="1632"/>
      <c r="E34" s="1632"/>
      <c r="F34" s="1632"/>
      <c r="G34" s="1632"/>
    </row>
    <row r="35" spans="1:9" ht="14.25" customHeight="1" thickBot="1" x14ac:dyDescent="0.25">
      <c r="A35" s="1636" t="s">
        <v>102</v>
      </c>
      <c r="B35" s="1636"/>
      <c r="C35" s="1636"/>
      <c r="D35" s="1636"/>
      <c r="E35" s="1636"/>
      <c r="F35" s="1636"/>
      <c r="G35" s="1636"/>
    </row>
    <row r="36" spans="1:9" ht="15" customHeight="1" thickTop="1" thickBot="1" x14ac:dyDescent="0.25">
      <c r="A36" s="1633" t="s">
        <v>88</v>
      </c>
      <c r="B36" s="1633"/>
      <c r="C36" s="1633"/>
      <c r="D36" s="1633"/>
      <c r="E36" s="1633"/>
      <c r="F36" s="1633"/>
      <c r="G36" s="1633"/>
    </row>
    <row r="37" spans="1:9" ht="15.75" thickTop="1" thickBot="1" x14ac:dyDescent="0.25">
      <c r="A37" s="1121">
        <v>1</v>
      </c>
      <c r="B37" s="1633" t="s">
        <v>89</v>
      </c>
      <c r="C37" s="1633"/>
      <c r="D37" s="1633"/>
      <c r="E37" s="1633"/>
      <c r="F37" s="1631" t="str">
        <f>A26</f>
        <v>Servente</v>
      </c>
      <c r="G37" s="1631"/>
    </row>
    <row r="38" spans="1:9" ht="15.75" thickTop="1" thickBot="1" x14ac:dyDescent="0.25">
      <c r="A38" s="1121">
        <v>2</v>
      </c>
      <c r="B38" s="1633" t="s">
        <v>720</v>
      </c>
      <c r="C38" s="1633"/>
      <c r="D38" s="1633"/>
      <c r="E38" s="1633"/>
      <c r="F38" s="1631" t="str">
        <f>Dados!O85</f>
        <v>4151-30</v>
      </c>
      <c r="G38" s="1631"/>
    </row>
    <row r="39" spans="1:9" ht="15.75" customHeight="1" thickTop="1" thickBot="1" x14ac:dyDescent="0.25">
      <c r="A39" s="1121">
        <v>3</v>
      </c>
      <c r="B39" s="1633" t="s">
        <v>90</v>
      </c>
      <c r="C39" s="1633"/>
      <c r="D39" s="1633"/>
      <c r="E39" s="1633"/>
      <c r="F39" s="1682">
        <f>Dados!U85</f>
        <v>1287.96</v>
      </c>
      <c r="G39" s="1682"/>
    </row>
    <row r="40" spans="1:9" ht="34.5" customHeight="1" thickTop="1" thickBot="1" x14ac:dyDescent="0.25">
      <c r="A40" s="1121">
        <v>4</v>
      </c>
      <c r="B40" s="1633" t="s">
        <v>10</v>
      </c>
      <c r="C40" s="1633"/>
      <c r="D40" s="1633"/>
      <c r="E40" s="1633"/>
      <c r="F40" s="1640" t="str">
        <f>Dados!P85</f>
        <v>Servente de segunda a sexta-feira - 44 horas semanais</v>
      </c>
      <c r="G40" s="1640"/>
    </row>
    <row r="41" spans="1:9" ht="14.25" customHeight="1" thickTop="1" thickBot="1" x14ac:dyDescent="0.25">
      <c r="A41" s="1121">
        <v>5</v>
      </c>
      <c r="B41" s="1633" t="s">
        <v>11</v>
      </c>
      <c r="C41" s="1633"/>
      <c r="D41" s="1633"/>
      <c r="E41" s="1633"/>
      <c r="F41" s="1689" t="d">
        <f>VLOOKUP(F20,'CCT''S'!$A$7:$J$21,6,FALSE)</f>
        <v>2021-01-01</v>
      </c>
      <c r="G41" s="1690"/>
    </row>
    <row r="42" spans="1:9" ht="14.25" hidden="1" customHeight="1" thickTop="1" x14ac:dyDescent="0.2">
      <c r="A42" s="101" t="s">
        <v>726</v>
      </c>
      <c r="B42" s="129"/>
      <c r="C42" s="129"/>
      <c r="D42" s="129"/>
      <c r="E42" s="129"/>
      <c r="F42" s="103"/>
      <c r="G42" s="103"/>
    </row>
    <row r="43" spans="1:9" ht="14.25" hidden="1" customHeight="1" x14ac:dyDescent="0.2">
      <c r="A43" s="101" t="s">
        <v>727</v>
      </c>
      <c r="B43" s="129"/>
      <c r="C43" s="129"/>
      <c r="D43" s="129"/>
      <c r="E43" s="129"/>
      <c r="F43" s="103"/>
      <c r="G43" s="103"/>
    </row>
    <row r="44" spans="1:9" ht="14.25" customHeight="1" thickTop="1" x14ac:dyDescent="0.2">
      <c r="A44" s="98"/>
      <c r="B44" s="129"/>
      <c r="C44" s="129"/>
      <c r="D44" s="129"/>
      <c r="E44" s="129"/>
      <c r="F44" s="103"/>
      <c r="G44" s="103"/>
    </row>
    <row r="45" spans="1:9" s="576" customFormat="1" ht="15" thickBot="1" x14ac:dyDescent="0.25">
      <c r="A45" s="576" t="s">
        <v>30</v>
      </c>
    </row>
    <row r="46" spans="1:9" ht="18" customHeight="1" thickTop="1" thickBot="1" x14ac:dyDescent="0.25">
      <c r="A46" s="1131">
        <v>1</v>
      </c>
      <c r="B46" s="1672" t="s">
        <v>91</v>
      </c>
      <c r="C46" s="1673"/>
      <c r="D46" s="1673"/>
      <c r="E46" s="1674"/>
      <c r="F46" s="1125" t="s">
        <v>746</v>
      </c>
      <c r="G46" s="1131" t="s">
        <v>121</v>
      </c>
      <c r="H46" s="111"/>
      <c r="I46" s="111"/>
    </row>
    <row r="47" spans="1:9" ht="15.75" thickTop="1" thickBot="1" x14ac:dyDescent="0.25">
      <c r="A47" s="112" t="s">
        <v>1</v>
      </c>
      <c r="B47" s="1132" t="s">
        <v>674</v>
      </c>
      <c r="C47" s="1133"/>
      <c r="D47" s="1133"/>
      <c r="E47" s="1134"/>
      <c r="F47" s="115"/>
      <c r="G47" s="116">
        <f>$F$39*F14</f>
        <v>1287.96</v>
      </c>
      <c r="H47" s="111"/>
      <c r="I47" s="111"/>
    </row>
    <row r="48" spans="1:9" ht="15.75" thickTop="1" thickBot="1" x14ac:dyDescent="0.25">
      <c r="A48" s="112" t="s">
        <v>2</v>
      </c>
      <c r="B48" s="1132" t="str">
        <f>Dados!A36</f>
        <v xml:space="preserve">Adicional de Periculosidade </v>
      </c>
      <c r="C48" s="1133"/>
      <c r="D48" s="1133"/>
      <c r="E48" s="1134"/>
      <c r="F48" s="369">
        <f>Dados!G36</f>
        <v>0.3</v>
      </c>
      <c r="G48" s="117"/>
      <c r="H48" s="111"/>
      <c r="I48" s="111"/>
    </row>
    <row r="49" spans="1:9" ht="15.75" thickTop="1" thickBot="1" x14ac:dyDescent="0.25">
      <c r="A49" s="112" t="s">
        <v>4</v>
      </c>
      <c r="B49" s="1132" t="s">
        <v>908</v>
      </c>
      <c r="C49" s="1133"/>
      <c r="D49" s="1133"/>
      <c r="E49" s="1134"/>
      <c r="F49" s="369"/>
      <c r="G49" s="117"/>
      <c r="H49" s="111"/>
      <c r="I49" s="111"/>
    </row>
    <row r="50" spans="1:9" ht="15.75" thickTop="1" thickBot="1" x14ac:dyDescent="0.25">
      <c r="A50" s="112" t="s">
        <v>5</v>
      </c>
      <c r="B50" s="1132" t="s">
        <v>12</v>
      </c>
      <c r="C50" s="1133"/>
      <c r="D50" s="1133"/>
      <c r="E50" s="1134"/>
      <c r="F50" s="369">
        <f>Dados!G39</f>
        <v>0.2</v>
      </c>
      <c r="G50" s="117"/>
      <c r="H50" s="111"/>
      <c r="I50" s="111"/>
    </row>
    <row r="51" spans="1:9" ht="15.75" thickTop="1" thickBot="1" x14ac:dyDescent="0.25">
      <c r="A51" s="112" t="s">
        <v>6</v>
      </c>
      <c r="B51" s="1132" t="s">
        <v>728</v>
      </c>
      <c r="C51" s="1133"/>
      <c r="D51" s="1133"/>
      <c r="E51" s="1134"/>
      <c r="F51" s="369"/>
      <c r="G51" s="117"/>
      <c r="H51" s="111"/>
      <c r="I51" s="111"/>
    </row>
    <row r="52" spans="1:9" ht="15.75" thickTop="1" thickBot="1" x14ac:dyDescent="0.25">
      <c r="A52" s="112" t="s">
        <v>7</v>
      </c>
      <c r="B52" s="1132" t="s">
        <v>57</v>
      </c>
      <c r="C52" s="1133"/>
      <c r="D52" s="1133"/>
      <c r="E52" s="1134"/>
      <c r="F52" s="369"/>
      <c r="G52" s="117"/>
      <c r="H52" s="111"/>
      <c r="I52" s="111"/>
    </row>
    <row r="53" spans="1:9" ht="16.5" customHeight="1" thickTop="1" thickBot="1" x14ac:dyDescent="0.25">
      <c r="A53" s="1644" t="s">
        <v>232</v>
      </c>
      <c r="B53" s="1645"/>
      <c r="C53" s="1645"/>
      <c r="D53" s="1645"/>
      <c r="E53" s="1645"/>
      <c r="F53" s="1646"/>
      <c r="G53" s="119">
        <f>SUM(G47:G52)</f>
        <v>1287.96</v>
      </c>
      <c r="H53" s="111"/>
      <c r="I53" s="111"/>
    </row>
    <row r="54" spans="1:9" s="68" customFormat="1" ht="15" hidden="1" thickTop="1" x14ac:dyDescent="0.2">
      <c r="A54" s="101" t="s">
        <v>729</v>
      </c>
      <c r="B54" s="101"/>
      <c r="C54" s="101"/>
      <c r="D54" s="101"/>
      <c r="E54" s="101"/>
      <c r="F54" s="574"/>
      <c r="G54" s="575"/>
      <c r="H54" s="122"/>
      <c r="I54" s="122"/>
    </row>
    <row r="55" spans="1:9" s="68" customFormat="1" ht="14.25" hidden="1" customHeight="1" x14ac:dyDescent="0.2">
      <c r="A55" s="1618" t="s">
        <v>958</v>
      </c>
      <c r="B55" s="1618"/>
      <c r="C55" s="1618"/>
      <c r="D55" s="1618"/>
      <c r="E55" s="1618"/>
      <c r="F55" s="1618"/>
      <c r="G55" s="1618"/>
      <c r="H55" s="122"/>
      <c r="I55" s="122"/>
    </row>
    <row r="56" spans="1:9" s="68" customFormat="1" hidden="1" x14ac:dyDescent="0.2">
      <c r="A56" s="1618"/>
      <c r="B56" s="1618"/>
      <c r="C56" s="1618"/>
      <c r="D56" s="1618"/>
      <c r="E56" s="1618"/>
      <c r="F56" s="1618"/>
      <c r="G56" s="1618"/>
      <c r="H56" s="122"/>
      <c r="I56" s="122"/>
    </row>
    <row r="57" spans="1:9" s="68" customFormat="1" ht="15" thickTop="1" x14ac:dyDescent="0.2">
      <c r="A57" s="101"/>
      <c r="B57" s="101"/>
      <c r="C57" s="101"/>
      <c r="D57" s="101"/>
      <c r="E57" s="101"/>
      <c r="F57" s="574"/>
      <c r="G57" s="575"/>
      <c r="H57" s="122"/>
      <c r="I57" s="122"/>
    </row>
    <row r="58" spans="1:9" s="68" customFormat="1" x14ac:dyDescent="0.2">
      <c r="A58" s="1629" t="s">
        <v>730</v>
      </c>
      <c r="B58" s="1629"/>
      <c r="C58" s="1629"/>
      <c r="D58" s="1629"/>
      <c r="E58" s="1629"/>
      <c r="F58" s="1629"/>
      <c r="G58" s="1629"/>
      <c r="H58" s="122"/>
      <c r="I58" s="122"/>
    </row>
    <row r="59" spans="1:9" s="68" customFormat="1" ht="5.25" customHeight="1" x14ac:dyDescent="0.2">
      <c r="A59" s="101"/>
      <c r="B59" s="101"/>
      <c r="C59" s="101"/>
      <c r="D59" s="101"/>
      <c r="E59" s="101"/>
      <c r="F59" s="574"/>
      <c r="G59" s="575"/>
      <c r="H59" s="122"/>
      <c r="I59" s="122"/>
    </row>
    <row r="60" spans="1:9" s="68" customFormat="1" ht="15" thickBot="1" x14ac:dyDescent="0.25">
      <c r="A60" s="1632" t="s">
        <v>737</v>
      </c>
      <c r="B60" s="1632"/>
      <c r="C60" s="1632"/>
      <c r="D60" s="1632"/>
      <c r="E60" s="1632"/>
      <c r="F60" s="1632"/>
      <c r="G60" s="1632"/>
      <c r="H60" s="122"/>
      <c r="I60" s="122"/>
    </row>
    <row r="61" spans="1:9" s="68" customFormat="1" ht="15.75" thickTop="1" thickBot="1" x14ac:dyDescent="0.25">
      <c r="A61" s="1125" t="s">
        <v>732</v>
      </c>
      <c r="B61" s="1635" t="s">
        <v>747</v>
      </c>
      <c r="C61" s="1635"/>
      <c r="D61" s="1635"/>
      <c r="E61" s="1635"/>
      <c r="F61" s="1125" t="s">
        <v>746</v>
      </c>
      <c r="G61" s="1131" t="s">
        <v>121</v>
      </c>
      <c r="H61" s="122"/>
      <c r="I61" s="122"/>
    </row>
    <row r="62" spans="1:9" s="68" customFormat="1" ht="15.75" thickTop="1" thickBot="1" x14ac:dyDescent="0.25">
      <c r="A62" s="1121" t="s">
        <v>1</v>
      </c>
      <c r="B62" s="136" t="str">
        <f>Dados!B92</f>
        <v xml:space="preserve">13º (décimo terceiro) salário  </v>
      </c>
      <c r="C62" s="285"/>
      <c r="D62" s="137"/>
      <c r="E62" s="126"/>
      <c r="F62" s="138">
        <f>Dados!G92</f>
        <v>9.0899999999999995E-2</v>
      </c>
      <c r="G62" s="127">
        <f>F62*$G$53</f>
        <v>117.08</v>
      </c>
      <c r="H62" s="122"/>
      <c r="I62" s="122"/>
    </row>
    <row r="63" spans="1:9" s="68" customFormat="1" ht="15.75" thickTop="1" thickBot="1" x14ac:dyDescent="0.25">
      <c r="A63" s="1121" t="s">
        <v>2</v>
      </c>
      <c r="B63" s="1655" t="str">
        <f>Dados!B93</f>
        <v xml:space="preserve"> Férias e Adicional de Férias</v>
      </c>
      <c r="C63" s="1655"/>
      <c r="D63" s="1655"/>
      <c r="E63" s="1655"/>
      <c r="F63" s="138">
        <f>Dados!G93</f>
        <v>0.1212</v>
      </c>
      <c r="G63" s="127">
        <f>F63*$G$53</f>
        <v>156.1</v>
      </c>
      <c r="H63" s="122"/>
      <c r="I63" s="122"/>
    </row>
    <row r="64" spans="1:9" s="68" customFormat="1" ht="18.75" customHeight="1" thickTop="1" thickBot="1" x14ac:dyDescent="0.25">
      <c r="A64" s="1644" t="s">
        <v>232</v>
      </c>
      <c r="B64" s="1645"/>
      <c r="C64" s="1645"/>
      <c r="D64" s="1645"/>
      <c r="E64" s="1646"/>
      <c r="F64" s="139">
        <f>SUM(F62:F63)</f>
        <v>0.21210000000000001</v>
      </c>
      <c r="G64" s="133">
        <f>SUM(G62:G63)</f>
        <v>273.18</v>
      </c>
      <c r="H64" s="122"/>
      <c r="I64" s="623"/>
    </row>
    <row r="65" spans="1:9" s="68" customFormat="1" ht="15" hidden="1" customHeight="1" thickTop="1" x14ac:dyDescent="0.2">
      <c r="A65" s="1618" t="s">
        <v>736</v>
      </c>
      <c r="B65" s="1618"/>
      <c r="C65" s="1618"/>
      <c r="D65" s="1618"/>
      <c r="E65" s="1618"/>
      <c r="F65" s="1618"/>
      <c r="G65" s="1618"/>
      <c r="H65" s="122"/>
      <c r="I65" s="623"/>
    </row>
    <row r="66" spans="1:9" s="68" customFormat="1" hidden="1" x14ac:dyDescent="0.2">
      <c r="A66" s="1618"/>
      <c r="B66" s="1618"/>
      <c r="C66" s="1618"/>
      <c r="D66" s="1618"/>
      <c r="E66" s="1618"/>
      <c r="F66" s="1618"/>
      <c r="G66" s="1618"/>
      <c r="H66" s="122"/>
      <c r="I66" s="623"/>
    </row>
    <row r="67" spans="1:9" s="68" customFormat="1" ht="14.25" hidden="1" customHeight="1" x14ac:dyDescent="0.2">
      <c r="A67" s="1643" t="s">
        <v>934</v>
      </c>
      <c r="B67" s="1643"/>
      <c r="C67" s="1643"/>
      <c r="D67" s="1643"/>
      <c r="E67" s="1643"/>
      <c r="F67" s="1643"/>
      <c r="G67" s="1643"/>
      <c r="H67" s="122"/>
      <c r="I67" s="623"/>
    </row>
    <row r="68" spans="1:9" s="68" customFormat="1" hidden="1" x14ac:dyDescent="0.2">
      <c r="A68" s="1643"/>
      <c r="B68" s="1643"/>
      <c r="C68" s="1643"/>
      <c r="D68" s="1643"/>
      <c r="E68" s="1643"/>
      <c r="F68" s="1643"/>
      <c r="G68" s="1643"/>
      <c r="H68" s="122"/>
      <c r="I68" s="623"/>
    </row>
    <row r="69" spans="1:9" s="68" customFormat="1" ht="14.25" hidden="1" customHeight="1" x14ac:dyDescent="0.2">
      <c r="A69" s="1618" t="s">
        <v>916</v>
      </c>
      <c r="B69" s="1618"/>
      <c r="C69" s="1618"/>
      <c r="D69" s="1618"/>
      <c r="E69" s="1618"/>
      <c r="F69" s="1618"/>
      <c r="G69" s="1618"/>
      <c r="H69" s="122"/>
      <c r="I69" s="623"/>
    </row>
    <row r="70" spans="1:9" s="68" customFormat="1" hidden="1" x14ac:dyDescent="0.2">
      <c r="A70" s="1618"/>
      <c r="B70" s="1618"/>
      <c r="C70" s="1618"/>
      <c r="D70" s="1618"/>
      <c r="E70" s="1618"/>
      <c r="F70" s="1618"/>
      <c r="G70" s="1618"/>
      <c r="H70" s="122"/>
      <c r="I70" s="623"/>
    </row>
    <row r="71" spans="1:9" s="68" customFormat="1" hidden="1" x14ac:dyDescent="0.2">
      <c r="A71" s="1618"/>
      <c r="B71" s="1618"/>
      <c r="C71" s="1618"/>
      <c r="D71" s="1618"/>
      <c r="E71" s="1618"/>
      <c r="F71" s="1618"/>
      <c r="G71" s="1618"/>
      <c r="H71" s="122"/>
      <c r="I71" s="623"/>
    </row>
    <row r="72" spans="1:9" s="68" customFormat="1" ht="15.75" thickTop="1" thickBot="1" x14ac:dyDescent="0.25">
      <c r="A72" s="1122"/>
      <c r="B72" s="1122"/>
      <c r="C72" s="1122"/>
      <c r="D72" s="1122"/>
      <c r="E72" s="1122"/>
      <c r="F72" s="1122"/>
      <c r="G72" s="1122"/>
      <c r="H72" s="122"/>
      <c r="I72" s="623"/>
    </row>
    <row r="73" spans="1:9" s="68" customFormat="1" ht="15.75" customHeight="1" thickTop="1" thickBot="1" x14ac:dyDescent="0.25">
      <c r="A73" s="1652" t="s">
        <v>804</v>
      </c>
      <c r="B73" s="1653"/>
      <c r="C73" s="1653"/>
      <c r="D73" s="1653"/>
      <c r="E73" s="1653"/>
      <c r="F73" s="1654"/>
      <c r="G73" s="1131" t="s">
        <v>121</v>
      </c>
      <c r="H73" s="122"/>
      <c r="I73" s="623"/>
    </row>
    <row r="74" spans="1:9" s="68" customFormat="1" ht="15.75" thickTop="1" thickBot="1" x14ac:dyDescent="0.25">
      <c r="A74" s="1121">
        <v>1</v>
      </c>
      <c r="B74" s="136" t="str">
        <f>A45</f>
        <v>Módulo 1 - Composição da Remuneração</v>
      </c>
      <c r="C74" s="285"/>
      <c r="D74" s="137"/>
      <c r="E74" s="137"/>
      <c r="F74" s="582"/>
      <c r="G74" s="127">
        <f>G53</f>
        <v>1287.96</v>
      </c>
      <c r="H74" s="122"/>
      <c r="I74" s="623"/>
    </row>
    <row r="75" spans="1:9" s="68" customFormat="1" ht="15.75" thickTop="1" thickBot="1" x14ac:dyDescent="0.25">
      <c r="A75" s="1121" t="s">
        <v>732</v>
      </c>
      <c r="B75" s="136" t="str">
        <f>A60</f>
        <v>Submódulo 2.1 - 13º (décimo terceiro) Salário, Férias e Adicional de Férias</v>
      </c>
      <c r="C75" s="285"/>
      <c r="D75" s="137"/>
      <c r="E75" s="137"/>
      <c r="F75" s="582"/>
      <c r="G75" s="127">
        <f>G64</f>
        <v>273.18</v>
      </c>
      <c r="H75" s="122"/>
      <c r="I75" s="122"/>
    </row>
    <row r="76" spans="1:9" s="68" customFormat="1" ht="15.75" thickTop="1" thickBot="1" x14ac:dyDescent="0.25">
      <c r="A76" s="1686" t="s">
        <v>805</v>
      </c>
      <c r="B76" s="1687"/>
      <c r="C76" s="1687"/>
      <c r="D76" s="1687"/>
      <c r="E76" s="1687"/>
      <c r="F76" s="1688"/>
      <c r="G76" s="133">
        <f>SUM(G74:G75)</f>
        <v>1561.14</v>
      </c>
      <c r="H76" s="122"/>
      <c r="I76" s="122"/>
    </row>
    <row r="77" spans="1:9" s="68" customFormat="1" ht="15" thickTop="1" x14ac:dyDescent="0.2">
      <c r="A77" s="1122"/>
      <c r="B77" s="1122"/>
      <c r="C77" s="1122"/>
      <c r="D77" s="1122"/>
      <c r="E77" s="1122"/>
      <c r="F77" s="1122"/>
      <c r="G77" s="1122"/>
      <c r="H77" s="122"/>
      <c r="I77" s="122"/>
    </row>
    <row r="78" spans="1:9" ht="15" thickBot="1" x14ac:dyDescent="0.25">
      <c r="A78" s="134" t="s">
        <v>738</v>
      </c>
      <c r="B78" s="135"/>
      <c r="C78" s="135"/>
      <c r="D78" s="135"/>
      <c r="E78" s="135"/>
      <c r="F78" s="135"/>
      <c r="G78" s="135"/>
      <c r="H78" s="111"/>
      <c r="I78" s="111"/>
    </row>
    <row r="79" spans="1:9" ht="15.75" thickTop="1" thickBot="1" x14ac:dyDescent="0.25">
      <c r="A79" s="1125" t="s">
        <v>731</v>
      </c>
      <c r="B79" s="1635" t="s">
        <v>745</v>
      </c>
      <c r="C79" s="1635"/>
      <c r="D79" s="1635"/>
      <c r="E79" s="1635"/>
      <c r="F79" s="1125" t="s">
        <v>746</v>
      </c>
      <c r="G79" s="1131" t="s">
        <v>121</v>
      </c>
      <c r="H79" s="111"/>
      <c r="I79" s="111"/>
    </row>
    <row r="80" spans="1:9" ht="15.75" thickTop="1" thickBot="1" x14ac:dyDescent="0.25">
      <c r="A80" s="1121" t="s">
        <v>1</v>
      </c>
      <c r="B80" s="136" t="str">
        <f>Dados!B98</f>
        <v>INSS</v>
      </c>
      <c r="C80" s="285"/>
      <c r="D80" s="137"/>
      <c r="E80" s="126"/>
      <c r="F80" s="138">
        <f>Dados!G98</f>
        <v>0.2</v>
      </c>
      <c r="G80" s="127">
        <f t="shared" ref="G80:G87" si="0">$G$76*F80</f>
        <v>312.23</v>
      </c>
      <c r="H80" s="111"/>
      <c r="I80" s="111"/>
    </row>
    <row r="81" spans="1:9" ht="15.75" thickTop="1" thickBot="1" x14ac:dyDescent="0.25">
      <c r="A81" s="1121" t="s">
        <v>2</v>
      </c>
      <c r="B81" s="136" t="str">
        <f>Dados!B99</f>
        <v>Salário Educação</v>
      </c>
      <c r="C81" s="285"/>
      <c r="D81" s="137"/>
      <c r="E81" s="126"/>
      <c r="F81" s="138">
        <f>Dados!G99</f>
        <v>2.5000000000000001E-2</v>
      </c>
      <c r="G81" s="127">
        <f t="shared" si="0"/>
        <v>39.03</v>
      </c>
      <c r="H81" s="111"/>
      <c r="I81" s="111"/>
    </row>
    <row r="82" spans="1:9" ht="15.75" thickTop="1" thickBot="1" x14ac:dyDescent="0.25">
      <c r="A82" s="1121" t="s">
        <v>4</v>
      </c>
      <c r="B82" s="136" t="str">
        <f>Dados!B100</f>
        <v>Seguro Acidente do Trabalho - SAT = RAT x FAP</v>
      </c>
      <c r="C82" s="285"/>
      <c r="D82" s="137"/>
      <c r="E82" s="126"/>
      <c r="F82" s="138">
        <f>Dados!G100</f>
        <v>1.2200000000000001E-2</v>
      </c>
      <c r="G82" s="127">
        <f t="shared" si="0"/>
        <v>19.05</v>
      </c>
      <c r="H82" s="111"/>
      <c r="I82" s="111"/>
    </row>
    <row r="83" spans="1:9" ht="15.75" thickTop="1" thickBot="1" x14ac:dyDescent="0.25">
      <c r="A83" s="1121" t="s">
        <v>5</v>
      </c>
      <c r="B83" s="136" t="str">
        <f>Dados!B101</f>
        <v>SESI ou SESC</v>
      </c>
      <c r="C83" s="285"/>
      <c r="D83" s="137"/>
      <c r="E83" s="126"/>
      <c r="F83" s="138">
        <f>Dados!G101</f>
        <v>1.4999999999999999E-2</v>
      </c>
      <c r="G83" s="127">
        <f t="shared" si="0"/>
        <v>23.42</v>
      </c>
      <c r="H83" s="111"/>
      <c r="I83" s="111"/>
    </row>
    <row r="84" spans="1:9" ht="15.75" thickTop="1" thickBot="1" x14ac:dyDescent="0.25">
      <c r="A84" s="1121" t="s">
        <v>6</v>
      </c>
      <c r="B84" s="136" t="str">
        <f>Dados!B102</f>
        <v>SENAI ou SENAC</v>
      </c>
      <c r="C84" s="285"/>
      <c r="D84" s="137"/>
      <c r="E84" s="126"/>
      <c r="F84" s="138">
        <f>Dados!G102</f>
        <v>0.01</v>
      </c>
      <c r="G84" s="127">
        <f t="shared" si="0"/>
        <v>15.61</v>
      </c>
      <c r="H84" s="111"/>
      <c r="I84" s="111"/>
    </row>
    <row r="85" spans="1:9" ht="15.75" thickTop="1" thickBot="1" x14ac:dyDescent="0.25">
      <c r="A85" s="1121" t="s">
        <v>7</v>
      </c>
      <c r="B85" s="136" t="str">
        <f>Dados!B103</f>
        <v>SEBRAE</v>
      </c>
      <c r="C85" s="285"/>
      <c r="D85" s="137"/>
      <c r="E85" s="126"/>
      <c r="F85" s="138">
        <f>Dados!G103</f>
        <v>6.0000000000000001E-3</v>
      </c>
      <c r="G85" s="127">
        <f t="shared" si="0"/>
        <v>9.3699999999999992</v>
      </c>
      <c r="H85" s="111"/>
      <c r="I85" s="111"/>
    </row>
    <row r="86" spans="1:9" ht="15.75" thickTop="1" thickBot="1" x14ac:dyDescent="0.25">
      <c r="A86" s="1121" t="s">
        <v>8</v>
      </c>
      <c r="B86" s="136" t="str">
        <f>Dados!B104</f>
        <v>INCRA</v>
      </c>
      <c r="C86" s="285"/>
      <c r="D86" s="137"/>
      <c r="E86" s="126"/>
      <c r="F86" s="138">
        <f>Dados!G104</f>
        <v>2E-3</v>
      </c>
      <c r="G86" s="127">
        <f t="shared" si="0"/>
        <v>3.12</v>
      </c>
      <c r="H86" s="111"/>
      <c r="I86" s="111"/>
    </row>
    <row r="87" spans="1:9" ht="15.75" thickTop="1" thickBot="1" x14ac:dyDescent="0.25">
      <c r="A87" s="1121" t="s">
        <v>9</v>
      </c>
      <c r="B87" s="136" t="str">
        <f>Dados!B105</f>
        <v>FGTS</v>
      </c>
      <c r="C87" s="285"/>
      <c r="D87" s="137"/>
      <c r="E87" s="126"/>
      <c r="F87" s="138">
        <f>Dados!G105</f>
        <v>0.08</v>
      </c>
      <c r="G87" s="127">
        <f t="shared" si="0"/>
        <v>124.89</v>
      </c>
      <c r="H87" s="111"/>
      <c r="I87" s="111"/>
    </row>
    <row r="88" spans="1:9" ht="15.75" customHeight="1" thickTop="1" thickBot="1" x14ac:dyDescent="0.25">
      <c r="A88" s="1644" t="s">
        <v>232</v>
      </c>
      <c r="B88" s="1645"/>
      <c r="C88" s="1645"/>
      <c r="D88" s="1645"/>
      <c r="E88" s="1646"/>
      <c r="F88" s="139">
        <f>SUM(F80:F87)</f>
        <v>0.35020000000000001</v>
      </c>
      <c r="G88" s="133">
        <f>SUM(G80:G87)</f>
        <v>546.72</v>
      </c>
      <c r="H88" s="111"/>
      <c r="I88" s="625"/>
    </row>
    <row r="89" spans="1:9" ht="15" hidden="1" customHeight="1" thickTop="1" x14ac:dyDescent="0.2">
      <c r="A89" s="1618" t="s">
        <v>740</v>
      </c>
      <c r="B89" s="1618"/>
      <c r="C89" s="1618"/>
      <c r="D89" s="1618"/>
      <c r="E89" s="1618"/>
      <c r="F89" s="1618"/>
      <c r="G89" s="1618"/>
      <c r="H89" s="111"/>
      <c r="I89" s="111"/>
    </row>
    <row r="90" spans="1:9" ht="33" hidden="1" customHeight="1" x14ac:dyDescent="0.2">
      <c r="A90" s="1618" t="s">
        <v>739</v>
      </c>
      <c r="B90" s="1618"/>
      <c r="C90" s="1618"/>
      <c r="D90" s="1618"/>
      <c r="E90" s="1618"/>
      <c r="F90" s="1618"/>
      <c r="G90" s="1618"/>
      <c r="H90" s="111"/>
      <c r="I90" s="111"/>
    </row>
    <row r="91" spans="1:9" hidden="1" x14ac:dyDescent="0.2">
      <c r="A91" s="577" t="s">
        <v>917</v>
      </c>
      <c r="B91" s="1124"/>
      <c r="C91" s="1124"/>
      <c r="D91" s="1124"/>
      <c r="E91" s="1124"/>
      <c r="F91" s="1124"/>
      <c r="G91" s="1124"/>
      <c r="H91" s="111"/>
      <c r="I91" s="111"/>
    </row>
    <row r="92" spans="1:9" hidden="1" x14ac:dyDescent="0.2">
      <c r="A92" s="577" t="s">
        <v>803</v>
      </c>
      <c r="B92" s="1124"/>
      <c r="C92" s="1124"/>
      <c r="D92" s="1124"/>
      <c r="E92" s="1124"/>
      <c r="F92" s="1124"/>
      <c r="G92" s="1124"/>
      <c r="H92" s="111"/>
      <c r="I92" s="111"/>
    </row>
    <row r="93" spans="1:9" ht="15.75" thickTop="1" x14ac:dyDescent="0.2">
      <c r="A93" s="578"/>
      <c r="B93" s="1124"/>
      <c r="C93" s="1124"/>
      <c r="D93" s="1124"/>
      <c r="E93" s="1124"/>
      <c r="F93" s="1124"/>
      <c r="G93" s="1124"/>
      <c r="H93" s="111"/>
      <c r="I93" s="111"/>
    </row>
    <row r="94" spans="1:9" ht="15" thickBot="1" x14ac:dyDescent="0.25">
      <c r="A94" s="576" t="s">
        <v>741</v>
      </c>
      <c r="B94" s="1124"/>
      <c r="C94" s="1124"/>
      <c r="D94" s="1124"/>
      <c r="E94" s="1124"/>
      <c r="F94" s="1124"/>
      <c r="G94" s="1124"/>
      <c r="H94" s="111"/>
      <c r="I94" s="111"/>
    </row>
    <row r="95" spans="1:9" ht="15.75" thickTop="1" thickBot="1" x14ac:dyDescent="0.25">
      <c r="A95" s="1125" t="s">
        <v>742</v>
      </c>
      <c r="B95" s="1652" t="s">
        <v>26</v>
      </c>
      <c r="C95" s="1653"/>
      <c r="D95" s="1653"/>
      <c r="E95" s="1653"/>
      <c r="F95" s="1125" t="s">
        <v>746</v>
      </c>
      <c r="G95" s="1127" t="s">
        <v>121</v>
      </c>
      <c r="H95" s="111"/>
      <c r="I95" s="111"/>
    </row>
    <row r="96" spans="1:9" ht="15.75" thickTop="1" thickBot="1" x14ac:dyDescent="0.25">
      <c r="A96" s="1631" t="s">
        <v>1</v>
      </c>
      <c r="B96" s="1132" t="str">
        <f>HLOOKUP($F$20,BENEFÍCIOS!$B$25:$O$38,5,FALSE)</f>
        <v>Auxílio Transporte - Cláusula 15ª da CCT</v>
      </c>
      <c r="C96" s="1133"/>
      <c r="D96" s="566"/>
      <c r="E96" s="938">
        <f>INDEX(Dados!$J$27:$M$31,MATCH($C$26,Dados!$J$27:$J$31,0),4)</f>
        <v>22</v>
      </c>
      <c r="F96" s="919">
        <f>Dados!J45</f>
        <v>9.64</v>
      </c>
      <c r="G96" s="299">
        <f>$E$96*F96*$F$14</f>
        <v>212.08</v>
      </c>
      <c r="H96" s="111"/>
      <c r="I96" s="111"/>
    </row>
    <row r="97" spans="1:9" ht="15.75" thickTop="1" thickBot="1" x14ac:dyDescent="0.25">
      <c r="A97" s="1631"/>
      <c r="B97" s="1132" t="str">
        <f>Dados!A46</f>
        <v>Desconto Legal sobre o salário</v>
      </c>
      <c r="C97" s="1133"/>
      <c r="D97" s="566"/>
      <c r="E97" s="940"/>
      <c r="F97" s="937">
        <f>Dados!J46</f>
        <v>0.06</v>
      </c>
      <c r="G97" s="495">
        <f>-MIN(G96,(F97*G47))</f>
        <v>-77.28</v>
      </c>
      <c r="H97" s="111"/>
      <c r="I97" s="111"/>
    </row>
    <row r="98" spans="1:9" ht="15.75" thickTop="1" thickBot="1" x14ac:dyDescent="0.25">
      <c r="A98" s="1675" t="s">
        <v>2</v>
      </c>
      <c r="B98" s="1132" t="str">
        <f>HLOOKUP($F$20,BENEFÍCIOS!$B$25:$O$38,2,FALSE)</f>
        <v>Auxílio Alimentação - Cláusula 14ª da CCT</v>
      </c>
      <c r="C98" s="1133"/>
      <c r="D98" s="566"/>
      <c r="E98" s="938">
        <f>INDEX(Dados!$J$27:$M$31,MATCH($C$26,Dados!$J$27:$J$31,0),4)</f>
        <v>22</v>
      </c>
      <c r="F98" s="939">
        <f>Dados!J48</f>
        <v>35</v>
      </c>
      <c r="G98" s="299">
        <f>(E98*F98)*$F$14</f>
        <v>770</v>
      </c>
      <c r="H98" s="111"/>
      <c r="I98" s="111"/>
    </row>
    <row r="99" spans="1:9" ht="15.75" hidden="1" thickTop="1" thickBot="1" x14ac:dyDescent="0.25">
      <c r="A99" s="1677"/>
      <c r="B99" s="1132" t="str">
        <f>HLOOKUP($F$20,BENEFÍCIOS!$B$25:$O$38,3,FALSE)</f>
        <v>Desconto do Auxílio Alimentação</v>
      </c>
      <c r="C99" s="132"/>
      <c r="D99" s="107"/>
      <c r="E99" s="296"/>
      <c r="F99" s="939">
        <f>Dados!J49</f>
        <v>0</v>
      </c>
      <c r="G99" s="300">
        <f>-F99*E98</f>
        <v>0</v>
      </c>
      <c r="H99" s="111"/>
      <c r="I99" s="111"/>
    </row>
    <row r="100" spans="1:9" ht="15.75" hidden="1" thickTop="1" thickBot="1" x14ac:dyDescent="0.25">
      <c r="A100" s="1121" t="s">
        <v>4</v>
      </c>
      <c r="B100" s="1132" t="str">
        <f>HLOOKUP($F$20,BENEFÍCIOS!$B$25:$O$38,4,FALSE)</f>
        <v>Auxílio Café da Manhã</v>
      </c>
      <c r="C100" s="132"/>
      <c r="D100" s="107"/>
      <c r="E100" s="296"/>
      <c r="F100" s="939">
        <f>Dados!J50</f>
        <v>0</v>
      </c>
      <c r="G100" s="300">
        <f t="shared" ref="G100:G109" si="1">F100*$F$14</f>
        <v>0</v>
      </c>
      <c r="H100" s="111"/>
      <c r="I100" s="111"/>
    </row>
    <row r="101" spans="1:9" ht="15.75" thickTop="1" thickBot="1" x14ac:dyDescent="0.25">
      <c r="A101" s="1678" t="s">
        <v>4</v>
      </c>
      <c r="B101" s="962" t="str">
        <f>HLOOKUP($F$20,BENEFÍCIOS!$B$25:$O$38,6,FALSE) &amp; " " &amp; "(Pagamento por ressarcimento)"</f>
        <v>Plano Ambulatorial - Cláusula 16ª da CCT (Pagamento por ressarcimento)</v>
      </c>
      <c r="C101" s="963"/>
      <c r="D101" s="964"/>
      <c r="E101" s="965"/>
      <c r="F101" s="966"/>
      <c r="G101" s="967">
        <f>F101*$F$14</f>
        <v>0</v>
      </c>
      <c r="H101" s="111"/>
      <c r="I101" s="111"/>
    </row>
    <row r="102" spans="1:9" ht="15.75" hidden="1" thickTop="1" thickBot="1" x14ac:dyDescent="0.25">
      <c r="A102" s="1679"/>
      <c r="B102" s="962" t="str">
        <f>HLOOKUP($F$20,BENEFÍCIOS!$B$25:$O$38,7,FALSE)</f>
        <v>Plano Ambulatorial - Contr. Empresa - Cláusula 16ª da CCT</v>
      </c>
      <c r="C102" s="963"/>
      <c r="D102" s="964"/>
      <c r="E102" s="965"/>
      <c r="F102" s="966">
        <f>Dados!J52</f>
        <v>0</v>
      </c>
      <c r="G102" s="967">
        <f>F102*$F$14</f>
        <v>0</v>
      </c>
      <c r="H102" s="111"/>
      <c r="I102" s="111"/>
    </row>
    <row r="103" spans="1:9" ht="15.75" hidden="1" thickTop="1" thickBot="1" x14ac:dyDescent="0.25">
      <c r="A103" s="1680"/>
      <c r="B103" s="962" t="str">
        <f>HLOOKUP($F$20,BENEFÍCIOS!$B$25:$O$38,8,FALSE)</f>
        <v>Plano Ambulatorial - Contr. Empregado - Cláusula 16ª da CCT</v>
      </c>
      <c r="C103" s="963"/>
      <c r="D103" s="964"/>
      <c r="E103" s="965"/>
      <c r="F103" s="966">
        <f>Dados!J53</f>
        <v>0</v>
      </c>
      <c r="G103" s="967">
        <f>-F103*$F$14</f>
        <v>0</v>
      </c>
      <c r="H103" s="111"/>
      <c r="I103" s="111"/>
    </row>
    <row r="104" spans="1:9" ht="15.75" thickTop="1" thickBot="1" x14ac:dyDescent="0.25">
      <c r="A104" s="1121" t="s">
        <v>5</v>
      </c>
      <c r="B104" s="1132" t="str">
        <f>HLOOKUP($F$20,BENEFÍCIOS!$B$25:$O$38,9,FALSE)</f>
        <v>Seguro de Vida e Assistência Funeral - Cláusula 18ª da CCT</v>
      </c>
      <c r="C104" s="132"/>
      <c r="D104" s="107"/>
      <c r="E104" s="296"/>
      <c r="F104" s="939">
        <f>Dados!J54</f>
        <v>2.2999999999999998</v>
      </c>
      <c r="G104" s="300">
        <f t="shared" si="1"/>
        <v>2.2999999999999998</v>
      </c>
      <c r="H104" s="111"/>
      <c r="I104" s="111"/>
    </row>
    <row r="105" spans="1:9" ht="15.75" thickTop="1" thickBot="1" x14ac:dyDescent="0.25">
      <c r="A105" s="1121" t="s">
        <v>6</v>
      </c>
      <c r="B105" s="1132" t="str">
        <f>HLOOKUP($F$20,BENEFÍCIOS!$B$25:$O$38,10,FALSE) &amp; " " &amp; "(Pagamento por ressarcimento)"</f>
        <v>Assistência Odontológica - Cláusula 17ª da CCT (Pagamento por ressarcimento)</v>
      </c>
      <c r="C105" s="132"/>
      <c r="D105" s="107"/>
      <c r="E105" s="296"/>
      <c r="F105" s="939"/>
      <c r="G105" s="300">
        <f t="shared" si="1"/>
        <v>0</v>
      </c>
      <c r="H105" s="111"/>
      <c r="I105" s="111"/>
    </row>
    <row r="106" spans="1:9" ht="15.75" hidden="1" thickTop="1" thickBot="1" x14ac:dyDescent="0.25">
      <c r="A106" s="1121" t="s">
        <v>8</v>
      </c>
      <c r="B106" s="1132" t="str">
        <f>HLOOKUP($F$20,BENEFÍCIOS!$B$25:$O$38,11,FALSE)</f>
        <v>Auxílio Lazer/Cultura</v>
      </c>
      <c r="C106" s="132"/>
      <c r="D106" s="107"/>
      <c r="E106" s="296"/>
      <c r="F106" s="939">
        <f>Dados!J56</f>
        <v>0</v>
      </c>
      <c r="G106" s="300">
        <f t="shared" si="1"/>
        <v>0</v>
      </c>
      <c r="H106" s="111"/>
      <c r="I106" s="111"/>
    </row>
    <row r="107" spans="1:9" ht="15.75" hidden="1" thickTop="1" thickBot="1" x14ac:dyDescent="0.25">
      <c r="A107" s="1121" t="s">
        <v>9</v>
      </c>
      <c r="B107" s="1132" t="str">
        <f>HLOOKUP($F$20,BENEFÍCIOS!$B$25:$O$38,12,FALSE)</f>
        <v>Treinamento/capacitação/reciclagem - Cláusula 30ª da CCT</v>
      </c>
      <c r="C107" s="132"/>
      <c r="D107" s="107"/>
      <c r="E107" s="296"/>
      <c r="F107" s="939">
        <f>Dados!J57</f>
        <v>0</v>
      </c>
      <c r="G107" s="300">
        <f t="shared" si="1"/>
        <v>0</v>
      </c>
      <c r="H107" s="111"/>
      <c r="I107" s="111"/>
    </row>
    <row r="108" spans="1:9" ht="15.75" hidden="1" thickTop="1" thickBot="1" x14ac:dyDescent="0.25">
      <c r="A108" s="1121" t="s">
        <v>160</v>
      </c>
      <c r="B108" s="1132" t="str">
        <f>HLOOKUP($F$20,BENEFÍCIOS!$B$25:$O$38,13,FALSE)</f>
        <v>Contribuição Assistencial Patronal - Cláusula 61ª da CCT</v>
      </c>
      <c r="C108" s="132"/>
      <c r="D108" s="107"/>
      <c r="E108" s="296"/>
      <c r="F108" s="939">
        <f>Dados!J58</f>
        <v>0</v>
      </c>
      <c r="G108" s="300">
        <f t="shared" si="1"/>
        <v>0</v>
      </c>
      <c r="H108" s="111"/>
      <c r="I108" s="111"/>
    </row>
    <row r="109" spans="1:9" ht="15.75" hidden="1" thickTop="1" thickBot="1" x14ac:dyDescent="0.25">
      <c r="A109" s="1121" t="s">
        <v>627</v>
      </c>
      <c r="B109" s="1132" t="str">
        <f>HLOOKUP($F$20,BENEFÍCIOS!$B$25:$O$38,14,FALSE)</f>
        <v>Auxílio Creche</v>
      </c>
      <c r="C109" s="132"/>
      <c r="D109" s="107"/>
      <c r="E109" s="296"/>
      <c r="F109" s="939">
        <f>Dados!J59</f>
        <v>0</v>
      </c>
      <c r="G109" s="300">
        <f t="shared" si="1"/>
        <v>0</v>
      </c>
      <c r="H109" s="111"/>
      <c r="I109" s="111"/>
    </row>
    <row r="110" spans="1:9" ht="15.75" thickTop="1" thickBot="1" x14ac:dyDescent="0.25">
      <c r="A110" s="1121" t="s">
        <v>7</v>
      </c>
      <c r="B110" s="125" t="s">
        <v>57</v>
      </c>
      <c r="C110" s="132"/>
      <c r="D110" s="107"/>
      <c r="E110" s="296"/>
      <c r="F110" s="939"/>
      <c r="G110" s="301"/>
      <c r="H110" s="111"/>
      <c r="I110" s="111"/>
    </row>
    <row r="111" spans="1:9" ht="18" customHeight="1" thickTop="1" thickBot="1" x14ac:dyDescent="0.25">
      <c r="A111" s="1686" t="s">
        <v>232</v>
      </c>
      <c r="B111" s="1687"/>
      <c r="C111" s="1687"/>
      <c r="D111" s="1687"/>
      <c r="E111" s="1687"/>
      <c r="F111" s="1688"/>
      <c r="G111" s="302">
        <f>SUM(G96,G97,G98,G99,G100,G101,G103,G104,G105,G106,G107,G108,G109,)</f>
        <v>907.1</v>
      </c>
      <c r="H111" s="624"/>
      <c r="I111" s="624"/>
    </row>
    <row r="112" spans="1:9" s="68" customFormat="1" ht="15" hidden="1" customHeight="1" thickTop="1" x14ac:dyDescent="0.2">
      <c r="A112" s="101" t="s">
        <v>744</v>
      </c>
      <c r="B112" s="99"/>
      <c r="C112" s="99"/>
      <c r="D112" s="99"/>
      <c r="E112" s="99"/>
      <c r="F112" s="120"/>
      <c r="G112" s="121"/>
      <c r="H112" s="122"/>
      <c r="I112" s="122"/>
    </row>
    <row r="113" spans="1:10" s="68" customFormat="1" hidden="1" x14ac:dyDescent="0.2">
      <c r="A113" s="1618" t="s">
        <v>743</v>
      </c>
      <c r="B113" s="1618"/>
      <c r="C113" s="1618"/>
      <c r="D113" s="1618"/>
      <c r="E113" s="1618"/>
      <c r="F113" s="1618"/>
      <c r="G113" s="1618"/>
      <c r="H113" s="122"/>
      <c r="I113" s="122"/>
    </row>
    <row r="114" spans="1:10" s="68" customFormat="1" hidden="1" x14ac:dyDescent="0.2">
      <c r="A114" s="1618"/>
      <c r="B114" s="1618"/>
      <c r="C114" s="1618"/>
      <c r="D114" s="1618"/>
      <c r="E114" s="1618"/>
      <c r="F114" s="1618"/>
      <c r="G114" s="1618"/>
      <c r="H114" s="122"/>
      <c r="I114" s="122"/>
    </row>
    <row r="115" spans="1:10" s="68" customFormat="1" ht="15" thickTop="1" x14ac:dyDescent="0.2">
      <c r="A115" s="98"/>
      <c r="B115" s="99"/>
      <c r="C115" s="99"/>
      <c r="D115" s="99"/>
      <c r="E115" s="99"/>
      <c r="F115" s="120"/>
      <c r="G115" s="121"/>
      <c r="H115" s="122"/>
      <c r="I115" s="122"/>
    </row>
    <row r="116" spans="1:10" s="68" customFormat="1" ht="15" thickBot="1" x14ac:dyDescent="0.25">
      <c r="A116" s="576" t="s">
        <v>748</v>
      </c>
      <c r="B116" s="99"/>
      <c r="C116" s="99"/>
      <c r="D116" s="99"/>
      <c r="E116" s="99"/>
      <c r="F116" s="120"/>
      <c r="G116" s="121"/>
      <c r="H116" s="122"/>
      <c r="I116" s="122"/>
    </row>
    <row r="117" spans="1:10" s="68" customFormat="1" ht="15.75" thickTop="1" thickBot="1" x14ac:dyDescent="0.25">
      <c r="A117" s="1131">
        <v>2</v>
      </c>
      <c r="B117" s="1672" t="s">
        <v>749</v>
      </c>
      <c r="C117" s="1673"/>
      <c r="D117" s="1673"/>
      <c r="E117" s="1673"/>
      <c r="F117" s="1674"/>
      <c r="G117" s="1131" t="s">
        <v>121</v>
      </c>
      <c r="H117" s="122"/>
      <c r="I117" s="122"/>
    </row>
    <row r="118" spans="1:10" s="68" customFormat="1" ht="15.75" thickTop="1" thickBot="1" x14ac:dyDescent="0.25">
      <c r="A118" s="112" t="s">
        <v>732</v>
      </c>
      <c r="B118" s="1132" t="str">
        <f>B61</f>
        <v>13º (décimo terceiro) Salário, Férias e Adicional de Férias</v>
      </c>
      <c r="C118" s="131"/>
      <c r="D118" s="131"/>
      <c r="E118" s="131"/>
      <c r="F118" s="288"/>
      <c r="G118" s="123">
        <f>G64</f>
        <v>273.18</v>
      </c>
      <c r="H118" s="122"/>
      <c r="I118" s="122"/>
    </row>
    <row r="119" spans="1:10" s="68" customFormat="1" ht="15.75" thickTop="1" thickBot="1" x14ac:dyDescent="0.25">
      <c r="A119" s="112" t="s">
        <v>731</v>
      </c>
      <c r="B119" s="1132" t="str">
        <f>B79</f>
        <v>GPS, FGTS e outras contribuições</v>
      </c>
      <c r="C119" s="131"/>
      <c r="D119" s="131"/>
      <c r="E119" s="131"/>
      <c r="F119" s="288"/>
      <c r="G119" s="123">
        <f>G88</f>
        <v>546.72</v>
      </c>
      <c r="H119" s="122"/>
      <c r="I119" s="122"/>
    </row>
    <row r="120" spans="1:10" s="68" customFormat="1" ht="15.75" thickTop="1" thickBot="1" x14ac:dyDescent="0.25">
      <c r="A120" s="112" t="s">
        <v>742</v>
      </c>
      <c r="B120" s="1132" t="str">
        <f>B95</f>
        <v>Benefícios Mensais e Diários</v>
      </c>
      <c r="C120" s="131"/>
      <c r="D120" s="131"/>
      <c r="E120" s="131"/>
      <c r="F120" s="288"/>
      <c r="G120" s="123">
        <f>G111</f>
        <v>907.1</v>
      </c>
      <c r="H120" s="122"/>
      <c r="I120" s="122"/>
    </row>
    <row r="121" spans="1:10" s="68" customFormat="1" ht="15.75" thickTop="1" thickBot="1" x14ac:dyDescent="0.25">
      <c r="A121" s="1644" t="s">
        <v>232</v>
      </c>
      <c r="B121" s="1645"/>
      <c r="C121" s="1645"/>
      <c r="D121" s="1645"/>
      <c r="E121" s="1645"/>
      <c r="F121" s="1646"/>
      <c r="G121" s="133">
        <f>SUM(G118:G120)</f>
        <v>1727</v>
      </c>
      <c r="H121" s="122"/>
      <c r="I121" s="622"/>
      <c r="J121" s="620"/>
    </row>
    <row r="122" spans="1:10" s="68" customFormat="1" ht="15" thickTop="1" x14ac:dyDescent="0.2">
      <c r="A122" s="101"/>
      <c r="B122" s="101"/>
      <c r="C122" s="101"/>
      <c r="D122" s="101"/>
      <c r="E122" s="101"/>
      <c r="F122" s="574"/>
      <c r="G122" s="575"/>
      <c r="H122" s="122"/>
      <c r="I122" s="122"/>
    </row>
    <row r="123" spans="1:10" s="68" customFormat="1" ht="15" thickBot="1" x14ac:dyDescent="0.25">
      <c r="A123" s="1629" t="s">
        <v>750</v>
      </c>
      <c r="B123" s="1629"/>
      <c r="C123" s="1629"/>
      <c r="D123" s="1629"/>
      <c r="E123" s="1629"/>
      <c r="F123" s="1629"/>
      <c r="G123" s="1629"/>
      <c r="H123" s="122"/>
      <c r="I123" s="122"/>
    </row>
    <row r="124" spans="1:10" s="68" customFormat="1" ht="15.75" thickTop="1" thickBot="1" x14ac:dyDescent="0.25">
      <c r="A124" s="1125">
        <v>3</v>
      </c>
      <c r="B124" s="1652" t="s">
        <v>99</v>
      </c>
      <c r="C124" s="1653"/>
      <c r="D124" s="1653"/>
      <c r="E124" s="1654"/>
      <c r="F124" s="1125" t="s">
        <v>746</v>
      </c>
      <c r="G124" s="1131" t="s">
        <v>121</v>
      </c>
      <c r="H124" s="122"/>
      <c r="I124" s="122"/>
    </row>
    <row r="125" spans="1:10" s="68" customFormat="1" ht="15.75" thickTop="1" thickBot="1" x14ac:dyDescent="0.25">
      <c r="A125" s="1121" t="s">
        <v>1</v>
      </c>
      <c r="B125" s="136" t="str">
        <f>Dados!B111</f>
        <v>Aviso Prévio Indenizado </v>
      </c>
      <c r="C125" s="285"/>
      <c r="D125" s="137"/>
      <c r="E125" s="126"/>
      <c r="F125" s="138">
        <f>Dados!G111</f>
        <v>2.5000000000000001E-3</v>
      </c>
      <c r="G125" s="127">
        <f>F125*$G$53</f>
        <v>3.22</v>
      </c>
      <c r="H125" s="122"/>
      <c r="I125" s="122"/>
    </row>
    <row r="126" spans="1:10" s="68" customFormat="1" ht="15.75" thickTop="1" thickBot="1" x14ac:dyDescent="0.25">
      <c r="A126" s="1121" t="s">
        <v>2</v>
      </c>
      <c r="B126" s="136" t="str">
        <f>Dados!B112</f>
        <v>Incidência do FGTS sobre aviso prévio indenizado</v>
      </c>
      <c r="C126" s="285"/>
      <c r="D126" s="137"/>
      <c r="E126" s="126"/>
      <c r="F126" s="138">
        <f>Dados!G112</f>
        <v>2.0000000000000001E-4</v>
      </c>
      <c r="G126" s="127">
        <f t="shared" ref="G126:G130" si="2">F126*$G$53</f>
        <v>0.26</v>
      </c>
      <c r="H126" s="122"/>
      <c r="I126" s="122"/>
    </row>
    <row r="127" spans="1:10" s="68" customFormat="1" ht="15.75" thickTop="1" thickBot="1" x14ac:dyDescent="0.25">
      <c r="A127" s="1121" t="s">
        <v>4</v>
      </c>
      <c r="B127" s="136" t="str">
        <f>Dados!B113</f>
        <v>Multa do FGTS e contribuição social sobre o Aviso Prévio Indenizado</v>
      </c>
      <c r="C127" s="285"/>
      <c r="D127" s="137"/>
      <c r="E127" s="126"/>
      <c r="F127" s="138">
        <f>Dados!G113</f>
        <v>0</v>
      </c>
      <c r="G127" s="127">
        <f t="shared" si="2"/>
        <v>0</v>
      </c>
      <c r="H127" s="122"/>
      <c r="I127" s="122"/>
    </row>
    <row r="128" spans="1:10" s="68" customFormat="1" ht="15.75" thickTop="1" thickBot="1" x14ac:dyDescent="0.25">
      <c r="A128" s="1121" t="s">
        <v>5</v>
      </c>
      <c r="B128" s="136" t="str">
        <f>Dados!B114</f>
        <v>Aviso Prévio Trabalhado</v>
      </c>
      <c r="C128" s="285"/>
      <c r="D128" s="137"/>
      <c r="E128" s="126"/>
      <c r="F128" s="138">
        <f>Dados!G114</f>
        <v>1.9400000000000001E-2</v>
      </c>
      <c r="G128" s="127">
        <f t="shared" si="2"/>
        <v>24.99</v>
      </c>
      <c r="H128" s="122"/>
      <c r="I128" s="122"/>
    </row>
    <row r="129" spans="1:13" s="68" customFormat="1" ht="15.75" thickTop="1" thickBot="1" x14ac:dyDescent="0.25">
      <c r="A129" s="1121" t="s">
        <v>6</v>
      </c>
      <c r="B129" s="136" t="str">
        <f>Dados!B115</f>
        <v>Incidência de GPS, FGTS e outras contribuições sobre o aviso prévio trabalhado</v>
      </c>
      <c r="C129" s="285"/>
      <c r="D129" s="137"/>
      <c r="E129" s="126"/>
      <c r="F129" s="138">
        <f>Dados!G115</f>
        <v>6.7999999999999996E-3</v>
      </c>
      <c r="G129" s="127">
        <f t="shared" si="2"/>
        <v>8.76</v>
      </c>
      <c r="H129" s="122"/>
      <c r="I129" s="122"/>
    </row>
    <row r="130" spans="1:13" s="68" customFormat="1" ht="15.75" thickTop="1" thickBot="1" x14ac:dyDescent="0.25">
      <c r="A130" s="1121" t="s">
        <v>7</v>
      </c>
      <c r="B130" s="136" t="str">
        <f>Dados!B116</f>
        <v>Multa do FGTS e contribuição social sobre o Aviso Prévio Trabalhado</v>
      </c>
      <c r="C130" s="285"/>
      <c r="D130" s="137"/>
      <c r="E130" s="126"/>
      <c r="F130" s="138">
        <f>Dados!G116</f>
        <v>1E-4</v>
      </c>
      <c r="G130" s="127">
        <f t="shared" si="2"/>
        <v>0.13</v>
      </c>
      <c r="H130" s="122"/>
      <c r="I130" s="122"/>
    </row>
    <row r="131" spans="1:13" s="68" customFormat="1" ht="15.75" thickTop="1" thickBot="1" x14ac:dyDescent="0.25">
      <c r="A131" s="1157" t="s">
        <v>7</v>
      </c>
      <c r="B131" s="136" t="str">
        <f>Dados!B117</f>
        <v>Multa do FGTS</v>
      </c>
      <c r="C131" s="285"/>
      <c r="D131" s="137"/>
      <c r="E131" s="126"/>
      <c r="F131" s="138">
        <f>Dados!G117</f>
        <v>3.49E-2</v>
      </c>
      <c r="G131" s="127">
        <f t="shared" ref="G131" si="3">F131*$G$53</f>
        <v>44.95</v>
      </c>
      <c r="H131" s="122"/>
      <c r="I131" s="122"/>
    </row>
    <row r="132" spans="1:13" s="68" customFormat="1" ht="15.75" thickTop="1" thickBot="1" x14ac:dyDescent="0.25">
      <c r="A132" s="1644" t="s">
        <v>232</v>
      </c>
      <c r="B132" s="1645"/>
      <c r="C132" s="1645"/>
      <c r="D132" s="1645"/>
      <c r="E132" s="1646"/>
      <c r="F132" s="139">
        <f>SUM(F125:F131)</f>
        <v>6.3899999999999998E-2</v>
      </c>
      <c r="G132" s="133">
        <f>SUM(G125:G131)</f>
        <v>82.31</v>
      </c>
      <c r="H132" s="122"/>
      <c r="I132" s="618"/>
    </row>
    <row r="133" spans="1:13" s="68" customFormat="1" ht="15" thickTop="1" x14ac:dyDescent="0.2">
      <c r="A133" s="129"/>
      <c r="B133" s="129"/>
      <c r="C133" s="129"/>
      <c r="D133" s="129"/>
      <c r="E133" s="129"/>
      <c r="F133" s="120"/>
      <c r="G133" s="140"/>
      <c r="H133" s="122"/>
      <c r="I133" s="122"/>
    </row>
    <row r="134" spans="1:13" s="68" customFormat="1" x14ac:dyDescent="0.2">
      <c r="A134" s="1629" t="s">
        <v>751</v>
      </c>
      <c r="B134" s="1629"/>
      <c r="C134" s="1629"/>
      <c r="D134" s="1629"/>
      <c r="E134" s="1629"/>
      <c r="F134" s="1629"/>
      <c r="G134" s="1629"/>
      <c r="H134" s="122"/>
      <c r="I134" s="122"/>
    </row>
    <row r="135" spans="1:13" s="68" customFormat="1" ht="14.25" hidden="1" customHeight="1" x14ac:dyDescent="0.2">
      <c r="A135" s="1618" t="s">
        <v>919</v>
      </c>
      <c r="B135" s="1618"/>
      <c r="C135" s="1618"/>
      <c r="D135" s="1618"/>
      <c r="E135" s="1618"/>
      <c r="F135" s="1618"/>
      <c r="G135" s="1618"/>
      <c r="H135" s="122"/>
      <c r="I135" s="122"/>
    </row>
    <row r="136" spans="1:13" s="68" customFormat="1" hidden="1" x14ac:dyDescent="0.2">
      <c r="A136" s="1618"/>
      <c r="B136" s="1618"/>
      <c r="C136" s="1618"/>
      <c r="D136" s="1618"/>
      <c r="E136" s="1618"/>
      <c r="F136" s="1618"/>
      <c r="G136" s="1618"/>
      <c r="H136" s="122"/>
      <c r="I136" s="122"/>
    </row>
    <row r="137" spans="1:13" s="68" customFormat="1" hidden="1" x14ac:dyDescent="0.2">
      <c r="A137" s="101" t="s">
        <v>935</v>
      </c>
      <c r="B137" s="1124"/>
      <c r="C137" s="1124"/>
      <c r="D137" s="1124"/>
      <c r="E137" s="1124"/>
      <c r="F137" s="1124"/>
      <c r="G137" s="1124"/>
      <c r="H137" s="122"/>
      <c r="I137" s="122"/>
    </row>
    <row r="138" spans="1:13" s="68" customFormat="1" ht="15" thickBot="1" x14ac:dyDescent="0.25">
      <c r="A138" s="576" t="s">
        <v>929</v>
      </c>
      <c r="B138" s="1124"/>
      <c r="C138" s="1124"/>
      <c r="D138" s="1124"/>
      <c r="E138" s="785"/>
      <c r="F138" s="1124"/>
      <c r="G138" s="1124"/>
      <c r="H138" s="762"/>
      <c r="I138" s="629"/>
      <c r="J138" s="620"/>
    </row>
    <row r="139" spans="1:13" s="68" customFormat="1" ht="15.75" thickTop="1" thickBot="1" x14ac:dyDescent="0.25">
      <c r="A139" s="1125" t="s">
        <v>48</v>
      </c>
      <c r="B139" s="1652" t="s">
        <v>930</v>
      </c>
      <c r="C139" s="1653"/>
      <c r="D139" s="1653"/>
      <c r="E139" s="1654"/>
      <c r="F139" s="1125" t="s">
        <v>746</v>
      </c>
      <c r="G139" s="1131" t="s">
        <v>121</v>
      </c>
      <c r="H139" s="763"/>
      <c r="I139" s="623"/>
      <c r="J139" s="626"/>
      <c r="K139" s="626"/>
      <c r="L139" s="621"/>
    </row>
    <row r="140" spans="1:13" s="68" customFormat="1" ht="15.75" thickTop="1" thickBot="1" x14ac:dyDescent="0.25">
      <c r="A140" s="1121" t="s">
        <v>1</v>
      </c>
      <c r="B140" s="136" t="str">
        <f>Dados!B122</f>
        <v>Substituto na cobertura de Férias</v>
      </c>
      <c r="C140" s="285"/>
      <c r="D140" s="137"/>
      <c r="E140" s="285"/>
      <c r="F140" s="138">
        <f>Dados!G122</f>
        <v>7.6E-3</v>
      </c>
      <c r="G140" s="127">
        <f>$G$53*F140</f>
        <v>9.7899999999999991</v>
      </c>
      <c r="H140" s="764"/>
      <c r="I140" s="626"/>
      <c r="J140" s="626"/>
      <c r="K140" s="619"/>
      <c r="L140" s="619"/>
      <c r="M140" s="626"/>
    </row>
    <row r="141" spans="1:13" s="68" customFormat="1" ht="15.75" thickTop="1" thickBot="1" x14ac:dyDescent="0.25">
      <c r="A141" s="1121" t="s">
        <v>2</v>
      </c>
      <c r="B141" s="136" t="str">
        <f>Dados!B123</f>
        <v>Substituto na cobertura de Ausências Legais</v>
      </c>
      <c r="C141" s="285"/>
      <c r="D141" s="137"/>
      <c r="E141" s="285"/>
      <c r="F141" s="138">
        <f>Dados!G123</f>
        <v>1E-4</v>
      </c>
      <c r="G141" s="127">
        <f t="shared" ref="G141:G145" si="4">$G$53*F141</f>
        <v>0.13</v>
      </c>
      <c r="H141" s="765"/>
      <c r="K141" s="626"/>
      <c r="M141" s="626"/>
    </row>
    <row r="142" spans="1:13" s="68" customFormat="1" ht="15.75" thickTop="1" thickBot="1" x14ac:dyDescent="0.25">
      <c r="A142" s="1121" t="s">
        <v>4</v>
      </c>
      <c r="B142" s="136" t="str">
        <f>Dados!B124</f>
        <v>Substituto na cobertura de Licença-Paternidade</v>
      </c>
      <c r="C142" s="285"/>
      <c r="D142" s="137"/>
      <c r="E142" s="285"/>
      <c r="F142" s="138">
        <f>Dados!G124</f>
        <v>1E-4</v>
      </c>
      <c r="G142" s="127">
        <f t="shared" si="4"/>
        <v>0.13</v>
      </c>
      <c r="H142" s="764"/>
      <c r="J142" s="619"/>
      <c r="K142" s="626"/>
      <c r="M142" s="626"/>
    </row>
    <row r="143" spans="1:13" s="68" customFormat="1" ht="15.75" thickTop="1" thickBot="1" x14ac:dyDescent="0.25">
      <c r="A143" s="1121" t="s">
        <v>5</v>
      </c>
      <c r="B143" s="136" t="str">
        <f>Dados!B125</f>
        <v>Substituto na cobertura de Ausência por acidente de trabalho</v>
      </c>
      <c r="C143" s="285"/>
      <c r="D143" s="137"/>
      <c r="E143" s="285"/>
      <c r="F143" s="138">
        <f>Dados!G125</f>
        <v>1E-4</v>
      </c>
      <c r="G143" s="127">
        <f t="shared" si="4"/>
        <v>0.13</v>
      </c>
      <c r="H143" s="764"/>
      <c r="K143" s="626"/>
      <c r="M143" s="626"/>
    </row>
    <row r="144" spans="1:13" s="68" customFormat="1" ht="15.75" thickTop="1" thickBot="1" x14ac:dyDescent="0.25">
      <c r="A144" s="1121" t="s">
        <v>6</v>
      </c>
      <c r="B144" s="136" t="str">
        <f>Dados!B126</f>
        <v>Substituto na cobertura de Afastamento Maternidade</v>
      </c>
      <c r="C144" s="285"/>
      <c r="D144" s="137"/>
      <c r="E144" s="285"/>
      <c r="F144" s="138">
        <f>Dados!G126</f>
        <v>1E-4</v>
      </c>
      <c r="G144" s="127">
        <f t="shared" si="4"/>
        <v>0.13</v>
      </c>
      <c r="H144" s="764"/>
      <c r="K144" s="626"/>
      <c r="M144" s="626"/>
    </row>
    <row r="145" spans="1:13" s="68" customFormat="1" ht="15.75" thickTop="1" thickBot="1" x14ac:dyDescent="0.25">
      <c r="A145" s="1121" t="s">
        <v>7</v>
      </c>
      <c r="B145" s="136" t="str">
        <f>Dados!B127</f>
        <v>Substituto na cobertura de outras ausências (licença por doença)</v>
      </c>
      <c r="C145" s="285"/>
      <c r="D145" s="137"/>
      <c r="E145" s="285"/>
      <c r="F145" s="138">
        <f>Dados!G127</f>
        <v>0</v>
      </c>
      <c r="G145" s="127">
        <f t="shared" si="4"/>
        <v>0</v>
      </c>
      <c r="H145" s="764"/>
      <c r="K145" s="626"/>
      <c r="M145" s="627"/>
    </row>
    <row r="146" spans="1:13" s="68" customFormat="1" ht="15.75" customHeight="1" thickTop="1" thickBot="1" x14ac:dyDescent="0.25">
      <c r="A146" s="1644" t="s">
        <v>232</v>
      </c>
      <c r="B146" s="1645"/>
      <c r="C146" s="1645"/>
      <c r="D146" s="1645"/>
      <c r="E146" s="1646"/>
      <c r="F146" s="139">
        <f>SUM(F140:F145)</f>
        <v>8.0000000000000002E-3</v>
      </c>
      <c r="G146" s="128">
        <f>SUM(G140:G145)</f>
        <v>10.31</v>
      </c>
      <c r="H146" s="766"/>
      <c r="I146" s="619"/>
      <c r="J146" s="620"/>
      <c r="K146" s="619"/>
    </row>
    <row r="147" spans="1:13" s="68" customFormat="1" ht="15" hidden="1" customHeight="1" thickTop="1" x14ac:dyDescent="0.2">
      <c r="A147" s="1618" t="s">
        <v>936</v>
      </c>
      <c r="B147" s="1618"/>
      <c r="C147" s="1618"/>
      <c r="D147" s="1618"/>
      <c r="E147" s="1618"/>
      <c r="F147" s="1618"/>
      <c r="G147" s="1618"/>
      <c r="H147" s="122"/>
      <c r="I147" s="122"/>
    </row>
    <row r="148" spans="1:13" s="68" customFormat="1" hidden="1" x14ac:dyDescent="0.2">
      <c r="A148" s="1618"/>
      <c r="B148" s="1618"/>
      <c r="C148" s="1618"/>
      <c r="D148" s="1618"/>
      <c r="E148" s="1618"/>
      <c r="F148" s="1618"/>
      <c r="G148" s="1618"/>
      <c r="H148" s="122"/>
      <c r="I148" s="617"/>
      <c r="J148" s="617"/>
      <c r="K148" s="617"/>
    </row>
    <row r="149" spans="1:13" s="68" customFormat="1" ht="15" thickTop="1" x14ac:dyDescent="0.2">
      <c r="A149" s="1122"/>
      <c r="B149" s="1122"/>
      <c r="C149" s="1122"/>
      <c r="D149" s="1122"/>
      <c r="E149" s="1122"/>
      <c r="F149" s="1122"/>
      <c r="G149" s="1122"/>
      <c r="H149" s="122"/>
      <c r="I149" s="122"/>
    </row>
    <row r="150" spans="1:13" s="68" customFormat="1" ht="15" thickBot="1" x14ac:dyDescent="0.25">
      <c r="A150" s="210" t="s">
        <v>926</v>
      </c>
      <c r="B150" s="1124"/>
      <c r="C150" s="1124"/>
      <c r="D150" s="1124"/>
      <c r="E150" s="1124"/>
      <c r="F150" s="1124"/>
      <c r="G150" s="1124"/>
      <c r="H150" s="122"/>
      <c r="I150" s="619"/>
      <c r="J150" s="621"/>
      <c r="K150" s="621"/>
      <c r="L150" s="619"/>
      <c r="M150" s="621"/>
    </row>
    <row r="151" spans="1:13" s="68" customFormat="1" ht="15.75" thickTop="1" thickBot="1" x14ac:dyDescent="0.25">
      <c r="A151" s="1125" t="s">
        <v>53</v>
      </c>
      <c r="B151" s="1652" t="s">
        <v>927</v>
      </c>
      <c r="C151" s="1653"/>
      <c r="D151" s="1653"/>
      <c r="E151" s="1653"/>
      <c r="F151" s="1654"/>
      <c r="G151" s="1131" t="s">
        <v>121</v>
      </c>
      <c r="H151" s="122"/>
      <c r="I151" s="122"/>
      <c r="K151" s="621"/>
      <c r="L151" s="619"/>
      <c r="M151" s="626"/>
    </row>
    <row r="152" spans="1:13" s="68" customFormat="1" ht="17.25" thickTop="1" thickBot="1" x14ac:dyDescent="0.25">
      <c r="A152" s="1121" t="s">
        <v>1</v>
      </c>
      <c r="B152" s="1683" t="s">
        <v>928</v>
      </c>
      <c r="C152" s="1684"/>
      <c r="D152" s="1684"/>
      <c r="E152" s="1684"/>
      <c r="F152" s="1685"/>
      <c r="G152" s="127">
        <f>ROUND(IF(G52=0,H152,0),2)</f>
        <v>0</v>
      </c>
      <c r="H152" s="628"/>
      <c r="I152" s="122"/>
    </row>
    <row r="153" spans="1:13" s="68" customFormat="1" ht="15.75" customHeight="1" thickTop="1" thickBot="1" x14ac:dyDescent="0.25">
      <c r="A153" s="1644" t="s">
        <v>232</v>
      </c>
      <c r="B153" s="1645"/>
      <c r="C153" s="1645"/>
      <c r="D153" s="1645"/>
      <c r="E153" s="1645"/>
      <c r="F153" s="1646"/>
      <c r="G153" s="128">
        <f>SUM(G147:G152)</f>
        <v>0</v>
      </c>
      <c r="H153" s="122"/>
      <c r="I153" s="122"/>
    </row>
    <row r="154" spans="1:13" s="68" customFormat="1" ht="15" hidden="1" thickTop="1" x14ac:dyDescent="0.2">
      <c r="A154" s="1618" t="s">
        <v>752</v>
      </c>
      <c r="B154" s="1618"/>
      <c r="C154" s="1618"/>
      <c r="D154" s="1618"/>
      <c r="E154" s="1618"/>
      <c r="F154" s="1618"/>
      <c r="G154" s="1618"/>
      <c r="H154" s="122"/>
      <c r="I154" s="122"/>
    </row>
    <row r="155" spans="1:13" s="68" customFormat="1" ht="15.75" hidden="1" customHeight="1" x14ac:dyDescent="0.2">
      <c r="A155" s="1618"/>
      <c r="B155" s="1618"/>
      <c r="C155" s="1618"/>
      <c r="D155" s="1618"/>
      <c r="E155" s="1618"/>
      <c r="F155" s="1618"/>
      <c r="G155" s="1618"/>
      <c r="H155" s="122"/>
      <c r="I155" s="122"/>
    </row>
    <row r="156" spans="1:13" s="68" customFormat="1" ht="15" thickTop="1" x14ac:dyDescent="0.2">
      <c r="A156" s="101"/>
      <c r="B156" s="101"/>
      <c r="C156" s="101"/>
      <c r="D156" s="101"/>
      <c r="E156" s="101"/>
      <c r="F156" s="574"/>
      <c r="G156" s="575"/>
      <c r="H156" s="122"/>
      <c r="I156" s="122"/>
    </row>
    <row r="157" spans="1:13" s="68" customFormat="1" ht="15" thickBot="1" x14ac:dyDescent="0.25">
      <c r="A157" s="576" t="s">
        <v>754</v>
      </c>
      <c r="B157" s="99"/>
      <c r="C157" s="99"/>
      <c r="D157" s="99"/>
      <c r="E157" s="99"/>
      <c r="F157" s="120"/>
      <c r="G157" s="121"/>
      <c r="H157" s="122"/>
      <c r="I157" s="122"/>
    </row>
    <row r="158" spans="1:13" s="68" customFormat="1" ht="15.75" thickTop="1" thickBot="1" x14ac:dyDescent="0.25">
      <c r="A158" s="1131">
        <v>4</v>
      </c>
      <c r="B158" s="1672" t="s">
        <v>753</v>
      </c>
      <c r="C158" s="1673"/>
      <c r="D158" s="1673"/>
      <c r="E158" s="1673"/>
      <c r="F158" s="1674"/>
      <c r="G158" s="1131" t="s">
        <v>121</v>
      </c>
      <c r="H158" s="122"/>
      <c r="I158" s="122"/>
    </row>
    <row r="159" spans="1:13" s="68" customFormat="1" ht="15.75" thickTop="1" thickBot="1" x14ac:dyDescent="0.25">
      <c r="A159" s="112" t="s">
        <v>48</v>
      </c>
      <c r="B159" s="1132" t="str">
        <f>B139</f>
        <v>Substituto nas Ausências Legais</v>
      </c>
      <c r="C159" s="131"/>
      <c r="D159" s="131"/>
      <c r="E159" s="131"/>
      <c r="F159" s="288"/>
      <c r="G159" s="123">
        <f>G146</f>
        <v>10.31</v>
      </c>
      <c r="H159" s="122"/>
      <c r="I159" s="122"/>
    </row>
    <row r="160" spans="1:13" s="68" customFormat="1" ht="15.75" thickTop="1" thickBot="1" x14ac:dyDescent="0.25">
      <c r="A160" s="112" t="s">
        <v>53</v>
      </c>
      <c r="B160" s="1132" t="str">
        <f>B151</f>
        <v>Substituo na Intrajornada</v>
      </c>
      <c r="C160" s="131"/>
      <c r="D160" s="131"/>
      <c r="E160" s="131"/>
      <c r="F160" s="288"/>
      <c r="G160" s="123">
        <f>G153</f>
        <v>0</v>
      </c>
      <c r="H160" s="122"/>
      <c r="I160" s="122"/>
    </row>
    <row r="161" spans="1:9" s="68" customFormat="1" ht="15.75" thickTop="1" thickBot="1" x14ac:dyDescent="0.25">
      <c r="A161" s="1644" t="s">
        <v>232</v>
      </c>
      <c r="B161" s="1645"/>
      <c r="C161" s="1645"/>
      <c r="D161" s="1645"/>
      <c r="E161" s="1645"/>
      <c r="F161" s="1646"/>
      <c r="G161" s="133">
        <f>SUM(G159:G160)</f>
        <v>10.31</v>
      </c>
      <c r="H161" s="122"/>
      <c r="I161" s="122"/>
    </row>
    <row r="162" spans="1:9" s="68" customFormat="1" ht="15" thickTop="1" x14ac:dyDescent="0.2">
      <c r="A162" s="101"/>
      <c r="B162" s="101"/>
      <c r="C162" s="101"/>
      <c r="D162" s="101"/>
      <c r="E162" s="101"/>
      <c r="F162" s="574"/>
      <c r="G162" s="575"/>
      <c r="H162" s="122"/>
      <c r="I162" s="122"/>
    </row>
    <row r="163" spans="1:9" ht="15" thickBot="1" x14ac:dyDescent="0.25">
      <c r="A163" s="1629" t="s">
        <v>756</v>
      </c>
      <c r="B163" s="1629"/>
      <c r="C163" s="1629"/>
      <c r="D163" s="1629"/>
      <c r="E163" s="1629"/>
      <c r="F163" s="1629"/>
      <c r="G163" s="1629"/>
      <c r="H163" s="111"/>
      <c r="I163" s="111"/>
    </row>
    <row r="164" spans="1:9" ht="15.75" thickTop="1" thickBot="1" x14ac:dyDescent="0.25">
      <c r="A164" s="1131">
        <v>5</v>
      </c>
      <c r="B164" s="1672" t="s">
        <v>93</v>
      </c>
      <c r="C164" s="1673"/>
      <c r="D164" s="1673"/>
      <c r="E164" s="1673"/>
      <c r="F164" s="1674"/>
      <c r="G164" s="1131" t="s">
        <v>121</v>
      </c>
      <c r="H164" s="111"/>
      <c r="I164" s="111"/>
    </row>
    <row r="165" spans="1:9" ht="15.75" thickTop="1" thickBot="1" x14ac:dyDescent="0.25">
      <c r="A165" s="112" t="s">
        <v>1</v>
      </c>
      <c r="B165" s="130" t="str">
        <f>Dados!A63</f>
        <v>Uniformes</v>
      </c>
      <c r="C165" s="131"/>
      <c r="D165" s="131"/>
      <c r="E165" s="131"/>
      <c r="F165" s="769">
        <f>Dados!J64</f>
        <v>13</v>
      </c>
      <c r="G165" s="123">
        <f>F165*$F$14</f>
        <v>13</v>
      </c>
      <c r="H165" s="111"/>
      <c r="I165" s="111"/>
    </row>
    <row r="166" spans="1:9" ht="15.75" thickTop="1" thickBot="1" x14ac:dyDescent="0.25">
      <c r="A166" s="112" t="s">
        <v>2</v>
      </c>
      <c r="B166" s="130" t="str">
        <f>Dados!A71</f>
        <v>Materiais</v>
      </c>
      <c r="C166" s="131"/>
      <c r="D166" s="131"/>
      <c r="E166" s="131"/>
      <c r="F166" s="769">
        <f>Dados!J71</f>
        <v>10.38</v>
      </c>
      <c r="G166" s="123">
        <f t="shared" ref="G166:G167" si="5">F166*$F$14</f>
        <v>10.38</v>
      </c>
      <c r="H166" s="111"/>
      <c r="I166" s="111"/>
    </row>
    <row r="167" spans="1:9" ht="15.75" thickTop="1" thickBot="1" x14ac:dyDescent="0.25">
      <c r="A167" s="112" t="s">
        <v>4</v>
      </c>
      <c r="B167" s="1132" t="str">
        <f>Dados!A73</f>
        <v xml:space="preserve">Equipamentos </v>
      </c>
      <c r="C167" s="131"/>
      <c r="D167" s="131"/>
      <c r="E167" s="131"/>
      <c r="F167" s="769"/>
      <c r="G167" s="123">
        <f t="shared" si="5"/>
        <v>0</v>
      </c>
      <c r="H167" s="111"/>
      <c r="I167" s="111"/>
    </row>
    <row r="168" spans="1:9" ht="15.75" thickTop="1" thickBot="1" x14ac:dyDescent="0.25">
      <c r="A168" s="112" t="s">
        <v>5</v>
      </c>
      <c r="B168" s="1132" t="str">
        <f>Dados!A74</f>
        <v>Depreciação e manutenção dos equipamentos</v>
      </c>
      <c r="C168" s="131"/>
      <c r="D168" s="131"/>
      <c r="E168" s="131"/>
      <c r="F168" s="770">
        <f>Dados!I74</f>
        <v>0</v>
      </c>
      <c r="G168" s="123">
        <f>G167*F168</f>
        <v>0</v>
      </c>
      <c r="H168" s="111"/>
      <c r="I168" s="111"/>
    </row>
    <row r="169" spans="1:9" ht="15.75" thickTop="1" thickBot="1" x14ac:dyDescent="0.25">
      <c r="A169" s="112" t="s">
        <v>6</v>
      </c>
      <c r="B169" s="125" t="s">
        <v>57</v>
      </c>
      <c r="C169" s="132"/>
      <c r="D169" s="132"/>
      <c r="E169" s="285"/>
      <c r="F169" s="288"/>
      <c r="G169" s="124"/>
      <c r="H169" s="111"/>
      <c r="I169" s="111"/>
    </row>
    <row r="170" spans="1:9" ht="15.75" thickTop="1" thickBot="1" x14ac:dyDescent="0.25">
      <c r="A170" s="118"/>
      <c r="B170" s="1644" t="s">
        <v>232</v>
      </c>
      <c r="C170" s="1645"/>
      <c r="D170" s="1645"/>
      <c r="E170" s="1645"/>
      <c r="F170" s="1646"/>
      <c r="G170" s="133">
        <f>SUM(G165:G169)</f>
        <v>23.38</v>
      </c>
      <c r="H170" s="111"/>
      <c r="I170" s="111"/>
    </row>
    <row r="171" spans="1:9" s="68" customFormat="1" ht="15" hidden="1" thickTop="1" x14ac:dyDescent="0.2">
      <c r="A171" s="101" t="s">
        <v>757</v>
      </c>
      <c r="B171" s="99"/>
      <c r="C171" s="99"/>
      <c r="D171" s="99"/>
      <c r="E171" s="99"/>
      <c r="F171" s="120"/>
      <c r="G171" s="121"/>
      <c r="H171" s="122"/>
      <c r="I171" s="122"/>
    </row>
    <row r="172" spans="1:9" s="68" customFormat="1" ht="15" thickTop="1" x14ac:dyDescent="0.2">
      <c r="A172" s="98"/>
      <c r="B172" s="99"/>
      <c r="C172" s="99"/>
      <c r="D172" s="99"/>
      <c r="E172" s="99"/>
      <c r="F172" s="120"/>
      <c r="G172" s="121"/>
      <c r="H172" s="122"/>
      <c r="I172" s="122"/>
    </row>
    <row r="173" spans="1:9" ht="15" thickBot="1" x14ac:dyDescent="0.25">
      <c r="A173" s="1629" t="s">
        <v>760</v>
      </c>
      <c r="B173" s="1629"/>
      <c r="C173" s="1629"/>
      <c r="D173" s="1629"/>
      <c r="E173" s="1629"/>
      <c r="F173" s="1629"/>
      <c r="G173" s="1629"/>
      <c r="H173" s="111"/>
    </row>
    <row r="174" spans="1:9" ht="15.75" thickTop="1" thickBot="1" x14ac:dyDescent="0.25">
      <c r="A174" s="1125">
        <v>6</v>
      </c>
      <c r="B174" s="1657" t="s">
        <v>27</v>
      </c>
      <c r="C174" s="1657"/>
      <c r="D174" s="1657"/>
      <c r="E174" s="1657"/>
      <c r="F174" s="1125" t="s">
        <v>746</v>
      </c>
      <c r="G174" s="1131" t="s">
        <v>121</v>
      </c>
      <c r="H174" s="111"/>
      <c r="I174" s="111"/>
    </row>
    <row r="175" spans="1:9" ht="14.25" customHeight="1" thickTop="1" thickBot="1" x14ac:dyDescent="0.25">
      <c r="A175" s="1121" t="s">
        <v>1</v>
      </c>
      <c r="B175" s="141" t="s">
        <v>28</v>
      </c>
      <c r="C175" s="137"/>
      <c r="D175" s="137"/>
      <c r="E175" s="126"/>
      <c r="F175" s="138">
        <f>Dados!J77</f>
        <v>1.0800000000000001E-2</v>
      </c>
      <c r="G175" s="142">
        <f>$G$196*F175</f>
        <v>33.81</v>
      </c>
      <c r="H175" s="111"/>
      <c r="I175" s="111"/>
    </row>
    <row r="176" spans="1:9" ht="14.25" customHeight="1" thickTop="1" thickBot="1" x14ac:dyDescent="0.25">
      <c r="A176" s="1121" t="s">
        <v>2</v>
      </c>
      <c r="B176" s="141" t="s">
        <v>20</v>
      </c>
      <c r="C176" s="137"/>
      <c r="D176" s="137"/>
      <c r="E176" s="126"/>
      <c r="F176" s="138">
        <f>Dados!J78</f>
        <v>0.01</v>
      </c>
      <c r="G176" s="142">
        <f>($G$196+$G$175)*F176</f>
        <v>31.65</v>
      </c>
      <c r="H176" s="111"/>
      <c r="I176" s="111"/>
    </row>
    <row r="177" spans="1:9" ht="14.25" customHeight="1" thickTop="1" thickBot="1" x14ac:dyDescent="0.25">
      <c r="A177" s="1675" t="s">
        <v>4</v>
      </c>
      <c r="B177" s="141" t="s">
        <v>24</v>
      </c>
      <c r="C177" s="296"/>
      <c r="D177" s="137"/>
      <c r="E177" s="920"/>
      <c r="F177" s="921"/>
      <c r="G177" s="939">
        <f>SUM(G175:G176)</f>
        <v>65.459999999999994</v>
      </c>
      <c r="H177" s="111"/>
      <c r="I177" s="111"/>
    </row>
    <row r="178" spans="1:9" ht="14.25" customHeight="1" thickTop="1" thickBot="1" x14ac:dyDescent="0.25">
      <c r="A178" s="1676"/>
      <c r="B178" s="136" t="s">
        <v>103</v>
      </c>
      <c r="C178" s="285"/>
      <c r="D178" s="137"/>
      <c r="E178" s="920"/>
      <c r="F178" s="921"/>
      <c r="G178" s="919"/>
      <c r="H178" s="111"/>
      <c r="I178" s="111"/>
    </row>
    <row r="179" spans="1:9" ht="14.25" customHeight="1" thickTop="1" thickBot="1" x14ac:dyDescent="0.25">
      <c r="A179" s="1676"/>
      <c r="B179" s="136" t="s">
        <v>21</v>
      </c>
      <c r="C179" s="285"/>
      <c r="D179" s="137"/>
      <c r="F179" s="295">
        <f>Dados!F88</f>
        <v>1.17E-2</v>
      </c>
      <c r="G179" s="143">
        <f>(($G$196+$G$175+$G$176)/Dados!$H$88)*F179</f>
        <v>42.27</v>
      </c>
      <c r="H179" s="111"/>
      <c r="I179" s="111"/>
    </row>
    <row r="180" spans="1:9" ht="14.25" customHeight="1" thickTop="1" thickBot="1" x14ac:dyDescent="0.25">
      <c r="A180" s="1676"/>
      <c r="B180" s="136" t="s">
        <v>22</v>
      </c>
      <c r="C180" s="285"/>
      <c r="D180" s="137"/>
      <c r="E180" s="126"/>
      <c r="F180" s="295">
        <f>Dados!E88</f>
        <v>5.3499999999999999E-2</v>
      </c>
      <c r="G180" s="143">
        <f>(($G$196+$G$175+$G$176)/Dados!$H$88)*F180</f>
        <v>193.27</v>
      </c>
      <c r="H180" s="111"/>
      <c r="I180" s="111"/>
    </row>
    <row r="181" spans="1:9" ht="14.25" customHeight="1" thickTop="1" thickBot="1" x14ac:dyDescent="0.25">
      <c r="A181" s="1676"/>
      <c r="B181" s="136" t="s">
        <v>104</v>
      </c>
      <c r="C181" s="285"/>
      <c r="D181" s="137"/>
      <c r="E181" s="126"/>
      <c r="F181" s="138"/>
      <c r="G181" s="142"/>
      <c r="H181" s="111"/>
      <c r="I181" s="111"/>
    </row>
    <row r="182" spans="1:9" ht="14.25" customHeight="1" thickTop="1" thickBot="1" x14ac:dyDescent="0.25">
      <c r="A182" s="1676"/>
      <c r="B182" s="136" t="s">
        <v>29</v>
      </c>
      <c r="C182" s="285"/>
      <c r="D182" s="137"/>
      <c r="E182" s="126"/>
      <c r="F182" s="138"/>
      <c r="G182" s="143"/>
      <c r="H182" s="111"/>
      <c r="I182" s="111"/>
    </row>
    <row r="183" spans="1:9" ht="14.25" customHeight="1" thickTop="1" thickBot="1" x14ac:dyDescent="0.25">
      <c r="A183" s="1676"/>
      <c r="B183" s="136" t="s">
        <v>105</v>
      </c>
      <c r="C183" s="285"/>
      <c r="D183" s="137"/>
      <c r="E183" s="126"/>
      <c r="F183" s="138"/>
      <c r="G183" s="142"/>
      <c r="H183" s="111"/>
      <c r="I183" s="111"/>
    </row>
    <row r="184" spans="1:9" ht="14.25" customHeight="1" thickTop="1" thickBot="1" x14ac:dyDescent="0.25">
      <c r="A184" s="1677"/>
      <c r="B184" s="136" t="s">
        <v>23</v>
      </c>
      <c r="C184" s="285"/>
      <c r="D184" s="137"/>
      <c r="E184" s="126"/>
      <c r="F184" s="295">
        <f>Dados!C88</f>
        <v>0.05</v>
      </c>
      <c r="G184" s="143">
        <f>(($G$196+$G$175+$G$176)/Dados!$H$88)*F184</f>
        <v>180.63</v>
      </c>
      <c r="H184" s="111"/>
      <c r="I184" s="111"/>
    </row>
    <row r="185" spans="1:9" ht="18" customHeight="1" thickTop="1" thickBot="1" x14ac:dyDescent="0.25">
      <c r="A185" s="1644" t="s">
        <v>232</v>
      </c>
      <c r="B185" s="1645"/>
      <c r="C185" s="1645"/>
      <c r="D185" s="1645"/>
      <c r="E185" s="1646"/>
      <c r="F185" s="139">
        <f>SUM(F175:F184)</f>
        <v>0.13600000000000001</v>
      </c>
      <c r="G185" s="144">
        <f>G175+G179+G180+G184+G176</f>
        <v>481.63</v>
      </c>
      <c r="H185" s="111"/>
      <c r="I185" s="111"/>
    </row>
    <row r="186" spans="1:9" ht="15" hidden="1" thickTop="1" x14ac:dyDescent="0.2">
      <c r="A186" s="572" t="s">
        <v>759</v>
      </c>
      <c r="B186" s="145"/>
      <c r="C186" s="145"/>
      <c r="D186" s="145"/>
      <c r="E186" s="145"/>
      <c r="F186" s="145"/>
      <c r="G186" s="146"/>
      <c r="H186" s="111"/>
      <c r="I186" s="111"/>
    </row>
    <row r="187" spans="1:9" hidden="1" x14ac:dyDescent="0.2">
      <c r="A187" s="572" t="s">
        <v>758</v>
      </c>
      <c r="B187" s="145"/>
      <c r="C187" s="145"/>
      <c r="D187" s="145"/>
      <c r="E187" s="145"/>
      <c r="F187" s="145"/>
      <c r="G187" s="146"/>
      <c r="H187" s="111"/>
      <c r="I187" s="111"/>
    </row>
    <row r="188" spans="1:9" ht="15" thickTop="1" x14ac:dyDescent="0.2">
      <c r="A188" s="572"/>
      <c r="B188" s="145"/>
      <c r="C188" s="145"/>
      <c r="D188" s="145"/>
      <c r="E188" s="145"/>
      <c r="F188" s="145"/>
      <c r="G188" s="146"/>
      <c r="H188" s="111"/>
      <c r="I188" s="111"/>
    </row>
    <row r="189" spans="1:9" ht="15" thickBot="1" x14ac:dyDescent="0.25">
      <c r="A189" s="1124" t="s">
        <v>761</v>
      </c>
      <c r="B189" s="145"/>
      <c r="C189" s="145"/>
      <c r="D189" s="145"/>
      <c r="E189" s="145"/>
      <c r="F189" s="145"/>
      <c r="G189" s="146"/>
      <c r="H189" s="111"/>
      <c r="I189" s="111"/>
    </row>
    <row r="190" spans="1:9" ht="16.5" customHeight="1" thickTop="1" thickBot="1" x14ac:dyDescent="0.25">
      <c r="A190" s="1658" t="s">
        <v>718</v>
      </c>
      <c r="B190" s="1658"/>
      <c r="C190" s="1658"/>
      <c r="D190" s="1658"/>
      <c r="E190" s="1658"/>
      <c r="F190" s="1658"/>
      <c r="G190" s="1131" t="s">
        <v>121</v>
      </c>
      <c r="H190" s="111"/>
    </row>
    <row r="191" spans="1:9" ht="14.25" customHeight="1" thickTop="1" thickBot="1" x14ac:dyDescent="0.25">
      <c r="A191" s="1121" t="s">
        <v>1</v>
      </c>
      <c r="B191" s="1132" t="str">
        <f>A45</f>
        <v>Módulo 1 - Composição da Remuneração</v>
      </c>
      <c r="C191" s="1133"/>
      <c r="D191" s="566"/>
      <c r="E191" s="566"/>
      <c r="F191" s="147"/>
      <c r="G191" s="124">
        <f>G53</f>
        <v>1287.96</v>
      </c>
      <c r="H191" s="111"/>
    </row>
    <row r="192" spans="1:9" ht="14.25" customHeight="1" thickTop="1" thickBot="1" x14ac:dyDescent="0.25">
      <c r="A192" s="1121" t="s">
        <v>2</v>
      </c>
      <c r="B192" s="1132" t="str">
        <f>A58</f>
        <v>Módulo 2 - Encargos e Benefícios Anuais, Mensais e Diários</v>
      </c>
      <c r="C192" s="1133"/>
      <c r="D192" s="566"/>
      <c r="E192" s="566"/>
      <c r="F192" s="147"/>
      <c r="G192" s="124">
        <f>G121</f>
        <v>1727</v>
      </c>
      <c r="H192" s="111"/>
    </row>
    <row r="193" spans="1:8" ht="14.25" customHeight="1" thickTop="1" thickBot="1" x14ac:dyDescent="0.25">
      <c r="A193" s="1121" t="s">
        <v>4</v>
      </c>
      <c r="B193" s="1132" t="str">
        <f>A123</f>
        <v>Módulo 3 - Provisão para Rescisão</v>
      </c>
      <c r="C193" s="1133"/>
      <c r="D193" s="566"/>
      <c r="E193" s="566"/>
      <c r="F193" s="147"/>
      <c r="G193" s="124">
        <f>G132</f>
        <v>82.31</v>
      </c>
      <c r="H193" s="111"/>
    </row>
    <row r="194" spans="1:8" ht="14.25" customHeight="1" thickTop="1" thickBot="1" x14ac:dyDescent="0.25">
      <c r="A194" s="1121" t="s">
        <v>5</v>
      </c>
      <c r="B194" s="1132" t="str">
        <f>A134</f>
        <v>Módulo 4 - Custo de Reposição do Profissional</v>
      </c>
      <c r="C194" s="1133"/>
      <c r="D194" s="566"/>
      <c r="E194" s="566"/>
      <c r="F194" s="147"/>
      <c r="G194" s="124">
        <f>G161</f>
        <v>10.31</v>
      </c>
      <c r="H194" s="111"/>
    </row>
    <row r="195" spans="1:8" ht="15.75" hidden="1" thickTop="1" thickBot="1" x14ac:dyDescent="0.25">
      <c r="A195" s="583" t="s">
        <v>6</v>
      </c>
      <c r="B195" s="1132" t="str">
        <f>A163</f>
        <v>Módulo 5 - Insumos Diversos</v>
      </c>
      <c r="C195" s="579"/>
      <c r="D195" s="579"/>
      <c r="E195" s="579"/>
      <c r="F195" s="580"/>
      <c r="G195" s="584">
        <f>G170</f>
        <v>23.38</v>
      </c>
    </row>
    <row r="196" spans="1:8" ht="15.75" thickTop="1" thickBot="1" x14ac:dyDescent="0.25">
      <c r="A196" s="1644" t="s">
        <v>762</v>
      </c>
      <c r="B196" s="1645"/>
      <c r="C196" s="1645"/>
      <c r="D196" s="1645"/>
      <c r="E196" s="1645"/>
      <c r="F196" s="1646"/>
      <c r="G196" s="133">
        <f>SUM(G191:G195)</f>
        <v>3130.96</v>
      </c>
    </row>
    <row r="197" spans="1:8" ht="14.25" customHeight="1" thickTop="1" thickBot="1" x14ac:dyDescent="0.25">
      <c r="A197" s="1121" t="s">
        <v>7</v>
      </c>
      <c r="B197" s="1132" t="str">
        <f>A173</f>
        <v>Módulo 6 - Custos Indiretos, Tributos e Lucro</v>
      </c>
      <c r="C197" s="1133"/>
      <c r="D197" s="566"/>
      <c r="E197" s="566"/>
      <c r="F197" s="147"/>
      <c r="G197" s="124">
        <f>G185</f>
        <v>481.63</v>
      </c>
    </row>
    <row r="198" spans="1:8" ht="15.75" customHeight="1" thickTop="1" thickBot="1" x14ac:dyDescent="0.25">
      <c r="A198" s="1644" t="s">
        <v>687</v>
      </c>
      <c r="B198" s="1645"/>
      <c r="C198" s="1645"/>
      <c r="D198" s="1645"/>
      <c r="E198" s="1645"/>
      <c r="F198" s="1646"/>
      <c r="G198" s="133">
        <f>SUM(G196:G197)</f>
        <v>3612.59</v>
      </c>
    </row>
    <row r="199" spans="1:8" ht="15.75" thickTop="1" thickBot="1" x14ac:dyDescent="0.25">
      <c r="A199" s="1644" t="s">
        <v>1445</v>
      </c>
      <c r="B199" s="1645"/>
      <c r="C199" s="1645"/>
      <c r="D199" s="1645"/>
      <c r="E199" s="1645"/>
      <c r="F199" s="1646"/>
      <c r="G199" s="133">
        <f>Dados!J51+Dados!J55</f>
        <v>170.7</v>
      </c>
    </row>
    <row r="200" spans="1:8" ht="15.75" thickTop="1" thickBot="1" x14ac:dyDescent="0.25">
      <c r="A200" s="1644" t="s">
        <v>687</v>
      </c>
      <c r="B200" s="1645"/>
      <c r="C200" s="1645"/>
      <c r="D200" s="1645"/>
      <c r="E200" s="1645"/>
      <c r="F200" s="1646"/>
      <c r="G200" s="133">
        <f>G198+G199</f>
        <v>3783.29</v>
      </c>
    </row>
    <row r="201" spans="1:8" ht="15" thickTop="1" x14ac:dyDescent="0.2"/>
    <row r="202" spans="1:8" ht="15" hidden="1" thickBot="1" x14ac:dyDescent="0.25">
      <c r="A202" s="1124" t="s">
        <v>763</v>
      </c>
    </row>
    <row r="203" spans="1:8" ht="46.5" hidden="1" customHeight="1" thickTop="1" x14ac:dyDescent="0.2">
      <c r="A203" s="1650" t="s">
        <v>167</v>
      </c>
      <c r="B203" s="1651"/>
      <c r="C203" s="1130" t="s">
        <v>765</v>
      </c>
      <c r="D203" s="1130" t="s">
        <v>764</v>
      </c>
      <c r="E203" s="1130" t="s">
        <v>766</v>
      </c>
      <c r="F203" s="1126" t="s">
        <v>767</v>
      </c>
      <c r="G203" s="1126" t="s">
        <v>768</v>
      </c>
    </row>
    <row r="204" spans="1:8" ht="18" hidden="1" customHeight="1" thickBot="1" x14ac:dyDescent="0.25">
      <c r="A204" s="1659" t="s">
        <v>168</v>
      </c>
      <c r="B204" s="1660"/>
      <c r="C204" s="586" t="s">
        <v>169</v>
      </c>
      <c r="D204" s="586" t="s">
        <v>170</v>
      </c>
      <c r="E204" s="586" t="s">
        <v>171</v>
      </c>
      <c r="F204" s="587" t="s">
        <v>172</v>
      </c>
      <c r="G204" s="587" t="s">
        <v>173</v>
      </c>
    </row>
    <row r="205" spans="1:8" ht="39" hidden="1" customHeight="1" thickTop="1" thickBot="1" x14ac:dyDescent="0.25">
      <c r="A205" s="583" t="s">
        <v>160</v>
      </c>
      <c r="B205" s="1129" t="str">
        <f>F40</f>
        <v>Servente de segunda a sexta-feira - 44 horas semanais</v>
      </c>
      <c r="C205" s="274">
        <f>G198</f>
        <v>3612.59</v>
      </c>
      <c r="D205" s="275">
        <f>F26</f>
        <v>1</v>
      </c>
      <c r="E205" s="276">
        <f>C205*D205</f>
        <v>3612.59</v>
      </c>
      <c r="F205" s="277">
        <f>E26</f>
        <v>27</v>
      </c>
      <c r="G205" s="278">
        <f>E205*F205</f>
        <v>97539.93</v>
      </c>
    </row>
    <row r="206" spans="1:8" ht="15.75" hidden="1" thickTop="1" thickBot="1" x14ac:dyDescent="0.25">
      <c r="A206" s="1644" t="s">
        <v>769</v>
      </c>
      <c r="B206" s="1645"/>
      <c r="C206" s="1645"/>
      <c r="D206" s="1645"/>
      <c r="E206" s="1645"/>
      <c r="F206" s="1646"/>
      <c r="G206" s="133">
        <f>SUM(G205)</f>
        <v>97539.93</v>
      </c>
    </row>
    <row r="207" spans="1:8" ht="15" hidden="1" thickTop="1" x14ac:dyDescent="0.2">
      <c r="A207" s="247"/>
      <c r="B207" s="247"/>
      <c r="C207" s="247"/>
      <c r="D207" s="247"/>
      <c r="E207" s="247"/>
      <c r="F207" s="247"/>
      <c r="G207" s="247"/>
    </row>
    <row r="208" spans="1:8" ht="15" hidden="1" thickBot="1" x14ac:dyDescent="0.25">
      <c r="A208" s="1124" t="s">
        <v>770</v>
      </c>
      <c r="B208" s="247"/>
      <c r="C208" s="247"/>
      <c r="D208" s="247"/>
      <c r="E208" s="247"/>
      <c r="F208" s="247"/>
      <c r="G208" s="247"/>
    </row>
    <row r="209" spans="1:7" ht="15" hidden="1" customHeight="1" thickTop="1" thickBot="1" x14ac:dyDescent="0.25">
      <c r="A209" s="1128"/>
      <c r="B209" s="1656" t="s">
        <v>771</v>
      </c>
      <c r="C209" s="1656"/>
      <c r="D209" s="1656"/>
      <c r="E209" s="1656"/>
      <c r="F209" s="1656"/>
      <c r="G209" s="1656"/>
    </row>
    <row r="210" spans="1:7" ht="15.75" hidden="1" thickTop="1" thickBot="1" x14ac:dyDescent="0.25">
      <c r="A210" s="283"/>
      <c r="B210" s="1647" t="s">
        <v>772</v>
      </c>
      <c r="C210" s="1648"/>
      <c r="D210" s="1648"/>
      <c r="E210" s="1648"/>
      <c r="F210" s="1649"/>
      <c r="G210" s="283" t="s">
        <v>773</v>
      </c>
    </row>
    <row r="211" spans="1:7" ht="15.75" hidden="1" thickTop="1" thickBot="1" x14ac:dyDescent="0.25">
      <c r="A211" s="279" t="s">
        <v>1</v>
      </c>
      <c r="B211" s="287" t="s">
        <v>174</v>
      </c>
      <c r="C211" s="286"/>
      <c r="D211" s="284"/>
      <c r="E211" s="284"/>
      <c r="F211" s="284"/>
      <c r="G211" s="280">
        <f>G198</f>
        <v>3612.59</v>
      </c>
    </row>
    <row r="212" spans="1:7" ht="15.75" hidden="1" thickTop="1" thickBot="1" x14ac:dyDescent="0.25">
      <c r="A212" s="279" t="s">
        <v>2</v>
      </c>
      <c r="B212" s="287" t="s">
        <v>175</v>
      </c>
      <c r="C212" s="286"/>
      <c r="D212" s="284"/>
      <c r="E212" s="284"/>
      <c r="F212" s="284"/>
      <c r="G212" s="280">
        <f>G205</f>
        <v>97539.93</v>
      </c>
    </row>
    <row r="213" spans="1:7" ht="15.75" hidden="1" customHeight="1" thickTop="1" thickBot="1" x14ac:dyDescent="0.25">
      <c r="A213" s="279" t="s">
        <v>4</v>
      </c>
      <c r="B213" s="287" t="s">
        <v>914</v>
      </c>
      <c r="C213" s="286"/>
      <c r="D213" s="284"/>
      <c r="E213" s="284"/>
      <c r="F213" s="284"/>
      <c r="G213" s="280">
        <f>G212*$F$22</f>
        <v>1170479.1599999999</v>
      </c>
    </row>
    <row r="214" spans="1:7" ht="15" hidden="1" thickTop="1" x14ac:dyDescent="0.2">
      <c r="A214" s="68" t="s">
        <v>774</v>
      </c>
    </row>
    <row r="216" spans="1:7" hidden="1" x14ac:dyDescent="0.2"/>
    <row r="217" spans="1:7" hidden="1" x14ac:dyDescent="0.2">
      <c r="A217" s="1124" t="s">
        <v>775</v>
      </c>
    </row>
    <row r="218" spans="1:7" ht="15" hidden="1" thickBot="1" x14ac:dyDescent="0.25">
      <c r="A218" s="145"/>
      <c r="B218" s="585"/>
      <c r="C218" s="585"/>
      <c r="D218" s="585"/>
      <c r="E218" s="585"/>
      <c r="F218" s="585"/>
      <c r="G218" s="585"/>
    </row>
    <row r="219" spans="1:7" ht="15" hidden="1" customHeight="1" thickTop="1" x14ac:dyDescent="0.2">
      <c r="A219" s="1650" t="s">
        <v>776</v>
      </c>
      <c r="B219" s="1661"/>
      <c r="C219" s="1661"/>
      <c r="D219" s="1651"/>
      <c r="E219" s="1668" t="s">
        <v>778</v>
      </c>
      <c r="F219" s="1641" t="s">
        <v>779</v>
      </c>
      <c r="G219" s="1641" t="s">
        <v>54</v>
      </c>
    </row>
    <row r="220" spans="1:7" ht="15" hidden="1" thickBot="1" x14ac:dyDescent="0.25">
      <c r="A220" s="1662"/>
      <c r="B220" s="1663"/>
      <c r="C220" s="1663"/>
      <c r="D220" s="1664"/>
      <c r="E220" s="1669"/>
      <c r="F220" s="1642"/>
      <c r="G220" s="1642"/>
    </row>
    <row r="221" spans="1:7" ht="36" hidden="1" customHeight="1" thickTop="1" thickBot="1" x14ac:dyDescent="0.25">
      <c r="A221" s="588" t="str">
        <f>A205</f>
        <v>I</v>
      </c>
      <c r="B221" s="1665" t="str">
        <f>B205</f>
        <v>Servente de segunda a sexta-feira - 44 horas semanais</v>
      </c>
      <c r="C221" s="1666"/>
      <c r="D221" s="1667"/>
      <c r="E221" s="276">
        <f>E205</f>
        <v>3612.59</v>
      </c>
      <c r="F221" s="277">
        <f>F205</f>
        <v>27</v>
      </c>
      <c r="G221" s="278">
        <f>E221*F221</f>
        <v>97539.93</v>
      </c>
    </row>
    <row r="222" spans="1:7" ht="15.75" hidden="1" customHeight="1" thickTop="1" thickBot="1" x14ac:dyDescent="0.25">
      <c r="A222" s="1644" t="s">
        <v>47</v>
      </c>
      <c r="B222" s="1645"/>
      <c r="C222" s="1645"/>
      <c r="D222" s="1645"/>
      <c r="E222" s="1645"/>
      <c r="F222" s="1646"/>
      <c r="G222" s="133">
        <f>SUM(G221)</f>
        <v>97539.93</v>
      </c>
    </row>
    <row r="223" spans="1:7" hidden="1" x14ac:dyDescent="0.2">
      <c r="A223" s="68" t="s">
        <v>777</v>
      </c>
    </row>
  </sheetData>
  <mergeCells count="97">
    <mergeCell ref="A20:A21"/>
    <mergeCell ref="B20:E21"/>
    <mergeCell ref="F20:G20"/>
    <mergeCell ref="F21:G21"/>
    <mergeCell ref="A5:G5"/>
    <mergeCell ref="A6:G6"/>
    <mergeCell ref="A8:G8"/>
    <mergeCell ref="A9:G9"/>
    <mergeCell ref="A10:G10"/>
    <mergeCell ref="A13:B13"/>
    <mergeCell ref="C13:D13"/>
    <mergeCell ref="A14:B14"/>
    <mergeCell ref="C14:D14"/>
    <mergeCell ref="A17:G17"/>
    <mergeCell ref="F18:G18"/>
    <mergeCell ref="F19:G19"/>
    <mergeCell ref="B38:E38"/>
    <mergeCell ref="F38:G38"/>
    <mergeCell ref="F22:G22"/>
    <mergeCell ref="A24:G24"/>
    <mergeCell ref="A25:B25"/>
    <mergeCell ref="A26:B26"/>
    <mergeCell ref="A27:G28"/>
    <mergeCell ref="A29:G30"/>
    <mergeCell ref="A34:G34"/>
    <mergeCell ref="A35:G35"/>
    <mergeCell ref="A36:G36"/>
    <mergeCell ref="B37:E37"/>
    <mergeCell ref="F37:G37"/>
    <mergeCell ref="B39:E39"/>
    <mergeCell ref="F39:G39"/>
    <mergeCell ref="B40:E40"/>
    <mergeCell ref="F40:G40"/>
    <mergeCell ref="B41:E41"/>
    <mergeCell ref="F41:G41"/>
    <mergeCell ref="A73:F73"/>
    <mergeCell ref="B46:E46"/>
    <mergeCell ref="A53:F53"/>
    <mergeCell ref="A55:G56"/>
    <mergeCell ref="A58:G58"/>
    <mergeCell ref="A60:G60"/>
    <mergeCell ref="B61:E61"/>
    <mergeCell ref="B63:E63"/>
    <mergeCell ref="A64:E64"/>
    <mergeCell ref="A65:G66"/>
    <mergeCell ref="A67:G68"/>
    <mergeCell ref="A69:G71"/>
    <mergeCell ref="B117:F117"/>
    <mergeCell ref="A76:F76"/>
    <mergeCell ref="B79:E79"/>
    <mergeCell ref="A88:E88"/>
    <mergeCell ref="A89:G89"/>
    <mergeCell ref="A90:G90"/>
    <mergeCell ref="B95:E95"/>
    <mergeCell ref="A96:A97"/>
    <mergeCell ref="A98:A99"/>
    <mergeCell ref="A101:A103"/>
    <mergeCell ref="A111:F111"/>
    <mergeCell ref="A113:G114"/>
    <mergeCell ref="A153:F153"/>
    <mergeCell ref="A121:F121"/>
    <mergeCell ref="A123:G123"/>
    <mergeCell ref="B124:E124"/>
    <mergeCell ref="A132:E132"/>
    <mergeCell ref="A134:G134"/>
    <mergeCell ref="A135:G136"/>
    <mergeCell ref="B139:E139"/>
    <mergeCell ref="A146:E146"/>
    <mergeCell ref="A147:G148"/>
    <mergeCell ref="B151:F151"/>
    <mergeCell ref="B152:F152"/>
    <mergeCell ref="A196:F196"/>
    <mergeCell ref="A154:G155"/>
    <mergeCell ref="B158:F158"/>
    <mergeCell ref="A161:F161"/>
    <mergeCell ref="A163:G163"/>
    <mergeCell ref="B164:F164"/>
    <mergeCell ref="B170:F170"/>
    <mergeCell ref="A173:G173"/>
    <mergeCell ref="B174:E174"/>
    <mergeCell ref="A177:A184"/>
    <mergeCell ref="A185:E185"/>
    <mergeCell ref="A190:F190"/>
    <mergeCell ref="A222:F222"/>
    <mergeCell ref="A198:F198"/>
    <mergeCell ref="A203:B203"/>
    <mergeCell ref="A204:B204"/>
    <mergeCell ref="A206:F206"/>
    <mergeCell ref="B209:G209"/>
    <mergeCell ref="B210:F210"/>
    <mergeCell ref="A219:D220"/>
    <mergeCell ref="E219:E220"/>
    <mergeCell ref="F219:F220"/>
    <mergeCell ref="G219:G220"/>
    <mergeCell ref="B221:D221"/>
    <mergeCell ref="A199:F199"/>
    <mergeCell ref="A200:F200"/>
  </mergeCells>
  <dataValidations count="2">
    <dataValidation allowBlank="1" showInputMessage="1" showErrorMessage="1" errorTitle="Atenção" error="Os dias só poderão ser alterados nos Dados." promptTitle="Jornada de Trabalho" prompt="- Alterando a carga horária, automaticamente será alterado os dias trabalhados._x000a_" sqref="C26"/>
    <dataValidation allowBlank="1" showInputMessage="1" showErrorMessage="1" errorTitle="Atenção" error="Não esquecer de buscar os valores e alterar na coluna F - das linhas 50 a 60, em caso de mais de um Sindicato." promptTitle="Benefícios" prompt="- Em caso de mais de um Sindicato em &quot;Dados&quot;, não esquecer de buscar os valores e alterar na coluna F - das linhas 50 a 60." sqref="F96:F110"/>
  </dataValidations>
  <printOptions horizontalCentered="1"/>
  <pageMargins left="0.82677165354330717" right="0.55118110236220474" top="1.5" bottom="0.43307086614173229" header="0.19685039370078741" footer="0.23622047244094491"/>
  <pageSetup paperSize="9" scale="55" fitToHeight="0" orientation="portrait" r:id="rId1"/>
  <headerFooter alignWithMargins="0"/>
  <rowBreaks count="1" manualBreakCount="1">
    <brk id="114" max="6" man="1"/>
  </rowBreaks>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9"/>
  <dimension ref="A1:M223"/>
  <sheetViews>
    <sheetView view="pageBreakPreview" topLeftCell="A127" zoomScale="90" zoomScaleNormal="100" zoomScaleSheetLayoutView="90" workbookViewId="0">
      <selection activeCell="C45" sqref="B45:K48"/>
    </sheetView>
  </sheetViews>
  <sheetFormatPr defaultRowHeight="14.25" x14ac:dyDescent="0.2"/>
  <cols>
    <col min="1" max="1" width="5.85546875" style="68" customWidth="1"/>
    <col min="2" max="2" width="29.42578125" style="68" customWidth="1"/>
    <col min="3" max="3" width="19.7109375" style="68" customWidth="1"/>
    <col min="4" max="4" width="17.140625" style="68" customWidth="1"/>
    <col min="5" max="5" width="18" style="68" customWidth="1"/>
    <col min="6" max="6" width="15.42578125" style="68" customWidth="1"/>
    <col min="7" max="7" width="18" style="97" bestFit="1" customWidth="1"/>
    <col min="8" max="8" width="17.28515625" style="69" bestFit="1" customWidth="1"/>
    <col min="9" max="9" width="15.28515625" style="69" bestFit="1" customWidth="1"/>
    <col min="10" max="11" width="13.42578125" style="69" bestFit="1" customWidth="1"/>
    <col min="12" max="12" width="11.5703125" style="69" bestFit="1" customWidth="1"/>
    <col min="13" max="13" width="12.5703125" style="69" bestFit="1" customWidth="1"/>
    <col min="14" max="16384" width="9.140625" style="69"/>
  </cols>
  <sheetData>
    <row r="1" spans="1:7" ht="11.25" hidden="1" customHeight="1" x14ac:dyDescent="0.2">
      <c r="A1" s="96" t="str">
        <f>Proposta!C83</f>
        <v>Razão Social: BRASFORT ADMINISTRAÇÃO E SERVIÇOS LTDA</v>
      </c>
    </row>
    <row r="2" spans="1:7" ht="11.25" hidden="1" customHeight="1" x14ac:dyDescent="0.2">
      <c r="A2" s="96" t="str">
        <f>Proposta!C84</f>
        <v>CNPJ: 36.770.857/0001-38</v>
      </c>
    </row>
    <row r="3" spans="1:7" hidden="1" x14ac:dyDescent="0.2">
      <c r="A3" s="97"/>
    </row>
    <row r="4" spans="1:7" hidden="1" x14ac:dyDescent="0.2">
      <c r="A4" s="97"/>
    </row>
    <row r="5" spans="1:7" hidden="1" x14ac:dyDescent="0.2">
      <c r="A5" s="1630" t="str">
        <f>Dados!H2</f>
        <v xml:space="preserve">REPACTUAÇÃO CONTRATUAL 20___ - </v>
      </c>
      <c r="B5" s="1630"/>
      <c r="C5" s="1630"/>
      <c r="D5" s="1630"/>
      <c r="E5" s="1630"/>
      <c r="F5" s="1630"/>
      <c r="G5" s="1630"/>
    </row>
    <row r="6" spans="1:7" hidden="1" x14ac:dyDescent="0.2">
      <c r="A6" s="1630" t="str">
        <f>Dados!A10</f>
        <v>CONTRATO Nº __________/201__ - CONTRATANTE - PRESTAÇÃO DE SERVIÇOS --------</v>
      </c>
      <c r="B6" s="1630"/>
      <c r="C6" s="1630"/>
      <c r="D6" s="1630"/>
      <c r="E6" s="1630"/>
      <c r="F6" s="1630"/>
      <c r="G6" s="1630"/>
    </row>
    <row r="7" spans="1:7" x14ac:dyDescent="0.2">
      <c r="A7" s="1123"/>
      <c r="B7" s="1123"/>
      <c r="C7" s="1123"/>
      <c r="D7" s="1123"/>
      <c r="E7" s="1123"/>
      <c r="F7" s="1123"/>
      <c r="G7" s="1123"/>
    </row>
    <row r="8" spans="1:7" ht="18" customHeight="1" x14ac:dyDescent="0.2">
      <c r="A8" s="1637"/>
      <c r="B8" s="1637"/>
      <c r="C8" s="1637"/>
      <c r="D8" s="1637"/>
      <c r="E8" s="1637"/>
      <c r="F8" s="1637"/>
      <c r="G8" s="1637"/>
    </row>
    <row r="9" spans="1:7" x14ac:dyDescent="0.2">
      <c r="A9" s="1637" t="str">
        <f>Dados!$A$11</f>
        <v>PLANILHA DE CUSTOS E FORMAÇÃO DE PREÇOS - CJF</v>
      </c>
      <c r="B9" s="1637"/>
      <c r="C9" s="1637"/>
      <c r="D9" s="1637"/>
      <c r="E9" s="1637"/>
      <c r="F9" s="1637"/>
      <c r="G9" s="1637"/>
    </row>
    <row r="10" spans="1:7" x14ac:dyDescent="0.2">
      <c r="A10" s="1637"/>
      <c r="B10" s="1637"/>
      <c r="C10" s="1637"/>
      <c r="D10" s="1637"/>
      <c r="E10" s="1637"/>
      <c r="F10" s="1637"/>
      <c r="G10" s="1637"/>
    </row>
    <row r="11" spans="1:7" x14ac:dyDescent="0.2">
      <c r="A11" s="98"/>
      <c r="B11" s="98"/>
      <c r="C11" s="98"/>
      <c r="D11" s="98"/>
      <c r="E11" s="98"/>
      <c r="F11" s="98"/>
      <c r="G11" s="98"/>
    </row>
    <row r="12" spans="1:7" ht="15" thickBot="1" x14ac:dyDescent="0.25">
      <c r="A12" s="99"/>
      <c r="B12" s="99"/>
      <c r="C12" s="99"/>
      <c r="D12" s="99"/>
      <c r="E12" s="99"/>
      <c r="F12" s="99"/>
      <c r="G12" s="99"/>
    </row>
    <row r="13" spans="1:7" ht="15.75" customHeight="1" thickTop="1" thickBot="1" x14ac:dyDescent="0.25">
      <c r="A13" s="1631" t="s">
        <v>117</v>
      </c>
      <c r="B13" s="1631"/>
      <c r="C13" s="1670" t="str">
        <f>Dados!$G$14</f>
        <v>0001561-97.2021.4.90.8000</v>
      </c>
      <c r="D13" s="1671"/>
      <c r="E13" s="102"/>
      <c r="F13" s="135"/>
      <c r="G13" s="100"/>
    </row>
    <row r="14" spans="1:7" ht="15.75" customHeight="1" thickTop="1" thickBot="1" x14ac:dyDescent="0.25">
      <c r="A14" s="1631" t="s">
        <v>116</v>
      </c>
      <c r="B14" s="1631"/>
      <c r="C14" s="1619" t="str">
        <f>"Pregão Eletrônico nº:" &amp; " " &amp; Dados!$G$22</f>
        <v>Pregão Eletrônico nº: PE 32/2021</v>
      </c>
      <c r="D14" s="1620"/>
      <c r="E14" s="102"/>
      <c r="F14" s="298">
        <v>1</v>
      </c>
      <c r="G14" s="100"/>
    </row>
    <row r="15" spans="1:7" ht="15.75" customHeight="1" thickTop="1" x14ac:dyDescent="0.2">
      <c r="A15" s="101" t="str">
        <f>"Dia:" &amp; " " &amp; TEXT(Dados!$G$15,"dd/mm/aaaa") &amp; " " &amp; "às" &amp; " " &amp; TEXT(Dados!$G$18,"hh:mm") &amp; " " &amp; "horas"</f>
        <v>Dia: 15/10/2021 às 10:00 horas</v>
      </c>
      <c r="B15" s="101"/>
      <c r="C15" s="101"/>
      <c r="D15" s="99"/>
      <c r="E15" s="102"/>
      <c r="F15" s="297"/>
      <c r="G15" s="104"/>
    </row>
    <row r="16" spans="1:7" ht="15.75" customHeight="1" x14ac:dyDescent="0.2">
      <c r="A16" s="101"/>
      <c r="B16" s="101"/>
      <c r="C16" s="101"/>
      <c r="D16" s="99"/>
      <c r="E16" s="102"/>
      <c r="F16" s="103"/>
      <c r="G16" s="104"/>
    </row>
    <row r="17" spans="1:7" ht="18" customHeight="1" thickBot="1" x14ac:dyDescent="0.25">
      <c r="A17" s="1638" t="s">
        <v>723</v>
      </c>
      <c r="B17" s="1638"/>
      <c r="C17" s="1638"/>
      <c r="D17" s="1638"/>
      <c r="E17" s="1638"/>
      <c r="F17" s="1638"/>
      <c r="G17" s="1638"/>
    </row>
    <row r="18" spans="1:7" ht="16.5" customHeight="1" thickTop="1" thickBot="1" x14ac:dyDescent="0.25">
      <c r="A18" s="1121" t="s">
        <v>1</v>
      </c>
      <c r="B18" s="1132" t="s">
        <v>119</v>
      </c>
      <c r="C18" s="1133"/>
      <c r="D18" s="566"/>
      <c r="E18" s="106"/>
      <c r="F18" s="1639" t="d">
        <f>Dados!G16</f>
        <v>2021-10-21</v>
      </c>
      <c r="G18" s="1640"/>
    </row>
    <row r="19" spans="1:7" ht="16.5" customHeight="1" thickTop="1" thickBot="1" x14ac:dyDescent="0.25">
      <c r="A19" s="1121" t="s">
        <v>2</v>
      </c>
      <c r="B19" s="565" t="s">
        <v>3</v>
      </c>
      <c r="C19" s="566"/>
      <c r="D19" s="566"/>
      <c r="E19" s="107"/>
      <c r="F19" s="1639" t="str">
        <f>Dados!G19</f>
        <v>Brasília - DF</v>
      </c>
      <c r="G19" s="1640"/>
    </row>
    <row r="20" spans="1:7" ht="15" thickTop="1" x14ac:dyDescent="0.2">
      <c r="A20" s="1675" t="s">
        <v>4</v>
      </c>
      <c r="B20" s="1621" t="s">
        <v>118</v>
      </c>
      <c r="C20" s="1622"/>
      <c r="D20" s="1622"/>
      <c r="E20" s="1623"/>
      <c r="F20" s="1681" t="str">
        <f>Dados!N101</f>
        <v>SINDISERVIÇOS/SEAC-DF</v>
      </c>
      <c r="G20" s="1681"/>
    </row>
    <row r="21" spans="1:7" ht="15" thickBot="1" x14ac:dyDescent="0.25">
      <c r="A21" s="1677"/>
      <c r="B21" s="1624"/>
      <c r="C21" s="1625"/>
      <c r="D21" s="1625"/>
      <c r="E21" s="1626"/>
      <c r="F21" s="1627" t="str">
        <f>VLOOKUP(F20,'CCT''S'!$A$7:$J$21,5,FALSE)</f>
        <v>2021/2021</v>
      </c>
      <c r="G21" s="1628"/>
    </row>
    <row r="22" spans="1:7" ht="16.5" customHeight="1" thickTop="1" thickBot="1" x14ac:dyDescent="0.25">
      <c r="A22" s="1121" t="s">
        <v>5</v>
      </c>
      <c r="B22" s="1132" t="s">
        <v>120</v>
      </c>
      <c r="C22" s="1133"/>
      <c r="D22" s="566"/>
      <c r="E22" s="107"/>
      <c r="F22" s="1640">
        <f>Dados!G26</f>
        <v>12</v>
      </c>
      <c r="G22" s="1640"/>
    </row>
    <row r="23" spans="1:7" ht="15" thickTop="1" x14ac:dyDescent="0.2">
      <c r="A23" s="98"/>
      <c r="B23" s="99"/>
      <c r="C23" s="99"/>
      <c r="D23" s="99"/>
      <c r="E23" s="99"/>
      <c r="F23" s="108"/>
      <c r="G23" s="109"/>
    </row>
    <row r="24" spans="1:7" ht="16.5" customHeight="1" thickBot="1" x14ac:dyDescent="0.25">
      <c r="A24" s="1638" t="s">
        <v>722</v>
      </c>
      <c r="B24" s="1638"/>
      <c r="C24" s="1638"/>
      <c r="D24" s="1638"/>
      <c r="E24" s="1638"/>
      <c r="F24" s="1638"/>
      <c r="G24" s="1638"/>
    </row>
    <row r="25" spans="1:7" ht="51" customHeight="1" thickTop="1" thickBot="1" x14ac:dyDescent="0.25">
      <c r="A25" s="1635" t="s">
        <v>89</v>
      </c>
      <c r="B25" s="1635"/>
      <c r="C25" s="1125" t="s">
        <v>194</v>
      </c>
      <c r="D25" s="1125" t="s">
        <v>115</v>
      </c>
      <c r="E25" s="1125" t="s">
        <v>73</v>
      </c>
      <c r="F25" s="1125" t="s">
        <v>195</v>
      </c>
      <c r="G25" s="1125" t="s">
        <v>86</v>
      </c>
    </row>
    <row r="26" spans="1:7" ht="33.75" customHeight="1" thickTop="1" thickBot="1" x14ac:dyDescent="0.25">
      <c r="A26" s="1631" t="str">
        <f>Dados!N86</f>
        <v>Mensageiro</v>
      </c>
      <c r="B26" s="1631"/>
      <c r="C26" s="1121" t="str">
        <f>Dados!J30</f>
        <v>44 horas semanais - 5x2</v>
      </c>
      <c r="D26" s="1121" t="str">
        <f>Dados!G25</f>
        <v>Postos de Serviços</v>
      </c>
      <c r="E26" s="292">
        <f>Dados!R86</f>
        <v>1</v>
      </c>
      <c r="F26" s="292">
        <f>Dados!S86</f>
        <v>1</v>
      </c>
      <c r="G26" s="292">
        <f>E26*F26</f>
        <v>1</v>
      </c>
    </row>
    <row r="27" spans="1:7" ht="14.25" hidden="1" customHeight="1" thickTop="1" x14ac:dyDescent="0.2">
      <c r="A27" s="1634" t="s">
        <v>725</v>
      </c>
      <c r="B27" s="1634"/>
      <c r="C27" s="1634"/>
      <c r="D27" s="1634"/>
      <c r="E27" s="1634"/>
      <c r="F27" s="1634"/>
      <c r="G27" s="1634"/>
    </row>
    <row r="28" spans="1:7" ht="14.25" hidden="1" customHeight="1" x14ac:dyDescent="0.2">
      <c r="A28" s="1618"/>
      <c r="B28" s="1618"/>
      <c r="C28" s="1618"/>
      <c r="D28" s="1618"/>
      <c r="E28" s="1618"/>
      <c r="F28" s="1618"/>
      <c r="G28" s="1618"/>
    </row>
    <row r="29" spans="1:7" ht="14.25" hidden="1" customHeight="1" x14ac:dyDescent="0.2">
      <c r="A29" s="1618" t="s">
        <v>724</v>
      </c>
      <c r="B29" s="1618"/>
      <c r="C29" s="1618"/>
      <c r="D29" s="1618"/>
      <c r="E29" s="1618"/>
      <c r="F29" s="1618"/>
      <c r="G29" s="1618"/>
    </row>
    <row r="30" spans="1:7" ht="14.25" hidden="1" customHeight="1" x14ac:dyDescent="0.2">
      <c r="A30" s="1618"/>
      <c r="B30" s="1618"/>
      <c r="C30" s="1618"/>
      <c r="D30" s="1618"/>
      <c r="E30" s="1618"/>
      <c r="F30" s="1618"/>
      <c r="G30" s="1618"/>
    </row>
    <row r="31" spans="1:7" ht="14.25" customHeight="1" thickTop="1" x14ac:dyDescent="0.2">
      <c r="A31" s="101"/>
      <c r="B31" s="101"/>
      <c r="C31" s="101"/>
      <c r="D31" s="101"/>
      <c r="E31" s="101"/>
      <c r="F31" s="572"/>
      <c r="G31" s="573"/>
    </row>
    <row r="32" spans="1:7" ht="14.25" customHeight="1" x14ac:dyDescent="0.2">
      <c r="A32" s="1124" t="s">
        <v>719</v>
      </c>
      <c r="B32" s="98"/>
      <c r="C32" s="98"/>
      <c r="D32" s="98"/>
      <c r="E32" s="98"/>
      <c r="G32" s="110"/>
    </row>
    <row r="33" spans="1:9" ht="6.75" customHeight="1" x14ac:dyDescent="0.2">
      <c r="A33" s="98"/>
      <c r="B33" s="98"/>
      <c r="C33" s="98"/>
      <c r="D33" s="98"/>
      <c r="E33" s="98"/>
      <c r="G33" s="110"/>
    </row>
    <row r="34" spans="1:9" ht="14.25" customHeight="1" x14ac:dyDescent="0.2">
      <c r="A34" s="1632" t="s">
        <v>159</v>
      </c>
      <c r="B34" s="1632"/>
      <c r="C34" s="1632"/>
      <c r="D34" s="1632"/>
      <c r="E34" s="1632"/>
      <c r="F34" s="1632"/>
      <c r="G34" s="1632"/>
    </row>
    <row r="35" spans="1:9" ht="14.25" customHeight="1" thickBot="1" x14ac:dyDescent="0.25">
      <c r="A35" s="1636" t="s">
        <v>102</v>
      </c>
      <c r="B35" s="1636"/>
      <c r="C35" s="1636"/>
      <c r="D35" s="1636"/>
      <c r="E35" s="1636"/>
      <c r="F35" s="1636"/>
      <c r="G35" s="1636"/>
    </row>
    <row r="36" spans="1:9" ht="15" customHeight="1" thickTop="1" thickBot="1" x14ac:dyDescent="0.25">
      <c r="A36" s="1633" t="s">
        <v>88</v>
      </c>
      <c r="B36" s="1633"/>
      <c r="C36" s="1633"/>
      <c r="D36" s="1633"/>
      <c r="E36" s="1633"/>
      <c r="F36" s="1633"/>
      <c r="G36" s="1633"/>
    </row>
    <row r="37" spans="1:9" ht="15.75" thickTop="1" thickBot="1" x14ac:dyDescent="0.25">
      <c r="A37" s="1121">
        <v>1</v>
      </c>
      <c r="B37" s="1633" t="s">
        <v>89</v>
      </c>
      <c r="C37" s="1633"/>
      <c r="D37" s="1633"/>
      <c r="E37" s="1633"/>
      <c r="F37" s="1631" t="str">
        <f>A26</f>
        <v>Mensageiro</v>
      </c>
      <c r="G37" s="1631"/>
    </row>
    <row r="38" spans="1:9" ht="15.75" thickTop="1" thickBot="1" x14ac:dyDescent="0.25">
      <c r="A38" s="1121">
        <v>2</v>
      </c>
      <c r="B38" s="1633" t="s">
        <v>720</v>
      </c>
      <c r="C38" s="1633"/>
      <c r="D38" s="1633"/>
      <c r="E38" s="1633"/>
      <c r="F38" s="1631" t="str">
        <f>Dados!O86</f>
        <v>5143-20</v>
      </c>
      <c r="G38" s="1631"/>
    </row>
    <row r="39" spans="1:9" ht="15.75" customHeight="1" thickTop="1" thickBot="1" x14ac:dyDescent="0.25">
      <c r="A39" s="1121">
        <v>3</v>
      </c>
      <c r="B39" s="1633" t="s">
        <v>90</v>
      </c>
      <c r="C39" s="1633"/>
      <c r="D39" s="1633"/>
      <c r="E39" s="1633"/>
      <c r="F39" s="1682">
        <f>Dados!U86</f>
        <v>1287.96</v>
      </c>
      <c r="G39" s="1682"/>
    </row>
    <row r="40" spans="1:9" ht="44.25" customHeight="1" thickTop="1" thickBot="1" x14ac:dyDescent="0.25">
      <c r="A40" s="1121">
        <v>4</v>
      </c>
      <c r="B40" s="1633" t="s">
        <v>10</v>
      </c>
      <c r="C40" s="1633"/>
      <c r="D40" s="1633"/>
      <c r="E40" s="1633"/>
      <c r="F40" s="1640" t="str">
        <f>Dados!P86</f>
        <v>Mensageiro de segunda a sexta-feira - 44 horas semanais</v>
      </c>
      <c r="G40" s="1640"/>
    </row>
    <row r="41" spans="1:9" ht="14.25" customHeight="1" thickTop="1" thickBot="1" x14ac:dyDescent="0.25">
      <c r="A41" s="1121">
        <v>5</v>
      </c>
      <c r="B41" s="1633" t="s">
        <v>11</v>
      </c>
      <c r="C41" s="1633"/>
      <c r="D41" s="1633"/>
      <c r="E41" s="1633"/>
      <c r="F41" s="1689" t="d">
        <f>VLOOKUP(F20,'CCT''S'!$A$7:$J$21,6,FALSE)</f>
        <v>2021-01-01</v>
      </c>
      <c r="G41" s="1690"/>
    </row>
    <row r="42" spans="1:9" ht="14.25" hidden="1" customHeight="1" thickTop="1" x14ac:dyDescent="0.2">
      <c r="A42" s="101" t="s">
        <v>726</v>
      </c>
      <c r="B42" s="129"/>
      <c r="C42" s="129"/>
      <c r="D42" s="129"/>
      <c r="E42" s="129"/>
      <c r="F42" s="103"/>
      <c r="G42" s="103"/>
    </row>
    <row r="43" spans="1:9" ht="14.25" hidden="1" customHeight="1" x14ac:dyDescent="0.2">
      <c r="A43" s="101" t="s">
        <v>727</v>
      </c>
      <c r="B43" s="129"/>
      <c r="C43" s="129"/>
      <c r="D43" s="129"/>
      <c r="E43" s="129"/>
      <c r="F43" s="103"/>
      <c r="G43" s="103"/>
    </row>
    <row r="44" spans="1:9" ht="14.25" customHeight="1" thickTop="1" x14ac:dyDescent="0.2">
      <c r="A44" s="98"/>
      <c r="B44" s="129"/>
      <c r="C44" s="129"/>
      <c r="D44" s="129"/>
      <c r="E44" s="129"/>
      <c r="F44" s="103"/>
      <c r="G44" s="103"/>
    </row>
    <row r="45" spans="1:9" s="576" customFormat="1" ht="15" thickBot="1" x14ac:dyDescent="0.25">
      <c r="A45" s="576" t="s">
        <v>30</v>
      </c>
    </row>
    <row r="46" spans="1:9" ht="18" customHeight="1" thickTop="1" thickBot="1" x14ac:dyDescent="0.25">
      <c r="A46" s="1131">
        <v>1</v>
      </c>
      <c r="B46" s="1672" t="s">
        <v>91</v>
      </c>
      <c r="C46" s="1673"/>
      <c r="D46" s="1673"/>
      <c r="E46" s="1674"/>
      <c r="F46" s="1125" t="s">
        <v>746</v>
      </c>
      <c r="G46" s="1131" t="s">
        <v>121</v>
      </c>
      <c r="H46" s="111"/>
      <c r="I46" s="111"/>
    </row>
    <row r="47" spans="1:9" ht="15.75" thickTop="1" thickBot="1" x14ac:dyDescent="0.25">
      <c r="A47" s="112" t="s">
        <v>1</v>
      </c>
      <c r="B47" s="1132" t="s">
        <v>674</v>
      </c>
      <c r="C47" s="1133"/>
      <c r="D47" s="1133"/>
      <c r="E47" s="1134"/>
      <c r="F47" s="115"/>
      <c r="G47" s="116">
        <f>$F$39*F14</f>
        <v>1287.96</v>
      </c>
      <c r="H47" s="111"/>
      <c r="I47" s="111"/>
    </row>
    <row r="48" spans="1:9" ht="15.75" thickTop="1" thickBot="1" x14ac:dyDescent="0.25">
      <c r="A48" s="112" t="s">
        <v>2</v>
      </c>
      <c r="B48" s="1132" t="str">
        <f>Dados!A36</f>
        <v xml:space="preserve">Adicional de Periculosidade </v>
      </c>
      <c r="C48" s="1133"/>
      <c r="D48" s="1133"/>
      <c r="E48" s="1134"/>
      <c r="F48" s="369">
        <f>Dados!G36</f>
        <v>0.3</v>
      </c>
      <c r="G48" s="117"/>
      <c r="H48" s="111"/>
      <c r="I48" s="111"/>
    </row>
    <row r="49" spans="1:9" ht="15.75" thickTop="1" thickBot="1" x14ac:dyDescent="0.25">
      <c r="A49" s="112" t="s">
        <v>4</v>
      </c>
      <c r="B49" s="1132" t="s">
        <v>908</v>
      </c>
      <c r="C49" s="1133"/>
      <c r="D49" s="1133"/>
      <c r="E49" s="1134"/>
      <c r="F49" s="369"/>
      <c r="G49" s="117"/>
      <c r="H49" s="111"/>
      <c r="I49" s="111"/>
    </row>
    <row r="50" spans="1:9" ht="15.75" thickTop="1" thickBot="1" x14ac:dyDescent="0.25">
      <c r="A50" s="112" t="s">
        <v>5</v>
      </c>
      <c r="B50" s="1132" t="s">
        <v>12</v>
      </c>
      <c r="C50" s="1133"/>
      <c r="D50" s="1133"/>
      <c r="E50" s="1134"/>
      <c r="F50" s="369">
        <f>Dados!G39</f>
        <v>0.2</v>
      </c>
      <c r="G50" s="117"/>
      <c r="H50" s="111"/>
      <c r="I50" s="111"/>
    </row>
    <row r="51" spans="1:9" ht="15.75" thickTop="1" thickBot="1" x14ac:dyDescent="0.25">
      <c r="A51" s="112" t="s">
        <v>6</v>
      </c>
      <c r="B51" s="1132" t="s">
        <v>728</v>
      </c>
      <c r="C51" s="1133"/>
      <c r="D51" s="1133"/>
      <c r="E51" s="1134"/>
      <c r="F51" s="369"/>
      <c r="G51" s="117"/>
      <c r="H51" s="111"/>
      <c r="I51" s="111"/>
    </row>
    <row r="52" spans="1:9" ht="15.75" thickTop="1" thickBot="1" x14ac:dyDescent="0.25">
      <c r="A52" s="112" t="s">
        <v>7</v>
      </c>
      <c r="B52" s="1132" t="s">
        <v>57</v>
      </c>
      <c r="C52" s="1133"/>
      <c r="D52" s="1133"/>
      <c r="E52" s="1134"/>
      <c r="F52" s="369"/>
      <c r="G52" s="117"/>
      <c r="H52" s="111"/>
      <c r="I52" s="111"/>
    </row>
    <row r="53" spans="1:9" ht="16.5" customHeight="1" thickTop="1" thickBot="1" x14ac:dyDescent="0.25">
      <c r="A53" s="1644" t="s">
        <v>232</v>
      </c>
      <c r="B53" s="1645"/>
      <c r="C53" s="1645"/>
      <c r="D53" s="1645"/>
      <c r="E53" s="1645"/>
      <c r="F53" s="1646"/>
      <c r="G53" s="119">
        <f>SUM(G47:G52)</f>
        <v>1287.96</v>
      </c>
      <c r="H53" s="111"/>
      <c r="I53" s="111"/>
    </row>
    <row r="54" spans="1:9" s="68" customFormat="1" ht="15" hidden="1" thickTop="1" x14ac:dyDescent="0.2">
      <c r="A54" s="101" t="s">
        <v>729</v>
      </c>
      <c r="B54" s="101"/>
      <c r="C54" s="101"/>
      <c r="D54" s="101"/>
      <c r="E54" s="101"/>
      <c r="F54" s="574"/>
      <c r="G54" s="575"/>
      <c r="H54" s="122"/>
      <c r="I54" s="122"/>
    </row>
    <row r="55" spans="1:9" s="68" customFormat="1" ht="14.25" hidden="1" customHeight="1" x14ac:dyDescent="0.2">
      <c r="A55" s="1618" t="s">
        <v>958</v>
      </c>
      <c r="B55" s="1618"/>
      <c r="C55" s="1618"/>
      <c r="D55" s="1618"/>
      <c r="E55" s="1618"/>
      <c r="F55" s="1618"/>
      <c r="G55" s="1618"/>
      <c r="H55" s="122"/>
      <c r="I55" s="122"/>
    </row>
    <row r="56" spans="1:9" s="68" customFormat="1" hidden="1" x14ac:dyDescent="0.2">
      <c r="A56" s="1618"/>
      <c r="B56" s="1618"/>
      <c r="C56" s="1618"/>
      <c r="D56" s="1618"/>
      <c r="E56" s="1618"/>
      <c r="F56" s="1618"/>
      <c r="G56" s="1618"/>
      <c r="H56" s="122"/>
      <c r="I56" s="122"/>
    </row>
    <row r="57" spans="1:9" s="68" customFormat="1" ht="15" thickTop="1" x14ac:dyDescent="0.2">
      <c r="A57" s="101"/>
      <c r="B57" s="101"/>
      <c r="C57" s="101"/>
      <c r="D57" s="101"/>
      <c r="E57" s="101"/>
      <c r="F57" s="574"/>
      <c r="G57" s="575"/>
      <c r="H57" s="122"/>
      <c r="I57" s="122"/>
    </row>
    <row r="58" spans="1:9" s="68" customFormat="1" x14ac:dyDescent="0.2">
      <c r="A58" s="1629" t="s">
        <v>730</v>
      </c>
      <c r="B58" s="1629"/>
      <c r="C58" s="1629"/>
      <c r="D58" s="1629"/>
      <c r="E58" s="1629"/>
      <c r="F58" s="1629"/>
      <c r="G58" s="1629"/>
      <c r="H58" s="122"/>
      <c r="I58" s="122"/>
    </row>
    <row r="59" spans="1:9" s="68" customFormat="1" ht="5.25" customHeight="1" x14ac:dyDescent="0.2">
      <c r="A59" s="101"/>
      <c r="B59" s="101"/>
      <c r="C59" s="101"/>
      <c r="D59" s="101"/>
      <c r="E59" s="101"/>
      <c r="F59" s="574"/>
      <c r="G59" s="575"/>
      <c r="H59" s="122"/>
      <c r="I59" s="122"/>
    </row>
    <row r="60" spans="1:9" s="68" customFormat="1" ht="15" thickBot="1" x14ac:dyDescent="0.25">
      <c r="A60" s="1632" t="s">
        <v>737</v>
      </c>
      <c r="B60" s="1632"/>
      <c r="C60" s="1632"/>
      <c r="D60" s="1632"/>
      <c r="E60" s="1632"/>
      <c r="F60" s="1632"/>
      <c r="G60" s="1632"/>
      <c r="H60" s="122"/>
      <c r="I60" s="122"/>
    </row>
    <row r="61" spans="1:9" s="68" customFormat="1" ht="15.75" thickTop="1" thickBot="1" x14ac:dyDescent="0.25">
      <c r="A61" s="1125" t="s">
        <v>732</v>
      </c>
      <c r="B61" s="1635" t="s">
        <v>747</v>
      </c>
      <c r="C61" s="1635"/>
      <c r="D61" s="1635"/>
      <c r="E61" s="1635"/>
      <c r="F61" s="1125" t="s">
        <v>746</v>
      </c>
      <c r="G61" s="1131" t="s">
        <v>121</v>
      </c>
      <c r="H61" s="122"/>
      <c r="I61" s="122"/>
    </row>
    <row r="62" spans="1:9" s="68" customFormat="1" ht="15.75" thickTop="1" thickBot="1" x14ac:dyDescent="0.25">
      <c r="A62" s="1121" t="s">
        <v>1</v>
      </c>
      <c r="B62" s="136" t="str">
        <f>Dados!B92</f>
        <v xml:space="preserve">13º (décimo terceiro) salário  </v>
      </c>
      <c r="C62" s="285"/>
      <c r="D62" s="137"/>
      <c r="E62" s="126"/>
      <c r="F62" s="138">
        <f>Dados!G92</f>
        <v>9.0899999999999995E-2</v>
      </c>
      <c r="G62" s="127">
        <f>F62*$G$53</f>
        <v>117.08</v>
      </c>
      <c r="H62" s="122"/>
      <c r="I62" s="122"/>
    </row>
    <row r="63" spans="1:9" s="68" customFormat="1" ht="15.75" thickTop="1" thickBot="1" x14ac:dyDescent="0.25">
      <c r="A63" s="1121" t="s">
        <v>2</v>
      </c>
      <c r="B63" s="1655" t="str">
        <f>Dados!B93</f>
        <v xml:space="preserve"> Férias e Adicional de Férias</v>
      </c>
      <c r="C63" s="1655"/>
      <c r="D63" s="1655"/>
      <c r="E63" s="1655"/>
      <c r="F63" s="138">
        <f>Dados!G93</f>
        <v>0.1212</v>
      </c>
      <c r="G63" s="127">
        <f>F63*$G$53</f>
        <v>156.1</v>
      </c>
      <c r="H63" s="122"/>
      <c r="I63" s="122"/>
    </row>
    <row r="64" spans="1:9" s="68" customFormat="1" ht="18.75" customHeight="1" thickTop="1" thickBot="1" x14ac:dyDescent="0.25">
      <c r="A64" s="1644" t="s">
        <v>232</v>
      </c>
      <c r="B64" s="1645"/>
      <c r="C64" s="1645"/>
      <c r="D64" s="1645"/>
      <c r="E64" s="1646"/>
      <c r="F64" s="139">
        <f>SUM(F62:F63)</f>
        <v>0.21210000000000001</v>
      </c>
      <c r="G64" s="133">
        <f>SUM(G62:G63)</f>
        <v>273.18</v>
      </c>
      <c r="H64" s="122"/>
      <c r="I64" s="623"/>
    </row>
    <row r="65" spans="1:9" s="68" customFormat="1" ht="15" hidden="1" customHeight="1" thickTop="1" x14ac:dyDescent="0.2">
      <c r="A65" s="1618" t="s">
        <v>736</v>
      </c>
      <c r="B65" s="1618"/>
      <c r="C65" s="1618"/>
      <c r="D65" s="1618"/>
      <c r="E65" s="1618"/>
      <c r="F65" s="1618"/>
      <c r="G65" s="1618"/>
      <c r="H65" s="122"/>
      <c r="I65" s="623"/>
    </row>
    <row r="66" spans="1:9" s="68" customFormat="1" hidden="1" x14ac:dyDescent="0.2">
      <c r="A66" s="1618"/>
      <c r="B66" s="1618"/>
      <c r="C66" s="1618"/>
      <c r="D66" s="1618"/>
      <c r="E66" s="1618"/>
      <c r="F66" s="1618"/>
      <c r="G66" s="1618"/>
      <c r="H66" s="122"/>
      <c r="I66" s="623"/>
    </row>
    <row r="67" spans="1:9" s="68" customFormat="1" ht="14.25" hidden="1" customHeight="1" x14ac:dyDescent="0.2">
      <c r="A67" s="1643" t="s">
        <v>934</v>
      </c>
      <c r="B67" s="1643"/>
      <c r="C67" s="1643"/>
      <c r="D67" s="1643"/>
      <c r="E67" s="1643"/>
      <c r="F67" s="1643"/>
      <c r="G67" s="1643"/>
      <c r="H67" s="122"/>
      <c r="I67" s="623"/>
    </row>
    <row r="68" spans="1:9" s="68" customFormat="1" hidden="1" x14ac:dyDescent="0.2">
      <c r="A68" s="1643"/>
      <c r="B68" s="1643"/>
      <c r="C68" s="1643"/>
      <c r="D68" s="1643"/>
      <c r="E68" s="1643"/>
      <c r="F68" s="1643"/>
      <c r="G68" s="1643"/>
      <c r="H68" s="122"/>
      <c r="I68" s="623"/>
    </row>
    <row r="69" spans="1:9" s="68" customFormat="1" ht="14.25" hidden="1" customHeight="1" x14ac:dyDescent="0.2">
      <c r="A69" s="1618" t="s">
        <v>916</v>
      </c>
      <c r="B69" s="1618"/>
      <c r="C69" s="1618"/>
      <c r="D69" s="1618"/>
      <c r="E69" s="1618"/>
      <c r="F69" s="1618"/>
      <c r="G69" s="1618"/>
      <c r="H69" s="122"/>
      <c r="I69" s="623"/>
    </row>
    <row r="70" spans="1:9" s="68" customFormat="1" hidden="1" x14ac:dyDescent="0.2">
      <c r="A70" s="1618"/>
      <c r="B70" s="1618"/>
      <c r="C70" s="1618"/>
      <c r="D70" s="1618"/>
      <c r="E70" s="1618"/>
      <c r="F70" s="1618"/>
      <c r="G70" s="1618"/>
      <c r="H70" s="122"/>
      <c r="I70" s="623"/>
    </row>
    <row r="71" spans="1:9" s="68" customFormat="1" hidden="1" x14ac:dyDescent="0.2">
      <c r="A71" s="1618"/>
      <c r="B71" s="1618"/>
      <c r="C71" s="1618"/>
      <c r="D71" s="1618"/>
      <c r="E71" s="1618"/>
      <c r="F71" s="1618"/>
      <c r="G71" s="1618"/>
      <c r="H71" s="122"/>
      <c r="I71" s="623"/>
    </row>
    <row r="72" spans="1:9" s="68" customFormat="1" ht="15.75" thickTop="1" thickBot="1" x14ac:dyDescent="0.25">
      <c r="A72" s="1122"/>
      <c r="B72" s="1122"/>
      <c r="C72" s="1122"/>
      <c r="D72" s="1122"/>
      <c r="E72" s="1122"/>
      <c r="F72" s="1122"/>
      <c r="G72" s="1122"/>
      <c r="H72" s="122"/>
      <c r="I72" s="623"/>
    </row>
    <row r="73" spans="1:9" s="68" customFormat="1" ht="15.75" customHeight="1" thickTop="1" thickBot="1" x14ac:dyDescent="0.25">
      <c r="A73" s="1652" t="s">
        <v>804</v>
      </c>
      <c r="B73" s="1653"/>
      <c r="C73" s="1653"/>
      <c r="D73" s="1653"/>
      <c r="E73" s="1653"/>
      <c r="F73" s="1654"/>
      <c r="G73" s="1131" t="s">
        <v>121</v>
      </c>
      <c r="H73" s="122"/>
      <c r="I73" s="623"/>
    </row>
    <row r="74" spans="1:9" s="68" customFormat="1" ht="15.75" thickTop="1" thickBot="1" x14ac:dyDescent="0.25">
      <c r="A74" s="1121">
        <v>1</v>
      </c>
      <c r="B74" s="136" t="str">
        <f>A45</f>
        <v>Módulo 1 - Composição da Remuneração</v>
      </c>
      <c r="C74" s="285"/>
      <c r="D74" s="137"/>
      <c r="E74" s="137"/>
      <c r="F74" s="582"/>
      <c r="G74" s="127">
        <f>G53</f>
        <v>1287.96</v>
      </c>
      <c r="H74" s="122"/>
      <c r="I74" s="623"/>
    </row>
    <row r="75" spans="1:9" s="68" customFormat="1" ht="15.75" thickTop="1" thickBot="1" x14ac:dyDescent="0.25">
      <c r="A75" s="1121" t="s">
        <v>732</v>
      </c>
      <c r="B75" s="136" t="str">
        <f>A60</f>
        <v>Submódulo 2.1 - 13º (décimo terceiro) Salário, Férias e Adicional de Férias</v>
      </c>
      <c r="C75" s="285"/>
      <c r="D75" s="137"/>
      <c r="E75" s="137"/>
      <c r="F75" s="582"/>
      <c r="G75" s="127">
        <f>G64</f>
        <v>273.18</v>
      </c>
      <c r="H75" s="122"/>
      <c r="I75" s="122"/>
    </row>
    <row r="76" spans="1:9" s="68" customFormat="1" ht="15.75" thickTop="1" thickBot="1" x14ac:dyDescent="0.25">
      <c r="A76" s="1686" t="s">
        <v>805</v>
      </c>
      <c r="B76" s="1687"/>
      <c r="C76" s="1687"/>
      <c r="D76" s="1687"/>
      <c r="E76" s="1687"/>
      <c r="F76" s="1688"/>
      <c r="G76" s="133">
        <f>SUM(G74:G75)</f>
        <v>1561.14</v>
      </c>
      <c r="H76" s="122"/>
      <c r="I76" s="122"/>
    </row>
    <row r="77" spans="1:9" s="68" customFormat="1" ht="15" thickTop="1" x14ac:dyDescent="0.2">
      <c r="A77" s="1122"/>
      <c r="B77" s="1122"/>
      <c r="C77" s="1122"/>
      <c r="D77" s="1122"/>
      <c r="E77" s="1122"/>
      <c r="F77" s="1122"/>
      <c r="G77" s="1122"/>
      <c r="H77" s="122"/>
      <c r="I77" s="122"/>
    </row>
    <row r="78" spans="1:9" ht="15" thickBot="1" x14ac:dyDescent="0.25">
      <c r="A78" s="134" t="s">
        <v>738</v>
      </c>
      <c r="B78" s="135"/>
      <c r="C78" s="135"/>
      <c r="D78" s="135"/>
      <c r="E78" s="135"/>
      <c r="F78" s="135"/>
      <c r="G78" s="135"/>
      <c r="H78" s="111"/>
      <c r="I78" s="111"/>
    </row>
    <row r="79" spans="1:9" ht="15.75" thickTop="1" thickBot="1" x14ac:dyDescent="0.25">
      <c r="A79" s="1125" t="s">
        <v>731</v>
      </c>
      <c r="B79" s="1635" t="s">
        <v>745</v>
      </c>
      <c r="C79" s="1635"/>
      <c r="D79" s="1635"/>
      <c r="E79" s="1635"/>
      <c r="F79" s="1125" t="s">
        <v>746</v>
      </c>
      <c r="G79" s="1131" t="s">
        <v>121</v>
      </c>
      <c r="H79" s="111"/>
      <c r="I79" s="111"/>
    </row>
    <row r="80" spans="1:9" ht="15.75" thickTop="1" thickBot="1" x14ac:dyDescent="0.25">
      <c r="A80" s="1121" t="s">
        <v>1</v>
      </c>
      <c r="B80" s="136" t="str">
        <f>Dados!B98</f>
        <v>INSS</v>
      </c>
      <c r="C80" s="285"/>
      <c r="D80" s="137"/>
      <c r="E80" s="126"/>
      <c r="F80" s="138">
        <f>Dados!G98</f>
        <v>0.2</v>
      </c>
      <c r="G80" s="127">
        <f t="shared" ref="G80:G87" si="0">$G$76*F80</f>
        <v>312.23</v>
      </c>
      <c r="H80" s="111"/>
      <c r="I80" s="111"/>
    </row>
    <row r="81" spans="1:9" ht="15.75" thickTop="1" thickBot="1" x14ac:dyDescent="0.25">
      <c r="A81" s="1121" t="s">
        <v>2</v>
      </c>
      <c r="B81" s="136" t="str">
        <f>Dados!B99</f>
        <v>Salário Educação</v>
      </c>
      <c r="C81" s="285"/>
      <c r="D81" s="137"/>
      <c r="E81" s="126"/>
      <c r="F81" s="138">
        <f>Dados!G99</f>
        <v>2.5000000000000001E-2</v>
      </c>
      <c r="G81" s="127">
        <f t="shared" si="0"/>
        <v>39.03</v>
      </c>
      <c r="H81" s="111"/>
      <c r="I81" s="111"/>
    </row>
    <row r="82" spans="1:9" ht="15.75" thickTop="1" thickBot="1" x14ac:dyDescent="0.25">
      <c r="A82" s="1121" t="s">
        <v>4</v>
      </c>
      <c r="B82" s="136" t="str">
        <f>Dados!B100</f>
        <v>Seguro Acidente do Trabalho - SAT = RAT x FAP</v>
      </c>
      <c r="C82" s="285"/>
      <c r="D82" s="137"/>
      <c r="E82" s="126"/>
      <c r="F82" s="138">
        <f>Dados!G100</f>
        <v>1.2200000000000001E-2</v>
      </c>
      <c r="G82" s="127">
        <f t="shared" si="0"/>
        <v>19.05</v>
      </c>
      <c r="H82" s="111"/>
      <c r="I82" s="111"/>
    </row>
    <row r="83" spans="1:9" ht="15.75" thickTop="1" thickBot="1" x14ac:dyDescent="0.25">
      <c r="A83" s="1121" t="s">
        <v>5</v>
      </c>
      <c r="B83" s="136" t="str">
        <f>Dados!B101</f>
        <v>SESI ou SESC</v>
      </c>
      <c r="C83" s="285"/>
      <c r="D83" s="137"/>
      <c r="E83" s="126"/>
      <c r="F83" s="138">
        <f>Dados!G101</f>
        <v>1.4999999999999999E-2</v>
      </c>
      <c r="G83" s="127">
        <f t="shared" si="0"/>
        <v>23.42</v>
      </c>
      <c r="H83" s="111"/>
      <c r="I83" s="111"/>
    </row>
    <row r="84" spans="1:9" ht="15.75" thickTop="1" thickBot="1" x14ac:dyDescent="0.25">
      <c r="A84" s="1121" t="s">
        <v>6</v>
      </c>
      <c r="B84" s="136" t="str">
        <f>Dados!B102</f>
        <v>SENAI ou SENAC</v>
      </c>
      <c r="C84" s="285"/>
      <c r="D84" s="137"/>
      <c r="E84" s="126"/>
      <c r="F84" s="138">
        <f>Dados!G102</f>
        <v>0.01</v>
      </c>
      <c r="G84" s="127">
        <f t="shared" si="0"/>
        <v>15.61</v>
      </c>
      <c r="H84" s="111"/>
      <c r="I84" s="111"/>
    </row>
    <row r="85" spans="1:9" ht="15.75" thickTop="1" thickBot="1" x14ac:dyDescent="0.25">
      <c r="A85" s="1121" t="s">
        <v>7</v>
      </c>
      <c r="B85" s="136" t="str">
        <f>Dados!B103</f>
        <v>SEBRAE</v>
      </c>
      <c r="C85" s="285"/>
      <c r="D85" s="137"/>
      <c r="E85" s="126"/>
      <c r="F85" s="138">
        <f>Dados!G103</f>
        <v>6.0000000000000001E-3</v>
      </c>
      <c r="G85" s="127">
        <f t="shared" si="0"/>
        <v>9.3699999999999992</v>
      </c>
      <c r="H85" s="111"/>
      <c r="I85" s="111"/>
    </row>
    <row r="86" spans="1:9" ht="15.75" thickTop="1" thickBot="1" x14ac:dyDescent="0.25">
      <c r="A86" s="1121" t="s">
        <v>8</v>
      </c>
      <c r="B86" s="136" t="str">
        <f>Dados!B104</f>
        <v>INCRA</v>
      </c>
      <c r="C86" s="285"/>
      <c r="D86" s="137"/>
      <c r="E86" s="126"/>
      <c r="F86" s="138">
        <f>Dados!G104</f>
        <v>2E-3</v>
      </c>
      <c r="G86" s="127">
        <f t="shared" si="0"/>
        <v>3.12</v>
      </c>
      <c r="H86" s="111"/>
      <c r="I86" s="111"/>
    </row>
    <row r="87" spans="1:9" ht="15.75" thickTop="1" thickBot="1" x14ac:dyDescent="0.25">
      <c r="A87" s="1121" t="s">
        <v>9</v>
      </c>
      <c r="B87" s="136" t="str">
        <f>Dados!B105</f>
        <v>FGTS</v>
      </c>
      <c r="C87" s="285"/>
      <c r="D87" s="137"/>
      <c r="E87" s="126"/>
      <c r="F87" s="138">
        <f>Dados!G105</f>
        <v>0.08</v>
      </c>
      <c r="G87" s="127">
        <f t="shared" si="0"/>
        <v>124.89</v>
      </c>
      <c r="H87" s="111"/>
      <c r="I87" s="111"/>
    </row>
    <row r="88" spans="1:9" ht="15.75" customHeight="1" thickTop="1" thickBot="1" x14ac:dyDescent="0.25">
      <c r="A88" s="1644" t="s">
        <v>232</v>
      </c>
      <c r="B88" s="1645"/>
      <c r="C88" s="1645"/>
      <c r="D88" s="1645"/>
      <c r="E88" s="1646"/>
      <c r="F88" s="139">
        <f>SUM(F80:F87)</f>
        <v>0.35020000000000001</v>
      </c>
      <c r="G88" s="133">
        <f>SUM(G80:G87)</f>
        <v>546.72</v>
      </c>
      <c r="H88" s="111"/>
      <c r="I88" s="625"/>
    </row>
    <row r="89" spans="1:9" ht="15" hidden="1" customHeight="1" thickTop="1" x14ac:dyDescent="0.2">
      <c r="A89" s="1618" t="s">
        <v>740</v>
      </c>
      <c r="B89" s="1618"/>
      <c r="C89" s="1618"/>
      <c r="D89" s="1618"/>
      <c r="E89" s="1618"/>
      <c r="F89" s="1618"/>
      <c r="G89" s="1618"/>
      <c r="H89" s="111"/>
      <c r="I89" s="111"/>
    </row>
    <row r="90" spans="1:9" ht="33" hidden="1" customHeight="1" x14ac:dyDescent="0.2">
      <c r="A90" s="1618" t="s">
        <v>739</v>
      </c>
      <c r="B90" s="1618"/>
      <c r="C90" s="1618"/>
      <c r="D90" s="1618"/>
      <c r="E90" s="1618"/>
      <c r="F90" s="1618"/>
      <c r="G90" s="1618"/>
      <c r="H90" s="111"/>
      <c r="I90" s="111"/>
    </row>
    <row r="91" spans="1:9" hidden="1" x14ac:dyDescent="0.2">
      <c r="A91" s="577" t="s">
        <v>917</v>
      </c>
      <c r="B91" s="1124"/>
      <c r="C91" s="1124"/>
      <c r="D91" s="1124"/>
      <c r="E91" s="1124"/>
      <c r="F91" s="1124"/>
      <c r="G91" s="1124"/>
      <c r="H91" s="111"/>
      <c r="I91" s="111"/>
    </row>
    <row r="92" spans="1:9" hidden="1" x14ac:dyDescent="0.2">
      <c r="A92" s="577" t="s">
        <v>803</v>
      </c>
      <c r="B92" s="1124"/>
      <c r="C92" s="1124"/>
      <c r="D92" s="1124"/>
      <c r="E92" s="1124"/>
      <c r="F92" s="1124"/>
      <c r="G92" s="1124"/>
      <c r="H92" s="111"/>
      <c r="I92" s="111"/>
    </row>
    <row r="93" spans="1:9" ht="15.75" thickTop="1" x14ac:dyDescent="0.2">
      <c r="A93" s="578"/>
      <c r="B93" s="1124"/>
      <c r="C93" s="1124"/>
      <c r="D93" s="1124"/>
      <c r="E93" s="1124"/>
      <c r="F93" s="1124"/>
      <c r="G93" s="1124"/>
      <c r="H93" s="111"/>
      <c r="I93" s="111"/>
    </row>
    <row r="94" spans="1:9" ht="15" thickBot="1" x14ac:dyDescent="0.25">
      <c r="A94" s="576" t="s">
        <v>741</v>
      </c>
      <c r="B94" s="1124"/>
      <c r="C94" s="1124"/>
      <c r="D94" s="1124"/>
      <c r="E94" s="1124"/>
      <c r="F94" s="1124"/>
      <c r="G94" s="1124"/>
      <c r="H94" s="111"/>
      <c r="I94" s="111"/>
    </row>
    <row r="95" spans="1:9" ht="15.75" thickTop="1" thickBot="1" x14ac:dyDescent="0.25">
      <c r="A95" s="1125" t="s">
        <v>742</v>
      </c>
      <c r="B95" s="1652" t="s">
        <v>26</v>
      </c>
      <c r="C95" s="1653"/>
      <c r="D95" s="1653"/>
      <c r="E95" s="1653"/>
      <c r="F95" s="1125" t="s">
        <v>746</v>
      </c>
      <c r="G95" s="1127" t="s">
        <v>121</v>
      </c>
      <c r="H95" s="111"/>
      <c r="I95" s="111"/>
    </row>
    <row r="96" spans="1:9" ht="15.75" thickTop="1" thickBot="1" x14ac:dyDescent="0.25">
      <c r="A96" s="1631" t="s">
        <v>1</v>
      </c>
      <c r="B96" s="1132" t="str">
        <f>HLOOKUP($F$20,BENEFÍCIOS!$B$25:$O$38,5,FALSE)</f>
        <v>Auxílio Transporte - Cláusula 15ª da CCT</v>
      </c>
      <c r="C96" s="1133"/>
      <c r="D96" s="566"/>
      <c r="E96" s="938">
        <f>INDEX(Dados!$J$27:$M$31,MATCH($C$26,Dados!$J$27:$J$31,0),4)</f>
        <v>22</v>
      </c>
      <c r="F96" s="939">
        <f>Dados!J45</f>
        <v>9.64</v>
      </c>
      <c r="G96" s="299">
        <f>$E$96*F96*$F$14</f>
        <v>212.08</v>
      </c>
      <c r="H96" s="111"/>
      <c r="I96" s="111"/>
    </row>
    <row r="97" spans="1:9" ht="15.75" thickTop="1" thickBot="1" x14ac:dyDescent="0.25">
      <c r="A97" s="1631"/>
      <c r="B97" s="1132" t="str">
        <f>Dados!A46</f>
        <v>Desconto Legal sobre o salário</v>
      </c>
      <c r="C97" s="1133"/>
      <c r="D97" s="566"/>
      <c r="E97" s="940"/>
      <c r="F97" s="937">
        <f>Dados!J46</f>
        <v>0.06</v>
      </c>
      <c r="G97" s="495">
        <f>-MIN(G96,(F97*G47))</f>
        <v>-77.28</v>
      </c>
      <c r="H97" s="111"/>
      <c r="I97" s="111"/>
    </row>
    <row r="98" spans="1:9" ht="15.75" thickTop="1" thickBot="1" x14ac:dyDescent="0.25">
      <c r="A98" s="1675" t="s">
        <v>2</v>
      </c>
      <c r="B98" s="1132" t="str">
        <f>HLOOKUP($F$20,BENEFÍCIOS!$B$25:$O$38,2,FALSE)</f>
        <v>Auxílio Alimentação - Cláusula 14ª da CCT</v>
      </c>
      <c r="C98" s="1133"/>
      <c r="D98" s="566"/>
      <c r="E98" s="938">
        <f>INDEX(Dados!$J$27:$M$31,MATCH($C$26,Dados!$J$27:$J$31,0),4)</f>
        <v>22</v>
      </c>
      <c r="F98" s="939">
        <f>Dados!J48</f>
        <v>35</v>
      </c>
      <c r="G98" s="299">
        <f>(E98*F98)*$F$14</f>
        <v>770</v>
      </c>
      <c r="H98" s="111"/>
      <c r="I98" s="111"/>
    </row>
    <row r="99" spans="1:9" ht="15.75" hidden="1" thickTop="1" thickBot="1" x14ac:dyDescent="0.25">
      <c r="A99" s="1677"/>
      <c r="B99" s="1132" t="str">
        <f>HLOOKUP($F$20,BENEFÍCIOS!$B$25:$O$38,3,FALSE)</f>
        <v>Desconto do Auxílio Alimentação</v>
      </c>
      <c r="C99" s="132"/>
      <c r="D99" s="107"/>
      <c r="E99" s="296"/>
      <c r="F99" s="939">
        <f>Dados!J49</f>
        <v>0</v>
      </c>
      <c r="G99" s="300">
        <f>-F99*E98</f>
        <v>0</v>
      </c>
      <c r="H99" s="111"/>
      <c r="I99" s="111"/>
    </row>
    <row r="100" spans="1:9" ht="15.75" hidden="1" thickTop="1" thickBot="1" x14ac:dyDescent="0.25">
      <c r="A100" s="1121" t="s">
        <v>4</v>
      </c>
      <c r="B100" s="1132" t="str">
        <f>HLOOKUP($F$20,BENEFÍCIOS!$B$25:$O$38,4,FALSE)</f>
        <v>Auxílio Café da Manhã</v>
      </c>
      <c r="C100" s="132"/>
      <c r="D100" s="107"/>
      <c r="E100" s="296"/>
      <c r="F100" s="939">
        <f>Dados!J50</f>
        <v>0</v>
      </c>
      <c r="G100" s="300">
        <f t="shared" ref="G100:G109" si="1">F100*$F$14</f>
        <v>0</v>
      </c>
      <c r="H100" s="111"/>
      <c r="I100" s="111"/>
    </row>
    <row r="101" spans="1:9" ht="15.75" thickTop="1" thickBot="1" x14ac:dyDescent="0.25">
      <c r="A101" s="1678" t="s">
        <v>4</v>
      </c>
      <c r="B101" s="962" t="str">
        <f>HLOOKUP($F$20,BENEFÍCIOS!$B$25:$O$38,6,FALSE) &amp; " " &amp; "(Pagamento por ressarcimento)"</f>
        <v>Plano Ambulatorial - Cláusula 16ª da CCT (Pagamento por ressarcimento)</v>
      </c>
      <c r="C101" s="963"/>
      <c r="D101" s="964"/>
      <c r="E101" s="965"/>
      <c r="F101" s="966"/>
      <c r="G101" s="967">
        <f>F101*$F$14</f>
        <v>0</v>
      </c>
      <c r="H101" s="111"/>
      <c r="I101" s="111"/>
    </row>
    <row r="102" spans="1:9" ht="15.75" hidden="1" thickTop="1" thickBot="1" x14ac:dyDescent="0.25">
      <c r="A102" s="1679"/>
      <c r="B102" s="962" t="str">
        <f>HLOOKUP($F$20,BENEFÍCIOS!$B$25:$O$38,7,FALSE)</f>
        <v>Plano Ambulatorial - Contr. Empresa - Cláusula 16ª da CCT</v>
      </c>
      <c r="C102" s="963"/>
      <c r="D102" s="964"/>
      <c r="E102" s="965"/>
      <c r="F102" s="966">
        <f>Dados!J52</f>
        <v>0</v>
      </c>
      <c r="G102" s="967">
        <f>F102*$F$14</f>
        <v>0</v>
      </c>
      <c r="H102" s="111"/>
      <c r="I102" s="111"/>
    </row>
    <row r="103" spans="1:9" ht="15.75" hidden="1" thickTop="1" thickBot="1" x14ac:dyDescent="0.25">
      <c r="A103" s="1680"/>
      <c r="B103" s="962" t="str">
        <f>HLOOKUP($F$20,BENEFÍCIOS!$B$25:$O$38,8,FALSE)</f>
        <v>Plano Ambulatorial - Contr. Empregado - Cláusula 16ª da CCT</v>
      </c>
      <c r="C103" s="963"/>
      <c r="D103" s="964"/>
      <c r="E103" s="965"/>
      <c r="F103" s="966">
        <f>Dados!J53</f>
        <v>0</v>
      </c>
      <c r="G103" s="967">
        <f>-F103*$F$14</f>
        <v>0</v>
      </c>
      <c r="H103" s="111"/>
      <c r="I103" s="111"/>
    </row>
    <row r="104" spans="1:9" ht="15.75" thickTop="1" thickBot="1" x14ac:dyDescent="0.25">
      <c r="A104" s="1121" t="s">
        <v>5</v>
      </c>
      <c r="B104" s="1132" t="str">
        <f>HLOOKUP($F$20,BENEFÍCIOS!$B$25:$O$38,9,FALSE)</f>
        <v>Seguro de Vida e Assistência Funeral - Cláusula 18ª da CCT</v>
      </c>
      <c r="C104" s="132"/>
      <c r="D104" s="107"/>
      <c r="E104" s="296"/>
      <c r="F104" s="939">
        <f>Dados!J54</f>
        <v>2.2999999999999998</v>
      </c>
      <c r="G104" s="300">
        <f t="shared" si="1"/>
        <v>2.2999999999999998</v>
      </c>
      <c r="H104" s="111"/>
      <c r="I104" s="111"/>
    </row>
    <row r="105" spans="1:9" ht="15.75" thickTop="1" thickBot="1" x14ac:dyDescent="0.25">
      <c r="A105" s="1121" t="s">
        <v>6</v>
      </c>
      <c r="B105" s="1132" t="str">
        <f>HLOOKUP($F$20,BENEFÍCIOS!$B$25:$O$38,10,FALSE) &amp; " " &amp; "(Pagamento por ressarcimento)"</f>
        <v>Assistência Odontológica - Cláusula 17ª da CCT (Pagamento por ressarcimento)</v>
      </c>
      <c r="C105" s="132"/>
      <c r="D105" s="107"/>
      <c r="E105" s="296"/>
      <c r="F105" s="939"/>
      <c r="G105" s="300">
        <f t="shared" si="1"/>
        <v>0</v>
      </c>
      <c r="H105" s="111"/>
      <c r="I105" s="111"/>
    </row>
    <row r="106" spans="1:9" ht="15.75" hidden="1" thickTop="1" thickBot="1" x14ac:dyDescent="0.25">
      <c r="A106" s="1121" t="s">
        <v>8</v>
      </c>
      <c r="B106" s="1132" t="str">
        <f>HLOOKUP($F$20,BENEFÍCIOS!$B$25:$O$38,11,FALSE)</f>
        <v>Auxílio Lazer/Cultura</v>
      </c>
      <c r="C106" s="132"/>
      <c r="D106" s="107"/>
      <c r="E106" s="296"/>
      <c r="F106" s="939">
        <f>Dados!J56</f>
        <v>0</v>
      </c>
      <c r="G106" s="300">
        <f t="shared" si="1"/>
        <v>0</v>
      </c>
      <c r="H106" s="111"/>
      <c r="I106" s="111"/>
    </row>
    <row r="107" spans="1:9" ht="15.75" hidden="1" thickTop="1" thickBot="1" x14ac:dyDescent="0.25">
      <c r="A107" s="1121" t="s">
        <v>9</v>
      </c>
      <c r="B107" s="1132" t="str">
        <f>HLOOKUP($F$20,BENEFÍCIOS!$B$25:$O$38,12,FALSE)</f>
        <v>Treinamento/capacitação/reciclagem - Cláusula 30ª da CCT</v>
      </c>
      <c r="C107" s="132"/>
      <c r="D107" s="107"/>
      <c r="E107" s="296"/>
      <c r="F107" s="939">
        <f>Dados!J57</f>
        <v>0</v>
      </c>
      <c r="G107" s="300">
        <f t="shared" si="1"/>
        <v>0</v>
      </c>
      <c r="H107" s="111"/>
      <c r="I107" s="111"/>
    </row>
    <row r="108" spans="1:9" ht="15.75" hidden="1" thickTop="1" thickBot="1" x14ac:dyDescent="0.25">
      <c r="A108" s="1121" t="s">
        <v>160</v>
      </c>
      <c r="B108" s="1132" t="str">
        <f>HLOOKUP($F$20,BENEFÍCIOS!$B$25:$O$38,13,FALSE)</f>
        <v>Contribuição Assistencial Patronal - Cláusula 61ª da CCT</v>
      </c>
      <c r="C108" s="132"/>
      <c r="D108" s="107"/>
      <c r="E108" s="296"/>
      <c r="F108" s="939">
        <f>Dados!J58</f>
        <v>0</v>
      </c>
      <c r="G108" s="300">
        <f t="shared" si="1"/>
        <v>0</v>
      </c>
      <c r="H108" s="111"/>
      <c r="I108" s="111"/>
    </row>
    <row r="109" spans="1:9" ht="15.75" hidden="1" thickTop="1" thickBot="1" x14ac:dyDescent="0.25">
      <c r="A109" s="1121" t="s">
        <v>627</v>
      </c>
      <c r="B109" s="1132" t="str">
        <f>HLOOKUP($F$20,BENEFÍCIOS!$B$25:$O$38,14,FALSE)</f>
        <v>Auxílio Creche</v>
      </c>
      <c r="C109" s="132"/>
      <c r="D109" s="107"/>
      <c r="E109" s="296"/>
      <c r="F109" s="939">
        <f>Dados!J59</f>
        <v>0</v>
      </c>
      <c r="G109" s="300">
        <f t="shared" si="1"/>
        <v>0</v>
      </c>
      <c r="H109" s="111"/>
      <c r="I109" s="111"/>
    </row>
    <row r="110" spans="1:9" ht="15.75" thickTop="1" thickBot="1" x14ac:dyDescent="0.25">
      <c r="A110" s="1121" t="s">
        <v>7</v>
      </c>
      <c r="B110" s="125" t="s">
        <v>57</v>
      </c>
      <c r="C110" s="132"/>
      <c r="D110" s="107"/>
      <c r="E110" s="296"/>
      <c r="F110" s="939"/>
      <c r="G110" s="301"/>
      <c r="H110" s="111"/>
      <c r="I110" s="111"/>
    </row>
    <row r="111" spans="1:9" ht="18" customHeight="1" thickTop="1" thickBot="1" x14ac:dyDescent="0.25">
      <c r="A111" s="1686" t="s">
        <v>232</v>
      </c>
      <c r="B111" s="1687"/>
      <c r="C111" s="1687"/>
      <c r="D111" s="1687"/>
      <c r="E111" s="1687"/>
      <c r="F111" s="1688"/>
      <c r="G111" s="302">
        <f>SUM(G96,G97,G98,G99,G100,G101,G103,G104,G105,G106,G107,G108,G109,)</f>
        <v>907.1</v>
      </c>
      <c r="H111" s="624"/>
      <c r="I111" s="624"/>
    </row>
    <row r="112" spans="1:9" s="68" customFormat="1" ht="15" hidden="1" customHeight="1" thickTop="1" x14ac:dyDescent="0.2">
      <c r="A112" s="101" t="s">
        <v>744</v>
      </c>
      <c r="B112" s="99"/>
      <c r="C112" s="99"/>
      <c r="D112" s="99"/>
      <c r="E112" s="99"/>
      <c r="F112" s="120"/>
      <c r="G112" s="121"/>
      <c r="H112" s="122"/>
      <c r="I112" s="122"/>
    </row>
    <row r="113" spans="1:10" s="68" customFormat="1" hidden="1" x14ac:dyDescent="0.2">
      <c r="A113" s="1618" t="s">
        <v>743</v>
      </c>
      <c r="B113" s="1618"/>
      <c r="C113" s="1618"/>
      <c r="D113" s="1618"/>
      <c r="E113" s="1618"/>
      <c r="F113" s="1618"/>
      <c r="G113" s="1618"/>
      <c r="H113" s="122"/>
      <c r="I113" s="122"/>
    </row>
    <row r="114" spans="1:10" s="68" customFormat="1" hidden="1" x14ac:dyDescent="0.2">
      <c r="A114" s="1618"/>
      <c r="B114" s="1618"/>
      <c r="C114" s="1618"/>
      <c r="D114" s="1618"/>
      <c r="E114" s="1618"/>
      <c r="F114" s="1618"/>
      <c r="G114" s="1618"/>
      <c r="H114" s="122"/>
      <c r="I114" s="122"/>
    </row>
    <row r="115" spans="1:10" s="68" customFormat="1" ht="15" thickTop="1" x14ac:dyDescent="0.2">
      <c r="A115" s="98"/>
      <c r="B115" s="99"/>
      <c r="C115" s="99"/>
      <c r="D115" s="99"/>
      <c r="E115" s="99"/>
      <c r="F115" s="120"/>
      <c r="G115" s="121"/>
      <c r="H115" s="122"/>
      <c r="I115" s="122"/>
    </row>
    <row r="116" spans="1:10" s="68" customFormat="1" ht="15" thickBot="1" x14ac:dyDescent="0.25">
      <c r="A116" s="576" t="s">
        <v>748</v>
      </c>
      <c r="B116" s="99"/>
      <c r="C116" s="99"/>
      <c r="D116" s="99"/>
      <c r="E116" s="99"/>
      <c r="F116" s="120"/>
      <c r="G116" s="121"/>
      <c r="H116" s="122"/>
      <c r="I116" s="122"/>
    </row>
    <row r="117" spans="1:10" s="68" customFormat="1" ht="15.75" thickTop="1" thickBot="1" x14ac:dyDescent="0.25">
      <c r="A117" s="1131">
        <v>2</v>
      </c>
      <c r="B117" s="1672" t="s">
        <v>749</v>
      </c>
      <c r="C117" s="1673"/>
      <c r="D117" s="1673"/>
      <c r="E117" s="1673"/>
      <c r="F117" s="1674"/>
      <c r="G117" s="1131" t="s">
        <v>121</v>
      </c>
      <c r="H117" s="122"/>
      <c r="I117" s="122"/>
    </row>
    <row r="118" spans="1:10" s="68" customFormat="1" ht="15.75" thickTop="1" thickBot="1" x14ac:dyDescent="0.25">
      <c r="A118" s="112" t="s">
        <v>732</v>
      </c>
      <c r="B118" s="1132" t="str">
        <f>B61</f>
        <v>13º (décimo terceiro) Salário, Férias e Adicional de Férias</v>
      </c>
      <c r="C118" s="131"/>
      <c r="D118" s="131"/>
      <c r="E118" s="131"/>
      <c r="F118" s="288"/>
      <c r="G118" s="123">
        <f>G64</f>
        <v>273.18</v>
      </c>
      <c r="H118" s="122"/>
      <c r="I118" s="122"/>
    </row>
    <row r="119" spans="1:10" s="68" customFormat="1" ht="15.75" thickTop="1" thickBot="1" x14ac:dyDescent="0.25">
      <c r="A119" s="112" t="s">
        <v>731</v>
      </c>
      <c r="B119" s="1132" t="str">
        <f>B79</f>
        <v>GPS, FGTS e outras contribuições</v>
      </c>
      <c r="C119" s="131"/>
      <c r="D119" s="131"/>
      <c r="E119" s="131"/>
      <c r="F119" s="288"/>
      <c r="G119" s="123">
        <f>G88</f>
        <v>546.72</v>
      </c>
      <c r="H119" s="122"/>
      <c r="I119" s="122"/>
    </row>
    <row r="120" spans="1:10" s="68" customFormat="1" ht="15.75" thickTop="1" thickBot="1" x14ac:dyDescent="0.25">
      <c r="A120" s="112" t="s">
        <v>742</v>
      </c>
      <c r="B120" s="1132" t="str">
        <f>B95</f>
        <v>Benefícios Mensais e Diários</v>
      </c>
      <c r="C120" s="131"/>
      <c r="D120" s="131"/>
      <c r="E120" s="131"/>
      <c r="F120" s="288"/>
      <c r="G120" s="123">
        <f>G111</f>
        <v>907.1</v>
      </c>
      <c r="H120" s="122"/>
      <c r="I120" s="122"/>
    </row>
    <row r="121" spans="1:10" s="68" customFormat="1" ht="15.75" thickTop="1" thickBot="1" x14ac:dyDescent="0.25">
      <c r="A121" s="1644" t="s">
        <v>232</v>
      </c>
      <c r="B121" s="1645"/>
      <c r="C121" s="1645"/>
      <c r="D121" s="1645"/>
      <c r="E121" s="1645"/>
      <c r="F121" s="1646"/>
      <c r="G121" s="133">
        <f>SUM(G118:G120)</f>
        <v>1727</v>
      </c>
      <c r="H121" s="122"/>
      <c r="I121" s="622"/>
      <c r="J121" s="620"/>
    </row>
    <row r="122" spans="1:10" s="68" customFormat="1" ht="15" thickTop="1" x14ac:dyDescent="0.2">
      <c r="A122" s="101"/>
      <c r="B122" s="101"/>
      <c r="C122" s="101"/>
      <c r="D122" s="101"/>
      <c r="E122" s="101"/>
      <c r="F122" s="574"/>
      <c r="G122" s="575"/>
      <c r="H122" s="122"/>
      <c r="I122" s="122"/>
    </row>
    <row r="123" spans="1:10" s="68" customFormat="1" ht="15" thickBot="1" x14ac:dyDescent="0.25">
      <c r="A123" s="1629" t="s">
        <v>750</v>
      </c>
      <c r="B123" s="1629"/>
      <c r="C123" s="1629"/>
      <c r="D123" s="1629"/>
      <c r="E123" s="1629"/>
      <c r="F123" s="1629"/>
      <c r="G123" s="1629"/>
      <c r="H123" s="122"/>
      <c r="I123" s="122"/>
    </row>
    <row r="124" spans="1:10" s="68" customFormat="1" ht="15.75" thickTop="1" thickBot="1" x14ac:dyDescent="0.25">
      <c r="A124" s="1125">
        <v>3</v>
      </c>
      <c r="B124" s="1652" t="s">
        <v>99</v>
      </c>
      <c r="C124" s="1653"/>
      <c r="D124" s="1653"/>
      <c r="E124" s="1654"/>
      <c r="F124" s="1125" t="s">
        <v>746</v>
      </c>
      <c r="G124" s="1131" t="s">
        <v>121</v>
      </c>
      <c r="H124" s="122"/>
      <c r="I124" s="122"/>
    </row>
    <row r="125" spans="1:10" s="68" customFormat="1" ht="15.75" thickTop="1" thickBot="1" x14ac:dyDescent="0.25">
      <c r="A125" s="1121" t="s">
        <v>1</v>
      </c>
      <c r="B125" s="136" t="str">
        <f>Dados!B111</f>
        <v>Aviso Prévio Indenizado </v>
      </c>
      <c r="C125" s="285"/>
      <c r="D125" s="137"/>
      <c r="E125" s="126"/>
      <c r="F125" s="138">
        <f>Dados!G111</f>
        <v>2.5000000000000001E-3</v>
      </c>
      <c r="G125" s="127">
        <f>F125*$G$53</f>
        <v>3.22</v>
      </c>
      <c r="H125" s="122"/>
      <c r="I125" s="122"/>
    </row>
    <row r="126" spans="1:10" s="68" customFormat="1" ht="15.75" thickTop="1" thickBot="1" x14ac:dyDescent="0.25">
      <c r="A126" s="1121" t="s">
        <v>2</v>
      </c>
      <c r="B126" s="136" t="str">
        <f>Dados!B112</f>
        <v>Incidência do FGTS sobre aviso prévio indenizado</v>
      </c>
      <c r="C126" s="285"/>
      <c r="D126" s="137"/>
      <c r="E126" s="126"/>
      <c r="F126" s="138">
        <f>Dados!G112</f>
        <v>2.0000000000000001E-4</v>
      </c>
      <c r="G126" s="127">
        <f t="shared" ref="G126:G130" si="2">F126*$G$53</f>
        <v>0.26</v>
      </c>
      <c r="H126" s="122"/>
      <c r="I126" s="122"/>
    </row>
    <row r="127" spans="1:10" s="68" customFormat="1" ht="15.75" thickTop="1" thickBot="1" x14ac:dyDescent="0.25">
      <c r="A127" s="1121" t="s">
        <v>4</v>
      </c>
      <c r="B127" s="136" t="str">
        <f>Dados!B113</f>
        <v>Multa do FGTS e contribuição social sobre o Aviso Prévio Indenizado</v>
      </c>
      <c r="C127" s="285"/>
      <c r="D127" s="137"/>
      <c r="E127" s="126"/>
      <c r="F127" s="138">
        <f>Dados!G113</f>
        <v>0</v>
      </c>
      <c r="G127" s="127">
        <f t="shared" si="2"/>
        <v>0</v>
      </c>
      <c r="H127" s="122"/>
      <c r="I127" s="122"/>
    </row>
    <row r="128" spans="1:10" s="68" customFormat="1" ht="15.75" thickTop="1" thickBot="1" x14ac:dyDescent="0.25">
      <c r="A128" s="1121" t="s">
        <v>5</v>
      </c>
      <c r="B128" s="136" t="str">
        <f>Dados!B114</f>
        <v>Aviso Prévio Trabalhado</v>
      </c>
      <c r="C128" s="285"/>
      <c r="D128" s="137"/>
      <c r="E128" s="126"/>
      <c r="F128" s="138">
        <f>Dados!G114</f>
        <v>1.9400000000000001E-2</v>
      </c>
      <c r="G128" s="127">
        <f t="shared" si="2"/>
        <v>24.99</v>
      </c>
      <c r="H128" s="122"/>
      <c r="I128" s="122"/>
    </row>
    <row r="129" spans="1:13" s="68" customFormat="1" ht="15.75" thickTop="1" thickBot="1" x14ac:dyDescent="0.25">
      <c r="A129" s="1121" t="s">
        <v>6</v>
      </c>
      <c r="B129" s="136" t="str">
        <f>Dados!B115</f>
        <v>Incidência de GPS, FGTS e outras contribuições sobre o aviso prévio trabalhado</v>
      </c>
      <c r="C129" s="285"/>
      <c r="D129" s="137"/>
      <c r="E129" s="126"/>
      <c r="F129" s="138">
        <f>Dados!G115</f>
        <v>6.7999999999999996E-3</v>
      </c>
      <c r="G129" s="127">
        <f t="shared" si="2"/>
        <v>8.76</v>
      </c>
      <c r="H129" s="122"/>
      <c r="I129" s="122"/>
    </row>
    <row r="130" spans="1:13" s="68" customFormat="1" ht="15.75" thickTop="1" thickBot="1" x14ac:dyDescent="0.25">
      <c r="A130" s="1121" t="s">
        <v>7</v>
      </c>
      <c r="B130" s="136" t="str">
        <f>Dados!B116</f>
        <v>Multa do FGTS e contribuição social sobre o Aviso Prévio Trabalhado</v>
      </c>
      <c r="C130" s="285"/>
      <c r="D130" s="137"/>
      <c r="E130" s="126"/>
      <c r="F130" s="138">
        <f>Dados!G116</f>
        <v>1E-4</v>
      </c>
      <c r="G130" s="127">
        <f t="shared" si="2"/>
        <v>0.13</v>
      </c>
      <c r="H130" s="122"/>
      <c r="I130" s="122"/>
    </row>
    <row r="131" spans="1:13" s="68" customFormat="1" ht="15.75" thickTop="1" thickBot="1" x14ac:dyDescent="0.25">
      <c r="A131" s="1157" t="s">
        <v>7</v>
      </c>
      <c r="B131" s="136" t="str">
        <f>Dados!B117</f>
        <v>Multa do FGTS</v>
      </c>
      <c r="C131" s="285"/>
      <c r="D131" s="137"/>
      <c r="E131" s="126"/>
      <c r="F131" s="138">
        <f>Dados!G117</f>
        <v>3.49E-2</v>
      </c>
      <c r="G131" s="127">
        <f t="shared" ref="G131" si="3">F131*$G$53</f>
        <v>44.95</v>
      </c>
      <c r="H131" s="122"/>
      <c r="I131" s="122"/>
    </row>
    <row r="132" spans="1:13" s="68" customFormat="1" ht="15.75" thickTop="1" thickBot="1" x14ac:dyDescent="0.25">
      <c r="A132" s="1644" t="s">
        <v>232</v>
      </c>
      <c r="B132" s="1645"/>
      <c r="C132" s="1645"/>
      <c r="D132" s="1645"/>
      <c r="E132" s="1646"/>
      <c r="F132" s="139">
        <f>SUM(F125:F131)</f>
        <v>6.3899999999999998E-2</v>
      </c>
      <c r="G132" s="133">
        <f>SUM(G125:G131)</f>
        <v>82.31</v>
      </c>
      <c r="H132" s="122"/>
      <c r="I132" s="618"/>
    </row>
    <row r="133" spans="1:13" s="68" customFormat="1" ht="15" thickTop="1" x14ac:dyDescent="0.2">
      <c r="A133" s="129"/>
      <c r="B133" s="129"/>
      <c r="C133" s="129"/>
      <c r="D133" s="129"/>
      <c r="E133" s="129"/>
      <c r="F133" s="120"/>
      <c r="G133" s="140"/>
      <c r="H133" s="122"/>
      <c r="I133" s="122"/>
    </row>
    <row r="134" spans="1:13" s="68" customFormat="1" x14ac:dyDescent="0.2">
      <c r="A134" s="1629" t="s">
        <v>751</v>
      </c>
      <c r="B134" s="1629"/>
      <c r="C134" s="1629"/>
      <c r="D134" s="1629"/>
      <c r="E134" s="1629"/>
      <c r="F134" s="1629"/>
      <c r="G134" s="1629"/>
      <c r="H134" s="122"/>
      <c r="I134" s="122"/>
    </row>
    <row r="135" spans="1:13" s="68" customFormat="1" ht="14.25" hidden="1" customHeight="1" x14ac:dyDescent="0.2">
      <c r="A135" s="1618" t="s">
        <v>919</v>
      </c>
      <c r="B135" s="1618"/>
      <c r="C135" s="1618"/>
      <c r="D135" s="1618"/>
      <c r="E135" s="1618"/>
      <c r="F135" s="1618"/>
      <c r="G135" s="1618"/>
      <c r="H135" s="122"/>
      <c r="I135" s="122"/>
    </row>
    <row r="136" spans="1:13" s="68" customFormat="1" hidden="1" x14ac:dyDescent="0.2">
      <c r="A136" s="1618"/>
      <c r="B136" s="1618"/>
      <c r="C136" s="1618"/>
      <c r="D136" s="1618"/>
      <c r="E136" s="1618"/>
      <c r="F136" s="1618"/>
      <c r="G136" s="1618"/>
      <c r="H136" s="122"/>
      <c r="I136" s="122"/>
    </row>
    <row r="137" spans="1:13" s="68" customFormat="1" hidden="1" x14ac:dyDescent="0.2">
      <c r="A137" s="101" t="s">
        <v>935</v>
      </c>
      <c r="B137" s="1124"/>
      <c r="C137" s="1124"/>
      <c r="D137" s="1124"/>
      <c r="E137" s="1124"/>
      <c r="F137" s="1124"/>
      <c r="G137" s="1124"/>
      <c r="H137" s="122"/>
      <c r="I137" s="122"/>
    </row>
    <row r="138" spans="1:13" s="68" customFormat="1" ht="15" thickBot="1" x14ac:dyDescent="0.25">
      <c r="A138" s="576" t="s">
        <v>929</v>
      </c>
      <c r="B138" s="1124"/>
      <c r="C138" s="1124"/>
      <c r="D138" s="1124"/>
      <c r="E138" s="785"/>
      <c r="F138" s="1124"/>
      <c r="G138" s="1124"/>
      <c r="H138" s="762"/>
      <c r="I138" s="629"/>
      <c r="J138" s="620"/>
    </row>
    <row r="139" spans="1:13" s="68" customFormat="1" ht="15.75" thickTop="1" thickBot="1" x14ac:dyDescent="0.25">
      <c r="A139" s="1125" t="s">
        <v>48</v>
      </c>
      <c r="B139" s="1652" t="s">
        <v>930</v>
      </c>
      <c r="C139" s="1653"/>
      <c r="D139" s="1653"/>
      <c r="E139" s="1654"/>
      <c r="F139" s="1125" t="s">
        <v>746</v>
      </c>
      <c r="G139" s="1131" t="s">
        <v>121</v>
      </c>
      <c r="H139" s="763"/>
      <c r="I139" s="623"/>
      <c r="J139" s="626"/>
      <c r="K139" s="626"/>
      <c r="L139" s="621"/>
    </row>
    <row r="140" spans="1:13" s="68" customFormat="1" ht="15.75" thickTop="1" thickBot="1" x14ac:dyDescent="0.25">
      <c r="A140" s="1121" t="s">
        <v>1</v>
      </c>
      <c r="B140" s="136" t="str">
        <f>Dados!B122</f>
        <v>Substituto na cobertura de Férias</v>
      </c>
      <c r="C140" s="285"/>
      <c r="D140" s="137"/>
      <c r="E140" s="285"/>
      <c r="F140" s="138">
        <f>Dados!G122</f>
        <v>7.6E-3</v>
      </c>
      <c r="G140" s="127">
        <f>$G$53*F140</f>
        <v>9.7899999999999991</v>
      </c>
      <c r="H140" s="764"/>
      <c r="I140" s="626"/>
      <c r="J140" s="626"/>
      <c r="K140" s="619"/>
      <c r="L140" s="619"/>
      <c r="M140" s="626"/>
    </row>
    <row r="141" spans="1:13" s="68" customFormat="1" ht="15.75" thickTop="1" thickBot="1" x14ac:dyDescent="0.25">
      <c r="A141" s="1121" t="s">
        <v>2</v>
      </c>
      <c r="B141" s="136" t="str">
        <f>Dados!B123</f>
        <v>Substituto na cobertura de Ausências Legais</v>
      </c>
      <c r="C141" s="285"/>
      <c r="D141" s="137"/>
      <c r="E141" s="285"/>
      <c r="F141" s="138">
        <f>Dados!G123</f>
        <v>1E-4</v>
      </c>
      <c r="G141" s="127">
        <f t="shared" ref="G141:G145" si="4">$G$53*F141</f>
        <v>0.13</v>
      </c>
      <c r="H141" s="765"/>
      <c r="K141" s="626"/>
      <c r="M141" s="626"/>
    </row>
    <row r="142" spans="1:13" s="68" customFormat="1" ht="15.75" thickTop="1" thickBot="1" x14ac:dyDescent="0.25">
      <c r="A142" s="1121" t="s">
        <v>4</v>
      </c>
      <c r="B142" s="136" t="str">
        <f>Dados!B124</f>
        <v>Substituto na cobertura de Licença-Paternidade</v>
      </c>
      <c r="C142" s="285"/>
      <c r="D142" s="137"/>
      <c r="E142" s="285"/>
      <c r="F142" s="138">
        <f>Dados!G124</f>
        <v>1E-4</v>
      </c>
      <c r="G142" s="127">
        <f t="shared" si="4"/>
        <v>0.13</v>
      </c>
      <c r="H142" s="764"/>
      <c r="J142" s="619"/>
      <c r="K142" s="626"/>
      <c r="M142" s="626"/>
    </row>
    <row r="143" spans="1:13" s="68" customFormat="1" ht="15.75" thickTop="1" thickBot="1" x14ac:dyDescent="0.25">
      <c r="A143" s="1121" t="s">
        <v>5</v>
      </c>
      <c r="B143" s="136" t="str">
        <f>Dados!B125</f>
        <v>Substituto na cobertura de Ausência por acidente de trabalho</v>
      </c>
      <c r="C143" s="285"/>
      <c r="D143" s="137"/>
      <c r="E143" s="285"/>
      <c r="F143" s="138">
        <f>Dados!G125</f>
        <v>1E-4</v>
      </c>
      <c r="G143" s="127">
        <f t="shared" si="4"/>
        <v>0.13</v>
      </c>
      <c r="H143" s="764"/>
      <c r="K143" s="626"/>
      <c r="M143" s="626"/>
    </row>
    <row r="144" spans="1:13" s="68" customFormat="1" ht="15.75" thickTop="1" thickBot="1" x14ac:dyDescent="0.25">
      <c r="A144" s="1121" t="s">
        <v>6</v>
      </c>
      <c r="B144" s="136" t="str">
        <f>Dados!B126</f>
        <v>Substituto na cobertura de Afastamento Maternidade</v>
      </c>
      <c r="C144" s="285"/>
      <c r="D144" s="137"/>
      <c r="E144" s="285"/>
      <c r="F144" s="138">
        <f>Dados!G126</f>
        <v>1E-4</v>
      </c>
      <c r="G144" s="127">
        <f t="shared" si="4"/>
        <v>0.13</v>
      </c>
      <c r="H144" s="764"/>
      <c r="K144" s="626"/>
      <c r="M144" s="626"/>
    </row>
    <row r="145" spans="1:13" s="68" customFormat="1" ht="15.75" thickTop="1" thickBot="1" x14ac:dyDescent="0.25">
      <c r="A145" s="1121" t="s">
        <v>7</v>
      </c>
      <c r="B145" s="136" t="str">
        <f>Dados!B127</f>
        <v>Substituto na cobertura de outras ausências (licença por doença)</v>
      </c>
      <c r="C145" s="285"/>
      <c r="D145" s="137"/>
      <c r="E145" s="285"/>
      <c r="F145" s="138">
        <f>Dados!G127</f>
        <v>0</v>
      </c>
      <c r="G145" s="127">
        <f t="shared" si="4"/>
        <v>0</v>
      </c>
      <c r="H145" s="764"/>
      <c r="K145" s="626"/>
      <c r="M145" s="627"/>
    </row>
    <row r="146" spans="1:13" s="68" customFormat="1" ht="15.75" customHeight="1" thickTop="1" thickBot="1" x14ac:dyDescent="0.25">
      <c r="A146" s="1644" t="s">
        <v>232</v>
      </c>
      <c r="B146" s="1645"/>
      <c r="C146" s="1645"/>
      <c r="D146" s="1645"/>
      <c r="E146" s="1646"/>
      <c r="F146" s="139">
        <f>SUM(F140:F145)</f>
        <v>8.0000000000000002E-3</v>
      </c>
      <c r="G146" s="128">
        <f>SUM(G140:G145)</f>
        <v>10.31</v>
      </c>
      <c r="H146" s="766"/>
      <c r="I146" s="619"/>
      <c r="J146" s="620"/>
      <c r="K146" s="619"/>
    </row>
    <row r="147" spans="1:13" s="68" customFormat="1" ht="15" hidden="1" customHeight="1" thickTop="1" x14ac:dyDescent="0.2">
      <c r="A147" s="1618" t="s">
        <v>936</v>
      </c>
      <c r="B147" s="1618"/>
      <c r="C147" s="1618"/>
      <c r="D147" s="1618"/>
      <c r="E147" s="1618"/>
      <c r="F147" s="1618"/>
      <c r="G147" s="1618"/>
      <c r="H147" s="122"/>
      <c r="I147" s="122"/>
    </row>
    <row r="148" spans="1:13" s="68" customFormat="1" hidden="1" x14ac:dyDescent="0.2">
      <c r="A148" s="1618"/>
      <c r="B148" s="1618"/>
      <c r="C148" s="1618"/>
      <c r="D148" s="1618"/>
      <c r="E148" s="1618"/>
      <c r="F148" s="1618"/>
      <c r="G148" s="1618"/>
      <c r="H148" s="122"/>
      <c r="I148" s="617"/>
      <c r="J148" s="617"/>
      <c r="K148" s="617"/>
    </row>
    <row r="149" spans="1:13" s="68" customFormat="1" ht="15" thickTop="1" x14ac:dyDescent="0.2">
      <c r="A149" s="1122"/>
      <c r="B149" s="1122"/>
      <c r="C149" s="1122"/>
      <c r="D149" s="1122"/>
      <c r="E149" s="1122"/>
      <c r="F149" s="1122"/>
      <c r="G149" s="1122"/>
      <c r="H149" s="122"/>
      <c r="I149" s="122"/>
    </row>
    <row r="150" spans="1:13" s="68" customFormat="1" ht="15" thickBot="1" x14ac:dyDescent="0.25">
      <c r="A150" s="210" t="s">
        <v>926</v>
      </c>
      <c r="B150" s="1124"/>
      <c r="C150" s="1124"/>
      <c r="D150" s="1124"/>
      <c r="E150" s="1124"/>
      <c r="F150" s="1124"/>
      <c r="G150" s="1124"/>
      <c r="H150" s="122"/>
      <c r="I150" s="619"/>
      <c r="J150" s="621"/>
      <c r="K150" s="621"/>
      <c r="L150" s="619"/>
      <c r="M150" s="621"/>
    </row>
    <row r="151" spans="1:13" s="68" customFormat="1" ht="15.75" thickTop="1" thickBot="1" x14ac:dyDescent="0.25">
      <c r="A151" s="1125" t="s">
        <v>53</v>
      </c>
      <c r="B151" s="1652" t="s">
        <v>927</v>
      </c>
      <c r="C151" s="1653"/>
      <c r="D151" s="1653"/>
      <c r="E151" s="1653"/>
      <c r="F151" s="1654"/>
      <c r="G151" s="1131" t="s">
        <v>121</v>
      </c>
      <c r="H151" s="122"/>
      <c r="I151" s="122"/>
      <c r="K151" s="621"/>
      <c r="L151" s="619"/>
      <c r="M151" s="626"/>
    </row>
    <row r="152" spans="1:13" s="68" customFormat="1" ht="17.25" thickTop="1" thickBot="1" x14ac:dyDescent="0.25">
      <c r="A152" s="1121" t="s">
        <v>1</v>
      </c>
      <c r="B152" s="1683" t="s">
        <v>928</v>
      </c>
      <c r="C152" s="1684"/>
      <c r="D152" s="1684"/>
      <c r="E152" s="1684"/>
      <c r="F152" s="1685"/>
      <c r="G152" s="127">
        <f>ROUND(IF(G52=0,H152,0),2)</f>
        <v>0</v>
      </c>
      <c r="H152" s="628"/>
      <c r="I152" s="122"/>
    </row>
    <row r="153" spans="1:13" s="68" customFormat="1" ht="15.75" customHeight="1" thickTop="1" thickBot="1" x14ac:dyDescent="0.25">
      <c r="A153" s="1644" t="s">
        <v>232</v>
      </c>
      <c r="B153" s="1645"/>
      <c r="C153" s="1645"/>
      <c r="D153" s="1645"/>
      <c r="E153" s="1645"/>
      <c r="F153" s="1646"/>
      <c r="G153" s="128">
        <f>SUM(G147:G152)</f>
        <v>0</v>
      </c>
      <c r="H153" s="122"/>
      <c r="I153" s="122"/>
    </row>
    <row r="154" spans="1:13" s="68" customFormat="1" ht="15" hidden="1" thickTop="1" x14ac:dyDescent="0.2">
      <c r="A154" s="1618" t="s">
        <v>752</v>
      </c>
      <c r="B154" s="1618"/>
      <c r="C154" s="1618"/>
      <c r="D154" s="1618"/>
      <c r="E154" s="1618"/>
      <c r="F154" s="1618"/>
      <c r="G154" s="1618"/>
      <c r="H154" s="122"/>
      <c r="I154" s="122"/>
    </row>
    <row r="155" spans="1:13" s="68" customFormat="1" ht="15.75" hidden="1" customHeight="1" x14ac:dyDescent="0.2">
      <c r="A155" s="1618"/>
      <c r="B155" s="1618"/>
      <c r="C155" s="1618"/>
      <c r="D155" s="1618"/>
      <c r="E155" s="1618"/>
      <c r="F155" s="1618"/>
      <c r="G155" s="1618"/>
      <c r="H155" s="122"/>
      <c r="I155" s="122"/>
    </row>
    <row r="156" spans="1:13" s="68" customFormat="1" ht="15" thickTop="1" x14ac:dyDescent="0.2">
      <c r="A156" s="101"/>
      <c r="B156" s="101"/>
      <c r="C156" s="101"/>
      <c r="D156" s="101"/>
      <c r="E156" s="101"/>
      <c r="F156" s="574"/>
      <c r="G156" s="575"/>
      <c r="H156" s="122"/>
      <c r="I156" s="122"/>
    </row>
    <row r="157" spans="1:13" s="68" customFormat="1" ht="15" thickBot="1" x14ac:dyDescent="0.25">
      <c r="A157" s="576" t="s">
        <v>754</v>
      </c>
      <c r="B157" s="99"/>
      <c r="C157" s="99"/>
      <c r="D157" s="99"/>
      <c r="E157" s="99"/>
      <c r="F157" s="120"/>
      <c r="G157" s="121"/>
      <c r="H157" s="122"/>
      <c r="I157" s="122"/>
    </row>
    <row r="158" spans="1:13" s="68" customFormat="1" ht="15.75" thickTop="1" thickBot="1" x14ac:dyDescent="0.25">
      <c r="A158" s="1131">
        <v>4</v>
      </c>
      <c r="B158" s="1672" t="s">
        <v>753</v>
      </c>
      <c r="C158" s="1673"/>
      <c r="D158" s="1673"/>
      <c r="E158" s="1673"/>
      <c r="F158" s="1674"/>
      <c r="G158" s="1131" t="s">
        <v>121</v>
      </c>
      <c r="H158" s="122"/>
      <c r="I158" s="122"/>
    </row>
    <row r="159" spans="1:13" s="68" customFormat="1" ht="15.75" thickTop="1" thickBot="1" x14ac:dyDescent="0.25">
      <c r="A159" s="112" t="s">
        <v>48</v>
      </c>
      <c r="B159" s="1132" t="str">
        <f>B139</f>
        <v>Substituto nas Ausências Legais</v>
      </c>
      <c r="C159" s="131"/>
      <c r="D159" s="131"/>
      <c r="E159" s="131"/>
      <c r="F159" s="288"/>
      <c r="G159" s="123">
        <f>G146</f>
        <v>10.31</v>
      </c>
      <c r="H159" s="122"/>
      <c r="I159" s="122"/>
    </row>
    <row r="160" spans="1:13" s="68" customFormat="1" ht="15.75" thickTop="1" thickBot="1" x14ac:dyDescent="0.25">
      <c r="A160" s="112" t="s">
        <v>53</v>
      </c>
      <c r="B160" s="1132" t="str">
        <f>B151</f>
        <v>Substituo na Intrajornada</v>
      </c>
      <c r="C160" s="131"/>
      <c r="D160" s="131"/>
      <c r="E160" s="131"/>
      <c r="F160" s="288"/>
      <c r="G160" s="123">
        <f>G153</f>
        <v>0</v>
      </c>
      <c r="H160" s="122"/>
      <c r="I160" s="122"/>
    </row>
    <row r="161" spans="1:9" s="68" customFormat="1" ht="15.75" thickTop="1" thickBot="1" x14ac:dyDescent="0.25">
      <c r="A161" s="1644" t="s">
        <v>232</v>
      </c>
      <c r="B161" s="1645"/>
      <c r="C161" s="1645"/>
      <c r="D161" s="1645"/>
      <c r="E161" s="1645"/>
      <c r="F161" s="1646"/>
      <c r="G161" s="133">
        <f>SUM(G159:G160)</f>
        <v>10.31</v>
      </c>
      <c r="H161" s="122"/>
      <c r="I161" s="122"/>
    </row>
    <row r="162" spans="1:9" s="68" customFormat="1" ht="15" thickTop="1" x14ac:dyDescent="0.2">
      <c r="A162" s="101"/>
      <c r="B162" s="101"/>
      <c r="C162" s="101"/>
      <c r="D162" s="101"/>
      <c r="E162" s="101"/>
      <c r="F162" s="574"/>
      <c r="G162" s="575"/>
      <c r="H162" s="122"/>
      <c r="I162" s="122"/>
    </row>
    <row r="163" spans="1:9" ht="15" thickBot="1" x14ac:dyDescent="0.25">
      <c r="A163" s="1629" t="s">
        <v>756</v>
      </c>
      <c r="B163" s="1629"/>
      <c r="C163" s="1629"/>
      <c r="D163" s="1629"/>
      <c r="E163" s="1629"/>
      <c r="F163" s="1629"/>
      <c r="G163" s="1629"/>
      <c r="H163" s="111"/>
      <c r="I163" s="111"/>
    </row>
    <row r="164" spans="1:9" ht="15.75" thickTop="1" thickBot="1" x14ac:dyDescent="0.25">
      <c r="A164" s="1131">
        <v>5</v>
      </c>
      <c r="B164" s="1672" t="s">
        <v>93</v>
      </c>
      <c r="C164" s="1673"/>
      <c r="D164" s="1673"/>
      <c r="E164" s="1673"/>
      <c r="F164" s="1674"/>
      <c r="G164" s="1131" t="s">
        <v>121</v>
      </c>
      <c r="H164" s="111"/>
      <c r="I164" s="111"/>
    </row>
    <row r="165" spans="1:9" ht="15.75" thickTop="1" thickBot="1" x14ac:dyDescent="0.25">
      <c r="A165" s="112" t="s">
        <v>1</v>
      </c>
      <c r="B165" s="130" t="str">
        <f>Dados!A63</f>
        <v>Uniformes</v>
      </c>
      <c r="C165" s="131"/>
      <c r="D165" s="131"/>
      <c r="E165" s="131"/>
      <c r="F165" s="769">
        <f>Dados!J70</f>
        <v>74.83</v>
      </c>
      <c r="G165" s="123">
        <f>F165*$F$14</f>
        <v>74.83</v>
      </c>
      <c r="H165" s="111"/>
      <c r="I165" s="111"/>
    </row>
    <row r="166" spans="1:9" ht="15.75" thickTop="1" thickBot="1" x14ac:dyDescent="0.25">
      <c r="A166" s="112" t="s">
        <v>2</v>
      </c>
      <c r="B166" s="130" t="str">
        <f>Dados!A71</f>
        <v>Materiais</v>
      </c>
      <c r="C166" s="131"/>
      <c r="D166" s="131"/>
      <c r="E166" s="131"/>
      <c r="F166" s="769"/>
      <c r="G166" s="123">
        <f t="shared" ref="G166:G167" si="5">F166*$F$14</f>
        <v>0</v>
      </c>
      <c r="H166" s="111"/>
      <c r="I166" s="111"/>
    </row>
    <row r="167" spans="1:9" ht="15.75" thickTop="1" thickBot="1" x14ac:dyDescent="0.25">
      <c r="A167" s="112" t="s">
        <v>4</v>
      </c>
      <c r="B167" s="1132" t="str">
        <f>Dados!A73</f>
        <v xml:space="preserve">Equipamentos </v>
      </c>
      <c r="C167" s="131"/>
      <c r="D167" s="131"/>
      <c r="E167" s="131"/>
      <c r="F167" s="769"/>
      <c r="G167" s="123">
        <f t="shared" si="5"/>
        <v>0</v>
      </c>
      <c r="H167" s="111"/>
      <c r="I167" s="111"/>
    </row>
    <row r="168" spans="1:9" ht="15.75" thickTop="1" thickBot="1" x14ac:dyDescent="0.25">
      <c r="A168" s="112" t="s">
        <v>5</v>
      </c>
      <c r="B168" s="1132" t="str">
        <f>Dados!A74</f>
        <v>Depreciação e manutenção dos equipamentos</v>
      </c>
      <c r="C168" s="131"/>
      <c r="D168" s="131"/>
      <c r="E168" s="131"/>
      <c r="F168" s="770">
        <f>Dados!I74</f>
        <v>0</v>
      </c>
      <c r="G168" s="123">
        <f>G167*F168</f>
        <v>0</v>
      </c>
      <c r="H168" s="111"/>
      <c r="I168" s="111"/>
    </row>
    <row r="169" spans="1:9" ht="15.75" thickTop="1" thickBot="1" x14ac:dyDescent="0.25">
      <c r="A169" s="112" t="s">
        <v>6</v>
      </c>
      <c r="B169" s="125" t="s">
        <v>57</v>
      </c>
      <c r="C169" s="132"/>
      <c r="D169" s="132"/>
      <c r="E169" s="285"/>
      <c r="F169" s="288"/>
      <c r="G169" s="124"/>
      <c r="H169" s="111"/>
      <c r="I169" s="111"/>
    </row>
    <row r="170" spans="1:9" ht="15.75" thickTop="1" thickBot="1" x14ac:dyDescent="0.25">
      <c r="A170" s="118"/>
      <c r="B170" s="1644" t="s">
        <v>232</v>
      </c>
      <c r="C170" s="1645"/>
      <c r="D170" s="1645"/>
      <c r="E170" s="1645"/>
      <c r="F170" s="1646"/>
      <c r="G170" s="133">
        <f>SUM(G165:G169)</f>
        <v>74.83</v>
      </c>
      <c r="H170" s="111"/>
      <c r="I170" s="111"/>
    </row>
    <row r="171" spans="1:9" s="68" customFormat="1" ht="15" hidden="1" thickTop="1" x14ac:dyDescent="0.2">
      <c r="A171" s="101" t="s">
        <v>757</v>
      </c>
      <c r="B171" s="99"/>
      <c r="C171" s="99"/>
      <c r="D171" s="99"/>
      <c r="E171" s="99"/>
      <c r="F171" s="120"/>
      <c r="G171" s="121"/>
      <c r="H171" s="122"/>
      <c r="I171" s="122"/>
    </row>
    <row r="172" spans="1:9" s="68" customFormat="1" ht="15" thickTop="1" x14ac:dyDescent="0.2">
      <c r="A172" s="98"/>
      <c r="B172" s="99"/>
      <c r="C172" s="99"/>
      <c r="D172" s="99"/>
      <c r="E172" s="99"/>
      <c r="F172" s="120"/>
      <c r="G172" s="121"/>
      <c r="H172" s="122"/>
      <c r="I172" s="122"/>
    </row>
    <row r="173" spans="1:9" ht="15" thickBot="1" x14ac:dyDescent="0.25">
      <c r="A173" s="1629" t="s">
        <v>760</v>
      </c>
      <c r="B173" s="1629"/>
      <c r="C173" s="1629"/>
      <c r="D173" s="1629"/>
      <c r="E173" s="1629"/>
      <c r="F173" s="1629"/>
      <c r="G173" s="1629"/>
      <c r="H173" s="111"/>
    </row>
    <row r="174" spans="1:9" ht="15.75" thickTop="1" thickBot="1" x14ac:dyDescent="0.25">
      <c r="A174" s="1125">
        <v>6</v>
      </c>
      <c r="B174" s="1657" t="s">
        <v>27</v>
      </c>
      <c r="C174" s="1657"/>
      <c r="D174" s="1657"/>
      <c r="E174" s="1657"/>
      <c r="F174" s="1125" t="s">
        <v>746</v>
      </c>
      <c r="G174" s="1131" t="s">
        <v>121</v>
      </c>
      <c r="H174" s="111"/>
      <c r="I174" s="111"/>
    </row>
    <row r="175" spans="1:9" ht="14.25" customHeight="1" thickTop="1" thickBot="1" x14ac:dyDescent="0.25">
      <c r="A175" s="1121" t="s">
        <v>1</v>
      </c>
      <c r="B175" s="141" t="s">
        <v>28</v>
      </c>
      <c r="C175" s="137"/>
      <c r="D175" s="137"/>
      <c r="E175" s="126"/>
      <c r="F175" s="138">
        <f>Dados!K77</f>
        <v>0.01</v>
      </c>
      <c r="G175" s="142">
        <f>$G$196*F175</f>
        <v>31.82</v>
      </c>
      <c r="H175" s="111"/>
      <c r="I175" s="111"/>
    </row>
    <row r="176" spans="1:9" ht="14.25" customHeight="1" thickTop="1" thickBot="1" x14ac:dyDescent="0.25">
      <c r="A176" s="1121" t="s">
        <v>2</v>
      </c>
      <c r="B176" s="141" t="s">
        <v>20</v>
      </c>
      <c r="C176" s="137"/>
      <c r="D176" s="137"/>
      <c r="E176" s="126"/>
      <c r="F176" s="138">
        <f>Dados!K78</f>
        <v>0.01</v>
      </c>
      <c r="G176" s="142">
        <f>($G$196+$G$175)*F176</f>
        <v>32.14</v>
      </c>
      <c r="H176" s="111"/>
      <c r="I176" s="111"/>
    </row>
    <row r="177" spans="1:9" ht="14.25" customHeight="1" thickTop="1" thickBot="1" x14ac:dyDescent="0.25">
      <c r="A177" s="1675" t="s">
        <v>4</v>
      </c>
      <c r="B177" s="141" t="s">
        <v>24</v>
      </c>
      <c r="C177" s="296"/>
      <c r="D177" s="137"/>
      <c r="E177" s="920"/>
      <c r="F177" s="921"/>
      <c r="G177" s="939">
        <f>SUM(G175:G176)</f>
        <v>63.96</v>
      </c>
      <c r="H177" s="111"/>
      <c r="I177" s="111"/>
    </row>
    <row r="178" spans="1:9" ht="14.25" customHeight="1" thickTop="1" thickBot="1" x14ac:dyDescent="0.25">
      <c r="A178" s="1676"/>
      <c r="B178" s="136" t="s">
        <v>103</v>
      </c>
      <c r="C178" s="285"/>
      <c r="D178" s="137"/>
      <c r="E178" s="920"/>
      <c r="F178" s="921"/>
      <c r="G178" s="919"/>
      <c r="H178" s="111"/>
      <c r="I178" s="111"/>
    </row>
    <row r="179" spans="1:9" ht="14.25" customHeight="1" thickTop="1" thickBot="1" x14ac:dyDescent="0.25">
      <c r="A179" s="1676"/>
      <c r="B179" s="136" t="s">
        <v>21</v>
      </c>
      <c r="C179" s="285"/>
      <c r="D179" s="137"/>
      <c r="F179" s="295">
        <f>Dados!F88</f>
        <v>1.17E-2</v>
      </c>
      <c r="G179" s="143">
        <f>(($G$196+$G$175+$G$176)/Dados!$H$88)*F179</f>
        <v>42.93</v>
      </c>
      <c r="H179" s="111"/>
      <c r="I179" s="111"/>
    </row>
    <row r="180" spans="1:9" ht="14.25" customHeight="1" thickTop="1" thickBot="1" x14ac:dyDescent="0.25">
      <c r="A180" s="1676"/>
      <c r="B180" s="136" t="s">
        <v>22</v>
      </c>
      <c r="C180" s="285"/>
      <c r="D180" s="137"/>
      <c r="E180" s="126"/>
      <c r="F180" s="295">
        <f>Dados!E88</f>
        <v>5.3499999999999999E-2</v>
      </c>
      <c r="G180" s="143">
        <f>(($G$196+$G$175+$G$176)/Dados!$H$88)*F180</f>
        <v>196.29</v>
      </c>
      <c r="H180" s="111"/>
      <c r="I180" s="111"/>
    </row>
    <row r="181" spans="1:9" ht="14.25" customHeight="1" thickTop="1" thickBot="1" x14ac:dyDescent="0.25">
      <c r="A181" s="1676"/>
      <c r="B181" s="136" t="s">
        <v>104</v>
      </c>
      <c r="C181" s="285"/>
      <c r="D181" s="137"/>
      <c r="E181" s="126"/>
      <c r="F181" s="138"/>
      <c r="G181" s="142"/>
      <c r="H181" s="111"/>
      <c r="I181" s="111"/>
    </row>
    <row r="182" spans="1:9" ht="14.25" customHeight="1" thickTop="1" thickBot="1" x14ac:dyDescent="0.25">
      <c r="A182" s="1676"/>
      <c r="B182" s="136" t="s">
        <v>29</v>
      </c>
      <c r="C182" s="285"/>
      <c r="D182" s="137"/>
      <c r="E182" s="126"/>
      <c r="F182" s="138"/>
      <c r="G182" s="143"/>
      <c r="H182" s="111"/>
      <c r="I182" s="111"/>
    </row>
    <row r="183" spans="1:9" ht="14.25" customHeight="1" thickTop="1" thickBot="1" x14ac:dyDescent="0.25">
      <c r="A183" s="1676"/>
      <c r="B183" s="136" t="s">
        <v>105</v>
      </c>
      <c r="C183" s="285"/>
      <c r="D183" s="137"/>
      <c r="E183" s="126"/>
      <c r="F183" s="138"/>
      <c r="G183" s="142"/>
      <c r="H183" s="111"/>
      <c r="I183" s="111"/>
    </row>
    <row r="184" spans="1:9" ht="14.25" customHeight="1" thickTop="1" thickBot="1" x14ac:dyDescent="0.25">
      <c r="A184" s="1677"/>
      <c r="B184" s="136" t="s">
        <v>23</v>
      </c>
      <c r="C184" s="285"/>
      <c r="D184" s="137"/>
      <c r="E184" s="126"/>
      <c r="F184" s="295">
        <f>Dados!C88</f>
        <v>0.05</v>
      </c>
      <c r="G184" s="143">
        <f>(($G$196+$G$175+$G$176)/Dados!$H$88)*F184</f>
        <v>183.45</v>
      </c>
      <c r="H184" s="111"/>
      <c r="I184" s="111"/>
    </row>
    <row r="185" spans="1:9" ht="18" customHeight="1" thickTop="1" thickBot="1" x14ac:dyDescent="0.25">
      <c r="A185" s="1644" t="s">
        <v>232</v>
      </c>
      <c r="B185" s="1645"/>
      <c r="C185" s="1645"/>
      <c r="D185" s="1645"/>
      <c r="E185" s="1646"/>
      <c r="F185" s="139">
        <f>SUM(F175:F184)</f>
        <v>0.13519999999999999</v>
      </c>
      <c r="G185" s="144">
        <f>G175+G179+G180+G184+G176</f>
        <v>486.63</v>
      </c>
      <c r="H185" s="111"/>
      <c r="I185" s="111"/>
    </row>
    <row r="186" spans="1:9" ht="15" hidden="1" thickTop="1" x14ac:dyDescent="0.2">
      <c r="A186" s="572" t="s">
        <v>759</v>
      </c>
      <c r="B186" s="145"/>
      <c r="C186" s="145"/>
      <c r="D186" s="145"/>
      <c r="E186" s="145"/>
      <c r="F186" s="145"/>
      <c r="G186" s="146"/>
      <c r="H186" s="111"/>
      <c r="I186" s="111"/>
    </row>
    <row r="187" spans="1:9" hidden="1" x14ac:dyDescent="0.2">
      <c r="A187" s="572" t="s">
        <v>758</v>
      </c>
      <c r="B187" s="145"/>
      <c r="C187" s="145"/>
      <c r="D187" s="145"/>
      <c r="E187" s="145"/>
      <c r="F187" s="145"/>
      <c r="G187" s="146"/>
      <c r="H187" s="111"/>
      <c r="I187" s="111"/>
    </row>
    <row r="188" spans="1:9" ht="15" thickTop="1" x14ac:dyDescent="0.2">
      <c r="A188" s="572"/>
      <c r="B188" s="145"/>
      <c r="C188" s="145"/>
      <c r="D188" s="145"/>
      <c r="E188" s="145"/>
      <c r="F188" s="145"/>
      <c r="G188" s="146"/>
      <c r="H188" s="111"/>
      <c r="I188" s="111"/>
    </row>
    <row r="189" spans="1:9" ht="15" thickBot="1" x14ac:dyDescent="0.25">
      <c r="A189" s="1124" t="s">
        <v>761</v>
      </c>
      <c r="B189" s="145"/>
      <c r="C189" s="145"/>
      <c r="D189" s="145"/>
      <c r="E189" s="145"/>
      <c r="F189" s="145"/>
      <c r="G189" s="146"/>
      <c r="H189" s="111"/>
      <c r="I189" s="111"/>
    </row>
    <row r="190" spans="1:9" ht="16.5" customHeight="1" thickTop="1" thickBot="1" x14ac:dyDescent="0.25">
      <c r="A190" s="1658" t="s">
        <v>718</v>
      </c>
      <c r="B190" s="1658"/>
      <c r="C190" s="1658"/>
      <c r="D190" s="1658"/>
      <c r="E190" s="1658"/>
      <c r="F190" s="1658"/>
      <c r="G190" s="1131" t="s">
        <v>121</v>
      </c>
      <c r="H190" s="111"/>
    </row>
    <row r="191" spans="1:9" ht="14.25" customHeight="1" thickTop="1" thickBot="1" x14ac:dyDescent="0.25">
      <c r="A191" s="1121" t="s">
        <v>1</v>
      </c>
      <c r="B191" s="1132" t="str">
        <f>A45</f>
        <v>Módulo 1 - Composição da Remuneração</v>
      </c>
      <c r="C191" s="1133"/>
      <c r="D191" s="566"/>
      <c r="E191" s="566"/>
      <c r="F191" s="147"/>
      <c r="G191" s="124">
        <f>G53</f>
        <v>1287.96</v>
      </c>
      <c r="H191" s="111"/>
    </row>
    <row r="192" spans="1:9" ht="14.25" customHeight="1" thickTop="1" thickBot="1" x14ac:dyDescent="0.25">
      <c r="A192" s="1121" t="s">
        <v>2</v>
      </c>
      <c r="B192" s="1132" t="str">
        <f>A58</f>
        <v>Módulo 2 - Encargos e Benefícios Anuais, Mensais e Diários</v>
      </c>
      <c r="C192" s="1133"/>
      <c r="D192" s="566"/>
      <c r="E192" s="566"/>
      <c r="F192" s="147"/>
      <c r="G192" s="124">
        <f>G121</f>
        <v>1727</v>
      </c>
      <c r="H192" s="111"/>
    </row>
    <row r="193" spans="1:8" ht="14.25" customHeight="1" thickTop="1" thickBot="1" x14ac:dyDescent="0.25">
      <c r="A193" s="1121" t="s">
        <v>4</v>
      </c>
      <c r="B193" s="1132" t="str">
        <f>A123</f>
        <v>Módulo 3 - Provisão para Rescisão</v>
      </c>
      <c r="C193" s="1133"/>
      <c r="D193" s="566"/>
      <c r="E193" s="566"/>
      <c r="F193" s="147"/>
      <c r="G193" s="124">
        <f>G132</f>
        <v>82.31</v>
      </c>
      <c r="H193" s="111"/>
    </row>
    <row r="194" spans="1:8" ht="14.25" customHeight="1" thickTop="1" thickBot="1" x14ac:dyDescent="0.25">
      <c r="A194" s="1121" t="s">
        <v>5</v>
      </c>
      <c r="B194" s="1132" t="str">
        <f>A134</f>
        <v>Módulo 4 - Custo de Reposição do Profissional</v>
      </c>
      <c r="C194" s="1133"/>
      <c r="D194" s="566"/>
      <c r="E194" s="566"/>
      <c r="F194" s="147"/>
      <c r="G194" s="124">
        <f>G161</f>
        <v>10.31</v>
      </c>
      <c r="H194" s="111"/>
    </row>
    <row r="195" spans="1:8" ht="15.75" hidden="1" thickTop="1" thickBot="1" x14ac:dyDescent="0.25">
      <c r="A195" s="583" t="s">
        <v>6</v>
      </c>
      <c r="B195" s="1132" t="str">
        <f>A163</f>
        <v>Módulo 5 - Insumos Diversos</v>
      </c>
      <c r="C195" s="579"/>
      <c r="D195" s="579"/>
      <c r="E195" s="579"/>
      <c r="F195" s="580"/>
      <c r="G195" s="584">
        <f>G170</f>
        <v>74.83</v>
      </c>
    </row>
    <row r="196" spans="1:8" ht="15.75" thickTop="1" thickBot="1" x14ac:dyDescent="0.25">
      <c r="A196" s="1644" t="s">
        <v>762</v>
      </c>
      <c r="B196" s="1645"/>
      <c r="C196" s="1645"/>
      <c r="D196" s="1645"/>
      <c r="E196" s="1645"/>
      <c r="F196" s="1646"/>
      <c r="G196" s="133">
        <f>SUM(G191:G195)</f>
        <v>3182.41</v>
      </c>
    </row>
    <row r="197" spans="1:8" ht="14.25" customHeight="1" thickTop="1" thickBot="1" x14ac:dyDescent="0.25">
      <c r="A197" s="1121" t="s">
        <v>7</v>
      </c>
      <c r="B197" s="1132" t="str">
        <f>A173</f>
        <v>Módulo 6 - Custos Indiretos, Tributos e Lucro</v>
      </c>
      <c r="C197" s="1133"/>
      <c r="D197" s="566"/>
      <c r="E197" s="566"/>
      <c r="F197" s="147"/>
      <c r="G197" s="124">
        <f>G185</f>
        <v>486.63</v>
      </c>
    </row>
    <row r="198" spans="1:8" ht="15.75" customHeight="1" thickTop="1" thickBot="1" x14ac:dyDescent="0.25">
      <c r="A198" s="1644" t="s">
        <v>687</v>
      </c>
      <c r="B198" s="1645"/>
      <c r="C198" s="1645"/>
      <c r="D198" s="1645"/>
      <c r="E198" s="1645"/>
      <c r="F198" s="1646"/>
      <c r="G198" s="133">
        <f>SUM(G196:G197)</f>
        <v>3669.04</v>
      </c>
    </row>
    <row r="199" spans="1:8" ht="15.75" thickTop="1" thickBot="1" x14ac:dyDescent="0.25">
      <c r="A199" s="1644" t="s">
        <v>1445</v>
      </c>
      <c r="B199" s="1645"/>
      <c r="C199" s="1645"/>
      <c r="D199" s="1645"/>
      <c r="E199" s="1645"/>
      <c r="F199" s="1646"/>
      <c r="G199" s="133">
        <f>Dados!J51+Dados!J55</f>
        <v>170.7</v>
      </c>
    </row>
    <row r="200" spans="1:8" ht="15.75" thickTop="1" thickBot="1" x14ac:dyDescent="0.25">
      <c r="A200" s="1644" t="s">
        <v>687</v>
      </c>
      <c r="B200" s="1645"/>
      <c r="C200" s="1645"/>
      <c r="D200" s="1645"/>
      <c r="E200" s="1645"/>
      <c r="F200" s="1646"/>
      <c r="G200" s="133">
        <f>G198+G199</f>
        <v>3839.74</v>
      </c>
    </row>
    <row r="201" spans="1:8" ht="15" thickTop="1" x14ac:dyDescent="0.2"/>
    <row r="202" spans="1:8" ht="15" hidden="1" thickBot="1" x14ac:dyDescent="0.25">
      <c r="A202" s="1124" t="s">
        <v>763</v>
      </c>
    </row>
    <row r="203" spans="1:8" ht="46.5" hidden="1" customHeight="1" thickTop="1" x14ac:dyDescent="0.2">
      <c r="A203" s="1650" t="s">
        <v>167</v>
      </c>
      <c r="B203" s="1651"/>
      <c r="C203" s="1130" t="s">
        <v>765</v>
      </c>
      <c r="D203" s="1130" t="s">
        <v>764</v>
      </c>
      <c r="E203" s="1130" t="s">
        <v>766</v>
      </c>
      <c r="F203" s="1126" t="s">
        <v>767</v>
      </c>
      <c r="G203" s="1126" t="s">
        <v>768</v>
      </c>
    </row>
    <row r="204" spans="1:8" ht="18" hidden="1" customHeight="1" thickBot="1" x14ac:dyDescent="0.25">
      <c r="A204" s="1659" t="s">
        <v>168</v>
      </c>
      <c r="B204" s="1660"/>
      <c r="C204" s="586" t="s">
        <v>169</v>
      </c>
      <c r="D204" s="586" t="s">
        <v>170</v>
      </c>
      <c r="E204" s="586" t="s">
        <v>171</v>
      </c>
      <c r="F204" s="587" t="s">
        <v>172</v>
      </c>
      <c r="G204" s="587" t="s">
        <v>173</v>
      </c>
    </row>
    <row r="205" spans="1:8" ht="39" hidden="1" customHeight="1" thickTop="1" thickBot="1" x14ac:dyDescent="0.25">
      <c r="A205" s="583" t="s">
        <v>160</v>
      </c>
      <c r="B205" s="1129" t="str">
        <f>F40</f>
        <v>Mensageiro de segunda a sexta-feira - 44 horas semanais</v>
      </c>
      <c r="C205" s="274">
        <f>G198</f>
        <v>3669.04</v>
      </c>
      <c r="D205" s="275">
        <f>F26</f>
        <v>1</v>
      </c>
      <c r="E205" s="276">
        <f>C205*D205</f>
        <v>3669.04</v>
      </c>
      <c r="F205" s="277">
        <f>E26</f>
        <v>1</v>
      </c>
      <c r="G205" s="278">
        <f>E205*F205</f>
        <v>3669.04</v>
      </c>
    </row>
    <row r="206" spans="1:8" ht="15.75" hidden="1" thickTop="1" thickBot="1" x14ac:dyDescent="0.25">
      <c r="A206" s="1644" t="s">
        <v>769</v>
      </c>
      <c r="B206" s="1645"/>
      <c r="C206" s="1645"/>
      <c r="D206" s="1645"/>
      <c r="E206" s="1645"/>
      <c r="F206" s="1646"/>
      <c r="G206" s="133">
        <f>SUM(G205)</f>
        <v>3669.04</v>
      </c>
    </row>
    <row r="207" spans="1:8" ht="15" hidden="1" thickTop="1" x14ac:dyDescent="0.2">
      <c r="A207" s="247"/>
      <c r="B207" s="247"/>
      <c r="C207" s="247"/>
      <c r="D207" s="247"/>
      <c r="E207" s="247"/>
      <c r="F207" s="247"/>
      <c r="G207" s="247"/>
    </row>
    <row r="208" spans="1:8" ht="15" hidden="1" thickBot="1" x14ac:dyDescent="0.25">
      <c r="A208" s="1124" t="s">
        <v>770</v>
      </c>
      <c r="B208" s="247"/>
      <c r="C208" s="247"/>
      <c r="D208" s="247"/>
      <c r="E208" s="247"/>
      <c r="F208" s="247"/>
      <c r="G208" s="247"/>
    </row>
    <row r="209" spans="1:7" ht="15" hidden="1" customHeight="1" thickTop="1" thickBot="1" x14ac:dyDescent="0.25">
      <c r="A209" s="1128"/>
      <c r="B209" s="1656" t="s">
        <v>771</v>
      </c>
      <c r="C209" s="1656"/>
      <c r="D209" s="1656"/>
      <c r="E209" s="1656"/>
      <c r="F209" s="1656"/>
      <c r="G209" s="1656"/>
    </row>
    <row r="210" spans="1:7" ht="15.75" hidden="1" thickTop="1" thickBot="1" x14ac:dyDescent="0.25">
      <c r="A210" s="283"/>
      <c r="B210" s="1647" t="s">
        <v>772</v>
      </c>
      <c r="C210" s="1648"/>
      <c r="D210" s="1648"/>
      <c r="E210" s="1648"/>
      <c r="F210" s="1649"/>
      <c r="G210" s="283" t="s">
        <v>773</v>
      </c>
    </row>
    <row r="211" spans="1:7" ht="15.75" hidden="1" thickTop="1" thickBot="1" x14ac:dyDescent="0.25">
      <c r="A211" s="279" t="s">
        <v>1</v>
      </c>
      <c r="B211" s="287" t="s">
        <v>174</v>
      </c>
      <c r="C211" s="286"/>
      <c r="D211" s="284"/>
      <c r="E211" s="284"/>
      <c r="F211" s="284"/>
      <c r="G211" s="280">
        <f>G198</f>
        <v>3669.04</v>
      </c>
    </row>
    <row r="212" spans="1:7" ht="15.75" hidden="1" thickTop="1" thickBot="1" x14ac:dyDescent="0.25">
      <c r="A212" s="279" t="s">
        <v>2</v>
      </c>
      <c r="B212" s="287" t="s">
        <v>175</v>
      </c>
      <c r="C212" s="286"/>
      <c r="D212" s="284"/>
      <c r="E212" s="284"/>
      <c r="F212" s="284"/>
      <c r="G212" s="280">
        <f>G205</f>
        <v>3669.04</v>
      </c>
    </row>
    <row r="213" spans="1:7" ht="15.75" hidden="1" customHeight="1" thickTop="1" thickBot="1" x14ac:dyDescent="0.25">
      <c r="A213" s="279" t="s">
        <v>4</v>
      </c>
      <c r="B213" s="287" t="s">
        <v>914</v>
      </c>
      <c r="C213" s="286"/>
      <c r="D213" s="284"/>
      <c r="E213" s="284"/>
      <c r="F213" s="284"/>
      <c r="G213" s="280">
        <f>G212*$F$22</f>
        <v>44028.480000000003</v>
      </c>
    </row>
    <row r="214" spans="1:7" ht="15" hidden="1" thickTop="1" x14ac:dyDescent="0.2">
      <c r="A214" s="68" t="s">
        <v>774</v>
      </c>
    </row>
    <row r="216" spans="1:7" hidden="1" x14ac:dyDescent="0.2"/>
    <row r="217" spans="1:7" hidden="1" x14ac:dyDescent="0.2">
      <c r="A217" s="1124" t="s">
        <v>775</v>
      </c>
    </row>
    <row r="218" spans="1:7" ht="15" hidden="1" thickBot="1" x14ac:dyDescent="0.25">
      <c r="A218" s="145"/>
      <c r="B218" s="585"/>
      <c r="C218" s="585"/>
      <c r="D218" s="585"/>
      <c r="E218" s="585"/>
      <c r="F218" s="585"/>
      <c r="G218" s="585"/>
    </row>
    <row r="219" spans="1:7" ht="15" hidden="1" customHeight="1" thickTop="1" x14ac:dyDescent="0.2">
      <c r="A219" s="1650" t="s">
        <v>776</v>
      </c>
      <c r="B219" s="1661"/>
      <c r="C219" s="1661"/>
      <c r="D219" s="1651"/>
      <c r="E219" s="1668" t="s">
        <v>778</v>
      </c>
      <c r="F219" s="1641" t="s">
        <v>779</v>
      </c>
      <c r="G219" s="1641" t="s">
        <v>54</v>
      </c>
    </row>
    <row r="220" spans="1:7" ht="15" hidden="1" thickBot="1" x14ac:dyDescent="0.25">
      <c r="A220" s="1662"/>
      <c r="B220" s="1663"/>
      <c r="C220" s="1663"/>
      <c r="D220" s="1664"/>
      <c r="E220" s="1669"/>
      <c r="F220" s="1642"/>
      <c r="G220" s="1642"/>
    </row>
    <row r="221" spans="1:7" ht="36" hidden="1" customHeight="1" thickTop="1" thickBot="1" x14ac:dyDescent="0.25">
      <c r="A221" s="588" t="str">
        <f>A205</f>
        <v>I</v>
      </c>
      <c r="B221" s="1665" t="str">
        <f>B205</f>
        <v>Mensageiro de segunda a sexta-feira - 44 horas semanais</v>
      </c>
      <c r="C221" s="1666"/>
      <c r="D221" s="1667"/>
      <c r="E221" s="276">
        <f>E205</f>
        <v>3669.04</v>
      </c>
      <c r="F221" s="277">
        <f>F205</f>
        <v>1</v>
      </c>
      <c r="G221" s="278">
        <f>E221*F221</f>
        <v>3669.04</v>
      </c>
    </row>
    <row r="222" spans="1:7" ht="15.75" hidden="1" customHeight="1" thickTop="1" thickBot="1" x14ac:dyDescent="0.25">
      <c r="A222" s="1644" t="s">
        <v>47</v>
      </c>
      <c r="B222" s="1645"/>
      <c r="C222" s="1645"/>
      <c r="D222" s="1645"/>
      <c r="E222" s="1645"/>
      <c r="F222" s="1646"/>
      <c r="G222" s="133">
        <f>SUM(G221)</f>
        <v>3669.04</v>
      </c>
    </row>
    <row r="223" spans="1:7" hidden="1" x14ac:dyDescent="0.2">
      <c r="A223" s="68" t="s">
        <v>777</v>
      </c>
    </row>
  </sheetData>
  <mergeCells count="97">
    <mergeCell ref="A20:A21"/>
    <mergeCell ref="B20:E21"/>
    <mergeCell ref="F20:G20"/>
    <mergeCell ref="F21:G21"/>
    <mergeCell ref="A5:G5"/>
    <mergeCell ref="A6:G6"/>
    <mergeCell ref="A8:G8"/>
    <mergeCell ref="A9:G9"/>
    <mergeCell ref="A10:G10"/>
    <mergeCell ref="A13:B13"/>
    <mergeCell ref="C13:D13"/>
    <mergeCell ref="A14:B14"/>
    <mergeCell ref="C14:D14"/>
    <mergeCell ref="A17:G17"/>
    <mergeCell ref="F18:G18"/>
    <mergeCell ref="F19:G19"/>
    <mergeCell ref="B38:E38"/>
    <mergeCell ref="F38:G38"/>
    <mergeCell ref="F22:G22"/>
    <mergeCell ref="A24:G24"/>
    <mergeCell ref="A25:B25"/>
    <mergeCell ref="A26:B26"/>
    <mergeCell ref="A27:G28"/>
    <mergeCell ref="A29:G30"/>
    <mergeCell ref="A34:G34"/>
    <mergeCell ref="A35:G35"/>
    <mergeCell ref="A36:G36"/>
    <mergeCell ref="B37:E37"/>
    <mergeCell ref="F37:G37"/>
    <mergeCell ref="B39:E39"/>
    <mergeCell ref="F39:G39"/>
    <mergeCell ref="B40:E40"/>
    <mergeCell ref="F40:G40"/>
    <mergeCell ref="B41:E41"/>
    <mergeCell ref="F41:G41"/>
    <mergeCell ref="A73:F73"/>
    <mergeCell ref="B46:E46"/>
    <mergeCell ref="A53:F53"/>
    <mergeCell ref="A55:G56"/>
    <mergeCell ref="A58:G58"/>
    <mergeCell ref="A60:G60"/>
    <mergeCell ref="B61:E61"/>
    <mergeCell ref="B63:E63"/>
    <mergeCell ref="A64:E64"/>
    <mergeCell ref="A65:G66"/>
    <mergeCell ref="A67:G68"/>
    <mergeCell ref="A69:G71"/>
    <mergeCell ref="B117:F117"/>
    <mergeCell ref="A76:F76"/>
    <mergeCell ref="B79:E79"/>
    <mergeCell ref="A88:E88"/>
    <mergeCell ref="A89:G89"/>
    <mergeCell ref="A90:G90"/>
    <mergeCell ref="B95:E95"/>
    <mergeCell ref="A96:A97"/>
    <mergeCell ref="A98:A99"/>
    <mergeCell ref="A101:A103"/>
    <mergeCell ref="A111:F111"/>
    <mergeCell ref="A113:G114"/>
    <mergeCell ref="A153:F153"/>
    <mergeCell ref="A121:F121"/>
    <mergeCell ref="A123:G123"/>
    <mergeCell ref="B124:E124"/>
    <mergeCell ref="A132:E132"/>
    <mergeCell ref="A134:G134"/>
    <mergeCell ref="A135:G136"/>
    <mergeCell ref="B139:E139"/>
    <mergeCell ref="A146:E146"/>
    <mergeCell ref="A147:G148"/>
    <mergeCell ref="B151:F151"/>
    <mergeCell ref="B152:F152"/>
    <mergeCell ref="A196:F196"/>
    <mergeCell ref="A154:G155"/>
    <mergeCell ref="B158:F158"/>
    <mergeCell ref="A161:F161"/>
    <mergeCell ref="A163:G163"/>
    <mergeCell ref="B164:F164"/>
    <mergeCell ref="B170:F170"/>
    <mergeCell ref="A173:G173"/>
    <mergeCell ref="B174:E174"/>
    <mergeCell ref="A177:A184"/>
    <mergeCell ref="A185:E185"/>
    <mergeCell ref="A190:F190"/>
    <mergeCell ref="A222:F222"/>
    <mergeCell ref="A198:F198"/>
    <mergeCell ref="A203:B203"/>
    <mergeCell ref="A204:B204"/>
    <mergeCell ref="A206:F206"/>
    <mergeCell ref="B209:G209"/>
    <mergeCell ref="B210:F210"/>
    <mergeCell ref="A219:D220"/>
    <mergeCell ref="E219:E220"/>
    <mergeCell ref="F219:F220"/>
    <mergeCell ref="G219:G220"/>
    <mergeCell ref="B221:D221"/>
    <mergeCell ref="A199:F199"/>
    <mergeCell ref="A200:F200"/>
  </mergeCells>
  <dataValidations count="2">
    <dataValidation allowBlank="1" showInputMessage="1" showErrorMessage="1" errorTitle="Atenção" error="Não esquecer de buscar os valores e alterar na coluna F - das linhas 50 a 60, em caso de mais de um Sindicato." promptTitle="Benefícios" prompt="- Em caso de mais de um Sindicato em &quot;Dados&quot;, não esquecer de buscar os valores e alterar na coluna F - das linhas 50 a 60." sqref="F96:F110"/>
    <dataValidation allowBlank="1" showInputMessage="1" showErrorMessage="1" errorTitle="Atenção" error="Os dias só poderão ser alterados nos Dados." promptTitle="Jornada de Trabalho" prompt="- Alterando a carga horária, automaticamente será alterado os dias trabalhados._x000a_" sqref="C26"/>
  </dataValidations>
  <printOptions horizontalCentered="1"/>
  <pageMargins left="0.82677165354330717" right="0.55118110236220474" top="0.82677165354330717" bottom="0.43307086614173229" header="0.19685039370078741" footer="0.23622047244094491"/>
  <pageSetup paperSize="9" scale="61" fitToHeight="0" orientation="portrait" r:id="rId1"/>
  <headerFooter alignWithMargins="0"/>
  <rowBreaks count="1" manualBreakCount="1">
    <brk id="114" max="6" man="1"/>
  </rowBreaks>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20"/>
  <dimension ref="A1:M223"/>
  <sheetViews>
    <sheetView view="pageBreakPreview" topLeftCell="A76" zoomScale="90" zoomScaleNormal="100" zoomScaleSheetLayoutView="90" workbookViewId="0">
      <selection activeCell="C45" sqref="B45:K48"/>
    </sheetView>
  </sheetViews>
  <sheetFormatPr defaultRowHeight="14.25" x14ac:dyDescent="0.2"/>
  <cols>
    <col min="1" max="1" width="5.85546875" style="68" customWidth="1"/>
    <col min="2" max="2" width="29.42578125" style="68" customWidth="1"/>
    <col min="3" max="3" width="19.7109375" style="68" customWidth="1"/>
    <col min="4" max="4" width="17.140625" style="68" customWidth="1"/>
    <col min="5" max="5" width="18" style="68" customWidth="1"/>
    <col min="6" max="6" width="15.42578125" style="68" customWidth="1"/>
    <col min="7" max="7" width="18" style="97" bestFit="1" customWidth="1"/>
    <col min="8" max="8" width="17.28515625" style="69" bestFit="1" customWidth="1"/>
    <col min="9" max="9" width="15.28515625" style="69" bestFit="1" customWidth="1"/>
    <col min="10" max="11" width="13.42578125" style="69" bestFit="1" customWidth="1"/>
    <col min="12" max="12" width="11.5703125" style="69" bestFit="1" customWidth="1"/>
    <col min="13" max="13" width="12.5703125" style="69" bestFit="1" customWidth="1"/>
    <col min="14" max="16384" width="9.140625" style="69"/>
  </cols>
  <sheetData>
    <row r="1" spans="1:7" ht="11.25" hidden="1" customHeight="1" x14ac:dyDescent="0.2">
      <c r="A1" s="96" t="str">
        <f>Proposta!C83</f>
        <v>Razão Social: BRASFORT ADMINISTRAÇÃO E SERVIÇOS LTDA</v>
      </c>
    </row>
    <row r="2" spans="1:7" ht="11.25" hidden="1" customHeight="1" x14ac:dyDescent="0.2">
      <c r="A2" s="96" t="str">
        <f>Proposta!C84</f>
        <v>CNPJ: 36.770.857/0001-38</v>
      </c>
    </row>
    <row r="3" spans="1:7" hidden="1" x14ac:dyDescent="0.2">
      <c r="A3" s="97"/>
    </row>
    <row r="4" spans="1:7" hidden="1" x14ac:dyDescent="0.2">
      <c r="A4" s="97"/>
    </row>
    <row r="5" spans="1:7" hidden="1" x14ac:dyDescent="0.2">
      <c r="A5" s="1630" t="str">
        <f>Dados!H2</f>
        <v xml:space="preserve">REPACTUAÇÃO CONTRATUAL 20___ - </v>
      </c>
      <c r="B5" s="1630"/>
      <c r="C5" s="1630"/>
      <c r="D5" s="1630"/>
      <c r="E5" s="1630"/>
      <c r="F5" s="1630"/>
      <c r="G5" s="1630"/>
    </row>
    <row r="6" spans="1:7" hidden="1" x14ac:dyDescent="0.2">
      <c r="A6" s="1630" t="str">
        <f>Dados!A10</f>
        <v>CONTRATO Nº __________/201__ - CONTRATANTE - PRESTAÇÃO DE SERVIÇOS --------</v>
      </c>
      <c r="B6" s="1630"/>
      <c r="C6" s="1630"/>
      <c r="D6" s="1630"/>
      <c r="E6" s="1630"/>
      <c r="F6" s="1630"/>
      <c r="G6" s="1630"/>
    </row>
    <row r="7" spans="1:7" x14ac:dyDescent="0.2">
      <c r="A7" s="1123"/>
      <c r="B7" s="1123"/>
      <c r="C7" s="1123"/>
      <c r="D7" s="1123"/>
      <c r="E7" s="1123"/>
      <c r="F7" s="1123"/>
      <c r="G7" s="1123"/>
    </row>
    <row r="8" spans="1:7" ht="18" customHeight="1" x14ac:dyDescent="0.2">
      <c r="A8" s="1637"/>
      <c r="B8" s="1637"/>
      <c r="C8" s="1637"/>
      <c r="D8" s="1637"/>
      <c r="E8" s="1637"/>
      <c r="F8" s="1637"/>
      <c r="G8" s="1637"/>
    </row>
    <row r="9" spans="1:7" x14ac:dyDescent="0.2">
      <c r="A9" s="1637" t="str">
        <f>Dados!$A$11</f>
        <v>PLANILHA DE CUSTOS E FORMAÇÃO DE PREÇOS - CJF</v>
      </c>
      <c r="B9" s="1637"/>
      <c r="C9" s="1637"/>
      <c r="D9" s="1637"/>
      <c r="E9" s="1637"/>
      <c r="F9" s="1637"/>
      <c r="G9" s="1637"/>
    </row>
    <row r="10" spans="1:7" x14ac:dyDescent="0.2">
      <c r="A10" s="1637"/>
      <c r="B10" s="1637"/>
      <c r="C10" s="1637"/>
      <c r="D10" s="1637"/>
      <c r="E10" s="1637"/>
      <c r="F10" s="1637"/>
      <c r="G10" s="1637"/>
    </row>
    <row r="11" spans="1:7" x14ac:dyDescent="0.2">
      <c r="A11" s="98"/>
      <c r="B11" s="98"/>
      <c r="C11" s="98"/>
      <c r="D11" s="98"/>
      <c r="E11" s="98"/>
      <c r="F11" s="98"/>
      <c r="G11" s="98"/>
    </row>
    <row r="12" spans="1:7" ht="15" thickBot="1" x14ac:dyDescent="0.25">
      <c r="A12" s="99"/>
      <c r="B12" s="99"/>
      <c r="C12" s="99"/>
      <c r="D12" s="99"/>
      <c r="E12" s="99"/>
      <c r="F12" s="99"/>
      <c r="G12" s="99"/>
    </row>
    <row r="13" spans="1:7" ht="15.75" customHeight="1" thickTop="1" thickBot="1" x14ac:dyDescent="0.25">
      <c r="A13" s="1631" t="s">
        <v>117</v>
      </c>
      <c r="B13" s="1631"/>
      <c r="C13" s="1670" t="str">
        <f>Dados!$G$14</f>
        <v>0001561-97.2021.4.90.8000</v>
      </c>
      <c r="D13" s="1671"/>
      <c r="E13" s="102"/>
      <c r="F13" s="135"/>
      <c r="G13" s="100"/>
    </row>
    <row r="14" spans="1:7" ht="15.75" customHeight="1" thickTop="1" thickBot="1" x14ac:dyDescent="0.25">
      <c r="A14" s="1631" t="s">
        <v>116</v>
      </c>
      <c r="B14" s="1631"/>
      <c r="C14" s="1619" t="str">
        <f>"Pregão Eletrônico nº:" &amp; " " &amp; Dados!$G$22</f>
        <v>Pregão Eletrônico nº: PE 32/2021</v>
      </c>
      <c r="D14" s="1620"/>
      <c r="E14" s="102"/>
      <c r="F14" s="298">
        <v>1</v>
      </c>
      <c r="G14" s="100"/>
    </row>
    <row r="15" spans="1:7" ht="15.75" customHeight="1" thickTop="1" x14ac:dyDescent="0.2">
      <c r="A15" s="101" t="str">
        <f>"Dia:" &amp; " " &amp; TEXT(Dados!$G$15,"dd/mm/aaaa") &amp; " " &amp; "às" &amp; " " &amp; TEXT(Dados!$G$18,"hh:mm") &amp; " " &amp; "horas"</f>
        <v>Dia: 15/10/2021 às 10:00 horas</v>
      </c>
      <c r="B15" s="101"/>
      <c r="C15" s="101"/>
      <c r="D15" s="99"/>
      <c r="E15" s="102"/>
      <c r="F15" s="297"/>
      <c r="G15" s="104"/>
    </row>
    <row r="16" spans="1:7" ht="15.75" customHeight="1" x14ac:dyDescent="0.2">
      <c r="A16" s="101"/>
      <c r="B16" s="101"/>
      <c r="C16" s="101"/>
      <c r="D16" s="99"/>
      <c r="E16" s="102"/>
      <c r="F16" s="103"/>
      <c r="G16" s="104"/>
    </row>
    <row r="17" spans="1:7" ht="18" customHeight="1" thickBot="1" x14ac:dyDescent="0.25">
      <c r="A17" s="1638" t="s">
        <v>723</v>
      </c>
      <c r="B17" s="1638"/>
      <c r="C17" s="1638"/>
      <c r="D17" s="1638"/>
      <c r="E17" s="1638"/>
      <c r="F17" s="1638"/>
      <c r="G17" s="1638"/>
    </row>
    <row r="18" spans="1:7" ht="16.5" customHeight="1" thickTop="1" thickBot="1" x14ac:dyDescent="0.25">
      <c r="A18" s="1121" t="s">
        <v>1</v>
      </c>
      <c r="B18" s="1132" t="s">
        <v>119</v>
      </c>
      <c r="C18" s="1133"/>
      <c r="D18" s="566"/>
      <c r="E18" s="106"/>
      <c r="F18" s="1639" t="d">
        <f>Dados!G16</f>
        <v>2021-10-21</v>
      </c>
      <c r="G18" s="1640"/>
    </row>
    <row r="19" spans="1:7" ht="16.5" customHeight="1" thickTop="1" thickBot="1" x14ac:dyDescent="0.25">
      <c r="A19" s="1121" t="s">
        <v>2</v>
      </c>
      <c r="B19" s="565" t="s">
        <v>3</v>
      </c>
      <c r="C19" s="566"/>
      <c r="D19" s="566"/>
      <c r="E19" s="107"/>
      <c r="F19" s="1639" t="str">
        <f>Dados!G19</f>
        <v>Brasília - DF</v>
      </c>
      <c r="G19" s="1640"/>
    </row>
    <row r="20" spans="1:7" ht="15" thickTop="1" x14ac:dyDescent="0.2">
      <c r="A20" s="1675" t="s">
        <v>4</v>
      </c>
      <c r="B20" s="1621" t="s">
        <v>118</v>
      </c>
      <c r="C20" s="1622"/>
      <c r="D20" s="1622"/>
      <c r="E20" s="1623"/>
      <c r="F20" s="1681" t="str">
        <f>Dados!N101</f>
        <v>SINDISERVIÇOS/SEAC-DF</v>
      </c>
      <c r="G20" s="1681"/>
    </row>
    <row r="21" spans="1:7" ht="15" thickBot="1" x14ac:dyDescent="0.25">
      <c r="A21" s="1677"/>
      <c r="B21" s="1624"/>
      <c r="C21" s="1625"/>
      <c r="D21" s="1625"/>
      <c r="E21" s="1626"/>
      <c r="F21" s="1627" t="str">
        <f>VLOOKUP(F20,'CCT''S'!$A$7:$J$21,5,FALSE)</f>
        <v>2021/2021</v>
      </c>
      <c r="G21" s="1628"/>
    </row>
    <row r="22" spans="1:7" ht="16.5" customHeight="1" thickTop="1" thickBot="1" x14ac:dyDescent="0.25">
      <c r="A22" s="1121" t="s">
        <v>5</v>
      </c>
      <c r="B22" s="1132" t="s">
        <v>120</v>
      </c>
      <c r="C22" s="1133"/>
      <c r="D22" s="566"/>
      <c r="E22" s="107"/>
      <c r="F22" s="1640">
        <f>Dados!G26</f>
        <v>12</v>
      </c>
      <c r="G22" s="1640"/>
    </row>
    <row r="23" spans="1:7" ht="15" thickTop="1" x14ac:dyDescent="0.2">
      <c r="A23" s="98"/>
      <c r="B23" s="99"/>
      <c r="C23" s="99"/>
      <c r="D23" s="99"/>
      <c r="E23" s="99"/>
      <c r="F23" s="108"/>
      <c r="G23" s="109"/>
    </row>
    <row r="24" spans="1:7" ht="16.5" customHeight="1" thickBot="1" x14ac:dyDescent="0.25">
      <c r="A24" s="1638" t="s">
        <v>722</v>
      </c>
      <c r="B24" s="1638"/>
      <c r="C24" s="1638"/>
      <c r="D24" s="1638"/>
      <c r="E24" s="1638"/>
      <c r="F24" s="1638"/>
      <c r="G24" s="1638"/>
    </row>
    <row r="25" spans="1:7" ht="51" customHeight="1" thickTop="1" thickBot="1" x14ac:dyDescent="0.25">
      <c r="A25" s="1635" t="s">
        <v>89</v>
      </c>
      <c r="B25" s="1635"/>
      <c r="C25" s="1125" t="s">
        <v>194</v>
      </c>
      <c r="D25" s="1125" t="s">
        <v>115</v>
      </c>
      <c r="E25" s="1125" t="s">
        <v>73</v>
      </c>
      <c r="F25" s="1125" t="s">
        <v>195</v>
      </c>
      <c r="G25" s="1125" t="s">
        <v>86</v>
      </c>
    </row>
    <row r="26" spans="1:7" ht="33.75" customHeight="1" thickTop="1" thickBot="1" x14ac:dyDescent="0.25">
      <c r="A26" s="1631" t="str">
        <f>Dados!N87</f>
        <v>Operador de Máquina Reprográfica</v>
      </c>
      <c r="B26" s="1631"/>
      <c r="C26" s="1121" t="str">
        <f>Dados!J30</f>
        <v>44 horas semanais - 5x2</v>
      </c>
      <c r="D26" s="1121" t="str">
        <f>Dados!G25</f>
        <v>Postos de Serviços</v>
      </c>
      <c r="E26" s="292">
        <f>Dados!R87</f>
        <v>1</v>
      </c>
      <c r="F26" s="292">
        <f>Dados!S87</f>
        <v>1</v>
      </c>
      <c r="G26" s="292">
        <f>E26*F26</f>
        <v>1</v>
      </c>
    </row>
    <row r="27" spans="1:7" ht="14.25" hidden="1" customHeight="1" thickTop="1" x14ac:dyDescent="0.2">
      <c r="A27" s="1634" t="s">
        <v>725</v>
      </c>
      <c r="B27" s="1634"/>
      <c r="C27" s="1634"/>
      <c r="D27" s="1634"/>
      <c r="E27" s="1634"/>
      <c r="F27" s="1634"/>
      <c r="G27" s="1634"/>
    </row>
    <row r="28" spans="1:7" ht="14.25" hidden="1" customHeight="1" x14ac:dyDescent="0.2">
      <c r="A28" s="1618"/>
      <c r="B28" s="1618"/>
      <c r="C28" s="1618"/>
      <c r="D28" s="1618"/>
      <c r="E28" s="1618"/>
      <c r="F28" s="1618"/>
      <c r="G28" s="1618"/>
    </row>
    <row r="29" spans="1:7" ht="14.25" hidden="1" customHeight="1" x14ac:dyDescent="0.2">
      <c r="A29" s="1618" t="s">
        <v>724</v>
      </c>
      <c r="B29" s="1618"/>
      <c r="C29" s="1618"/>
      <c r="D29" s="1618"/>
      <c r="E29" s="1618"/>
      <c r="F29" s="1618"/>
      <c r="G29" s="1618"/>
    </row>
    <row r="30" spans="1:7" ht="14.25" hidden="1" customHeight="1" x14ac:dyDescent="0.2">
      <c r="A30" s="1618"/>
      <c r="B30" s="1618"/>
      <c r="C30" s="1618"/>
      <c r="D30" s="1618"/>
      <c r="E30" s="1618"/>
      <c r="F30" s="1618"/>
      <c r="G30" s="1618"/>
    </row>
    <row r="31" spans="1:7" ht="14.25" customHeight="1" thickTop="1" x14ac:dyDescent="0.2">
      <c r="A31" s="101"/>
      <c r="B31" s="101"/>
      <c r="C31" s="101"/>
      <c r="D31" s="101"/>
      <c r="E31" s="101"/>
      <c r="F31" s="572"/>
      <c r="G31" s="573"/>
    </row>
    <row r="32" spans="1:7" ht="14.25" customHeight="1" x14ac:dyDescent="0.2">
      <c r="A32" s="1124" t="s">
        <v>719</v>
      </c>
      <c r="B32" s="98"/>
      <c r="C32" s="98"/>
      <c r="D32" s="98"/>
      <c r="E32" s="98"/>
      <c r="G32" s="110"/>
    </row>
    <row r="33" spans="1:9" ht="6.75" customHeight="1" x14ac:dyDescent="0.2">
      <c r="A33" s="98"/>
      <c r="B33" s="98"/>
      <c r="C33" s="98"/>
      <c r="D33" s="98"/>
      <c r="E33" s="98"/>
      <c r="G33" s="110"/>
    </row>
    <row r="34" spans="1:9" ht="14.25" customHeight="1" x14ac:dyDescent="0.2">
      <c r="A34" s="1632" t="s">
        <v>159</v>
      </c>
      <c r="B34" s="1632"/>
      <c r="C34" s="1632"/>
      <c r="D34" s="1632"/>
      <c r="E34" s="1632"/>
      <c r="F34" s="1632"/>
      <c r="G34" s="1632"/>
    </row>
    <row r="35" spans="1:9" ht="14.25" customHeight="1" thickBot="1" x14ac:dyDescent="0.25">
      <c r="A35" s="1636" t="s">
        <v>102</v>
      </c>
      <c r="B35" s="1636"/>
      <c r="C35" s="1636"/>
      <c r="D35" s="1636"/>
      <c r="E35" s="1636"/>
      <c r="F35" s="1636"/>
      <c r="G35" s="1636"/>
    </row>
    <row r="36" spans="1:9" ht="15" customHeight="1" thickTop="1" thickBot="1" x14ac:dyDescent="0.25">
      <c r="A36" s="1633" t="s">
        <v>88</v>
      </c>
      <c r="B36" s="1633"/>
      <c r="C36" s="1633"/>
      <c r="D36" s="1633"/>
      <c r="E36" s="1633"/>
      <c r="F36" s="1633"/>
      <c r="G36" s="1633"/>
    </row>
    <row r="37" spans="1:9" ht="15.75" thickTop="1" thickBot="1" x14ac:dyDescent="0.25">
      <c r="A37" s="1121">
        <v>1</v>
      </c>
      <c r="B37" s="1633" t="s">
        <v>89</v>
      </c>
      <c r="C37" s="1633"/>
      <c r="D37" s="1633"/>
      <c r="E37" s="1633"/>
      <c r="F37" s="1631" t="str">
        <f>A26</f>
        <v>Operador de Máquina Reprográfica</v>
      </c>
      <c r="G37" s="1631"/>
    </row>
    <row r="38" spans="1:9" ht="15.75" thickTop="1" thickBot="1" x14ac:dyDescent="0.25">
      <c r="A38" s="1121">
        <v>2</v>
      </c>
      <c r="B38" s="1633" t="s">
        <v>720</v>
      </c>
      <c r="C38" s="1633"/>
      <c r="D38" s="1633"/>
      <c r="E38" s="1633"/>
      <c r="F38" s="1631" t="str">
        <f>Dados!O87</f>
        <v>4122-05</v>
      </c>
      <c r="G38" s="1631"/>
    </row>
    <row r="39" spans="1:9" ht="15.75" customHeight="1" thickTop="1" thickBot="1" x14ac:dyDescent="0.25">
      <c r="A39" s="1121">
        <v>3</v>
      </c>
      <c r="B39" s="1633" t="s">
        <v>90</v>
      </c>
      <c r="C39" s="1633"/>
      <c r="D39" s="1633"/>
      <c r="E39" s="1633"/>
      <c r="F39" s="1682">
        <f>Dados!U87</f>
        <v>1287.96</v>
      </c>
      <c r="G39" s="1682"/>
    </row>
    <row r="40" spans="1:9" ht="44.25" customHeight="1" thickTop="1" thickBot="1" x14ac:dyDescent="0.25">
      <c r="A40" s="1121">
        <v>4</v>
      </c>
      <c r="B40" s="1633" t="s">
        <v>10</v>
      </c>
      <c r="C40" s="1633"/>
      <c r="D40" s="1633"/>
      <c r="E40" s="1633"/>
      <c r="F40" s="1640" t="str">
        <f>Dados!P87</f>
        <v>Operador de Máquina Reprográfica de segunda a sexta-feira - 44 horas semanais</v>
      </c>
      <c r="G40" s="1640"/>
    </row>
    <row r="41" spans="1:9" ht="14.25" customHeight="1" thickTop="1" thickBot="1" x14ac:dyDescent="0.25">
      <c r="A41" s="1121">
        <v>5</v>
      </c>
      <c r="B41" s="1633" t="s">
        <v>11</v>
      </c>
      <c r="C41" s="1633"/>
      <c r="D41" s="1633"/>
      <c r="E41" s="1633"/>
      <c r="F41" s="1689" t="d">
        <f>VLOOKUP(F20,'CCT''S'!$A$7:$J$21,6,FALSE)</f>
        <v>2021-01-01</v>
      </c>
      <c r="G41" s="1690"/>
    </row>
    <row r="42" spans="1:9" ht="14.25" hidden="1" customHeight="1" thickTop="1" x14ac:dyDescent="0.2">
      <c r="A42" s="101" t="s">
        <v>726</v>
      </c>
      <c r="B42" s="129"/>
      <c r="C42" s="129"/>
      <c r="D42" s="129"/>
      <c r="E42" s="129"/>
      <c r="F42" s="103"/>
      <c r="G42" s="103"/>
    </row>
    <row r="43" spans="1:9" ht="14.25" hidden="1" customHeight="1" x14ac:dyDescent="0.2">
      <c r="A43" s="101" t="s">
        <v>727</v>
      </c>
      <c r="B43" s="129"/>
      <c r="C43" s="129"/>
      <c r="D43" s="129"/>
      <c r="E43" s="129"/>
      <c r="F43" s="103"/>
      <c r="G43" s="103"/>
    </row>
    <row r="44" spans="1:9" ht="14.25" customHeight="1" thickTop="1" x14ac:dyDescent="0.2">
      <c r="A44" s="98"/>
      <c r="B44" s="129"/>
      <c r="C44" s="129"/>
      <c r="D44" s="129"/>
      <c r="E44" s="129"/>
      <c r="F44" s="103"/>
      <c r="G44" s="103"/>
    </row>
    <row r="45" spans="1:9" s="576" customFormat="1" ht="15" thickBot="1" x14ac:dyDescent="0.25">
      <c r="A45" s="576" t="s">
        <v>30</v>
      </c>
    </row>
    <row r="46" spans="1:9" ht="18" customHeight="1" thickTop="1" thickBot="1" x14ac:dyDescent="0.25">
      <c r="A46" s="1131">
        <v>1</v>
      </c>
      <c r="B46" s="1672" t="s">
        <v>91</v>
      </c>
      <c r="C46" s="1673"/>
      <c r="D46" s="1673"/>
      <c r="E46" s="1674"/>
      <c r="F46" s="1125" t="s">
        <v>746</v>
      </c>
      <c r="G46" s="1131" t="s">
        <v>121</v>
      </c>
      <c r="H46" s="111"/>
      <c r="I46" s="111"/>
    </row>
    <row r="47" spans="1:9" ht="15.75" thickTop="1" thickBot="1" x14ac:dyDescent="0.25">
      <c r="A47" s="112" t="s">
        <v>1</v>
      </c>
      <c r="B47" s="1132" t="s">
        <v>674</v>
      </c>
      <c r="C47" s="1133"/>
      <c r="D47" s="1133"/>
      <c r="E47" s="1134"/>
      <c r="F47" s="115"/>
      <c r="G47" s="116">
        <f>$F$39*F14</f>
        <v>1287.96</v>
      </c>
      <c r="H47" s="111"/>
      <c r="I47" s="111"/>
    </row>
    <row r="48" spans="1:9" ht="15.75" thickTop="1" thickBot="1" x14ac:dyDescent="0.25">
      <c r="A48" s="112" t="s">
        <v>2</v>
      </c>
      <c r="B48" s="1132" t="str">
        <f>Dados!A36</f>
        <v xml:space="preserve">Adicional de Periculosidade </v>
      </c>
      <c r="C48" s="1133"/>
      <c r="D48" s="1133"/>
      <c r="E48" s="1134"/>
      <c r="F48" s="369">
        <f>Dados!G36</f>
        <v>0.3</v>
      </c>
      <c r="G48" s="117"/>
      <c r="H48" s="111"/>
      <c r="I48" s="111"/>
    </row>
    <row r="49" spans="1:9" ht="15.75" thickTop="1" thickBot="1" x14ac:dyDescent="0.25">
      <c r="A49" s="112" t="s">
        <v>4</v>
      </c>
      <c r="B49" s="1132" t="s">
        <v>908</v>
      </c>
      <c r="C49" s="1133"/>
      <c r="D49" s="1133"/>
      <c r="E49" s="1134"/>
      <c r="F49" s="369"/>
      <c r="G49" s="117"/>
      <c r="H49" s="111"/>
      <c r="I49" s="111"/>
    </row>
    <row r="50" spans="1:9" ht="15.75" thickTop="1" thickBot="1" x14ac:dyDescent="0.25">
      <c r="A50" s="112" t="s">
        <v>5</v>
      </c>
      <c r="B50" s="1132" t="s">
        <v>12</v>
      </c>
      <c r="C50" s="1133"/>
      <c r="D50" s="1133"/>
      <c r="E50" s="1134"/>
      <c r="F50" s="369">
        <f>Dados!G39</f>
        <v>0.2</v>
      </c>
      <c r="G50" s="117"/>
      <c r="H50" s="111"/>
      <c r="I50" s="111"/>
    </row>
    <row r="51" spans="1:9" ht="15.75" thickTop="1" thickBot="1" x14ac:dyDescent="0.25">
      <c r="A51" s="112" t="s">
        <v>6</v>
      </c>
      <c r="B51" s="1132" t="s">
        <v>728</v>
      </c>
      <c r="C51" s="1133"/>
      <c r="D51" s="1133"/>
      <c r="E51" s="1134"/>
      <c r="F51" s="369"/>
      <c r="G51" s="117"/>
      <c r="H51" s="111"/>
      <c r="I51" s="111"/>
    </row>
    <row r="52" spans="1:9" ht="15.75" thickTop="1" thickBot="1" x14ac:dyDescent="0.25">
      <c r="A52" s="112" t="s">
        <v>7</v>
      </c>
      <c r="B52" s="1132" t="s">
        <v>57</v>
      </c>
      <c r="C52" s="1133"/>
      <c r="D52" s="1133"/>
      <c r="E52" s="1134"/>
      <c r="F52" s="369"/>
      <c r="G52" s="117"/>
      <c r="H52" s="111"/>
      <c r="I52" s="111"/>
    </row>
    <row r="53" spans="1:9" ht="16.5" customHeight="1" thickTop="1" thickBot="1" x14ac:dyDescent="0.25">
      <c r="A53" s="1644" t="s">
        <v>232</v>
      </c>
      <c r="B53" s="1645"/>
      <c r="C53" s="1645"/>
      <c r="D53" s="1645"/>
      <c r="E53" s="1645"/>
      <c r="F53" s="1646"/>
      <c r="G53" s="119">
        <f>SUM(G47:G52)</f>
        <v>1287.96</v>
      </c>
      <c r="H53" s="111"/>
      <c r="I53" s="111"/>
    </row>
    <row r="54" spans="1:9" s="68" customFormat="1" ht="15" hidden="1" thickTop="1" x14ac:dyDescent="0.2">
      <c r="A54" s="101" t="s">
        <v>729</v>
      </c>
      <c r="B54" s="101"/>
      <c r="C54" s="101"/>
      <c r="D54" s="101"/>
      <c r="E54" s="101"/>
      <c r="F54" s="574"/>
      <c r="G54" s="575"/>
      <c r="H54" s="122"/>
      <c r="I54" s="122"/>
    </row>
    <row r="55" spans="1:9" s="68" customFormat="1" ht="14.25" hidden="1" customHeight="1" x14ac:dyDescent="0.2">
      <c r="A55" s="1618" t="s">
        <v>958</v>
      </c>
      <c r="B55" s="1618"/>
      <c r="C55" s="1618"/>
      <c r="D55" s="1618"/>
      <c r="E55" s="1618"/>
      <c r="F55" s="1618"/>
      <c r="G55" s="1618"/>
      <c r="H55" s="122"/>
      <c r="I55" s="122"/>
    </row>
    <row r="56" spans="1:9" s="68" customFormat="1" hidden="1" x14ac:dyDescent="0.2">
      <c r="A56" s="1618"/>
      <c r="B56" s="1618"/>
      <c r="C56" s="1618"/>
      <c r="D56" s="1618"/>
      <c r="E56" s="1618"/>
      <c r="F56" s="1618"/>
      <c r="G56" s="1618"/>
      <c r="H56" s="122"/>
      <c r="I56" s="122"/>
    </row>
    <row r="57" spans="1:9" s="68" customFormat="1" ht="15" thickTop="1" x14ac:dyDescent="0.2">
      <c r="A57" s="101"/>
      <c r="B57" s="101"/>
      <c r="C57" s="101"/>
      <c r="D57" s="101"/>
      <c r="E57" s="101"/>
      <c r="F57" s="574"/>
      <c r="G57" s="575"/>
      <c r="H57" s="122"/>
      <c r="I57" s="122"/>
    </row>
    <row r="58" spans="1:9" s="68" customFormat="1" x14ac:dyDescent="0.2">
      <c r="A58" s="1629" t="s">
        <v>730</v>
      </c>
      <c r="B58" s="1629"/>
      <c r="C58" s="1629"/>
      <c r="D58" s="1629"/>
      <c r="E58" s="1629"/>
      <c r="F58" s="1629"/>
      <c r="G58" s="1629"/>
      <c r="H58" s="122"/>
      <c r="I58" s="122"/>
    </row>
    <row r="59" spans="1:9" s="68" customFormat="1" ht="5.25" customHeight="1" x14ac:dyDescent="0.2">
      <c r="A59" s="101"/>
      <c r="B59" s="101"/>
      <c r="C59" s="101"/>
      <c r="D59" s="101"/>
      <c r="E59" s="101"/>
      <c r="F59" s="574"/>
      <c r="G59" s="575"/>
      <c r="H59" s="122"/>
      <c r="I59" s="122"/>
    </row>
    <row r="60" spans="1:9" s="68" customFormat="1" ht="15" thickBot="1" x14ac:dyDescent="0.25">
      <c r="A60" s="1632" t="s">
        <v>737</v>
      </c>
      <c r="B60" s="1632"/>
      <c r="C60" s="1632"/>
      <c r="D60" s="1632"/>
      <c r="E60" s="1632"/>
      <c r="F60" s="1632"/>
      <c r="G60" s="1632"/>
      <c r="H60" s="122"/>
      <c r="I60" s="122"/>
    </row>
    <row r="61" spans="1:9" s="68" customFormat="1" ht="15.75" thickTop="1" thickBot="1" x14ac:dyDescent="0.25">
      <c r="A61" s="1125" t="s">
        <v>732</v>
      </c>
      <c r="B61" s="1635" t="s">
        <v>747</v>
      </c>
      <c r="C61" s="1635"/>
      <c r="D61" s="1635"/>
      <c r="E61" s="1635"/>
      <c r="F61" s="1125" t="s">
        <v>746</v>
      </c>
      <c r="G61" s="1131" t="s">
        <v>121</v>
      </c>
      <c r="H61" s="122"/>
      <c r="I61" s="122"/>
    </row>
    <row r="62" spans="1:9" s="68" customFormat="1" ht="15.75" thickTop="1" thickBot="1" x14ac:dyDescent="0.25">
      <c r="A62" s="1121" t="s">
        <v>1</v>
      </c>
      <c r="B62" s="136" t="str">
        <f>Dados!B92</f>
        <v xml:space="preserve">13º (décimo terceiro) salário  </v>
      </c>
      <c r="C62" s="285"/>
      <c r="D62" s="137"/>
      <c r="E62" s="126"/>
      <c r="F62" s="138">
        <f>Dados!G92</f>
        <v>9.0899999999999995E-2</v>
      </c>
      <c r="G62" s="127">
        <f>F62*$G$53</f>
        <v>117.08</v>
      </c>
      <c r="H62" s="122"/>
      <c r="I62" s="122"/>
    </row>
    <row r="63" spans="1:9" s="68" customFormat="1" ht="15.75" thickTop="1" thickBot="1" x14ac:dyDescent="0.25">
      <c r="A63" s="1121" t="s">
        <v>2</v>
      </c>
      <c r="B63" s="1655" t="str">
        <f>Dados!B93</f>
        <v xml:space="preserve"> Férias e Adicional de Férias</v>
      </c>
      <c r="C63" s="1655"/>
      <c r="D63" s="1655"/>
      <c r="E63" s="1655"/>
      <c r="F63" s="138">
        <f>Dados!G93</f>
        <v>0.1212</v>
      </c>
      <c r="G63" s="127">
        <f>F63*$G$53</f>
        <v>156.1</v>
      </c>
      <c r="H63" s="122"/>
      <c r="I63" s="122"/>
    </row>
    <row r="64" spans="1:9" s="68" customFormat="1" ht="18.75" customHeight="1" thickTop="1" thickBot="1" x14ac:dyDescent="0.25">
      <c r="A64" s="1644" t="s">
        <v>232</v>
      </c>
      <c r="B64" s="1645"/>
      <c r="C64" s="1645"/>
      <c r="D64" s="1645"/>
      <c r="E64" s="1646"/>
      <c r="F64" s="139">
        <f>SUM(F62:F63)</f>
        <v>0.21210000000000001</v>
      </c>
      <c r="G64" s="133">
        <f>SUM(G62:G63)</f>
        <v>273.18</v>
      </c>
      <c r="H64" s="122"/>
      <c r="I64" s="623"/>
    </row>
    <row r="65" spans="1:9" s="68" customFormat="1" ht="15" hidden="1" customHeight="1" thickTop="1" x14ac:dyDescent="0.2">
      <c r="A65" s="1618" t="s">
        <v>736</v>
      </c>
      <c r="B65" s="1618"/>
      <c r="C65" s="1618"/>
      <c r="D65" s="1618"/>
      <c r="E65" s="1618"/>
      <c r="F65" s="1618"/>
      <c r="G65" s="1618"/>
      <c r="H65" s="122"/>
      <c r="I65" s="623"/>
    </row>
    <row r="66" spans="1:9" s="68" customFormat="1" hidden="1" x14ac:dyDescent="0.2">
      <c r="A66" s="1618"/>
      <c r="B66" s="1618"/>
      <c r="C66" s="1618"/>
      <c r="D66" s="1618"/>
      <c r="E66" s="1618"/>
      <c r="F66" s="1618"/>
      <c r="G66" s="1618"/>
      <c r="H66" s="122"/>
      <c r="I66" s="623"/>
    </row>
    <row r="67" spans="1:9" s="68" customFormat="1" ht="14.25" hidden="1" customHeight="1" x14ac:dyDescent="0.2">
      <c r="A67" s="1643" t="s">
        <v>934</v>
      </c>
      <c r="B67" s="1643"/>
      <c r="C67" s="1643"/>
      <c r="D67" s="1643"/>
      <c r="E67" s="1643"/>
      <c r="F67" s="1643"/>
      <c r="G67" s="1643"/>
      <c r="H67" s="122"/>
      <c r="I67" s="623"/>
    </row>
    <row r="68" spans="1:9" s="68" customFormat="1" hidden="1" x14ac:dyDescent="0.2">
      <c r="A68" s="1643"/>
      <c r="B68" s="1643"/>
      <c r="C68" s="1643"/>
      <c r="D68" s="1643"/>
      <c r="E68" s="1643"/>
      <c r="F68" s="1643"/>
      <c r="G68" s="1643"/>
      <c r="H68" s="122"/>
      <c r="I68" s="623"/>
    </row>
    <row r="69" spans="1:9" s="68" customFormat="1" ht="14.25" hidden="1" customHeight="1" x14ac:dyDescent="0.2">
      <c r="A69" s="1618" t="s">
        <v>916</v>
      </c>
      <c r="B69" s="1618"/>
      <c r="C69" s="1618"/>
      <c r="D69" s="1618"/>
      <c r="E69" s="1618"/>
      <c r="F69" s="1618"/>
      <c r="G69" s="1618"/>
      <c r="H69" s="122"/>
      <c r="I69" s="623"/>
    </row>
    <row r="70" spans="1:9" s="68" customFormat="1" hidden="1" x14ac:dyDescent="0.2">
      <c r="A70" s="1618"/>
      <c r="B70" s="1618"/>
      <c r="C70" s="1618"/>
      <c r="D70" s="1618"/>
      <c r="E70" s="1618"/>
      <c r="F70" s="1618"/>
      <c r="G70" s="1618"/>
      <c r="H70" s="122"/>
      <c r="I70" s="623"/>
    </row>
    <row r="71" spans="1:9" s="68" customFormat="1" hidden="1" x14ac:dyDescent="0.2">
      <c r="A71" s="1618"/>
      <c r="B71" s="1618"/>
      <c r="C71" s="1618"/>
      <c r="D71" s="1618"/>
      <c r="E71" s="1618"/>
      <c r="F71" s="1618"/>
      <c r="G71" s="1618"/>
      <c r="H71" s="122"/>
      <c r="I71" s="623"/>
    </row>
    <row r="72" spans="1:9" s="68" customFormat="1" ht="15.75" thickTop="1" thickBot="1" x14ac:dyDescent="0.25">
      <c r="A72" s="1122"/>
      <c r="B72" s="1122"/>
      <c r="C72" s="1122"/>
      <c r="D72" s="1122"/>
      <c r="E72" s="1122"/>
      <c r="F72" s="1122"/>
      <c r="G72" s="1122"/>
      <c r="H72" s="122"/>
      <c r="I72" s="623"/>
    </row>
    <row r="73" spans="1:9" s="68" customFormat="1" ht="15.75" customHeight="1" thickTop="1" thickBot="1" x14ac:dyDescent="0.25">
      <c r="A73" s="1652" t="s">
        <v>804</v>
      </c>
      <c r="B73" s="1653"/>
      <c r="C73" s="1653"/>
      <c r="D73" s="1653"/>
      <c r="E73" s="1653"/>
      <c r="F73" s="1654"/>
      <c r="G73" s="1131" t="s">
        <v>121</v>
      </c>
      <c r="H73" s="122"/>
      <c r="I73" s="623"/>
    </row>
    <row r="74" spans="1:9" s="68" customFormat="1" ht="15.75" thickTop="1" thickBot="1" x14ac:dyDescent="0.25">
      <c r="A74" s="1121">
        <v>1</v>
      </c>
      <c r="B74" s="136" t="str">
        <f>A45</f>
        <v>Módulo 1 - Composição da Remuneração</v>
      </c>
      <c r="C74" s="285"/>
      <c r="D74" s="137"/>
      <c r="E74" s="137"/>
      <c r="F74" s="582"/>
      <c r="G74" s="127">
        <f>G53</f>
        <v>1287.96</v>
      </c>
      <c r="H74" s="122"/>
      <c r="I74" s="623"/>
    </row>
    <row r="75" spans="1:9" s="68" customFormat="1" ht="15.75" thickTop="1" thickBot="1" x14ac:dyDescent="0.25">
      <c r="A75" s="1121" t="s">
        <v>732</v>
      </c>
      <c r="B75" s="136" t="str">
        <f>A60</f>
        <v>Submódulo 2.1 - 13º (décimo terceiro) Salário, Férias e Adicional de Férias</v>
      </c>
      <c r="C75" s="285"/>
      <c r="D75" s="137"/>
      <c r="E75" s="137"/>
      <c r="F75" s="582"/>
      <c r="G75" s="127">
        <f>G64</f>
        <v>273.18</v>
      </c>
      <c r="H75" s="122"/>
      <c r="I75" s="122"/>
    </row>
    <row r="76" spans="1:9" s="68" customFormat="1" ht="15.75" thickTop="1" thickBot="1" x14ac:dyDescent="0.25">
      <c r="A76" s="1686" t="s">
        <v>805</v>
      </c>
      <c r="B76" s="1687"/>
      <c r="C76" s="1687"/>
      <c r="D76" s="1687"/>
      <c r="E76" s="1687"/>
      <c r="F76" s="1688"/>
      <c r="G76" s="133">
        <f>SUM(G74:G75)</f>
        <v>1561.14</v>
      </c>
      <c r="H76" s="122"/>
      <c r="I76" s="122"/>
    </row>
    <row r="77" spans="1:9" s="68" customFormat="1" ht="15" thickTop="1" x14ac:dyDescent="0.2">
      <c r="A77" s="1122"/>
      <c r="B77" s="1122"/>
      <c r="C77" s="1122"/>
      <c r="D77" s="1122"/>
      <c r="E77" s="1122"/>
      <c r="F77" s="1122"/>
      <c r="G77" s="1122"/>
      <c r="H77" s="122"/>
      <c r="I77" s="122"/>
    </row>
    <row r="78" spans="1:9" ht="15" thickBot="1" x14ac:dyDescent="0.25">
      <c r="A78" s="134" t="s">
        <v>738</v>
      </c>
      <c r="B78" s="135"/>
      <c r="C78" s="135"/>
      <c r="D78" s="135"/>
      <c r="E78" s="135"/>
      <c r="F78" s="135"/>
      <c r="G78" s="135"/>
      <c r="H78" s="111"/>
      <c r="I78" s="111"/>
    </row>
    <row r="79" spans="1:9" ht="15.75" thickTop="1" thickBot="1" x14ac:dyDescent="0.25">
      <c r="A79" s="1125" t="s">
        <v>731</v>
      </c>
      <c r="B79" s="1635" t="s">
        <v>745</v>
      </c>
      <c r="C79" s="1635"/>
      <c r="D79" s="1635"/>
      <c r="E79" s="1635"/>
      <c r="F79" s="1125" t="s">
        <v>746</v>
      </c>
      <c r="G79" s="1131" t="s">
        <v>121</v>
      </c>
      <c r="H79" s="111"/>
      <c r="I79" s="111"/>
    </row>
    <row r="80" spans="1:9" ht="15.75" thickTop="1" thickBot="1" x14ac:dyDescent="0.25">
      <c r="A80" s="1121" t="s">
        <v>1</v>
      </c>
      <c r="B80" s="136" t="str">
        <f>Dados!B98</f>
        <v>INSS</v>
      </c>
      <c r="C80" s="285"/>
      <c r="D80" s="137"/>
      <c r="E80" s="126"/>
      <c r="F80" s="138">
        <f>Dados!G98</f>
        <v>0.2</v>
      </c>
      <c r="G80" s="127">
        <f t="shared" ref="G80:G87" si="0">$G$76*F80</f>
        <v>312.23</v>
      </c>
      <c r="H80" s="111"/>
      <c r="I80" s="111"/>
    </row>
    <row r="81" spans="1:9" ht="15.75" thickTop="1" thickBot="1" x14ac:dyDescent="0.25">
      <c r="A81" s="1121" t="s">
        <v>2</v>
      </c>
      <c r="B81" s="136" t="str">
        <f>Dados!B99</f>
        <v>Salário Educação</v>
      </c>
      <c r="C81" s="285"/>
      <c r="D81" s="137"/>
      <c r="E81" s="126"/>
      <c r="F81" s="138">
        <f>Dados!G99</f>
        <v>2.5000000000000001E-2</v>
      </c>
      <c r="G81" s="127">
        <f t="shared" si="0"/>
        <v>39.03</v>
      </c>
      <c r="H81" s="111"/>
      <c r="I81" s="111"/>
    </row>
    <row r="82" spans="1:9" ht="15.75" thickTop="1" thickBot="1" x14ac:dyDescent="0.25">
      <c r="A82" s="1121" t="s">
        <v>4</v>
      </c>
      <c r="B82" s="136" t="str">
        <f>Dados!B100</f>
        <v>Seguro Acidente do Trabalho - SAT = RAT x FAP</v>
      </c>
      <c r="C82" s="285"/>
      <c r="D82" s="137"/>
      <c r="E82" s="126"/>
      <c r="F82" s="138">
        <f>Dados!G100</f>
        <v>1.2200000000000001E-2</v>
      </c>
      <c r="G82" s="127">
        <f t="shared" si="0"/>
        <v>19.05</v>
      </c>
      <c r="H82" s="111"/>
      <c r="I82" s="111"/>
    </row>
    <row r="83" spans="1:9" ht="15.75" thickTop="1" thickBot="1" x14ac:dyDescent="0.25">
      <c r="A83" s="1121" t="s">
        <v>5</v>
      </c>
      <c r="B83" s="136" t="str">
        <f>Dados!B101</f>
        <v>SESI ou SESC</v>
      </c>
      <c r="C83" s="285"/>
      <c r="D83" s="137"/>
      <c r="E83" s="126"/>
      <c r="F83" s="138">
        <f>Dados!G101</f>
        <v>1.4999999999999999E-2</v>
      </c>
      <c r="G83" s="127">
        <f t="shared" si="0"/>
        <v>23.42</v>
      </c>
      <c r="H83" s="111"/>
      <c r="I83" s="111"/>
    </row>
    <row r="84" spans="1:9" ht="15.75" thickTop="1" thickBot="1" x14ac:dyDescent="0.25">
      <c r="A84" s="1121" t="s">
        <v>6</v>
      </c>
      <c r="B84" s="136" t="str">
        <f>Dados!B102</f>
        <v>SENAI ou SENAC</v>
      </c>
      <c r="C84" s="285"/>
      <c r="D84" s="137"/>
      <c r="E84" s="126"/>
      <c r="F84" s="138">
        <f>Dados!G102</f>
        <v>0.01</v>
      </c>
      <c r="G84" s="127">
        <f t="shared" si="0"/>
        <v>15.61</v>
      </c>
      <c r="H84" s="111"/>
      <c r="I84" s="111"/>
    </row>
    <row r="85" spans="1:9" ht="15.75" thickTop="1" thickBot="1" x14ac:dyDescent="0.25">
      <c r="A85" s="1121" t="s">
        <v>7</v>
      </c>
      <c r="B85" s="136" t="str">
        <f>Dados!B103</f>
        <v>SEBRAE</v>
      </c>
      <c r="C85" s="285"/>
      <c r="D85" s="137"/>
      <c r="E85" s="126"/>
      <c r="F85" s="138">
        <f>Dados!G103</f>
        <v>6.0000000000000001E-3</v>
      </c>
      <c r="G85" s="127">
        <f t="shared" si="0"/>
        <v>9.3699999999999992</v>
      </c>
      <c r="H85" s="111"/>
      <c r="I85" s="111"/>
    </row>
    <row r="86" spans="1:9" ht="15.75" thickTop="1" thickBot="1" x14ac:dyDescent="0.25">
      <c r="A86" s="1121" t="s">
        <v>8</v>
      </c>
      <c r="B86" s="136" t="str">
        <f>Dados!B104</f>
        <v>INCRA</v>
      </c>
      <c r="C86" s="285"/>
      <c r="D86" s="137"/>
      <c r="E86" s="126"/>
      <c r="F86" s="138">
        <f>Dados!G104</f>
        <v>2E-3</v>
      </c>
      <c r="G86" s="127">
        <f t="shared" si="0"/>
        <v>3.12</v>
      </c>
      <c r="H86" s="111"/>
      <c r="I86" s="111"/>
    </row>
    <row r="87" spans="1:9" ht="15.75" thickTop="1" thickBot="1" x14ac:dyDescent="0.25">
      <c r="A87" s="1121" t="s">
        <v>9</v>
      </c>
      <c r="B87" s="136" t="str">
        <f>Dados!B105</f>
        <v>FGTS</v>
      </c>
      <c r="C87" s="285"/>
      <c r="D87" s="137"/>
      <c r="E87" s="126"/>
      <c r="F87" s="138">
        <f>Dados!G105</f>
        <v>0.08</v>
      </c>
      <c r="G87" s="127">
        <f t="shared" si="0"/>
        <v>124.89</v>
      </c>
      <c r="H87" s="111"/>
      <c r="I87" s="111"/>
    </row>
    <row r="88" spans="1:9" ht="15.75" customHeight="1" thickTop="1" thickBot="1" x14ac:dyDescent="0.25">
      <c r="A88" s="1644" t="s">
        <v>232</v>
      </c>
      <c r="B88" s="1645"/>
      <c r="C88" s="1645"/>
      <c r="D88" s="1645"/>
      <c r="E88" s="1646"/>
      <c r="F88" s="139">
        <f>SUM(F80:F87)</f>
        <v>0.35020000000000001</v>
      </c>
      <c r="G88" s="133">
        <f>SUM(G80:G87)</f>
        <v>546.72</v>
      </c>
      <c r="H88" s="111"/>
      <c r="I88" s="625"/>
    </row>
    <row r="89" spans="1:9" ht="15" hidden="1" customHeight="1" thickTop="1" x14ac:dyDescent="0.2">
      <c r="A89" s="1618" t="s">
        <v>740</v>
      </c>
      <c r="B89" s="1618"/>
      <c r="C89" s="1618"/>
      <c r="D89" s="1618"/>
      <c r="E89" s="1618"/>
      <c r="F89" s="1618"/>
      <c r="G89" s="1618"/>
      <c r="H89" s="111"/>
      <c r="I89" s="111"/>
    </row>
    <row r="90" spans="1:9" ht="33" hidden="1" customHeight="1" x14ac:dyDescent="0.2">
      <c r="A90" s="1618" t="s">
        <v>739</v>
      </c>
      <c r="B90" s="1618"/>
      <c r="C90" s="1618"/>
      <c r="D90" s="1618"/>
      <c r="E90" s="1618"/>
      <c r="F90" s="1618"/>
      <c r="G90" s="1618"/>
      <c r="H90" s="111"/>
      <c r="I90" s="111"/>
    </row>
    <row r="91" spans="1:9" hidden="1" x14ac:dyDescent="0.2">
      <c r="A91" s="577" t="s">
        <v>917</v>
      </c>
      <c r="B91" s="1124"/>
      <c r="C91" s="1124"/>
      <c r="D91" s="1124"/>
      <c r="E91" s="1124"/>
      <c r="F91" s="1124"/>
      <c r="G91" s="1124"/>
      <c r="H91" s="111"/>
      <c r="I91" s="111"/>
    </row>
    <row r="92" spans="1:9" hidden="1" x14ac:dyDescent="0.2">
      <c r="A92" s="577" t="s">
        <v>803</v>
      </c>
      <c r="B92" s="1124"/>
      <c r="C92" s="1124"/>
      <c r="D92" s="1124"/>
      <c r="E92" s="1124"/>
      <c r="F92" s="1124"/>
      <c r="G92" s="1124"/>
      <c r="H92" s="111"/>
      <c r="I92" s="111"/>
    </row>
    <row r="93" spans="1:9" ht="15.75" thickTop="1" x14ac:dyDescent="0.2">
      <c r="A93" s="578"/>
      <c r="B93" s="1124"/>
      <c r="C93" s="1124"/>
      <c r="D93" s="1124"/>
      <c r="E93" s="1124"/>
      <c r="F93" s="1124"/>
      <c r="G93" s="1124"/>
      <c r="H93" s="111"/>
      <c r="I93" s="111"/>
    </row>
    <row r="94" spans="1:9" ht="15" thickBot="1" x14ac:dyDescent="0.25">
      <c r="A94" s="576" t="s">
        <v>741</v>
      </c>
      <c r="B94" s="1124"/>
      <c r="C94" s="1124"/>
      <c r="D94" s="1124"/>
      <c r="E94" s="1124"/>
      <c r="F94" s="1124"/>
      <c r="G94" s="1124"/>
      <c r="H94" s="111"/>
      <c r="I94" s="111"/>
    </row>
    <row r="95" spans="1:9" ht="15.75" thickTop="1" thickBot="1" x14ac:dyDescent="0.25">
      <c r="A95" s="1125" t="s">
        <v>742</v>
      </c>
      <c r="B95" s="1652" t="s">
        <v>26</v>
      </c>
      <c r="C95" s="1653"/>
      <c r="D95" s="1653"/>
      <c r="E95" s="1653"/>
      <c r="F95" s="1125" t="s">
        <v>746</v>
      </c>
      <c r="G95" s="1127" t="s">
        <v>121</v>
      </c>
      <c r="H95" s="111"/>
      <c r="I95" s="111"/>
    </row>
    <row r="96" spans="1:9" ht="15.75" thickTop="1" thickBot="1" x14ac:dyDescent="0.25">
      <c r="A96" s="1631" t="s">
        <v>1</v>
      </c>
      <c r="B96" s="1132" t="str">
        <f>HLOOKUP($F$20,BENEFÍCIOS!$B$25:$O$38,5,FALSE)</f>
        <v>Auxílio Transporte - Cláusula 15ª da CCT</v>
      </c>
      <c r="C96" s="1133"/>
      <c r="D96" s="566"/>
      <c r="E96" s="938">
        <f>INDEX(Dados!$J$27:$M$31,MATCH($C$26,Dados!$J$27:$J$31,0),4)</f>
        <v>22</v>
      </c>
      <c r="F96" s="939">
        <f>Dados!J45</f>
        <v>9.64</v>
      </c>
      <c r="G96" s="299">
        <f>$E$96*F96*$F$14</f>
        <v>212.08</v>
      </c>
      <c r="H96" s="111"/>
      <c r="I96" s="111"/>
    </row>
    <row r="97" spans="1:9" ht="15.75" thickTop="1" thickBot="1" x14ac:dyDescent="0.25">
      <c r="A97" s="1631"/>
      <c r="B97" s="1132" t="str">
        <f>Dados!A46</f>
        <v>Desconto Legal sobre o salário</v>
      </c>
      <c r="C97" s="1133"/>
      <c r="D97" s="566"/>
      <c r="E97" s="940"/>
      <c r="F97" s="937">
        <f>Dados!J46</f>
        <v>0.06</v>
      </c>
      <c r="G97" s="495">
        <f>-MIN(G96,(F97*G47))</f>
        <v>-77.28</v>
      </c>
      <c r="H97" s="111"/>
      <c r="I97" s="111"/>
    </row>
    <row r="98" spans="1:9" ht="15.75" thickTop="1" thickBot="1" x14ac:dyDescent="0.25">
      <c r="A98" s="1675" t="s">
        <v>2</v>
      </c>
      <c r="B98" s="1132" t="str">
        <f>HLOOKUP($F$20,BENEFÍCIOS!$B$25:$O$38,2,FALSE)</f>
        <v>Auxílio Alimentação - Cláusula 14ª da CCT</v>
      </c>
      <c r="C98" s="1133"/>
      <c r="D98" s="566"/>
      <c r="E98" s="938">
        <f>INDEX(Dados!$J$27:$M$31,MATCH($C$26,Dados!$J$27:$J$31,0),4)</f>
        <v>22</v>
      </c>
      <c r="F98" s="939">
        <f>Dados!J48</f>
        <v>35</v>
      </c>
      <c r="G98" s="299">
        <f>(E98*F98)*$F$14</f>
        <v>770</v>
      </c>
      <c r="H98" s="111"/>
      <c r="I98" s="111"/>
    </row>
    <row r="99" spans="1:9" ht="15.75" hidden="1" thickTop="1" thickBot="1" x14ac:dyDescent="0.25">
      <c r="A99" s="1677"/>
      <c r="B99" s="1132" t="str">
        <f>HLOOKUP($F$20,BENEFÍCIOS!$B$25:$O$38,3,FALSE)</f>
        <v>Desconto do Auxílio Alimentação</v>
      </c>
      <c r="C99" s="132"/>
      <c r="D99" s="107"/>
      <c r="E99" s="296"/>
      <c r="F99" s="939">
        <f>Dados!J49</f>
        <v>0</v>
      </c>
      <c r="G99" s="300">
        <f>-F99*E98</f>
        <v>0</v>
      </c>
      <c r="H99" s="111"/>
      <c r="I99" s="111"/>
    </row>
    <row r="100" spans="1:9" ht="15.75" hidden="1" thickTop="1" thickBot="1" x14ac:dyDescent="0.25">
      <c r="A100" s="1121" t="s">
        <v>4</v>
      </c>
      <c r="B100" s="1132" t="str">
        <f>HLOOKUP($F$20,BENEFÍCIOS!$B$25:$O$38,4,FALSE)</f>
        <v>Auxílio Café da Manhã</v>
      </c>
      <c r="C100" s="132"/>
      <c r="D100" s="107"/>
      <c r="E100" s="296"/>
      <c r="F100" s="939">
        <f>Dados!J50</f>
        <v>0</v>
      </c>
      <c r="G100" s="300">
        <f t="shared" ref="G100:G109" si="1">F100*$F$14</f>
        <v>0</v>
      </c>
      <c r="H100" s="111"/>
      <c r="I100" s="111"/>
    </row>
    <row r="101" spans="1:9" ht="15.75" thickTop="1" thickBot="1" x14ac:dyDescent="0.25">
      <c r="A101" s="1678" t="s">
        <v>4</v>
      </c>
      <c r="B101" s="962" t="str">
        <f>HLOOKUP($F$20,BENEFÍCIOS!$B$25:$O$38,6,FALSE) &amp; " " &amp; "(Pagamento por ressarcimento)"</f>
        <v>Plano Ambulatorial - Cláusula 16ª da CCT (Pagamento por ressarcimento)</v>
      </c>
      <c r="C101" s="963"/>
      <c r="D101" s="964"/>
      <c r="E101" s="965"/>
      <c r="F101" s="966"/>
      <c r="G101" s="967">
        <f>F101*$F$14</f>
        <v>0</v>
      </c>
      <c r="H101" s="111"/>
      <c r="I101" s="111"/>
    </row>
    <row r="102" spans="1:9" ht="15.75" hidden="1" thickTop="1" thickBot="1" x14ac:dyDescent="0.25">
      <c r="A102" s="1679"/>
      <c r="B102" s="962" t="str">
        <f>HLOOKUP($F$20,BENEFÍCIOS!$B$25:$O$38,7,FALSE)</f>
        <v>Plano Ambulatorial - Contr. Empresa - Cláusula 16ª da CCT</v>
      </c>
      <c r="C102" s="963"/>
      <c r="D102" s="964"/>
      <c r="E102" s="965"/>
      <c r="F102" s="966">
        <f>Dados!J52</f>
        <v>0</v>
      </c>
      <c r="G102" s="967">
        <f>F102*$F$14</f>
        <v>0</v>
      </c>
      <c r="H102" s="111"/>
      <c r="I102" s="111"/>
    </row>
    <row r="103" spans="1:9" ht="15.75" hidden="1" thickTop="1" thickBot="1" x14ac:dyDescent="0.25">
      <c r="A103" s="1680"/>
      <c r="B103" s="962" t="str">
        <f>HLOOKUP($F$20,BENEFÍCIOS!$B$25:$O$38,8,FALSE)</f>
        <v>Plano Ambulatorial - Contr. Empregado - Cláusula 16ª da CCT</v>
      </c>
      <c r="C103" s="963"/>
      <c r="D103" s="964"/>
      <c r="E103" s="965"/>
      <c r="F103" s="966">
        <f>Dados!J53</f>
        <v>0</v>
      </c>
      <c r="G103" s="967">
        <f>-F103*$F$14</f>
        <v>0</v>
      </c>
      <c r="H103" s="111"/>
      <c r="I103" s="111"/>
    </row>
    <row r="104" spans="1:9" ht="15.75" thickTop="1" thickBot="1" x14ac:dyDescent="0.25">
      <c r="A104" s="1121" t="s">
        <v>5</v>
      </c>
      <c r="B104" s="1132" t="str">
        <f>HLOOKUP($F$20,BENEFÍCIOS!$B$25:$O$38,9,FALSE)</f>
        <v>Seguro de Vida e Assistência Funeral - Cláusula 18ª da CCT</v>
      </c>
      <c r="C104" s="132"/>
      <c r="D104" s="107"/>
      <c r="E104" s="296"/>
      <c r="F104" s="939">
        <f>Dados!J54</f>
        <v>2.2999999999999998</v>
      </c>
      <c r="G104" s="300">
        <f t="shared" si="1"/>
        <v>2.2999999999999998</v>
      </c>
      <c r="H104" s="111"/>
      <c r="I104" s="111"/>
    </row>
    <row r="105" spans="1:9" ht="15.75" thickTop="1" thickBot="1" x14ac:dyDescent="0.25">
      <c r="A105" s="1121" t="s">
        <v>6</v>
      </c>
      <c r="B105" s="1132" t="str">
        <f>HLOOKUP($F$20,BENEFÍCIOS!$B$25:$O$38,10,FALSE) &amp; " " &amp; "(Pagamento por ressarcimento)"</f>
        <v>Assistência Odontológica - Cláusula 17ª da CCT (Pagamento por ressarcimento)</v>
      </c>
      <c r="C105" s="132"/>
      <c r="D105" s="107"/>
      <c r="E105" s="296"/>
      <c r="F105" s="939"/>
      <c r="G105" s="300">
        <f t="shared" si="1"/>
        <v>0</v>
      </c>
      <c r="H105" s="111"/>
      <c r="I105" s="111"/>
    </row>
    <row r="106" spans="1:9" ht="15.75" hidden="1" thickTop="1" thickBot="1" x14ac:dyDescent="0.25">
      <c r="A106" s="1121" t="s">
        <v>8</v>
      </c>
      <c r="B106" s="1132" t="str">
        <f>HLOOKUP($F$20,BENEFÍCIOS!$B$25:$O$38,11,FALSE)</f>
        <v>Auxílio Lazer/Cultura</v>
      </c>
      <c r="C106" s="132"/>
      <c r="D106" s="107"/>
      <c r="E106" s="296"/>
      <c r="F106" s="939">
        <f>Dados!J56</f>
        <v>0</v>
      </c>
      <c r="G106" s="300">
        <f t="shared" si="1"/>
        <v>0</v>
      </c>
      <c r="H106" s="111"/>
      <c r="I106" s="111"/>
    </row>
    <row r="107" spans="1:9" ht="15.75" hidden="1" thickTop="1" thickBot="1" x14ac:dyDescent="0.25">
      <c r="A107" s="1121" t="s">
        <v>9</v>
      </c>
      <c r="B107" s="1132" t="str">
        <f>HLOOKUP($F$20,BENEFÍCIOS!$B$25:$O$38,12,FALSE)</f>
        <v>Treinamento/capacitação/reciclagem - Cláusula 30ª da CCT</v>
      </c>
      <c r="C107" s="132"/>
      <c r="D107" s="107"/>
      <c r="E107" s="296"/>
      <c r="F107" s="939">
        <f>Dados!J57</f>
        <v>0</v>
      </c>
      <c r="G107" s="300">
        <f t="shared" si="1"/>
        <v>0</v>
      </c>
      <c r="H107" s="111"/>
      <c r="I107" s="111"/>
    </row>
    <row r="108" spans="1:9" ht="15.75" hidden="1" thickTop="1" thickBot="1" x14ac:dyDescent="0.25">
      <c r="A108" s="1121" t="s">
        <v>160</v>
      </c>
      <c r="B108" s="1132" t="str">
        <f>HLOOKUP($F$20,BENEFÍCIOS!$B$25:$O$38,13,FALSE)</f>
        <v>Contribuição Assistencial Patronal - Cláusula 61ª da CCT</v>
      </c>
      <c r="C108" s="132"/>
      <c r="D108" s="107"/>
      <c r="E108" s="296"/>
      <c r="F108" s="939">
        <f>Dados!J58</f>
        <v>0</v>
      </c>
      <c r="G108" s="300">
        <f t="shared" si="1"/>
        <v>0</v>
      </c>
      <c r="H108" s="111"/>
      <c r="I108" s="111"/>
    </row>
    <row r="109" spans="1:9" ht="15.75" hidden="1" thickTop="1" thickBot="1" x14ac:dyDescent="0.25">
      <c r="A109" s="1121" t="s">
        <v>627</v>
      </c>
      <c r="B109" s="1132" t="str">
        <f>HLOOKUP($F$20,BENEFÍCIOS!$B$25:$O$38,14,FALSE)</f>
        <v>Auxílio Creche</v>
      </c>
      <c r="C109" s="132"/>
      <c r="D109" s="107"/>
      <c r="E109" s="296"/>
      <c r="F109" s="939">
        <f>Dados!J59</f>
        <v>0</v>
      </c>
      <c r="G109" s="300">
        <f t="shared" si="1"/>
        <v>0</v>
      </c>
      <c r="H109" s="111"/>
      <c r="I109" s="111"/>
    </row>
    <row r="110" spans="1:9" ht="15.75" thickTop="1" thickBot="1" x14ac:dyDescent="0.25">
      <c r="A110" s="1121" t="s">
        <v>7</v>
      </c>
      <c r="B110" s="125" t="s">
        <v>57</v>
      </c>
      <c r="C110" s="132"/>
      <c r="D110" s="107"/>
      <c r="E110" s="296"/>
      <c r="F110" s="939"/>
      <c r="G110" s="301"/>
      <c r="H110" s="111"/>
      <c r="I110" s="111"/>
    </row>
    <row r="111" spans="1:9" ht="18" customHeight="1" thickTop="1" thickBot="1" x14ac:dyDescent="0.25">
      <c r="A111" s="1686" t="s">
        <v>232</v>
      </c>
      <c r="B111" s="1687"/>
      <c r="C111" s="1687"/>
      <c r="D111" s="1687"/>
      <c r="E111" s="1687"/>
      <c r="F111" s="1688"/>
      <c r="G111" s="302">
        <f>SUM(G96,G97,G98,G99,G100,G101,G103,G104,G105,G106,G107,G108,G109,)</f>
        <v>907.1</v>
      </c>
      <c r="H111" s="624"/>
      <c r="I111" s="624"/>
    </row>
    <row r="112" spans="1:9" s="68" customFormat="1" ht="15" hidden="1" customHeight="1" thickTop="1" x14ac:dyDescent="0.2">
      <c r="A112" s="101" t="s">
        <v>744</v>
      </c>
      <c r="B112" s="99"/>
      <c r="C112" s="99"/>
      <c r="D112" s="99"/>
      <c r="E112" s="99"/>
      <c r="F112" s="120"/>
      <c r="G112" s="121"/>
      <c r="H112" s="122"/>
      <c r="I112" s="122"/>
    </row>
    <row r="113" spans="1:10" s="68" customFormat="1" hidden="1" x14ac:dyDescent="0.2">
      <c r="A113" s="1618" t="s">
        <v>743</v>
      </c>
      <c r="B113" s="1618"/>
      <c r="C113" s="1618"/>
      <c r="D113" s="1618"/>
      <c r="E113" s="1618"/>
      <c r="F113" s="1618"/>
      <c r="G113" s="1618"/>
      <c r="H113" s="122"/>
      <c r="I113" s="122"/>
    </row>
    <row r="114" spans="1:10" s="68" customFormat="1" hidden="1" x14ac:dyDescent="0.2">
      <c r="A114" s="1618"/>
      <c r="B114" s="1618"/>
      <c r="C114" s="1618"/>
      <c r="D114" s="1618"/>
      <c r="E114" s="1618"/>
      <c r="F114" s="1618"/>
      <c r="G114" s="1618"/>
      <c r="H114" s="122"/>
      <c r="I114" s="122"/>
    </row>
    <row r="115" spans="1:10" s="68" customFormat="1" ht="15" thickTop="1" x14ac:dyDescent="0.2">
      <c r="A115" s="98"/>
      <c r="B115" s="99"/>
      <c r="C115" s="99"/>
      <c r="D115" s="99"/>
      <c r="E115" s="99"/>
      <c r="F115" s="120"/>
      <c r="G115" s="121"/>
      <c r="H115" s="122"/>
      <c r="I115" s="122"/>
    </row>
    <row r="116" spans="1:10" s="68" customFormat="1" ht="15" thickBot="1" x14ac:dyDescent="0.25">
      <c r="A116" s="576" t="s">
        <v>748</v>
      </c>
      <c r="B116" s="99"/>
      <c r="C116" s="99"/>
      <c r="D116" s="99"/>
      <c r="E116" s="99"/>
      <c r="F116" s="120"/>
      <c r="G116" s="121"/>
      <c r="H116" s="122"/>
      <c r="I116" s="122"/>
    </row>
    <row r="117" spans="1:10" s="68" customFormat="1" ht="15.75" thickTop="1" thickBot="1" x14ac:dyDescent="0.25">
      <c r="A117" s="1131">
        <v>2</v>
      </c>
      <c r="B117" s="1672" t="s">
        <v>749</v>
      </c>
      <c r="C117" s="1673"/>
      <c r="D117" s="1673"/>
      <c r="E117" s="1673"/>
      <c r="F117" s="1674"/>
      <c r="G117" s="1131" t="s">
        <v>121</v>
      </c>
      <c r="H117" s="122"/>
      <c r="I117" s="122"/>
    </row>
    <row r="118" spans="1:10" s="68" customFormat="1" ht="15.75" thickTop="1" thickBot="1" x14ac:dyDescent="0.25">
      <c r="A118" s="112" t="s">
        <v>732</v>
      </c>
      <c r="B118" s="1132" t="str">
        <f>B61</f>
        <v>13º (décimo terceiro) Salário, Férias e Adicional de Férias</v>
      </c>
      <c r="C118" s="131"/>
      <c r="D118" s="131"/>
      <c r="E118" s="131"/>
      <c r="F118" s="288"/>
      <c r="G118" s="123">
        <f>G64</f>
        <v>273.18</v>
      </c>
      <c r="H118" s="122"/>
      <c r="I118" s="122"/>
    </row>
    <row r="119" spans="1:10" s="68" customFormat="1" ht="15.75" thickTop="1" thickBot="1" x14ac:dyDescent="0.25">
      <c r="A119" s="112" t="s">
        <v>731</v>
      </c>
      <c r="B119" s="1132" t="str">
        <f>B79</f>
        <v>GPS, FGTS e outras contribuições</v>
      </c>
      <c r="C119" s="131"/>
      <c r="D119" s="131"/>
      <c r="E119" s="131"/>
      <c r="F119" s="288"/>
      <c r="G119" s="123">
        <f>G88</f>
        <v>546.72</v>
      </c>
      <c r="H119" s="122"/>
      <c r="I119" s="122"/>
    </row>
    <row r="120" spans="1:10" s="68" customFormat="1" ht="15.75" thickTop="1" thickBot="1" x14ac:dyDescent="0.25">
      <c r="A120" s="112" t="s">
        <v>742</v>
      </c>
      <c r="B120" s="1132" t="str">
        <f>B95</f>
        <v>Benefícios Mensais e Diários</v>
      </c>
      <c r="C120" s="131"/>
      <c r="D120" s="131"/>
      <c r="E120" s="131"/>
      <c r="F120" s="288"/>
      <c r="G120" s="123">
        <f>G111</f>
        <v>907.1</v>
      </c>
      <c r="H120" s="122"/>
      <c r="I120" s="122"/>
    </row>
    <row r="121" spans="1:10" s="68" customFormat="1" ht="15.75" thickTop="1" thickBot="1" x14ac:dyDescent="0.25">
      <c r="A121" s="1644" t="s">
        <v>232</v>
      </c>
      <c r="B121" s="1645"/>
      <c r="C121" s="1645"/>
      <c r="D121" s="1645"/>
      <c r="E121" s="1645"/>
      <c r="F121" s="1646"/>
      <c r="G121" s="133">
        <f>SUM(G118:G120)</f>
        <v>1727</v>
      </c>
      <c r="H121" s="122"/>
      <c r="I121" s="622"/>
      <c r="J121" s="620"/>
    </row>
    <row r="122" spans="1:10" s="68" customFormat="1" ht="15" thickTop="1" x14ac:dyDescent="0.2">
      <c r="A122" s="101"/>
      <c r="B122" s="101"/>
      <c r="C122" s="101"/>
      <c r="D122" s="101"/>
      <c r="E122" s="101"/>
      <c r="F122" s="574"/>
      <c r="G122" s="575"/>
      <c r="H122" s="122"/>
      <c r="I122" s="122"/>
    </row>
    <row r="123" spans="1:10" s="68" customFormat="1" ht="15" thickBot="1" x14ac:dyDescent="0.25">
      <c r="A123" s="1629" t="s">
        <v>750</v>
      </c>
      <c r="B123" s="1629"/>
      <c r="C123" s="1629"/>
      <c r="D123" s="1629"/>
      <c r="E123" s="1629"/>
      <c r="F123" s="1629"/>
      <c r="G123" s="1629"/>
      <c r="H123" s="122"/>
      <c r="I123" s="122"/>
    </row>
    <row r="124" spans="1:10" s="68" customFormat="1" ht="15.75" thickTop="1" thickBot="1" x14ac:dyDescent="0.25">
      <c r="A124" s="1125">
        <v>3</v>
      </c>
      <c r="B124" s="1652" t="s">
        <v>99</v>
      </c>
      <c r="C124" s="1653"/>
      <c r="D124" s="1653"/>
      <c r="E124" s="1654"/>
      <c r="F124" s="1125" t="s">
        <v>746</v>
      </c>
      <c r="G124" s="1131" t="s">
        <v>121</v>
      </c>
      <c r="H124" s="122"/>
      <c r="I124" s="122"/>
    </row>
    <row r="125" spans="1:10" s="68" customFormat="1" ht="15.75" thickTop="1" thickBot="1" x14ac:dyDescent="0.25">
      <c r="A125" s="1121" t="s">
        <v>1</v>
      </c>
      <c r="B125" s="136" t="str">
        <f>Dados!B111</f>
        <v>Aviso Prévio Indenizado </v>
      </c>
      <c r="C125" s="285"/>
      <c r="D125" s="137"/>
      <c r="E125" s="126"/>
      <c r="F125" s="138">
        <f>Dados!G111</f>
        <v>2.5000000000000001E-3</v>
      </c>
      <c r="G125" s="127">
        <f>F125*$G$53</f>
        <v>3.22</v>
      </c>
      <c r="H125" s="122"/>
      <c r="I125" s="122"/>
    </row>
    <row r="126" spans="1:10" s="68" customFormat="1" ht="15.75" thickTop="1" thickBot="1" x14ac:dyDescent="0.25">
      <c r="A126" s="1121" t="s">
        <v>2</v>
      </c>
      <c r="B126" s="136" t="str">
        <f>Dados!B112</f>
        <v>Incidência do FGTS sobre aviso prévio indenizado</v>
      </c>
      <c r="C126" s="285"/>
      <c r="D126" s="137"/>
      <c r="E126" s="126"/>
      <c r="F126" s="138">
        <f>Dados!G112</f>
        <v>2.0000000000000001E-4</v>
      </c>
      <c r="G126" s="127">
        <f t="shared" ref="G126:G130" si="2">F126*$G$53</f>
        <v>0.26</v>
      </c>
      <c r="H126" s="122"/>
      <c r="I126" s="122"/>
    </row>
    <row r="127" spans="1:10" s="68" customFormat="1" ht="15.75" thickTop="1" thickBot="1" x14ac:dyDescent="0.25">
      <c r="A127" s="1121" t="s">
        <v>4</v>
      </c>
      <c r="B127" s="136" t="str">
        <f>Dados!B113</f>
        <v>Multa do FGTS e contribuição social sobre o Aviso Prévio Indenizado</v>
      </c>
      <c r="C127" s="285"/>
      <c r="D127" s="137"/>
      <c r="E127" s="126"/>
      <c r="F127" s="138">
        <f>Dados!G113</f>
        <v>0</v>
      </c>
      <c r="G127" s="127">
        <f t="shared" si="2"/>
        <v>0</v>
      </c>
      <c r="H127" s="122"/>
      <c r="I127" s="122"/>
    </row>
    <row r="128" spans="1:10" s="68" customFormat="1" ht="15.75" thickTop="1" thickBot="1" x14ac:dyDescent="0.25">
      <c r="A128" s="1121" t="s">
        <v>5</v>
      </c>
      <c r="B128" s="136" t="str">
        <f>Dados!B114</f>
        <v>Aviso Prévio Trabalhado</v>
      </c>
      <c r="C128" s="285"/>
      <c r="D128" s="137"/>
      <c r="E128" s="126"/>
      <c r="F128" s="138">
        <f>Dados!G114</f>
        <v>1.9400000000000001E-2</v>
      </c>
      <c r="G128" s="127">
        <f t="shared" si="2"/>
        <v>24.99</v>
      </c>
      <c r="H128" s="122"/>
      <c r="I128" s="122"/>
    </row>
    <row r="129" spans="1:13" s="68" customFormat="1" ht="15.75" thickTop="1" thickBot="1" x14ac:dyDescent="0.25">
      <c r="A129" s="1121" t="s">
        <v>6</v>
      </c>
      <c r="B129" s="136" t="str">
        <f>Dados!B115</f>
        <v>Incidência de GPS, FGTS e outras contribuições sobre o aviso prévio trabalhado</v>
      </c>
      <c r="C129" s="285"/>
      <c r="D129" s="137"/>
      <c r="E129" s="126"/>
      <c r="F129" s="138">
        <f>Dados!G115</f>
        <v>6.7999999999999996E-3</v>
      </c>
      <c r="G129" s="127">
        <f t="shared" si="2"/>
        <v>8.76</v>
      </c>
      <c r="H129" s="122"/>
      <c r="I129" s="122"/>
    </row>
    <row r="130" spans="1:13" s="68" customFormat="1" ht="15.75" thickTop="1" thickBot="1" x14ac:dyDescent="0.25">
      <c r="A130" s="1121" t="s">
        <v>7</v>
      </c>
      <c r="B130" s="136" t="str">
        <f>Dados!B116</f>
        <v>Multa do FGTS e contribuição social sobre o Aviso Prévio Trabalhado</v>
      </c>
      <c r="C130" s="285"/>
      <c r="D130" s="137"/>
      <c r="E130" s="126"/>
      <c r="F130" s="138">
        <f>Dados!G116</f>
        <v>1E-4</v>
      </c>
      <c r="G130" s="127">
        <f t="shared" si="2"/>
        <v>0.13</v>
      </c>
      <c r="H130" s="122"/>
      <c r="I130" s="122"/>
    </row>
    <row r="131" spans="1:13" s="68" customFormat="1" ht="15.75" thickTop="1" thickBot="1" x14ac:dyDescent="0.25">
      <c r="A131" s="1157" t="s">
        <v>7</v>
      </c>
      <c r="B131" s="136" t="str">
        <f>Dados!B117</f>
        <v>Multa do FGTS</v>
      </c>
      <c r="C131" s="285"/>
      <c r="D131" s="137"/>
      <c r="E131" s="126"/>
      <c r="F131" s="138">
        <f>Dados!G117</f>
        <v>3.49E-2</v>
      </c>
      <c r="G131" s="127">
        <f t="shared" ref="G131" si="3">F131*$G$53</f>
        <v>44.95</v>
      </c>
      <c r="H131" s="122"/>
      <c r="I131" s="122"/>
    </row>
    <row r="132" spans="1:13" s="68" customFormat="1" ht="15.75" thickTop="1" thickBot="1" x14ac:dyDescent="0.25">
      <c r="A132" s="1644" t="s">
        <v>232</v>
      </c>
      <c r="B132" s="1645"/>
      <c r="C132" s="1645"/>
      <c r="D132" s="1645"/>
      <c r="E132" s="1646"/>
      <c r="F132" s="139">
        <f>SUM(F125:F131)</f>
        <v>6.3899999999999998E-2</v>
      </c>
      <c r="G132" s="133">
        <f>SUM(G125:G131)</f>
        <v>82.31</v>
      </c>
      <c r="H132" s="122"/>
      <c r="I132" s="618"/>
    </row>
    <row r="133" spans="1:13" s="68" customFormat="1" ht="15" thickTop="1" x14ac:dyDescent="0.2">
      <c r="A133" s="129"/>
      <c r="B133" s="129"/>
      <c r="C133" s="129"/>
      <c r="D133" s="129"/>
      <c r="E133" s="129"/>
      <c r="F133" s="120"/>
      <c r="G133" s="140"/>
      <c r="H133" s="122"/>
      <c r="I133" s="122"/>
    </row>
    <row r="134" spans="1:13" s="68" customFormat="1" x14ac:dyDescent="0.2">
      <c r="A134" s="1629" t="s">
        <v>751</v>
      </c>
      <c r="B134" s="1629"/>
      <c r="C134" s="1629"/>
      <c r="D134" s="1629"/>
      <c r="E134" s="1629"/>
      <c r="F134" s="1629"/>
      <c r="G134" s="1629"/>
      <c r="H134" s="122"/>
      <c r="I134" s="122"/>
    </row>
    <row r="135" spans="1:13" s="68" customFormat="1" ht="14.25" hidden="1" customHeight="1" x14ac:dyDescent="0.2">
      <c r="A135" s="1618" t="s">
        <v>919</v>
      </c>
      <c r="B135" s="1618"/>
      <c r="C135" s="1618"/>
      <c r="D135" s="1618"/>
      <c r="E135" s="1618"/>
      <c r="F135" s="1618"/>
      <c r="G135" s="1618"/>
      <c r="H135" s="122"/>
      <c r="I135" s="122"/>
    </row>
    <row r="136" spans="1:13" s="68" customFormat="1" hidden="1" x14ac:dyDescent="0.2">
      <c r="A136" s="1618"/>
      <c r="B136" s="1618"/>
      <c r="C136" s="1618"/>
      <c r="D136" s="1618"/>
      <c r="E136" s="1618"/>
      <c r="F136" s="1618"/>
      <c r="G136" s="1618"/>
      <c r="H136" s="122"/>
      <c r="I136" s="122"/>
    </row>
    <row r="137" spans="1:13" s="68" customFormat="1" hidden="1" x14ac:dyDescent="0.2">
      <c r="A137" s="101" t="s">
        <v>935</v>
      </c>
      <c r="B137" s="1124"/>
      <c r="C137" s="1124"/>
      <c r="D137" s="1124"/>
      <c r="E137" s="1124"/>
      <c r="F137" s="1124"/>
      <c r="G137" s="1124"/>
      <c r="H137" s="122"/>
      <c r="I137" s="122"/>
    </row>
    <row r="138" spans="1:13" s="68" customFormat="1" ht="15" thickBot="1" x14ac:dyDescent="0.25">
      <c r="A138" s="576" t="s">
        <v>929</v>
      </c>
      <c r="B138" s="1124"/>
      <c r="C138" s="1124"/>
      <c r="D138" s="1124"/>
      <c r="E138" s="785"/>
      <c r="F138" s="1124"/>
      <c r="G138" s="1124"/>
      <c r="H138" s="762"/>
      <c r="I138" s="629"/>
      <c r="J138" s="620"/>
    </row>
    <row r="139" spans="1:13" s="68" customFormat="1" ht="15.75" thickTop="1" thickBot="1" x14ac:dyDescent="0.25">
      <c r="A139" s="1125" t="s">
        <v>48</v>
      </c>
      <c r="B139" s="1652" t="s">
        <v>930</v>
      </c>
      <c r="C139" s="1653"/>
      <c r="D139" s="1653"/>
      <c r="E139" s="1654"/>
      <c r="F139" s="1125" t="s">
        <v>746</v>
      </c>
      <c r="G139" s="1131" t="s">
        <v>121</v>
      </c>
      <c r="H139" s="763"/>
      <c r="I139" s="623"/>
      <c r="J139" s="626"/>
      <c r="K139" s="626"/>
      <c r="L139" s="621"/>
    </row>
    <row r="140" spans="1:13" s="68" customFormat="1" ht="15.75" thickTop="1" thickBot="1" x14ac:dyDescent="0.25">
      <c r="A140" s="1121" t="s">
        <v>1</v>
      </c>
      <c r="B140" s="136" t="str">
        <f>Dados!B122</f>
        <v>Substituto na cobertura de Férias</v>
      </c>
      <c r="C140" s="285"/>
      <c r="D140" s="137"/>
      <c r="E140" s="285"/>
      <c r="F140" s="138">
        <f>Dados!G122</f>
        <v>7.6E-3</v>
      </c>
      <c r="G140" s="127">
        <f>$G$53*F140</f>
        <v>9.7899999999999991</v>
      </c>
      <c r="H140" s="764"/>
      <c r="I140" s="626"/>
      <c r="J140" s="626"/>
      <c r="K140" s="619"/>
      <c r="L140" s="619"/>
      <c r="M140" s="626"/>
    </row>
    <row r="141" spans="1:13" s="68" customFormat="1" ht="15.75" thickTop="1" thickBot="1" x14ac:dyDescent="0.25">
      <c r="A141" s="1121" t="s">
        <v>2</v>
      </c>
      <c r="B141" s="136" t="str">
        <f>Dados!B123</f>
        <v>Substituto na cobertura de Ausências Legais</v>
      </c>
      <c r="C141" s="285"/>
      <c r="D141" s="137"/>
      <c r="E141" s="285"/>
      <c r="F141" s="138">
        <f>Dados!G123</f>
        <v>1E-4</v>
      </c>
      <c r="G141" s="127">
        <f t="shared" ref="G141:G145" si="4">$G$53*F141</f>
        <v>0.13</v>
      </c>
      <c r="H141" s="765"/>
      <c r="K141" s="626"/>
      <c r="M141" s="626"/>
    </row>
    <row r="142" spans="1:13" s="68" customFormat="1" ht="15.75" thickTop="1" thickBot="1" x14ac:dyDescent="0.25">
      <c r="A142" s="1121" t="s">
        <v>4</v>
      </c>
      <c r="B142" s="136" t="str">
        <f>Dados!B124</f>
        <v>Substituto na cobertura de Licença-Paternidade</v>
      </c>
      <c r="C142" s="285"/>
      <c r="D142" s="137"/>
      <c r="E142" s="285"/>
      <c r="F142" s="138">
        <f>Dados!G124</f>
        <v>1E-4</v>
      </c>
      <c r="G142" s="127">
        <f t="shared" si="4"/>
        <v>0.13</v>
      </c>
      <c r="H142" s="764"/>
      <c r="J142" s="619"/>
      <c r="K142" s="626"/>
      <c r="M142" s="626"/>
    </row>
    <row r="143" spans="1:13" s="68" customFormat="1" ht="15.75" thickTop="1" thickBot="1" x14ac:dyDescent="0.25">
      <c r="A143" s="1121" t="s">
        <v>5</v>
      </c>
      <c r="B143" s="136" t="str">
        <f>Dados!B125</f>
        <v>Substituto na cobertura de Ausência por acidente de trabalho</v>
      </c>
      <c r="C143" s="285"/>
      <c r="D143" s="137"/>
      <c r="E143" s="285"/>
      <c r="F143" s="138">
        <f>Dados!G125</f>
        <v>1E-4</v>
      </c>
      <c r="G143" s="127">
        <f t="shared" si="4"/>
        <v>0.13</v>
      </c>
      <c r="H143" s="764"/>
      <c r="K143" s="626"/>
      <c r="M143" s="626"/>
    </row>
    <row r="144" spans="1:13" s="68" customFormat="1" ht="15.75" thickTop="1" thickBot="1" x14ac:dyDescent="0.25">
      <c r="A144" s="1121" t="s">
        <v>6</v>
      </c>
      <c r="B144" s="136" t="str">
        <f>Dados!B126</f>
        <v>Substituto na cobertura de Afastamento Maternidade</v>
      </c>
      <c r="C144" s="285"/>
      <c r="D144" s="137"/>
      <c r="E144" s="285"/>
      <c r="F144" s="138">
        <f>Dados!G126</f>
        <v>1E-4</v>
      </c>
      <c r="G144" s="127">
        <f t="shared" si="4"/>
        <v>0.13</v>
      </c>
      <c r="H144" s="764"/>
      <c r="K144" s="626"/>
      <c r="M144" s="626"/>
    </row>
    <row r="145" spans="1:13" s="68" customFormat="1" ht="15.75" thickTop="1" thickBot="1" x14ac:dyDescent="0.25">
      <c r="A145" s="1121" t="s">
        <v>7</v>
      </c>
      <c r="B145" s="136" t="str">
        <f>Dados!B127</f>
        <v>Substituto na cobertura de outras ausências (licença por doença)</v>
      </c>
      <c r="C145" s="285"/>
      <c r="D145" s="137"/>
      <c r="E145" s="285"/>
      <c r="F145" s="138">
        <f>Dados!G127</f>
        <v>0</v>
      </c>
      <c r="G145" s="127">
        <f t="shared" si="4"/>
        <v>0</v>
      </c>
      <c r="H145" s="764"/>
      <c r="K145" s="626"/>
      <c r="M145" s="627"/>
    </row>
    <row r="146" spans="1:13" s="68" customFormat="1" ht="15.75" customHeight="1" thickTop="1" thickBot="1" x14ac:dyDescent="0.25">
      <c r="A146" s="1644" t="s">
        <v>232</v>
      </c>
      <c r="B146" s="1645"/>
      <c r="C146" s="1645"/>
      <c r="D146" s="1645"/>
      <c r="E146" s="1646"/>
      <c r="F146" s="139">
        <f>SUM(F140:F145)</f>
        <v>8.0000000000000002E-3</v>
      </c>
      <c r="G146" s="128">
        <f>SUM(G140:G145)</f>
        <v>10.31</v>
      </c>
      <c r="H146" s="766"/>
      <c r="I146" s="619"/>
      <c r="J146" s="620"/>
      <c r="K146" s="619"/>
    </row>
    <row r="147" spans="1:13" s="68" customFormat="1" ht="15" hidden="1" customHeight="1" thickTop="1" x14ac:dyDescent="0.2">
      <c r="A147" s="1618" t="s">
        <v>936</v>
      </c>
      <c r="B147" s="1618"/>
      <c r="C147" s="1618"/>
      <c r="D147" s="1618"/>
      <c r="E147" s="1618"/>
      <c r="F147" s="1618"/>
      <c r="G147" s="1618"/>
      <c r="H147" s="122"/>
      <c r="I147" s="122"/>
    </row>
    <row r="148" spans="1:13" s="68" customFormat="1" hidden="1" x14ac:dyDescent="0.2">
      <c r="A148" s="1618"/>
      <c r="B148" s="1618"/>
      <c r="C148" s="1618"/>
      <c r="D148" s="1618"/>
      <c r="E148" s="1618"/>
      <c r="F148" s="1618"/>
      <c r="G148" s="1618"/>
      <c r="H148" s="122"/>
      <c r="I148" s="617"/>
      <c r="J148" s="617"/>
      <c r="K148" s="617"/>
    </row>
    <row r="149" spans="1:13" s="68" customFormat="1" ht="15" thickTop="1" x14ac:dyDescent="0.2">
      <c r="A149" s="1122"/>
      <c r="B149" s="1122"/>
      <c r="C149" s="1122"/>
      <c r="D149" s="1122"/>
      <c r="E149" s="1122"/>
      <c r="F149" s="1122"/>
      <c r="G149" s="1122"/>
      <c r="H149" s="122"/>
      <c r="I149" s="122"/>
    </row>
    <row r="150" spans="1:13" s="68" customFormat="1" ht="15" thickBot="1" x14ac:dyDescent="0.25">
      <c r="A150" s="210" t="s">
        <v>926</v>
      </c>
      <c r="B150" s="1124"/>
      <c r="C150" s="1124"/>
      <c r="D150" s="1124"/>
      <c r="E150" s="1124"/>
      <c r="F150" s="1124"/>
      <c r="G150" s="1124"/>
      <c r="H150" s="122"/>
      <c r="I150" s="619"/>
      <c r="J150" s="621"/>
      <c r="K150" s="621"/>
      <c r="L150" s="619"/>
      <c r="M150" s="621"/>
    </row>
    <row r="151" spans="1:13" s="68" customFormat="1" ht="15.75" thickTop="1" thickBot="1" x14ac:dyDescent="0.25">
      <c r="A151" s="1125" t="s">
        <v>53</v>
      </c>
      <c r="B151" s="1652" t="s">
        <v>927</v>
      </c>
      <c r="C151" s="1653"/>
      <c r="D151" s="1653"/>
      <c r="E151" s="1653"/>
      <c r="F151" s="1654"/>
      <c r="G151" s="1131" t="s">
        <v>121</v>
      </c>
      <c r="H151" s="122"/>
      <c r="I151" s="122"/>
      <c r="K151" s="621"/>
      <c r="L151" s="619"/>
      <c r="M151" s="626"/>
    </row>
    <row r="152" spans="1:13" s="68" customFormat="1" ht="17.25" thickTop="1" thickBot="1" x14ac:dyDescent="0.25">
      <c r="A152" s="1121" t="s">
        <v>1</v>
      </c>
      <c r="B152" s="1683" t="s">
        <v>928</v>
      </c>
      <c r="C152" s="1684"/>
      <c r="D152" s="1684"/>
      <c r="E152" s="1684"/>
      <c r="F152" s="1685"/>
      <c r="G152" s="127">
        <f>ROUND(IF(G52=0,H152,0),2)</f>
        <v>0</v>
      </c>
      <c r="H152" s="628"/>
      <c r="I152" s="122"/>
    </row>
    <row r="153" spans="1:13" s="68" customFormat="1" ht="15.75" customHeight="1" thickTop="1" thickBot="1" x14ac:dyDescent="0.25">
      <c r="A153" s="1644" t="s">
        <v>232</v>
      </c>
      <c r="B153" s="1645"/>
      <c r="C153" s="1645"/>
      <c r="D153" s="1645"/>
      <c r="E153" s="1645"/>
      <c r="F153" s="1646"/>
      <c r="G153" s="128">
        <f>SUM(G147:G152)</f>
        <v>0</v>
      </c>
      <c r="H153" s="122"/>
      <c r="I153" s="122"/>
    </row>
    <row r="154" spans="1:13" s="68" customFormat="1" ht="15" hidden="1" thickTop="1" x14ac:dyDescent="0.2">
      <c r="A154" s="1618" t="s">
        <v>752</v>
      </c>
      <c r="B154" s="1618"/>
      <c r="C154" s="1618"/>
      <c r="D154" s="1618"/>
      <c r="E154" s="1618"/>
      <c r="F154" s="1618"/>
      <c r="G154" s="1618"/>
      <c r="H154" s="122"/>
      <c r="I154" s="122"/>
    </row>
    <row r="155" spans="1:13" s="68" customFormat="1" ht="15.75" hidden="1" customHeight="1" x14ac:dyDescent="0.2">
      <c r="A155" s="1618"/>
      <c r="B155" s="1618"/>
      <c r="C155" s="1618"/>
      <c r="D155" s="1618"/>
      <c r="E155" s="1618"/>
      <c r="F155" s="1618"/>
      <c r="G155" s="1618"/>
      <c r="H155" s="122"/>
      <c r="I155" s="122"/>
    </row>
    <row r="156" spans="1:13" s="68" customFormat="1" ht="15" thickTop="1" x14ac:dyDescent="0.2">
      <c r="A156" s="101"/>
      <c r="B156" s="101"/>
      <c r="C156" s="101"/>
      <c r="D156" s="101"/>
      <c r="E156" s="101"/>
      <c r="F156" s="574"/>
      <c r="G156" s="575"/>
      <c r="H156" s="122"/>
      <c r="I156" s="122"/>
    </row>
    <row r="157" spans="1:13" s="68" customFormat="1" ht="15" thickBot="1" x14ac:dyDescent="0.25">
      <c r="A157" s="576" t="s">
        <v>754</v>
      </c>
      <c r="B157" s="99"/>
      <c r="C157" s="99"/>
      <c r="D157" s="99"/>
      <c r="E157" s="99"/>
      <c r="F157" s="120"/>
      <c r="G157" s="121"/>
      <c r="H157" s="122"/>
      <c r="I157" s="122"/>
    </row>
    <row r="158" spans="1:13" s="68" customFormat="1" ht="15.75" thickTop="1" thickBot="1" x14ac:dyDescent="0.25">
      <c r="A158" s="1131">
        <v>4</v>
      </c>
      <c r="B158" s="1672" t="s">
        <v>753</v>
      </c>
      <c r="C158" s="1673"/>
      <c r="D158" s="1673"/>
      <c r="E158" s="1673"/>
      <c r="F158" s="1674"/>
      <c r="G158" s="1131" t="s">
        <v>121</v>
      </c>
      <c r="H158" s="122"/>
      <c r="I158" s="122"/>
    </row>
    <row r="159" spans="1:13" s="68" customFormat="1" ht="15.75" thickTop="1" thickBot="1" x14ac:dyDescent="0.25">
      <c r="A159" s="112" t="s">
        <v>48</v>
      </c>
      <c r="B159" s="1132" t="str">
        <f>B139</f>
        <v>Substituto nas Ausências Legais</v>
      </c>
      <c r="C159" s="131"/>
      <c r="D159" s="131"/>
      <c r="E159" s="131"/>
      <c r="F159" s="288"/>
      <c r="G159" s="123">
        <f>G146</f>
        <v>10.31</v>
      </c>
      <c r="H159" s="122"/>
      <c r="I159" s="122"/>
    </row>
    <row r="160" spans="1:13" s="68" customFormat="1" ht="15.75" thickTop="1" thickBot="1" x14ac:dyDescent="0.25">
      <c r="A160" s="112" t="s">
        <v>53</v>
      </c>
      <c r="B160" s="1132" t="str">
        <f>B151</f>
        <v>Substituo na Intrajornada</v>
      </c>
      <c r="C160" s="131"/>
      <c r="D160" s="131"/>
      <c r="E160" s="131"/>
      <c r="F160" s="288"/>
      <c r="G160" s="123">
        <f>G153</f>
        <v>0</v>
      </c>
      <c r="H160" s="122"/>
      <c r="I160" s="122"/>
    </row>
    <row r="161" spans="1:9" s="68" customFormat="1" ht="15.75" thickTop="1" thickBot="1" x14ac:dyDescent="0.25">
      <c r="A161" s="1644" t="s">
        <v>232</v>
      </c>
      <c r="B161" s="1645"/>
      <c r="C161" s="1645"/>
      <c r="D161" s="1645"/>
      <c r="E161" s="1645"/>
      <c r="F161" s="1646"/>
      <c r="G161" s="133">
        <f>SUM(G159:G160)</f>
        <v>10.31</v>
      </c>
      <c r="H161" s="122"/>
      <c r="I161" s="122"/>
    </row>
    <row r="162" spans="1:9" s="68" customFormat="1" ht="15" thickTop="1" x14ac:dyDescent="0.2">
      <c r="A162" s="101"/>
      <c r="B162" s="101"/>
      <c r="C162" s="101"/>
      <c r="D162" s="101"/>
      <c r="E162" s="101"/>
      <c r="F162" s="574"/>
      <c r="G162" s="575"/>
      <c r="H162" s="122"/>
      <c r="I162" s="122"/>
    </row>
    <row r="163" spans="1:9" ht="15" thickBot="1" x14ac:dyDescent="0.25">
      <c r="A163" s="1629" t="s">
        <v>756</v>
      </c>
      <c r="B163" s="1629"/>
      <c r="C163" s="1629"/>
      <c r="D163" s="1629"/>
      <c r="E163" s="1629"/>
      <c r="F163" s="1629"/>
      <c r="G163" s="1629"/>
      <c r="H163" s="111"/>
      <c r="I163" s="111"/>
    </row>
    <row r="164" spans="1:9" ht="15.75" thickTop="1" thickBot="1" x14ac:dyDescent="0.25">
      <c r="A164" s="1131">
        <v>5</v>
      </c>
      <c r="B164" s="1672" t="s">
        <v>93</v>
      </c>
      <c r="C164" s="1673"/>
      <c r="D164" s="1673"/>
      <c r="E164" s="1673"/>
      <c r="F164" s="1674"/>
      <c r="G164" s="1131" t="s">
        <v>121</v>
      </c>
      <c r="H164" s="111"/>
      <c r="I164" s="111"/>
    </row>
    <row r="165" spans="1:9" ht="15.75" thickTop="1" thickBot="1" x14ac:dyDescent="0.25">
      <c r="A165" s="112" t="s">
        <v>1</v>
      </c>
      <c r="B165" s="130" t="str">
        <f>Dados!A63</f>
        <v>Uniformes</v>
      </c>
      <c r="C165" s="131"/>
      <c r="D165" s="131"/>
      <c r="E165" s="131"/>
      <c r="F165" s="769">
        <f>Dados!J70</f>
        <v>74.83</v>
      </c>
      <c r="G165" s="123">
        <f>F165*$F$14</f>
        <v>74.83</v>
      </c>
      <c r="H165" s="111"/>
      <c r="I165" s="111"/>
    </row>
    <row r="166" spans="1:9" ht="15.75" thickTop="1" thickBot="1" x14ac:dyDescent="0.25">
      <c r="A166" s="112" t="s">
        <v>2</v>
      </c>
      <c r="B166" s="130" t="str">
        <f>Dados!A71</f>
        <v>Materiais</v>
      </c>
      <c r="C166" s="131"/>
      <c r="D166" s="131"/>
      <c r="E166" s="131"/>
      <c r="F166" s="769"/>
      <c r="G166" s="123">
        <f t="shared" ref="G166:G167" si="5">F166*$F$14</f>
        <v>0</v>
      </c>
      <c r="H166" s="111"/>
      <c r="I166" s="111"/>
    </row>
    <row r="167" spans="1:9" ht="15.75" thickTop="1" thickBot="1" x14ac:dyDescent="0.25">
      <c r="A167" s="112" t="s">
        <v>4</v>
      </c>
      <c r="B167" s="1132" t="str">
        <f>Dados!A73</f>
        <v xml:space="preserve">Equipamentos </v>
      </c>
      <c r="C167" s="131"/>
      <c r="D167" s="131"/>
      <c r="E167" s="131"/>
      <c r="F167" s="769"/>
      <c r="G167" s="123">
        <f t="shared" si="5"/>
        <v>0</v>
      </c>
      <c r="H167" s="111"/>
      <c r="I167" s="111"/>
    </row>
    <row r="168" spans="1:9" ht="15.75" thickTop="1" thickBot="1" x14ac:dyDescent="0.25">
      <c r="A168" s="112" t="s">
        <v>5</v>
      </c>
      <c r="B168" s="1132" t="str">
        <f>Dados!A74</f>
        <v>Depreciação e manutenção dos equipamentos</v>
      </c>
      <c r="C168" s="131"/>
      <c r="D168" s="131"/>
      <c r="E168" s="131"/>
      <c r="F168" s="770">
        <f>Dados!I74</f>
        <v>0</v>
      </c>
      <c r="G168" s="123">
        <f>G167*F168</f>
        <v>0</v>
      </c>
      <c r="H168" s="111"/>
      <c r="I168" s="111"/>
    </row>
    <row r="169" spans="1:9" ht="15.75" thickTop="1" thickBot="1" x14ac:dyDescent="0.25">
      <c r="A169" s="112" t="s">
        <v>6</v>
      </c>
      <c r="B169" s="125" t="s">
        <v>57</v>
      </c>
      <c r="C169" s="132"/>
      <c r="D169" s="132"/>
      <c r="E169" s="285"/>
      <c r="F169" s="288"/>
      <c r="G169" s="124"/>
      <c r="H169" s="111"/>
      <c r="I169" s="111"/>
    </row>
    <row r="170" spans="1:9" ht="15.75" thickTop="1" thickBot="1" x14ac:dyDescent="0.25">
      <c r="A170" s="118"/>
      <c r="B170" s="1644" t="s">
        <v>232</v>
      </c>
      <c r="C170" s="1645"/>
      <c r="D170" s="1645"/>
      <c r="E170" s="1645"/>
      <c r="F170" s="1646"/>
      <c r="G170" s="133">
        <f>SUM(G165:G169)</f>
        <v>74.83</v>
      </c>
      <c r="H170" s="111"/>
      <c r="I170" s="111"/>
    </row>
    <row r="171" spans="1:9" s="68" customFormat="1" ht="15" hidden="1" thickTop="1" x14ac:dyDescent="0.2">
      <c r="A171" s="101" t="s">
        <v>757</v>
      </c>
      <c r="B171" s="99"/>
      <c r="C171" s="99"/>
      <c r="D171" s="99"/>
      <c r="E171" s="99"/>
      <c r="F171" s="120"/>
      <c r="G171" s="121"/>
      <c r="H171" s="122"/>
      <c r="I171" s="122"/>
    </row>
    <row r="172" spans="1:9" s="68" customFormat="1" ht="15" thickTop="1" x14ac:dyDescent="0.2">
      <c r="A172" s="98"/>
      <c r="B172" s="99"/>
      <c r="C172" s="99"/>
      <c r="D172" s="99"/>
      <c r="E172" s="99"/>
      <c r="F172" s="120"/>
      <c r="G172" s="121"/>
      <c r="H172" s="122"/>
      <c r="I172" s="122"/>
    </row>
    <row r="173" spans="1:9" ht="15" thickBot="1" x14ac:dyDescent="0.25">
      <c r="A173" s="1629" t="s">
        <v>760</v>
      </c>
      <c r="B173" s="1629"/>
      <c r="C173" s="1629"/>
      <c r="D173" s="1629"/>
      <c r="E173" s="1629"/>
      <c r="F173" s="1629"/>
      <c r="G173" s="1629"/>
      <c r="H173" s="111"/>
    </row>
    <row r="174" spans="1:9" ht="15.75" thickTop="1" thickBot="1" x14ac:dyDescent="0.25">
      <c r="A174" s="1125">
        <v>6</v>
      </c>
      <c r="B174" s="1657" t="s">
        <v>27</v>
      </c>
      <c r="C174" s="1657"/>
      <c r="D174" s="1657"/>
      <c r="E174" s="1657"/>
      <c r="F174" s="1125" t="s">
        <v>746</v>
      </c>
      <c r="G174" s="1131" t="s">
        <v>121</v>
      </c>
      <c r="H174" s="111"/>
      <c r="I174" s="111"/>
    </row>
    <row r="175" spans="1:9" ht="14.25" customHeight="1" thickTop="1" thickBot="1" x14ac:dyDescent="0.25">
      <c r="A175" s="1121" t="s">
        <v>1</v>
      </c>
      <c r="B175" s="141" t="s">
        <v>28</v>
      </c>
      <c r="C175" s="137"/>
      <c r="D175" s="137"/>
      <c r="E175" s="126"/>
      <c r="F175" s="138">
        <f>Dados!L77</f>
        <v>0.01</v>
      </c>
      <c r="G175" s="142">
        <f>$G$196*F175</f>
        <v>31.82</v>
      </c>
      <c r="H175" s="111"/>
      <c r="I175" s="111"/>
    </row>
    <row r="176" spans="1:9" ht="14.25" customHeight="1" thickTop="1" thickBot="1" x14ac:dyDescent="0.25">
      <c r="A176" s="1121" t="s">
        <v>2</v>
      </c>
      <c r="B176" s="141" t="s">
        <v>20</v>
      </c>
      <c r="C176" s="137"/>
      <c r="D176" s="137"/>
      <c r="E176" s="126"/>
      <c r="F176" s="138">
        <f>Dados!L78</f>
        <v>0.01</v>
      </c>
      <c r="G176" s="142">
        <f>($G$196+$G$175)*F176</f>
        <v>32.14</v>
      </c>
      <c r="H176" s="111"/>
      <c r="I176" s="111"/>
    </row>
    <row r="177" spans="1:9" ht="14.25" customHeight="1" thickTop="1" thickBot="1" x14ac:dyDescent="0.25">
      <c r="A177" s="1675" t="s">
        <v>4</v>
      </c>
      <c r="B177" s="141" t="s">
        <v>24</v>
      </c>
      <c r="C177" s="296"/>
      <c r="D177" s="137"/>
      <c r="E177" s="920"/>
      <c r="F177" s="921"/>
      <c r="G177" s="939">
        <f>SUM(G175:G176)</f>
        <v>63.96</v>
      </c>
      <c r="H177" s="111"/>
      <c r="I177" s="111"/>
    </row>
    <row r="178" spans="1:9" ht="14.25" customHeight="1" thickTop="1" thickBot="1" x14ac:dyDescent="0.25">
      <c r="A178" s="1676"/>
      <c r="B178" s="136" t="s">
        <v>103</v>
      </c>
      <c r="C178" s="285"/>
      <c r="D178" s="137"/>
      <c r="E178" s="920"/>
      <c r="F178" s="921"/>
      <c r="G178" s="919"/>
      <c r="H178" s="111"/>
      <c r="I178" s="111"/>
    </row>
    <row r="179" spans="1:9" ht="14.25" customHeight="1" thickTop="1" thickBot="1" x14ac:dyDescent="0.25">
      <c r="A179" s="1676"/>
      <c r="B179" s="136" t="s">
        <v>21</v>
      </c>
      <c r="C179" s="285"/>
      <c r="D179" s="137"/>
      <c r="F179" s="295">
        <f>Dados!F88</f>
        <v>1.17E-2</v>
      </c>
      <c r="G179" s="143">
        <f>(($G$196+$G$175+$G$176)/Dados!$H$88)*F179</f>
        <v>42.93</v>
      </c>
      <c r="H179" s="111"/>
      <c r="I179" s="111"/>
    </row>
    <row r="180" spans="1:9" ht="14.25" customHeight="1" thickTop="1" thickBot="1" x14ac:dyDescent="0.25">
      <c r="A180" s="1676"/>
      <c r="B180" s="136" t="s">
        <v>22</v>
      </c>
      <c r="C180" s="285"/>
      <c r="D180" s="137"/>
      <c r="E180" s="126"/>
      <c r="F180" s="295">
        <f>Dados!E88</f>
        <v>5.3499999999999999E-2</v>
      </c>
      <c r="G180" s="143">
        <f>(($G$196+$G$175+$G$176)/Dados!$H$88)*F180</f>
        <v>196.29</v>
      </c>
      <c r="H180" s="111"/>
      <c r="I180" s="111"/>
    </row>
    <row r="181" spans="1:9" ht="14.25" customHeight="1" thickTop="1" thickBot="1" x14ac:dyDescent="0.25">
      <c r="A181" s="1676"/>
      <c r="B181" s="136" t="s">
        <v>104</v>
      </c>
      <c r="C181" s="285"/>
      <c r="D181" s="137"/>
      <c r="E181" s="126"/>
      <c r="F181" s="138"/>
      <c r="G181" s="142"/>
      <c r="H181" s="111"/>
      <c r="I181" s="111"/>
    </row>
    <row r="182" spans="1:9" ht="14.25" customHeight="1" thickTop="1" thickBot="1" x14ac:dyDescent="0.25">
      <c r="A182" s="1676"/>
      <c r="B182" s="136" t="s">
        <v>29</v>
      </c>
      <c r="C182" s="285"/>
      <c r="D182" s="137"/>
      <c r="E182" s="126"/>
      <c r="F182" s="138"/>
      <c r="G182" s="143"/>
      <c r="H182" s="111"/>
      <c r="I182" s="111"/>
    </row>
    <row r="183" spans="1:9" ht="14.25" customHeight="1" thickTop="1" thickBot="1" x14ac:dyDescent="0.25">
      <c r="A183" s="1676"/>
      <c r="B183" s="136" t="s">
        <v>105</v>
      </c>
      <c r="C183" s="285"/>
      <c r="D183" s="137"/>
      <c r="E183" s="126"/>
      <c r="F183" s="138"/>
      <c r="G183" s="142"/>
      <c r="H183" s="111"/>
      <c r="I183" s="111"/>
    </row>
    <row r="184" spans="1:9" ht="14.25" customHeight="1" thickTop="1" thickBot="1" x14ac:dyDescent="0.25">
      <c r="A184" s="1677"/>
      <c r="B184" s="136" t="s">
        <v>23</v>
      </c>
      <c r="C184" s="285"/>
      <c r="D184" s="137"/>
      <c r="E184" s="126"/>
      <c r="F184" s="295">
        <f>Dados!C88</f>
        <v>0.05</v>
      </c>
      <c r="G184" s="143">
        <f>(($G$196+$G$175+$G$176)/Dados!$H$88)*F184</f>
        <v>183.45</v>
      </c>
      <c r="H184" s="111"/>
      <c r="I184" s="111"/>
    </row>
    <row r="185" spans="1:9" ht="18" customHeight="1" thickTop="1" thickBot="1" x14ac:dyDescent="0.25">
      <c r="A185" s="1644" t="s">
        <v>232</v>
      </c>
      <c r="B185" s="1645"/>
      <c r="C185" s="1645"/>
      <c r="D185" s="1645"/>
      <c r="E185" s="1646"/>
      <c r="F185" s="139">
        <f>SUM(F175:F184)</f>
        <v>0.13519999999999999</v>
      </c>
      <c r="G185" s="144">
        <f>G175+G179+G180+G184+G176</f>
        <v>486.63</v>
      </c>
      <c r="H185" s="111"/>
      <c r="I185" s="111"/>
    </row>
    <row r="186" spans="1:9" ht="15" hidden="1" thickTop="1" x14ac:dyDescent="0.2">
      <c r="A186" s="572" t="s">
        <v>759</v>
      </c>
      <c r="B186" s="145"/>
      <c r="C186" s="145"/>
      <c r="D186" s="145"/>
      <c r="E186" s="145"/>
      <c r="F186" s="145"/>
      <c r="G186" s="146"/>
      <c r="H186" s="111"/>
      <c r="I186" s="111"/>
    </row>
    <row r="187" spans="1:9" hidden="1" x14ac:dyDescent="0.2">
      <c r="A187" s="572" t="s">
        <v>758</v>
      </c>
      <c r="B187" s="145"/>
      <c r="C187" s="145"/>
      <c r="D187" s="145"/>
      <c r="E187" s="145"/>
      <c r="F187" s="145"/>
      <c r="G187" s="146"/>
      <c r="H187" s="111"/>
      <c r="I187" s="111"/>
    </row>
    <row r="188" spans="1:9" ht="15" thickTop="1" x14ac:dyDescent="0.2">
      <c r="A188" s="572"/>
      <c r="B188" s="145"/>
      <c r="C188" s="145"/>
      <c r="D188" s="145"/>
      <c r="E188" s="145"/>
      <c r="F188" s="145"/>
      <c r="G188" s="146"/>
      <c r="H188" s="111"/>
      <c r="I188" s="111"/>
    </row>
    <row r="189" spans="1:9" ht="15" thickBot="1" x14ac:dyDescent="0.25">
      <c r="A189" s="1124" t="s">
        <v>761</v>
      </c>
      <c r="B189" s="145"/>
      <c r="C189" s="145"/>
      <c r="D189" s="145"/>
      <c r="E189" s="145"/>
      <c r="F189" s="145"/>
      <c r="G189" s="146"/>
      <c r="H189" s="111"/>
      <c r="I189" s="111"/>
    </row>
    <row r="190" spans="1:9" ht="16.5" customHeight="1" thickTop="1" thickBot="1" x14ac:dyDescent="0.25">
      <c r="A190" s="1658" t="s">
        <v>718</v>
      </c>
      <c r="B190" s="1658"/>
      <c r="C190" s="1658"/>
      <c r="D190" s="1658"/>
      <c r="E190" s="1658"/>
      <c r="F190" s="1658"/>
      <c r="G190" s="1131" t="s">
        <v>121</v>
      </c>
      <c r="H190" s="111"/>
    </row>
    <row r="191" spans="1:9" ht="14.25" customHeight="1" thickTop="1" thickBot="1" x14ac:dyDescent="0.25">
      <c r="A191" s="1121" t="s">
        <v>1</v>
      </c>
      <c r="B191" s="1132" t="str">
        <f>A45</f>
        <v>Módulo 1 - Composição da Remuneração</v>
      </c>
      <c r="C191" s="1133"/>
      <c r="D191" s="566"/>
      <c r="E191" s="566"/>
      <c r="F191" s="147"/>
      <c r="G191" s="124">
        <f>G53</f>
        <v>1287.96</v>
      </c>
      <c r="H191" s="111"/>
    </row>
    <row r="192" spans="1:9" ht="14.25" customHeight="1" thickTop="1" thickBot="1" x14ac:dyDescent="0.25">
      <c r="A192" s="1121" t="s">
        <v>2</v>
      </c>
      <c r="B192" s="1132" t="str">
        <f>A58</f>
        <v>Módulo 2 - Encargos e Benefícios Anuais, Mensais e Diários</v>
      </c>
      <c r="C192" s="1133"/>
      <c r="D192" s="566"/>
      <c r="E192" s="566"/>
      <c r="F192" s="147"/>
      <c r="G192" s="124">
        <f>G121</f>
        <v>1727</v>
      </c>
      <c r="H192" s="111"/>
    </row>
    <row r="193" spans="1:8" ht="14.25" customHeight="1" thickTop="1" thickBot="1" x14ac:dyDescent="0.25">
      <c r="A193" s="1121" t="s">
        <v>4</v>
      </c>
      <c r="B193" s="1132" t="str">
        <f>A123</f>
        <v>Módulo 3 - Provisão para Rescisão</v>
      </c>
      <c r="C193" s="1133"/>
      <c r="D193" s="566"/>
      <c r="E193" s="566"/>
      <c r="F193" s="147"/>
      <c r="G193" s="124">
        <f>G132</f>
        <v>82.31</v>
      </c>
      <c r="H193" s="111"/>
    </row>
    <row r="194" spans="1:8" ht="14.25" customHeight="1" thickTop="1" thickBot="1" x14ac:dyDescent="0.25">
      <c r="A194" s="1121" t="s">
        <v>5</v>
      </c>
      <c r="B194" s="1132" t="str">
        <f>A134</f>
        <v>Módulo 4 - Custo de Reposição do Profissional</v>
      </c>
      <c r="C194" s="1133"/>
      <c r="D194" s="566"/>
      <c r="E194" s="566"/>
      <c r="F194" s="147"/>
      <c r="G194" s="124">
        <f>G161</f>
        <v>10.31</v>
      </c>
      <c r="H194" s="111"/>
    </row>
    <row r="195" spans="1:8" ht="15.75" hidden="1" thickTop="1" thickBot="1" x14ac:dyDescent="0.25">
      <c r="A195" s="583" t="s">
        <v>6</v>
      </c>
      <c r="B195" s="1132" t="str">
        <f>A163</f>
        <v>Módulo 5 - Insumos Diversos</v>
      </c>
      <c r="C195" s="579"/>
      <c r="D195" s="579"/>
      <c r="E195" s="579"/>
      <c r="F195" s="580"/>
      <c r="G195" s="584">
        <f>G170</f>
        <v>74.83</v>
      </c>
    </row>
    <row r="196" spans="1:8" ht="15.75" thickTop="1" thickBot="1" x14ac:dyDescent="0.25">
      <c r="A196" s="1644" t="s">
        <v>762</v>
      </c>
      <c r="B196" s="1645"/>
      <c r="C196" s="1645"/>
      <c r="D196" s="1645"/>
      <c r="E196" s="1645"/>
      <c r="F196" s="1646"/>
      <c r="G196" s="133">
        <f>SUM(G191:G195)</f>
        <v>3182.41</v>
      </c>
    </row>
    <row r="197" spans="1:8" ht="14.25" customHeight="1" thickTop="1" thickBot="1" x14ac:dyDescent="0.25">
      <c r="A197" s="1121" t="s">
        <v>7</v>
      </c>
      <c r="B197" s="1132" t="str">
        <f>A173</f>
        <v>Módulo 6 - Custos Indiretos, Tributos e Lucro</v>
      </c>
      <c r="C197" s="1133"/>
      <c r="D197" s="566"/>
      <c r="E197" s="566"/>
      <c r="F197" s="147"/>
      <c r="G197" s="124">
        <f>G185</f>
        <v>486.63</v>
      </c>
    </row>
    <row r="198" spans="1:8" ht="15.75" customHeight="1" thickTop="1" thickBot="1" x14ac:dyDescent="0.25">
      <c r="A198" s="1644" t="s">
        <v>687</v>
      </c>
      <c r="B198" s="1645"/>
      <c r="C198" s="1645"/>
      <c r="D198" s="1645"/>
      <c r="E198" s="1645"/>
      <c r="F198" s="1646"/>
      <c r="G198" s="133">
        <f>SUM(G196:G197)</f>
        <v>3669.04</v>
      </c>
    </row>
    <row r="199" spans="1:8" ht="15.75" thickTop="1" thickBot="1" x14ac:dyDescent="0.25">
      <c r="A199" s="1644" t="s">
        <v>1445</v>
      </c>
      <c r="B199" s="1645"/>
      <c r="C199" s="1645"/>
      <c r="D199" s="1645"/>
      <c r="E199" s="1645"/>
      <c r="F199" s="1646"/>
      <c r="G199" s="133">
        <f>Dados!J51+Dados!J55</f>
        <v>170.7</v>
      </c>
    </row>
    <row r="200" spans="1:8" ht="15.75" thickTop="1" thickBot="1" x14ac:dyDescent="0.25">
      <c r="A200" s="1644" t="s">
        <v>687</v>
      </c>
      <c r="B200" s="1645"/>
      <c r="C200" s="1645"/>
      <c r="D200" s="1645"/>
      <c r="E200" s="1645"/>
      <c r="F200" s="1646"/>
      <c r="G200" s="133">
        <f>G198+G199</f>
        <v>3839.74</v>
      </c>
    </row>
    <row r="201" spans="1:8" ht="15" thickTop="1" x14ac:dyDescent="0.2"/>
    <row r="202" spans="1:8" ht="15" hidden="1" thickBot="1" x14ac:dyDescent="0.25">
      <c r="A202" s="1124" t="s">
        <v>763</v>
      </c>
    </row>
    <row r="203" spans="1:8" ht="46.5" hidden="1" customHeight="1" thickTop="1" x14ac:dyDescent="0.2">
      <c r="A203" s="1650" t="s">
        <v>167</v>
      </c>
      <c r="B203" s="1651"/>
      <c r="C203" s="1130" t="s">
        <v>765</v>
      </c>
      <c r="D203" s="1130" t="s">
        <v>764</v>
      </c>
      <c r="E203" s="1130" t="s">
        <v>766</v>
      </c>
      <c r="F203" s="1126" t="s">
        <v>767</v>
      </c>
      <c r="G203" s="1126" t="s">
        <v>768</v>
      </c>
    </row>
    <row r="204" spans="1:8" ht="18" hidden="1" customHeight="1" thickBot="1" x14ac:dyDescent="0.25">
      <c r="A204" s="1659" t="s">
        <v>168</v>
      </c>
      <c r="B204" s="1660"/>
      <c r="C204" s="586" t="s">
        <v>169</v>
      </c>
      <c r="D204" s="586" t="s">
        <v>170</v>
      </c>
      <c r="E204" s="586" t="s">
        <v>171</v>
      </c>
      <c r="F204" s="587" t="s">
        <v>172</v>
      </c>
      <c r="G204" s="587" t="s">
        <v>173</v>
      </c>
    </row>
    <row r="205" spans="1:8" ht="49.5" hidden="1" customHeight="1" thickTop="1" thickBot="1" x14ac:dyDescent="0.25">
      <c r="A205" s="583" t="s">
        <v>160</v>
      </c>
      <c r="B205" s="1129" t="str">
        <f>F40</f>
        <v>Operador de Máquina Reprográfica de segunda a sexta-feira - 44 horas semanais</v>
      </c>
      <c r="C205" s="274">
        <f>G198</f>
        <v>3669.04</v>
      </c>
      <c r="D205" s="275">
        <f>F26</f>
        <v>1</v>
      </c>
      <c r="E205" s="276">
        <f>C205*D205</f>
        <v>3669.04</v>
      </c>
      <c r="F205" s="277">
        <f>E26</f>
        <v>1</v>
      </c>
      <c r="G205" s="278">
        <f>E205*F205</f>
        <v>3669.04</v>
      </c>
    </row>
    <row r="206" spans="1:8" ht="15.75" hidden="1" thickTop="1" thickBot="1" x14ac:dyDescent="0.25">
      <c r="A206" s="1644" t="s">
        <v>769</v>
      </c>
      <c r="B206" s="1645"/>
      <c r="C206" s="1645"/>
      <c r="D206" s="1645"/>
      <c r="E206" s="1645"/>
      <c r="F206" s="1646"/>
      <c r="G206" s="133">
        <f>SUM(G205)</f>
        <v>3669.04</v>
      </c>
    </row>
    <row r="207" spans="1:8" ht="15" hidden="1" thickTop="1" x14ac:dyDescent="0.2">
      <c r="A207" s="247"/>
      <c r="B207" s="247"/>
      <c r="C207" s="247"/>
      <c r="D207" s="247"/>
      <c r="E207" s="247"/>
      <c r="F207" s="247"/>
      <c r="G207" s="247"/>
    </row>
    <row r="208" spans="1:8" ht="15" hidden="1" thickBot="1" x14ac:dyDescent="0.25">
      <c r="A208" s="1124" t="s">
        <v>770</v>
      </c>
      <c r="B208" s="247"/>
      <c r="C208" s="247"/>
      <c r="D208" s="247"/>
      <c r="E208" s="247"/>
      <c r="F208" s="247"/>
      <c r="G208" s="247"/>
    </row>
    <row r="209" spans="1:7" ht="15" hidden="1" customHeight="1" thickTop="1" thickBot="1" x14ac:dyDescent="0.25">
      <c r="A209" s="1128"/>
      <c r="B209" s="1656" t="s">
        <v>771</v>
      </c>
      <c r="C209" s="1656"/>
      <c r="D209" s="1656"/>
      <c r="E209" s="1656"/>
      <c r="F209" s="1656"/>
      <c r="G209" s="1656"/>
    </row>
    <row r="210" spans="1:7" ht="15.75" hidden="1" thickTop="1" thickBot="1" x14ac:dyDescent="0.25">
      <c r="A210" s="283"/>
      <c r="B210" s="1647" t="s">
        <v>772</v>
      </c>
      <c r="C210" s="1648"/>
      <c r="D210" s="1648"/>
      <c r="E210" s="1648"/>
      <c r="F210" s="1649"/>
      <c r="G210" s="283" t="s">
        <v>773</v>
      </c>
    </row>
    <row r="211" spans="1:7" ht="15.75" hidden="1" thickTop="1" thickBot="1" x14ac:dyDescent="0.25">
      <c r="A211" s="279" t="s">
        <v>1</v>
      </c>
      <c r="B211" s="287" t="s">
        <v>174</v>
      </c>
      <c r="C211" s="286"/>
      <c r="D211" s="284"/>
      <c r="E211" s="284"/>
      <c r="F211" s="284"/>
      <c r="G211" s="280">
        <f>G198</f>
        <v>3669.04</v>
      </c>
    </row>
    <row r="212" spans="1:7" ht="15.75" hidden="1" thickTop="1" thickBot="1" x14ac:dyDescent="0.25">
      <c r="A212" s="279" t="s">
        <v>2</v>
      </c>
      <c r="B212" s="287" t="s">
        <v>175</v>
      </c>
      <c r="C212" s="286"/>
      <c r="D212" s="284"/>
      <c r="E212" s="284"/>
      <c r="F212" s="284"/>
      <c r="G212" s="280">
        <f>G205</f>
        <v>3669.04</v>
      </c>
    </row>
    <row r="213" spans="1:7" ht="15.75" hidden="1" customHeight="1" thickTop="1" thickBot="1" x14ac:dyDescent="0.25">
      <c r="A213" s="279" t="s">
        <v>4</v>
      </c>
      <c r="B213" s="287" t="s">
        <v>914</v>
      </c>
      <c r="C213" s="286"/>
      <c r="D213" s="284"/>
      <c r="E213" s="284"/>
      <c r="F213" s="284"/>
      <c r="G213" s="280">
        <f>G212*$F$22</f>
        <v>44028.480000000003</v>
      </c>
    </row>
    <row r="214" spans="1:7" ht="15" hidden="1" thickTop="1" x14ac:dyDescent="0.2">
      <c r="A214" s="68" t="s">
        <v>774</v>
      </c>
    </row>
    <row r="216" spans="1:7" hidden="1" x14ac:dyDescent="0.2"/>
    <row r="217" spans="1:7" hidden="1" x14ac:dyDescent="0.2">
      <c r="A217" s="1124" t="s">
        <v>775</v>
      </c>
    </row>
    <row r="218" spans="1:7" ht="15" hidden="1" thickBot="1" x14ac:dyDescent="0.25">
      <c r="A218" s="145"/>
      <c r="B218" s="585"/>
      <c r="C218" s="585"/>
      <c r="D218" s="585"/>
      <c r="E218" s="585"/>
      <c r="F218" s="585"/>
      <c r="G218" s="585"/>
    </row>
    <row r="219" spans="1:7" ht="15" hidden="1" customHeight="1" thickTop="1" x14ac:dyDescent="0.2">
      <c r="A219" s="1650" t="s">
        <v>776</v>
      </c>
      <c r="B219" s="1661"/>
      <c r="C219" s="1661"/>
      <c r="D219" s="1651"/>
      <c r="E219" s="1668" t="s">
        <v>778</v>
      </c>
      <c r="F219" s="1641" t="s">
        <v>779</v>
      </c>
      <c r="G219" s="1641" t="s">
        <v>54</v>
      </c>
    </row>
    <row r="220" spans="1:7" ht="15" hidden="1" thickBot="1" x14ac:dyDescent="0.25">
      <c r="A220" s="1662"/>
      <c r="B220" s="1663"/>
      <c r="C220" s="1663"/>
      <c r="D220" s="1664"/>
      <c r="E220" s="1669"/>
      <c r="F220" s="1642"/>
      <c r="G220" s="1642"/>
    </row>
    <row r="221" spans="1:7" ht="36" hidden="1" customHeight="1" thickTop="1" thickBot="1" x14ac:dyDescent="0.25">
      <c r="A221" s="588" t="str">
        <f>A205</f>
        <v>I</v>
      </c>
      <c r="B221" s="1665" t="str">
        <f>B205</f>
        <v>Operador de Máquina Reprográfica de segunda a sexta-feira - 44 horas semanais</v>
      </c>
      <c r="C221" s="1666"/>
      <c r="D221" s="1667"/>
      <c r="E221" s="276">
        <f>E205</f>
        <v>3669.04</v>
      </c>
      <c r="F221" s="277">
        <f>F205</f>
        <v>1</v>
      </c>
      <c r="G221" s="278">
        <f>E221*F221</f>
        <v>3669.04</v>
      </c>
    </row>
    <row r="222" spans="1:7" ht="15.75" hidden="1" customHeight="1" thickTop="1" thickBot="1" x14ac:dyDescent="0.25">
      <c r="A222" s="1644" t="s">
        <v>47</v>
      </c>
      <c r="B222" s="1645"/>
      <c r="C222" s="1645"/>
      <c r="D222" s="1645"/>
      <c r="E222" s="1645"/>
      <c r="F222" s="1646"/>
      <c r="G222" s="133">
        <f>SUM(G221)</f>
        <v>3669.04</v>
      </c>
    </row>
    <row r="223" spans="1:7" hidden="1" x14ac:dyDescent="0.2">
      <c r="A223" s="68" t="s">
        <v>777</v>
      </c>
    </row>
  </sheetData>
  <mergeCells count="97">
    <mergeCell ref="A20:A21"/>
    <mergeCell ref="B20:E21"/>
    <mergeCell ref="F20:G20"/>
    <mergeCell ref="F21:G21"/>
    <mergeCell ref="A5:G5"/>
    <mergeCell ref="A6:G6"/>
    <mergeCell ref="A8:G8"/>
    <mergeCell ref="A9:G9"/>
    <mergeCell ref="A10:G10"/>
    <mergeCell ref="A13:B13"/>
    <mergeCell ref="C13:D13"/>
    <mergeCell ref="A14:B14"/>
    <mergeCell ref="C14:D14"/>
    <mergeCell ref="A17:G17"/>
    <mergeCell ref="F18:G18"/>
    <mergeCell ref="F19:G19"/>
    <mergeCell ref="B38:E38"/>
    <mergeCell ref="F38:G38"/>
    <mergeCell ref="F22:G22"/>
    <mergeCell ref="A24:G24"/>
    <mergeCell ref="A25:B25"/>
    <mergeCell ref="A26:B26"/>
    <mergeCell ref="A27:G28"/>
    <mergeCell ref="A29:G30"/>
    <mergeCell ref="A34:G34"/>
    <mergeCell ref="A35:G35"/>
    <mergeCell ref="A36:G36"/>
    <mergeCell ref="B37:E37"/>
    <mergeCell ref="F37:G37"/>
    <mergeCell ref="B39:E39"/>
    <mergeCell ref="F39:G39"/>
    <mergeCell ref="B40:E40"/>
    <mergeCell ref="F40:G40"/>
    <mergeCell ref="B41:E41"/>
    <mergeCell ref="F41:G41"/>
    <mergeCell ref="A73:F73"/>
    <mergeCell ref="B46:E46"/>
    <mergeCell ref="A53:F53"/>
    <mergeCell ref="A55:G56"/>
    <mergeCell ref="A58:G58"/>
    <mergeCell ref="A60:G60"/>
    <mergeCell ref="B61:E61"/>
    <mergeCell ref="B63:E63"/>
    <mergeCell ref="A64:E64"/>
    <mergeCell ref="A65:G66"/>
    <mergeCell ref="A67:G68"/>
    <mergeCell ref="A69:G71"/>
    <mergeCell ref="B117:F117"/>
    <mergeCell ref="A76:F76"/>
    <mergeCell ref="B79:E79"/>
    <mergeCell ref="A88:E88"/>
    <mergeCell ref="A89:G89"/>
    <mergeCell ref="A90:G90"/>
    <mergeCell ref="B95:E95"/>
    <mergeCell ref="A96:A97"/>
    <mergeCell ref="A98:A99"/>
    <mergeCell ref="A101:A103"/>
    <mergeCell ref="A111:F111"/>
    <mergeCell ref="A113:G114"/>
    <mergeCell ref="A153:F153"/>
    <mergeCell ref="A121:F121"/>
    <mergeCell ref="A123:G123"/>
    <mergeCell ref="B124:E124"/>
    <mergeCell ref="A132:E132"/>
    <mergeCell ref="A134:G134"/>
    <mergeCell ref="A135:G136"/>
    <mergeCell ref="B139:E139"/>
    <mergeCell ref="A146:E146"/>
    <mergeCell ref="A147:G148"/>
    <mergeCell ref="B151:F151"/>
    <mergeCell ref="B152:F152"/>
    <mergeCell ref="A196:F196"/>
    <mergeCell ref="A154:G155"/>
    <mergeCell ref="B158:F158"/>
    <mergeCell ref="A161:F161"/>
    <mergeCell ref="A163:G163"/>
    <mergeCell ref="B164:F164"/>
    <mergeCell ref="B170:F170"/>
    <mergeCell ref="A173:G173"/>
    <mergeCell ref="B174:E174"/>
    <mergeCell ref="A177:A184"/>
    <mergeCell ref="A185:E185"/>
    <mergeCell ref="A190:F190"/>
    <mergeCell ref="A222:F222"/>
    <mergeCell ref="A198:F198"/>
    <mergeCell ref="A203:B203"/>
    <mergeCell ref="A204:B204"/>
    <mergeCell ref="A206:F206"/>
    <mergeCell ref="B209:G209"/>
    <mergeCell ref="B210:F210"/>
    <mergeCell ref="A219:D220"/>
    <mergeCell ref="E219:E220"/>
    <mergeCell ref="F219:F220"/>
    <mergeCell ref="G219:G220"/>
    <mergeCell ref="B221:D221"/>
    <mergeCell ref="A199:F199"/>
    <mergeCell ref="A200:F200"/>
  </mergeCells>
  <dataValidations count="2">
    <dataValidation allowBlank="1" showInputMessage="1" showErrorMessage="1" errorTitle="Atenção" error="Os dias só poderão ser alterados nos Dados." promptTitle="Jornada de Trabalho" prompt="- Alterando a carga horária, automaticamente será alterado os dias trabalhados._x000a_" sqref="C26"/>
    <dataValidation allowBlank="1" showInputMessage="1" showErrorMessage="1" errorTitle="Atenção" error="Não esquecer de buscar os valores e alterar na coluna F - das linhas 50 a 60, em caso de mais de um Sindicato." promptTitle="Benefícios" prompt="- Em caso de mais de um Sindicato em &quot;Dados&quot;, não esquecer de buscar os valores e alterar na coluna F - das linhas 50 a 60." sqref="F96:F110"/>
  </dataValidations>
  <printOptions horizontalCentered="1"/>
  <pageMargins left="0.82677165354330717" right="0.55118110236220474" top="0.82677165354330717" bottom="0.43307086614173229" header="0.19685039370078741" footer="0.23622047244094491"/>
  <pageSetup paperSize="9" scale="61" fitToHeight="0" orientation="portrait" r:id="rId1"/>
  <headerFooter alignWithMargins="0"/>
  <rowBreaks count="1" manualBreakCount="1">
    <brk id="111" max="6" man="1"/>
  </rowBreaks>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21"/>
  <dimension ref="A1:M223"/>
  <sheetViews>
    <sheetView view="pageBreakPreview" topLeftCell="A61" zoomScale="90" zoomScaleNormal="100" zoomScaleSheetLayoutView="90" workbookViewId="0">
      <selection activeCell="C45" sqref="B45:K48"/>
    </sheetView>
  </sheetViews>
  <sheetFormatPr defaultRowHeight="14.25" x14ac:dyDescent="0.2"/>
  <cols>
    <col min="1" max="1" width="5.85546875" style="68" customWidth="1"/>
    <col min="2" max="2" width="29.42578125" style="68" customWidth="1"/>
    <col min="3" max="3" width="19.7109375" style="68" customWidth="1"/>
    <col min="4" max="4" width="17.140625" style="68" customWidth="1"/>
    <col min="5" max="5" width="18" style="68" customWidth="1"/>
    <col min="6" max="6" width="15.42578125" style="68" customWidth="1"/>
    <col min="7" max="7" width="18" style="97" bestFit="1" customWidth="1"/>
    <col min="8" max="8" width="17.28515625" style="69" bestFit="1" customWidth="1"/>
    <col min="9" max="9" width="15.28515625" style="69" bestFit="1" customWidth="1"/>
    <col min="10" max="11" width="13.42578125" style="69" bestFit="1" customWidth="1"/>
    <col min="12" max="12" width="11.5703125" style="69" bestFit="1" customWidth="1"/>
    <col min="13" max="13" width="12.5703125" style="69" bestFit="1" customWidth="1"/>
    <col min="14" max="16384" width="9.140625" style="69"/>
  </cols>
  <sheetData>
    <row r="1" spans="1:7" ht="11.25" hidden="1" customHeight="1" x14ac:dyDescent="0.2">
      <c r="A1" s="96" t="str">
        <f>Proposta!C83</f>
        <v>Razão Social: BRASFORT ADMINISTRAÇÃO E SERVIÇOS LTDA</v>
      </c>
    </row>
    <row r="2" spans="1:7" ht="11.25" hidden="1" customHeight="1" x14ac:dyDescent="0.2">
      <c r="A2" s="96" t="str">
        <f>Proposta!C84</f>
        <v>CNPJ: 36.770.857/0001-38</v>
      </c>
    </row>
    <row r="3" spans="1:7" hidden="1" x14ac:dyDescent="0.2">
      <c r="A3" s="97"/>
    </row>
    <row r="4" spans="1:7" hidden="1" x14ac:dyDescent="0.2">
      <c r="A4" s="97"/>
    </row>
    <row r="5" spans="1:7" hidden="1" x14ac:dyDescent="0.2">
      <c r="A5" s="1630" t="str">
        <f>Dados!H2</f>
        <v xml:space="preserve">REPACTUAÇÃO CONTRATUAL 20___ - </v>
      </c>
      <c r="B5" s="1630"/>
      <c r="C5" s="1630"/>
      <c r="D5" s="1630"/>
      <c r="E5" s="1630"/>
      <c r="F5" s="1630"/>
      <c r="G5" s="1630"/>
    </row>
    <row r="6" spans="1:7" hidden="1" x14ac:dyDescent="0.2">
      <c r="A6" s="1630" t="str">
        <f>Dados!A10</f>
        <v>CONTRATO Nº __________/201__ - CONTRATANTE - PRESTAÇÃO DE SERVIÇOS --------</v>
      </c>
      <c r="B6" s="1630"/>
      <c r="C6" s="1630"/>
      <c r="D6" s="1630"/>
      <c r="E6" s="1630"/>
      <c r="F6" s="1630"/>
      <c r="G6" s="1630"/>
    </row>
    <row r="7" spans="1:7" x14ac:dyDescent="0.2">
      <c r="A7" s="1123"/>
      <c r="B7" s="1123"/>
      <c r="C7" s="1123"/>
      <c r="D7" s="1123"/>
      <c r="E7" s="1123"/>
      <c r="F7" s="1123"/>
      <c r="G7" s="1123"/>
    </row>
    <row r="8" spans="1:7" ht="18" customHeight="1" x14ac:dyDescent="0.2">
      <c r="A8" s="1637"/>
      <c r="B8" s="1637"/>
      <c r="C8" s="1637"/>
      <c r="D8" s="1637"/>
      <c r="E8" s="1637"/>
      <c r="F8" s="1637"/>
      <c r="G8" s="1637"/>
    </row>
    <row r="9" spans="1:7" x14ac:dyDescent="0.2">
      <c r="A9" s="1637" t="str">
        <f>Dados!$A$11</f>
        <v>PLANILHA DE CUSTOS E FORMAÇÃO DE PREÇOS - CJF</v>
      </c>
      <c r="B9" s="1637"/>
      <c r="C9" s="1637"/>
      <c r="D9" s="1637"/>
      <c r="E9" s="1637"/>
      <c r="F9" s="1637"/>
      <c r="G9" s="1637"/>
    </row>
    <row r="10" spans="1:7" x14ac:dyDescent="0.2">
      <c r="A10" s="1637"/>
      <c r="B10" s="1637"/>
      <c r="C10" s="1637"/>
      <c r="D10" s="1637"/>
      <c r="E10" s="1637"/>
      <c r="F10" s="1637"/>
      <c r="G10" s="1637"/>
    </row>
    <row r="11" spans="1:7" x14ac:dyDescent="0.2">
      <c r="A11" s="98"/>
      <c r="B11" s="98"/>
      <c r="C11" s="98"/>
      <c r="D11" s="98"/>
      <c r="E11" s="98"/>
      <c r="F11" s="98"/>
      <c r="G11" s="98"/>
    </row>
    <row r="12" spans="1:7" ht="15" thickBot="1" x14ac:dyDescent="0.25">
      <c r="A12" s="99"/>
      <c r="B12" s="99"/>
      <c r="C12" s="99"/>
      <c r="D12" s="99"/>
      <c r="E12" s="99"/>
      <c r="F12" s="99"/>
      <c r="G12" s="99"/>
    </row>
    <row r="13" spans="1:7" ht="15.75" customHeight="1" thickTop="1" thickBot="1" x14ac:dyDescent="0.25">
      <c r="A13" s="1631" t="s">
        <v>117</v>
      </c>
      <c r="B13" s="1631"/>
      <c r="C13" s="1670" t="str">
        <f>Dados!$G$14</f>
        <v>0001561-97.2021.4.90.8000</v>
      </c>
      <c r="D13" s="1671"/>
      <c r="E13" s="102"/>
      <c r="F13" s="135"/>
      <c r="G13" s="100"/>
    </row>
    <row r="14" spans="1:7" ht="15.75" customHeight="1" thickTop="1" thickBot="1" x14ac:dyDescent="0.25">
      <c r="A14" s="1631" t="s">
        <v>116</v>
      </c>
      <c r="B14" s="1631"/>
      <c r="C14" s="1619" t="str">
        <f>"Pregão Eletrônico nº:" &amp; " " &amp; Dados!$G$22</f>
        <v>Pregão Eletrônico nº: PE 32/2021</v>
      </c>
      <c r="D14" s="1620"/>
      <c r="E14" s="102"/>
      <c r="F14" s="298">
        <v>1</v>
      </c>
      <c r="G14" s="100"/>
    </row>
    <row r="15" spans="1:7" ht="15.75" customHeight="1" thickTop="1" x14ac:dyDescent="0.2">
      <c r="A15" s="101" t="str">
        <f>"Dia:" &amp; " " &amp; TEXT(Dados!$G$15,"dd/mm/aaaa") &amp; " " &amp; "às" &amp; " " &amp; TEXT(Dados!$G$18,"hh:mm") &amp; " " &amp; "horas"</f>
        <v>Dia: 15/10/2021 às 10:00 horas</v>
      </c>
      <c r="B15" s="101"/>
      <c r="C15" s="101"/>
      <c r="D15" s="99"/>
      <c r="E15" s="102"/>
      <c r="F15" s="297"/>
      <c r="G15" s="104"/>
    </row>
    <row r="16" spans="1:7" ht="15.75" customHeight="1" x14ac:dyDescent="0.2">
      <c r="A16" s="101"/>
      <c r="B16" s="101"/>
      <c r="C16" s="101"/>
      <c r="D16" s="99"/>
      <c r="E16" s="102"/>
      <c r="F16" s="103"/>
      <c r="G16" s="104"/>
    </row>
    <row r="17" spans="1:7" ht="18" customHeight="1" thickBot="1" x14ac:dyDescent="0.25">
      <c r="A17" s="1638" t="s">
        <v>723</v>
      </c>
      <c r="B17" s="1638"/>
      <c r="C17" s="1638"/>
      <c r="D17" s="1638"/>
      <c r="E17" s="1638"/>
      <c r="F17" s="1638"/>
      <c r="G17" s="1638"/>
    </row>
    <row r="18" spans="1:7" ht="16.5" customHeight="1" thickTop="1" thickBot="1" x14ac:dyDescent="0.25">
      <c r="A18" s="1121" t="s">
        <v>1</v>
      </c>
      <c r="B18" s="1132" t="s">
        <v>119</v>
      </c>
      <c r="C18" s="1133"/>
      <c r="D18" s="566"/>
      <c r="E18" s="106"/>
      <c r="F18" s="1639" t="d">
        <f>Dados!G16</f>
        <v>2021-10-21</v>
      </c>
      <c r="G18" s="1640"/>
    </row>
    <row r="19" spans="1:7" ht="16.5" customHeight="1" thickTop="1" thickBot="1" x14ac:dyDescent="0.25">
      <c r="A19" s="1121" t="s">
        <v>2</v>
      </c>
      <c r="B19" s="565" t="s">
        <v>3</v>
      </c>
      <c r="C19" s="566"/>
      <c r="D19" s="566"/>
      <c r="E19" s="107"/>
      <c r="F19" s="1639" t="str">
        <f>Dados!G19</f>
        <v>Brasília - DF</v>
      </c>
      <c r="G19" s="1640"/>
    </row>
    <row r="20" spans="1:7" ht="15" thickTop="1" x14ac:dyDescent="0.2">
      <c r="A20" s="1675" t="s">
        <v>4</v>
      </c>
      <c r="B20" s="1621" t="s">
        <v>118</v>
      </c>
      <c r="C20" s="1622"/>
      <c r="D20" s="1622"/>
      <c r="E20" s="1623"/>
      <c r="F20" s="1681" t="str">
        <f>Dados!N101</f>
        <v>SINDISERVIÇOS/SEAC-DF</v>
      </c>
      <c r="G20" s="1681"/>
    </row>
    <row r="21" spans="1:7" ht="15" thickBot="1" x14ac:dyDescent="0.25">
      <c r="A21" s="1677"/>
      <c r="B21" s="1624"/>
      <c r="C21" s="1625"/>
      <c r="D21" s="1625"/>
      <c r="E21" s="1626"/>
      <c r="F21" s="1627" t="str">
        <f>VLOOKUP(F20,'CCT''S'!$A$7:$J$21,5,FALSE)</f>
        <v>2021/2021</v>
      </c>
      <c r="G21" s="1628"/>
    </row>
    <row r="22" spans="1:7" ht="16.5" customHeight="1" thickTop="1" thickBot="1" x14ac:dyDescent="0.25">
      <c r="A22" s="1121" t="s">
        <v>5</v>
      </c>
      <c r="B22" s="1132" t="s">
        <v>120</v>
      </c>
      <c r="C22" s="1133"/>
      <c r="D22" s="566"/>
      <c r="E22" s="107"/>
      <c r="F22" s="1640">
        <f>Dados!G26</f>
        <v>12</v>
      </c>
      <c r="G22" s="1640"/>
    </row>
    <row r="23" spans="1:7" ht="15" thickTop="1" x14ac:dyDescent="0.2">
      <c r="A23" s="98"/>
      <c r="B23" s="99"/>
      <c r="C23" s="99"/>
      <c r="D23" s="99"/>
      <c r="E23" s="99"/>
      <c r="F23" s="108"/>
      <c r="G23" s="109"/>
    </row>
    <row r="24" spans="1:7" ht="16.5" customHeight="1" thickBot="1" x14ac:dyDescent="0.25">
      <c r="A24" s="1638" t="s">
        <v>722</v>
      </c>
      <c r="B24" s="1638"/>
      <c r="C24" s="1638"/>
      <c r="D24" s="1638"/>
      <c r="E24" s="1638"/>
      <c r="F24" s="1638"/>
      <c r="G24" s="1638"/>
    </row>
    <row r="25" spans="1:7" ht="51" customHeight="1" thickTop="1" thickBot="1" x14ac:dyDescent="0.25">
      <c r="A25" s="1635" t="s">
        <v>89</v>
      </c>
      <c r="B25" s="1635"/>
      <c r="C25" s="1125" t="s">
        <v>194</v>
      </c>
      <c r="D25" s="1125" t="s">
        <v>115</v>
      </c>
      <c r="E25" s="1125" t="s">
        <v>73</v>
      </c>
      <c r="F25" s="1125" t="s">
        <v>195</v>
      </c>
      <c r="G25" s="1125" t="s">
        <v>86</v>
      </c>
    </row>
    <row r="26" spans="1:7" ht="33.75" customHeight="1" thickTop="1" thickBot="1" x14ac:dyDescent="0.25">
      <c r="A26" s="1631" t="str">
        <f>Dados!N88</f>
        <v>Garçom</v>
      </c>
      <c r="B26" s="1631"/>
      <c r="C26" s="1121" t="str">
        <f>Dados!J30</f>
        <v>44 horas semanais - 5x2</v>
      </c>
      <c r="D26" s="1121" t="str">
        <f>Dados!G25</f>
        <v>Postos de Serviços</v>
      </c>
      <c r="E26" s="292">
        <f>Dados!R88</f>
        <v>3</v>
      </c>
      <c r="F26" s="292">
        <f>Dados!S88</f>
        <v>1</v>
      </c>
      <c r="G26" s="292">
        <f>E26*F26</f>
        <v>3</v>
      </c>
    </row>
    <row r="27" spans="1:7" ht="14.25" hidden="1" customHeight="1" thickTop="1" x14ac:dyDescent="0.2">
      <c r="A27" s="1634" t="s">
        <v>725</v>
      </c>
      <c r="B27" s="1634"/>
      <c r="C27" s="1634"/>
      <c r="D27" s="1634"/>
      <c r="E27" s="1634"/>
      <c r="F27" s="1634"/>
      <c r="G27" s="1634"/>
    </row>
    <row r="28" spans="1:7" ht="14.25" hidden="1" customHeight="1" x14ac:dyDescent="0.2">
      <c r="A28" s="1618"/>
      <c r="B28" s="1618"/>
      <c r="C28" s="1618"/>
      <c r="D28" s="1618"/>
      <c r="E28" s="1618"/>
      <c r="F28" s="1618"/>
      <c r="G28" s="1618"/>
    </row>
    <row r="29" spans="1:7" ht="14.25" hidden="1" customHeight="1" x14ac:dyDescent="0.2">
      <c r="A29" s="1618" t="s">
        <v>724</v>
      </c>
      <c r="B29" s="1618"/>
      <c r="C29" s="1618"/>
      <c r="D29" s="1618"/>
      <c r="E29" s="1618"/>
      <c r="F29" s="1618"/>
      <c r="G29" s="1618"/>
    </row>
    <row r="30" spans="1:7" ht="14.25" hidden="1" customHeight="1" x14ac:dyDescent="0.2">
      <c r="A30" s="1618"/>
      <c r="B30" s="1618"/>
      <c r="C30" s="1618"/>
      <c r="D30" s="1618"/>
      <c r="E30" s="1618"/>
      <c r="F30" s="1618"/>
      <c r="G30" s="1618"/>
    </row>
    <row r="31" spans="1:7" ht="14.25" customHeight="1" thickTop="1" x14ac:dyDescent="0.2">
      <c r="A31" s="101"/>
      <c r="B31" s="101"/>
      <c r="C31" s="101"/>
      <c r="D31" s="101"/>
      <c r="E31" s="101"/>
      <c r="F31" s="572"/>
      <c r="G31" s="573"/>
    </row>
    <row r="32" spans="1:7" ht="14.25" customHeight="1" x14ac:dyDescent="0.2">
      <c r="A32" s="1124" t="s">
        <v>719</v>
      </c>
      <c r="B32" s="98"/>
      <c r="C32" s="98"/>
      <c r="D32" s="98"/>
      <c r="E32" s="98"/>
      <c r="G32" s="110"/>
    </row>
    <row r="33" spans="1:9" ht="6.75" customHeight="1" x14ac:dyDescent="0.2">
      <c r="A33" s="98"/>
      <c r="B33" s="98"/>
      <c r="C33" s="98"/>
      <c r="D33" s="98"/>
      <c r="E33" s="98"/>
      <c r="G33" s="110"/>
    </row>
    <row r="34" spans="1:9" ht="14.25" customHeight="1" x14ac:dyDescent="0.2">
      <c r="A34" s="1632" t="s">
        <v>159</v>
      </c>
      <c r="B34" s="1632"/>
      <c r="C34" s="1632"/>
      <c r="D34" s="1632"/>
      <c r="E34" s="1632"/>
      <c r="F34" s="1632"/>
      <c r="G34" s="1632"/>
    </row>
    <row r="35" spans="1:9" ht="14.25" customHeight="1" thickBot="1" x14ac:dyDescent="0.25">
      <c r="A35" s="1636" t="s">
        <v>102</v>
      </c>
      <c r="B35" s="1636"/>
      <c r="C35" s="1636"/>
      <c r="D35" s="1636"/>
      <c r="E35" s="1636"/>
      <c r="F35" s="1636"/>
      <c r="G35" s="1636"/>
    </row>
    <row r="36" spans="1:9" ht="15" customHeight="1" thickTop="1" thickBot="1" x14ac:dyDescent="0.25">
      <c r="A36" s="1633" t="s">
        <v>88</v>
      </c>
      <c r="B36" s="1633"/>
      <c r="C36" s="1633"/>
      <c r="D36" s="1633"/>
      <c r="E36" s="1633"/>
      <c r="F36" s="1633"/>
      <c r="G36" s="1633"/>
    </row>
    <row r="37" spans="1:9" ht="15.75" thickTop="1" thickBot="1" x14ac:dyDescent="0.25">
      <c r="A37" s="1121">
        <v>1</v>
      </c>
      <c r="B37" s="1633" t="s">
        <v>89</v>
      </c>
      <c r="C37" s="1633"/>
      <c r="D37" s="1633"/>
      <c r="E37" s="1633"/>
      <c r="F37" s="1631" t="str">
        <f>A26</f>
        <v>Garçom</v>
      </c>
      <c r="G37" s="1631"/>
    </row>
    <row r="38" spans="1:9" ht="15.75" thickTop="1" thickBot="1" x14ac:dyDescent="0.25">
      <c r="A38" s="1121">
        <v>2</v>
      </c>
      <c r="B38" s="1633" t="s">
        <v>720</v>
      </c>
      <c r="C38" s="1633"/>
      <c r="D38" s="1633"/>
      <c r="E38" s="1633"/>
      <c r="F38" s="1631" t="str">
        <f>Dados!O88</f>
        <v>5134-05</v>
      </c>
      <c r="G38" s="1631"/>
    </row>
    <row r="39" spans="1:9" ht="15.75" customHeight="1" thickTop="1" thickBot="1" x14ac:dyDescent="0.25">
      <c r="A39" s="1121">
        <v>3</v>
      </c>
      <c r="B39" s="1633" t="s">
        <v>90</v>
      </c>
      <c r="C39" s="1633"/>
      <c r="D39" s="1633"/>
      <c r="E39" s="1633"/>
      <c r="F39" s="1682">
        <f>Dados!U88</f>
        <v>2492.25</v>
      </c>
      <c r="G39" s="1682"/>
    </row>
    <row r="40" spans="1:9" ht="44.25" customHeight="1" thickTop="1" thickBot="1" x14ac:dyDescent="0.25">
      <c r="A40" s="1121">
        <v>4</v>
      </c>
      <c r="B40" s="1633" t="s">
        <v>10</v>
      </c>
      <c r="C40" s="1633"/>
      <c r="D40" s="1633"/>
      <c r="E40" s="1633"/>
      <c r="F40" s="1640" t="str">
        <f>Dados!P88</f>
        <v>Garçom de segunda a sexta-feira - 44 horas semanais</v>
      </c>
      <c r="G40" s="1640"/>
    </row>
    <row r="41" spans="1:9" ht="14.25" customHeight="1" thickTop="1" thickBot="1" x14ac:dyDescent="0.25">
      <c r="A41" s="1121">
        <v>5</v>
      </c>
      <c r="B41" s="1633" t="s">
        <v>11</v>
      </c>
      <c r="C41" s="1633"/>
      <c r="D41" s="1633"/>
      <c r="E41" s="1633"/>
      <c r="F41" s="1689" t="d">
        <f>VLOOKUP(F20,'CCT''S'!$A$7:$J$21,6,FALSE)</f>
        <v>2021-01-01</v>
      </c>
      <c r="G41" s="1690"/>
    </row>
    <row r="42" spans="1:9" ht="14.25" hidden="1" customHeight="1" thickTop="1" x14ac:dyDescent="0.2">
      <c r="A42" s="101" t="s">
        <v>726</v>
      </c>
      <c r="B42" s="129"/>
      <c r="C42" s="129"/>
      <c r="D42" s="129"/>
      <c r="E42" s="129"/>
      <c r="F42" s="103"/>
      <c r="G42" s="103"/>
    </row>
    <row r="43" spans="1:9" ht="14.25" hidden="1" customHeight="1" x14ac:dyDescent="0.2">
      <c r="A43" s="101" t="s">
        <v>727</v>
      </c>
      <c r="B43" s="129"/>
      <c r="C43" s="129"/>
      <c r="D43" s="129"/>
      <c r="E43" s="129"/>
      <c r="F43" s="103"/>
      <c r="G43" s="103"/>
    </row>
    <row r="44" spans="1:9" ht="14.25" customHeight="1" thickTop="1" x14ac:dyDescent="0.2">
      <c r="A44" s="98"/>
      <c r="B44" s="129"/>
      <c r="C44" s="129"/>
      <c r="D44" s="129"/>
      <c r="E44" s="129"/>
      <c r="F44" s="103"/>
      <c r="G44" s="103"/>
    </row>
    <row r="45" spans="1:9" s="576" customFormat="1" ht="15" thickBot="1" x14ac:dyDescent="0.25">
      <c r="A45" s="576" t="s">
        <v>30</v>
      </c>
    </row>
    <row r="46" spans="1:9" ht="18" customHeight="1" thickTop="1" thickBot="1" x14ac:dyDescent="0.25">
      <c r="A46" s="1131">
        <v>1</v>
      </c>
      <c r="B46" s="1672" t="s">
        <v>91</v>
      </c>
      <c r="C46" s="1673"/>
      <c r="D46" s="1673"/>
      <c r="E46" s="1674"/>
      <c r="F46" s="1125" t="s">
        <v>746</v>
      </c>
      <c r="G46" s="1131" t="s">
        <v>121</v>
      </c>
      <c r="H46" s="111"/>
      <c r="I46" s="111"/>
    </row>
    <row r="47" spans="1:9" ht="15.75" thickTop="1" thickBot="1" x14ac:dyDescent="0.25">
      <c r="A47" s="112" t="s">
        <v>1</v>
      </c>
      <c r="B47" s="1132" t="s">
        <v>674</v>
      </c>
      <c r="C47" s="1133"/>
      <c r="D47" s="1133"/>
      <c r="E47" s="1134"/>
      <c r="F47" s="115"/>
      <c r="G47" s="116">
        <f>$F$39*F14</f>
        <v>2492.25</v>
      </c>
      <c r="H47" s="111"/>
      <c r="I47" s="111"/>
    </row>
    <row r="48" spans="1:9" ht="15.75" thickTop="1" thickBot="1" x14ac:dyDescent="0.25">
      <c r="A48" s="112" t="s">
        <v>2</v>
      </c>
      <c r="B48" s="1132" t="str">
        <f>Dados!A36</f>
        <v xml:space="preserve">Adicional de Periculosidade </v>
      </c>
      <c r="C48" s="1133"/>
      <c r="D48" s="1133"/>
      <c r="E48" s="1134"/>
      <c r="F48" s="369">
        <f>Dados!G36</f>
        <v>0.3</v>
      </c>
      <c r="G48" s="117"/>
      <c r="H48" s="111"/>
      <c r="I48" s="111"/>
    </row>
    <row r="49" spans="1:9" ht="15.75" thickTop="1" thickBot="1" x14ac:dyDescent="0.25">
      <c r="A49" s="112" t="s">
        <v>4</v>
      </c>
      <c r="B49" s="1132" t="s">
        <v>908</v>
      </c>
      <c r="C49" s="1133"/>
      <c r="D49" s="1133"/>
      <c r="E49" s="1134"/>
      <c r="F49" s="369"/>
      <c r="G49" s="117"/>
      <c r="H49" s="111"/>
      <c r="I49" s="111"/>
    </row>
    <row r="50" spans="1:9" ht="15.75" thickTop="1" thickBot="1" x14ac:dyDescent="0.25">
      <c r="A50" s="112" t="s">
        <v>5</v>
      </c>
      <c r="B50" s="1132" t="s">
        <v>12</v>
      </c>
      <c r="C50" s="1133"/>
      <c r="D50" s="1133"/>
      <c r="E50" s="1134"/>
      <c r="F50" s="369">
        <f>Dados!G39</f>
        <v>0.2</v>
      </c>
      <c r="G50" s="117"/>
      <c r="H50" s="111"/>
      <c r="I50" s="111"/>
    </row>
    <row r="51" spans="1:9" ht="15.75" thickTop="1" thickBot="1" x14ac:dyDescent="0.25">
      <c r="A51" s="112" t="s">
        <v>6</v>
      </c>
      <c r="B51" s="1132" t="s">
        <v>728</v>
      </c>
      <c r="C51" s="1133"/>
      <c r="D51" s="1133"/>
      <c r="E51" s="1134"/>
      <c r="F51" s="369"/>
      <c r="G51" s="117"/>
      <c r="H51" s="111"/>
      <c r="I51" s="111"/>
    </row>
    <row r="52" spans="1:9" ht="15.75" thickTop="1" thickBot="1" x14ac:dyDescent="0.25">
      <c r="A52" s="112" t="s">
        <v>7</v>
      </c>
      <c r="B52" s="1132" t="s">
        <v>57</v>
      </c>
      <c r="C52" s="1133"/>
      <c r="D52" s="1133"/>
      <c r="E52" s="1134"/>
      <c r="F52" s="369"/>
      <c r="G52" s="117"/>
      <c r="H52" s="111"/>
      <c r="I52" s="111"/>
    </row>
    <row r="53" spans="1:9" ht="16.5" customHeight="1" thickTop="1" thickBot="1" x14ac:dyDescent="0.25">
      <c r="A53" s="1644" t="s">
        <v>232</v>
      </c>
      <c r="B53" s="1645"/>
      <c r="C53" s="1645"/>
      <c r="D53" s="1645"/>
      <c r="E53" s="1645"/>
      <c r="F53" s="1646"/>
      <c r="G53" s="119">
        <f>SUM(G47:G52)</f>
        <v>2492.25</v>
      </c>
      <c r="H53" s="111"/>
      <c r="I53" s="111"/>
    </row>
    <row r="54" spans="1:9" s="68" customFormat="1" ht="15" hidden="1" thickTop="1" x14ac:dyDescent="0.2">
      <c r="A54" s="101" t="s">
        <v>729</v>
      </c>
      <c r="B54" s="101"/>
      <c r="C54" s="101"/>
      <c r="D54" s="101"/>
      <c r="E54" s="101"/>
      <c r="F54" s="574"/>
      <c r="G54" s="575"/>
      <c r="H54" s="122"/>
      <c r="I54" s="122"/>
    </row>
    <row r="55" spans="1:9" s="68" customFormat="1" ht="14.25" hidden="1" customHeight="1" x14ac:dyDescent="0.2">
      <c r="A55" s="1618" t="s">
        <v>958</v>
      </c>
      <c r="B55" s="1618"/>
      <c r="C55" s="1618"/>
      <c r="D55" s="1618"/>
      <c r="E55" s="1618"/>
      <c r="F55" s="1618"/>
      <c r="G55" s="1618"/>
      <c r="H55" s="122"/>
      <c r="I55" s="122"/>
    </row>
    <row r="56" spans="1:9" s="68" customFormat="1" hidden="1" x14ac:dyDescent="0.2">
      <c r="A56" s="1618"/>
      <c r="B56" s="1618"/>
      <c r="C56" s="1618"/>
      <c r="D56" s="1618"/>
      <c r="E56" s="1618"/>
      <c r="F56" s="1618"/>
      <c r="G56" s="1618"/>
      <c r="H56" s="122"/>
      <c r="I56" s="122"/>
    </row>
    <row r="57" spans="1:9" s="68" customFormat="1" ht="15" thickTop="1" x14ac:dyDescent="0.2">
      <c r="A57" s="101"/>
      <c r="B57" s="101"/>
      <c r="C57" s="101"/>
      <c r="D57" s="101"/>
      <c r="E57" s="101"/>
      <c r="F57" s="574"/>
      <c r="G57" s="575"/>
      <c r="H57" s="122"/>
      <c r="I57" s="122"/>
    </row>
    <row r="58" spans="1:9" s="68" customFormat="1" x14ac:dyDescent="0.2">
      <c r="A58" s="1629" t="s">
        <v>730</v>
      </c>
      <c r="B58" s="1629"/>
      <c r="C58" s="1629"/>
      <c r="D58" s="1629"/>
      <c r="E58" s="1629"/>
      <c r="F58" s="1629"/>
      <c r="G58" s="1629"/>
      <c r="H58" s="122"/>
      <c r="I58" s="122"/>
    </row>
    <row r="59" spans="1:9" s="68" customFormat="1" ht="5.25" customHeight="1" x14ac:dyDescent="0.2">
      <c r="A59" s="101"/>
      <c r="B59" s="101"/>
      <c r="C59" s="101"/>
      <c r="D59" s="101"/>
      <c r="E59" s="101"/>
      <c r="F59" s="574"/>
      <c r="G59" s="575"/>
      <c r="H59" s="122"/>
      <c r="I59" s="122"/>
    </row>
    <row r="60" spans="1:9" s="68" customFormat="1" ht="15" thickBot="1" x14ac:dyDescent="0.25">
      <c r="A60" s="1632" t="s">
        <v>737</v>
      </c>
      <c r="B60" s="1632"/>
      <c r="C60" s="1632"/>
      <c r="D60" s="1632"/>
      <c r="E60" s="1632"/>
      <c r="F60" s="1632"/>
      <c r="G60" s="1632"/>
      <c r="H60" s="122"/>
      <c r="I60" s="122"/>
    </row>
    <row r="61" spans="1:9" s="68" customFormat="1" ht="15.75" thickTop="1" thickBot="1" x14ac:dyDescent="0.25">
      <c r="A61" s="1125" t="s">
        <v>732</v>
      </c>
      <c r="B61" s="1635" t="s">
        <v>747</v>
      </c>
      <c r="C61" s="1635"/>
      <c r="D61" s="1635"/>
      <c r="E61" s="1635"/>
      <c r="F61" s="1125" t="s">
        <v>746</v>
      </c>
      <c r="G61" s="1131" t="s">
        <v>121</v>
      </c>
      <c r="H61" s="122"/>
      <c r="I61" s="122"/>
    </row>
    <row r="62" spans="1:9" s="68" customFormat="1" ht="15.75" thickTop="1" thickBot="1" x14ac:dyDescent="0.25">
      <c r="A62" s="1121" t="s">
        <v>1</v>
      </c>
      <c r="B62" s="136" t="str">
        <f>Dados!B92</f>
        <v xml:space="preserve">13º (décimo terceiro) salário  </v>
      </c>
      <c r="C62" s="285"/>
      <c r="D62" s="137"/>
      <c r="E62" s="126"/>
      <c r="F62" s="138">
        <f>Dados!G92</f>
        <v>9.0899999999999995E-2</v>
      </c>
      <c r="G62" s="127">
        <f>F62*$G$53</f>
        <v>226.55</v>
      </c>
      <c r="H62" s="122"/>
      <c r="I62" s="122"/>
    </row>
    <row r="63" spans="1:9" s="68" customFormat="1" ht="15.75" thickTop="1" thickBot="1" x14ac:dyDescent="0.25">
      <c r="A63" s="1121" t="s">
        <v>2</v>
      </c>
      <c r="B63" s="1655" t="str">
        <f>Dados!B93</f>
        <v xml:space="preserve"> Férias e Adicional de Férias</v>
      </c>
      <c r="C63" s="1655"/>
      <c r="D63" s="1655"/>
      <c r="E63" s="1655"/>
      <c r="F63" s="138">
        <f>Dados!G93</f>
        <v>0.1212</v>
      </c>
      <c r="G63" s="127">
        <f>F63*$G$53</f>
        <v>302.06</v>
      </c>
      <c r="H63" s="122"/>
      <c r="I63" s="122"/>
    </row>
    <row r="64" spans="1:9" s="68" customFormat="1" ht="18.75" customHeight="1" thickTop="1" thickBot="1" x14ac:dyDescent="0.25">
      <c r="A64" s="1644" t="s">
        <v>232</v>
      </c>
      <c r="B64" s="1645"/>
      <c r="C64" s="1645"/>
      <c r="D64" s="1645"/>
      <c r="E64" s="1646"/>
      <c r="F64" s="139">
        <f>SUM(F62:F63)</f>
        <v>0.21210000000000001</v>
      </c>
      <c r="G64" s="133">
        <f>SUM(G62:G63)</f>
        <v>528.61</v>
      </c>
      <c r="H64" s="122"/>
      <c r="I64" s="623"/>
    </row>
    <row r="65" spans="1:9" s="68" customFormat="1" ht="15" hidden="1" customHeight="1" thickTop="1" x14ac:dyDescent="0.2">
      <c r="A65" s="1618" t="s">
        <v>736</v>
      </c>
      <c r="B65" s="1618"/>
      <c r="C65" s="1618"/>
      <c r="D65" s="1618"/>
      <c r="E65" s="1618"/>
      <c r="F65" s="1618"/>
      <c r="G65" s="1618"/>
      <c r="H65" s="122"/>
      <c r="I65" s="623"/>
    </row>
    <row r="66" spans="1:9" s="68" customFormat="1" hidden="1" x14ac:dyDescent="0.2">
      <c r="A66" s="1618"/>
      <c r="B66" s="1618"/>
      <c r="C66" s="1618"/>
      <c r="D66" s="1618"/>
      <c r="E66" s="1618"/>
      <c r="F66" s="1618"/>
      <c r="G66" s="1618"/>
      <c r="H66" s="122"/>
      <c r="I66" s="623"/>
    </row>
    <row r="67" spans="1:9" s="68" customFormat="1" ht="14.25" hidden="1" customHeight="1" x14ac:dyDescent="0.2">
      <c r="A67" s="1643" t="s">
        <v>934</v>
      </c>
      <c r="B67" s="1643"/>
      <c r="C67" s="1643"/>
      <c r="D67" s="1643"/>
      <c r="E67" s="1643"/>
      <c r="F67" s="1643"/>
      <c r="G67" s="1643"/>
      <c r="H67" s="122"/>
      <c r="I67" s="623"/>
    </row>
    <row r="68" spans="1:9" s="68" customFormat="1" hidden="1" x14ac:dyDescent="0.2">
      <c r="A68" s="1643"/>
      <c r="B68" s="1643"/>
      <c r="C68" s="1643"/>
      <c r="D68" s="1643"/>
      <c r="E68" s="1643"/>
      <c r="F68" s="1643"/>
      <c r="G68" s="1643"/>
      <c r="H68" s="122"/>
      <c r="I68" s="623"/>
    </row>
    <row r="69" spans="1:9" s="68" customFormat="1" ht="14.25" hidden="1" customHeight="1" x14ac:dyDescent="0.2">
      <c r="A69" s="1618" t="s">
        <v>916</v>
      </c>
      <c r="B69" s="1618"/>
      <c r="C69" s="1618"/>
      <c r="D69" s="1618"/>
      <c r="E69" s="1618"/>
      <c r="F69" s="1618"/>
      <c r="G69" s="1618"/>
      <c r="H69" s="122"/>
      <c r="I69" s="623"/>
    </row>
    <row r="70" spans="1:9" s="68" customFormat="1" hidden="1" x14ac:dyDescent="0.2">
      <c r="A70" s="1618"/>
      <c r="B70" s="1618"/>
      <c r="C70" s="1618"/>
      <c r="D70" s="1618"/>
      <c r="E70" s="1618"/>
      <c r="F70" s="1618"/>
      <c r="G70" s="1618"/>
      <c r="H70" s="122"/>
      <c r="I70" s="623"/>
    </row>
    <row r="71" spans="1:9" s="68" customFormat="1" hidden="1" x14ac:dyDescent="0.2">
      <c r="A71" s="1618"/>
      <c r="B71" s="1618"/>
      <c r="C71" s="1618"/>
      <c r="D71" s="1618"/>
      <c r="E71" s="1618"/>
      <c r="F71" s="1618"/>
      <c r="G71" s="1618"/>
      <c r="H71" s="122"/>
      <c r="I71" s="623"/>
    </row>
    <row r="72" spans="1:9" s="68" customFormat="1" ht="15.75" thickTop="1" thickBot="1" x14ac:dyDescent="0.25">
      <c r="A72" s="1122"/>
      <c r="B72" s="1122"/>
      <c r="C72" s="1122"/>
      <c r="D72" s="1122"/>
      <c r="E72" s="1122"/>
      <c r="F72" s="1122"/>
      <c r="G72" s="1122"/>
      <c r="H72" s="122"/>
      <c r="I72" s="623"/>
    </row>
    <row r="73" spans="1:9" s="68" customFormat="1" ht="15.75" customHeight="1" thickTop="1" thickBot="1" x14ac:dyDescent="0.25">
      <c r="A73" s="1652" t="s">
        <v>804</v>
      </c>
      <c r="B73" s="1653"/>
      <c r="C73" s="1653"/>
      <c r="D73" s="1653"/>
      <c r="E73" s="1653"/>
      <c r="F73" s="1654"/>
      <c r="G73" s="1131" t="s">
        <v>121</v>
      </c>
      <c r="H73" s="122"/>
      <c r="I73" s="623"/>
    </row>
    <row r="74" spans="1:9" s="68" customFormat="1" ht="15.75" thickTop="1" thickBot="1" x14ac:dyDescent="0.25">
      <c r="A74" s="1121">
        <v>1</v>
      </c>
      <c r="B74" s="136" t="str">
        <f>A45</f>
        <v>Módulo 1 - Composição da Remuneração</v>
      </c>
      <c r="C74" s="285"/>
      <c r="D74" s="137"/>
      <c r="E74" s="137"/>
      <c r="F74" s="582"/>
      <c r="G74" s="127">
        <f>G53</f>
        <v>2492.25</v>
      </c>
      <c r="H74" s="122"/>
      <c r="I74" s="623"/>
    </row>
    <row r="75" spans="1:9" s="68" customFormat="1" ht="15.75" thickTop="1" thickBot="1" x14ac:dyDescent="0.25">
      <c r="A75" s="1121" t="s">
        <v>732</v>
      </c>
      <c r="B75" s="136" t="str">
        <f>A60</f>
        <v>Submódulo 2.1 - 13º (décimo terceiro) Salário, Férias e Adicional de Férias</v>
      </c>
      <c r="C75" s="285"/>
      <c r="D75" s="137"/>
      <c r="E75" s="137"/>
      <c r="F75" s="582"/>
      <c r="G75" s="127">
        <f>G64</f>
        <v>528.61</v>
      </c>
      <c r="H75" s="122"/>
      <c r="I75" s="122"/>
    </row>
    <row r="76" spans="1:9" s="68" customFormat="1" ht="15.75" thickTop="1" thickBot="1" x14ac:dyDescent="0.25">
      <c r="A76" s="1686" t="s">
        <v>805</v>
      </c>
      <c r="B76" s="1687"/>
      <c r="C76" s="1687"/>
      <c r="D76" s="1687"/>
      <c r="E76" s="1687"/>
      <c r="F76" s="1688"/>
      <c r="G76" s="133">
        <f>SUM(G74:G75)</f>
        <v>3020.86</v>
      </c>
      <c r="H76" s="122"/>
      <c r="I76" s="122"/>
    </row>
    <row r="77" spans="1:9" s="68" customFormat="1" ht="15" thickTop="1" x14ac:dyDescent="0.2">
      <c r="A77" s="1122"/>
      <c r="B77" s="1122"/>
      <c r="C77" s="1122"/>
      <c r="D77" s="1122"/>
      <c r="E77" s="1122"/>
      <c r="F77" s="1122"/>
      <c r="G77" s="1122"/>
      <c r="H77" s="122"/>
      <c r="I77" s="122"/>
    </row>
    <row r="78" spans="1:9" ht="15" thickBot="1" x14ac:dyDescent="0.25">
      <c r="A78" s="134" t="s">
        <v>738</v>
      </c>
      <c r="B78" s="135"/>
      <c r="C78" s="135"/>
      <c r="D78" s="135"/>
      <c r="E78" s="135"/>
      <c r="F78" s="135"/>
      <c r="G78" s="135"/>
      <c r="H78" s="111"/>
      <c r="I78" s="111"/>
    </row>
    <row r="79" spans="1:9" ht="15.75" thickTop="1" thickBot="1" x14ac:dyDescent="0.25">
      <c r="A79" s="1125" t="s">
        <v>731</v>
      </c>
      <c r="B79" s="1635" t="s">
        <v>745</v>
      </c>
      <c r="C79" s="1635"/>
      <c r="D79" s="1635"/>
      <c r="E79" s="1635"/>
      <c r="F79" s="1125" t="s">
        <v>746</v>
      </c>
      <c r="G79" s="1131" t="s">
        <v>121</v>
      </c>
      <c r="H79" s="111"/>
      <c r="I79" s="111"/>
    </row>
    <row r="80" spans="1:9" ht="15.75" thickTop="1" thickBot="1" x14ac:dyDescent="0.25">
      <c r="A80" s="1121" t="s">
        <v>1</v>
      </c>
      <c r="B80" s="136" t="str">
        <f>Dados!B98</f>
        <v>INSS</v>
      </c>
      <c r="C80" s="285"/>
      <c r="D80" s="137"/>
      <c r="E80" s="126"/>
      <c r="F80" s="138">
        <f>Dados!G98</f>
        <v>0.2</v>
      </c>
      <c r="G80" s="127">
        <f t="shared" ref="G80:G87" si="0">$G$76*F80</f>
        <v>604.16999999999996</v>
      </c>
      <c r="H80" s="111"/>
      <c r="I80" s="111"/>
    </row>
    <row r="81" spans="1:9" ht="15.75" thickTop="1" thickBot="1" x14ac:dyDescent="0.25">
      <c r="A81" s="1121" t="s">
        <v>2</v>
      </c>
      <c r="B81" s="136" t="str">
        <f>Dados!B99</f>
        <v>Salário Educação</v>
      </c>
      <c r="C81" s="285"/>
      <c r="D81" s="137"/>
      <c r="E81" s="126"/>
      <c r="F81" s="138">
        <f>Dados!G99</f>
        <v>2.5000000000000001E-2</v>
      </c>
      <c r="G81" s="127">
        <f t="shared" si="0"/>
        <v>75.52</v>
      </c>
      <c r="H81" s="111"/>
      <c r="I81" s="111"/>
    </row>
    <row r="82" spans="1:9" ht="15.75" thickTop="1" thickBot="1" x14ac:dyDescent="0.25">
      <c r="A82" s="1121" t="s">
        <v>4</v>
      </c>
      <c r="B82" s="136" t="str">
        <f>Dados!B100</f>
        <v>Seguro Acidente do Trabalho - SAT = RAT x FAP</v>
      </c>
      <c r="C82" s="285"/>
      <c r="D82" s="137"/>
      <c r="E82" s="126"/>
      <c r="F82" s="138">
        <f>Dados!G100</f>
        <v>1.2200000000000001E-2</v>
      </c>
      <c r="G82" s="127">
        <f t="shared" si="0"/>
        <v>36.85</v>
      </c>
      <c r="H82" s="111"/>
      <c r="I82" s="111"/>
    </row>
    <row r="83" spans="1:9" ht="15.75" thickTop="1" thickBot="1" x14ac:dyDescent="0.25">
      <c r="A83" s="1121" t="s">
        <v>5</v>
      </c>
      <c r="B83" s="136" t="str">
        <f>Dados!B101</f>
        <v>SESI ou SESC</v>
      </c>
      <c r="C83" s="285"/>
      <c r="D83" s="137"/>
      <c r="E83" s="126"/>
      <c r="F83" s="138">
        <f>Dados!G101</f>
        <v>1.4999999999999999E-2</v>
      </c>
      <c r="G83" s="127">
        <f t="shared" si="0"/>
        <v>45.31</v>
      </c>
      <c r="H83" s="111"/>
      <c r="I83" s="111"/>
    </row>
    <row r="84" spans="1:9" ht="15.75" thickTop="1" thickBot="1" x14ac:dyDescent="0.25">
      <c r="A84" s="1121" t="s">
        <v>6</v>
      </c>
      <c r="B84" s="136" t="str">
        <f>Dados!B102</f>
        <v>SENAI ou SENAC</v>
      </c>
      <c r="C84" s="285"/>
      <c r="D84" s="137"/>
      <c r="E84" s="126"/>
      <c r="F84" s="138">
        <f>Dados!G102</f>
        <v>0.01</v>
      </c>
      <c r="G84" s="127">
        <f t="shared" si="0"/>
        <v>30.21</v>
      </c>
      <c r="H84" s="111"/>
      <c r="I84" s="111"/>
    </row>
    <row r="85" spans="1:9" ht="15.75" thickTop="1" thickBot="1" x14ac:dyDescent="0.25">
      <c r="A85" s="1121" t="s">
        <v>7</v>
      </c>
      <c r="B85" s="136" t="str">
        <f>Dados!B103</f>
        <v>SEBRAE</v>
      </c>
      <c r="C85" s="285"/>
      <c r="D85" s="137"/>
      <c r="E85" s="126"/>
      <c r="F85" s="138">
        <f>Dados!G103</f>
        <v>6.0000000000000001E-3</v>
      </c>
      <c r="G85" s="127">
        <f t="shared" si="0"/>
        <v>18.13</v>
      </c>
      <c r="H85" s="111"/>
      <c r="I85" s="111"/>
    </row>
    <row r="86" spans="1:9" ht="15.75" thickTop="1" thickBot="1" x14ac:dyDescent="0.25">
      <c r="A86" s="1121" t="s">
        <v>8</v>
      </c>
      <c r="B86" s="136" t="str">
        <f>Dados!B104</f>
        <v>INCRA</v>
      </c>
      <c r="C86" s="285"/>
      <c r="D86" s="137"/>
      <c r="E86" s="126"/>
      <c r="F86" s="138">
        <f>Dados!G104</f>
        <v>2E-3</v>
      </c>
      <c r="G86" s="127">
        <f t="shared" si="0"/>
        <v>6.04</v>
      </c>
      <c r="H86" s="111"/>
      <c r="I86" s="111"/>
    </row>
    <row r="87" spans="1:9" ht="15.75" thickTop="1" thickBot="1" x14ac:dyDescent="0.25">
      <c r="A87" s="1121" t="s">
        <v>9</v>
      </c>
      <c r="B87" s="136" t="str">
        <f>Dados!B105</f>
        <v>FGTS</v>
      </c>
      <c r="C87" s="285"/>
      <c r="D87" s="137"/>
      <c r="E87" s="126"/>
      <c r="F87" s="138">
        <f>Dados!G105</f>
        <v>0.08</v>
      </c>
      <c r="G87" s="127">
        <f t="shared" si="0"/>
        <v>241.67</v>
      </c>
      <c r="H87" s="111"/>
      <c r="I87" s="111"/>
    </row>
    <row r="88" spans="1:9" ht="15.75" customHeight="1" thickTop="1" thickBot="1" x14ac:dyDescent="0.25">
      <c r="A88" s="1644" t="s">
        <v>232</v>
      </c>
      <c r="B88" s="1645"/>
      <c r="C88" s="1645"/>
      <c r="D88" s="1645"/>
      <c r="E88" s="1646"/>
      <c r="F88" s="139">
        <f>SUM(F80:F87)</f>
        <v>0.35020000000000001</v>
      </c>
      <c r="G88" s="133">
        <f>SUM(G80:G87)</f>
        <v>1057.9000000000001</v>
      </c>
      <c r="H88" s="111"/>
      <c r="I88" s="625"/>
    </row>
    <row r="89" spans="1:9" ht="15" hidden="1" customHeight="1" thickTop="1" x14ac:dyDescent="0.2">
      <c r="A89" s="1618" t="s">
        <v>740</v>
      </c>
      <c r="B89" s="1618"/>
      <c r="C89" s="1618"/>
      <c r="D89" s="1618"/>
      <c r="E89" s="1618"/>
      <c r="F89" s="1618"/>
      <c r="G89" s="1618"/>
      <c r="H89" s="111"/>
      <c r="I89" s="111"/>
    </row>
    <row r="90" spans="1:9" ht="33" hidden="1" customHeight="1" x14ac:dyDescent="0.2">
      <c r="A90" s="1618" t="s">
        <v>739</v>
      </c>
      <c r="B90" s="1618"/>
      <c r="C90" s="1618"/>
      <c r="D90" s="1618"/>
      <c r="E90" s="1618"/>
      <c r="F90" s="1618"/>
      <c r="G90" s="1618"/>
      <c r="H90" s="111"/>
      <c r="I90" s="111"/>
    </row>
    <row r="91" spans="1:9" hidden="1" x14ac:dyDescent="0.2">
      <c r="A91" s="577" t="s">
        <v>917</v>
      </c>
      <c r="B91" s="1124"/>
      <c r="C91" s="1124"/>
      <c r="D91" s="1124"/>
      <c r="E91" s="1124"/>
      <c r="F91" s="1124"/>
      <c r="G91" s="1124"/>
      <c r="H91" s="111"/>
      <c r="I91" s="111"/>
    </row>
    <row r="92" spans="1:9" hidden="1" x14ac:dyDescent="0.2">
      <c r="A92" s="577" t="s">
        <v>803</v>
      </c>
      <c r="B92" s="1124"/>
      <c r="C92" s="1124"/>
      <c r="D92" s="1124"/>
      <c r="E92" s="1124"/>
      <c r="F92" s="1124"/>
      <c r="G92" s="1124"/>
      <c r="H92" s="111"/>
      <c r="I92" s="111"/>
    </row>
    <row r="93" spans="1:9" ht="15.75" thickTop="1" x14ac:dyDescent="0.2">
      <c r="A93" s="578"/>
      <c r="B93" s="1124"/>
      <c r="C93" s="1124"/>
      <c r="D93" s="1124"/>
      <c r="E93" s="1124"/>
      <c r="F93" s="1124"/>
      <c r="G93" s="1124"/>
      <c r="H93" s="111"/>
      <c r="I93" s="111"/>
    </row>
    <row r="94" spans="1:9" ht="15" thickBot="1" x14ac:dyDescent="0.25">
      <c r="A94" s="576" t="s">
        <v>741</v>
      </c>
      <c r="B94" s="1124"/>
      <c r="C94" s="1124"/>
      <c r="D94" s="1124"/>
      <c r="E94" s="1124"/>
      <c r="F94" s="1124"/>
      <c r="G94" s="1124"/>
      <c r="H94" s="111"/>
      <c r="I94" s="111"/>
    </row>
    <row r="95" spans="1:9" ht="15.75" thickTop="1" thickBot="1" x14ac:dyDescent="0.25">
      <c r="A95" s="1125" t="s">
        <v>742</v>
      </c>
      <c r="B95" s="1652" t="s">
        <v>26</v>
      </c>
      <c r="C95" s="1653"/>
      <c r="D95" s="1653"/>
      <c r="E95" s="1653"/>
      <c r="F95" s="1125" t="s">
        <v>746</v>
      </c>
      <c r="G95" s="1127" t="s">
        <v>121</v>
      </c>
      <c r="H95" s="111"/>
      <c r="I95" s="111"/>
    </row>
    <row r="96" spans="1:9" ht="15.75" thickTop="1" thickBot="1" x14ac:dyDescent="0.25">
      <c r="A96" s="1631" t="s">
        <v>1</v>
      </c>
      <c r="B96" s="1132" t="str">
        <f>HLOOKUP($F$20,BENEFÍCIOS!$B$25:$O$38,5,FALSE)</f>
        <v>Auxílio Transporte - Cláusula 15ª da CCT</v>
      </c>
      <c r="C96" s="1133"/>
      <c r="D96" s="566"/>
      <c r="E96" s="938">
        <f>INDEX(Dados!$J$27:$M$31,MATCH($C$26,Dados!$J$27:$J$31,0),4)</f>
        <v>22</v>
      </c>
      <c r="F96" s="939">
        <v>0</v>
      </c>
      <c r="G96" s="299">
        <f>$E$96*F96*$F$14</f>
        <v>0</v>
      </c>
      <c r="H96" s="111"/>
      <c r="I96" s="111"/>
    </row>
    <row r="97" spans="1:9" ht="15.75" thickTop="1" thickBot="1" x14ac:dyDescent="0.25">
      <c r="A97" s="1631"/>
      <c r="B97" s="1132" t="str">
        <f>Dados!A46</f>
        <v>Desconto Legal sobre o salário</v>
      </c>
      <c r="C97" s="1133"/>
      <c r="D97" s="566"/>
      <c r="E97" s="940"/>
      <c r="F97" s="937">
        <f>Dados!J46</f>
        <v>0.06</v>
      </c>
      <c r="G97" s="495">
        <f>-MIN(G96,(F97*G47))</f>
        <v>0</v>
      </c>
      <c r="H97" s="111"/>
      <c r="I97" s="111"/>
    </row>
    <row r="98" spans="1:9" ht="15.75" thickTop="1" thickBot="1" x14ac:dyDescent="0.25">
      <c r="A98" s="1675" t="s">
        <v>2</v>
      </c>
      <c r="B98" s="1132" t="str">
        <f>HLOOKUP($F$20,BENEFÍCIOS!$B$25:$O$38,2,FALSE)</f>
        <v>Auxílio Alimentação - Cláusula 14ª da CCT</v>
      </c>
      <c r="C98" s="1133"/>
      <c r="D98" s="566"/>
      <c r="E98" s="938">
        <f>INDEX(Dados!$J$27:$M$31,MATCH($C$26,Dados!$J$27:$J$31,0),4)</f>
        <v>22</v>
      </c>
      <c r="F98" s="939">
        <f>Dados!J48</f>
        <v>35</v>
      </c>
      <c r="G98" s="299">
        <f>(E98*F98)*$F$14</f>
        <v>770</v>
      </c>
      <c r="H98" s="111"/>
      <c r="I98" s="111"/>
    </row>
    <row r="99" spans="1:9" ht="15.75" hidden="1" thickTop="1" thickBot="1" x14ac:dyDescent="0.25">
      <c r="A99" s="1677"/>
      <c r="B99" s="1132" t="str">
        <f>HLOOKUP($F$20,BENEFÍCIOS!$B$25:$O$38,3,FALSE)</f>
        <v>Desconto do Auxílio Alimentação</v>
      </c>
      <c r="C99" s="132"/>
      <c r="D99" s="107"/>
      <c r="E99" s="296"/>
      <c r="F99" s="939">
        <f>Dados!J49</f>
        <v>0</v>
      </c>
      <c r="G99" s="300">
        <f>-F99*E98</f>
        <v>0</v>
      </c>
      <c r="H99" s="111"/>
      <c r="I99" s="111"/>
    </row>
    <row r="100" spans="1:9" ht="15.75" hidden="1" thickTop="1" thickBot="1" x14ac:dyDescent="0.25">
      <c r="A100" s="1121" t="s">
        <v>4</v>
      </c>
      <c r="B100" s="1132" t="str">
        <f>HLOOKUP($F$20,BENEFÍCIOS!$B$25:$O$38,4,FALSE)</f>
        <v>Auxílio Café da Manhã</v>
      </c>
      <c r="C100" s="132"/>
      <c r="D100" s="107"/>
      <c r="E100" s="296"/>
      <c r="F100" s="939">
        <f>Dados!J50</f>
        <v>0</v>
      </c>
      <c r="G100" s="300">
        <f t="shared" ref="G100:G109" si="1">F100*$F$14</f>
        <v>0</v>
      </c>
      <c r="H100" s="111"/>
      <c r="I100" s="111"/>
    </row>
    <row r="101" spans="1:9" ht="15.75" thickTop="1" thickBot="1" x14ac:dyDescent="0.25">
      <c r="A101" s="1678" t="s">
        <v>4</v>
      </c>
      <c r="B101" s="962" t="str">
        <f>HLOOKUP($F$20,BENEFÍCIOS!$B$25:$O$38,6,FALSE) &amp; " " &amp; "(Pagamento por ressarcimento)"</f>
        <v>Plano Ambulatorial - Cláusula 16ª da CCT (Pagamento por ressarcimento)</v>
      </c>
      <c r="C101" s="963"/>
      <c r="D101" s="964"/>
      <c r="E101" s="965"/>
      <c r="F101" s="966"/>
      <c r="G101" s="967">
        <f>F101*$F$14</f>
        <v>0</v>
      </c>
      <c r="H101" s="111"/>
      <c r="I101" s="111"/>
    </row>
    <row r="102" spans="1:9" ht="15.75" hidden="1" thickTop="1" thickBot="1" x14ac:dyDescent="0.25">
      <c r="A102" s="1679"/>
      <c r="B102" s="962" t="str">
        <f>HLOOKUP($F$20,BENEFÍCIOS!$B$25:$O$38,7,FALSE)</f>
        <v>Plano Ambulatorial - Contr. Empresa - Cláusula 16ª da CCT</v>
      </c>
      <c r="C102" s="963"/>
      <c r="D102" s="964"/>
      <c r="E102" s="965"/>
      <c r="F102" s="966">
        <f>Dados!J52</f>
        <v>0</v>
      </c>
      <c r="G102" s="967">
        <f>F102*$F$14</f>
        <v>0</v>
      </c>
      <c r="H102" s="111"/>
      <c r="I102" s="111"/>
    </row>
    <row r="103" spans="1:9" ht="15.75" hidden="1" thickTop="1" thickBot="1" x14ac:dyDescent="0.25">
      <c r="A103" s="1680"/>
      <c r="B103" s="962" t="str">
        <f>HLOOKUP($F$20,BENEFÍCIOS!$B$25:$O$38,8,FALSE)</f>
        <v>Plano Ambulatorial - Contr. Empregado - Cláusula 16ª da CCT</v>
      </c>
      <c r="C103" s="963"/>
      <c r="D103" s="964"/>
      <c r="E103" s="965"/>
      <c r="F103" s="966">
        <f>Dados!J53</f>
        <v>0</v>
      </c>
      <c r="G103" s="967">
        <f>-F103*$F$14</f>
        <v>0</v>
      </c>
      <c r="H103" s="111"/>
      <c r="I103" s="111"/>
    </row>
    <row r="104" spans="1:9" ht="15.75" thickTop="1" thickBot="1" x14ac:dyDescent="0.25">
      <c r="A104" s="1121" t="s">
        <v>5</v>
      </c>
      <c r="B104" s="1132" t="str">
        <f>HLOOKUP($F$20,BENEFÍCIOS!$B$25:$O$38,9,FALSE)</f>
        <v>Seguro de Vida e Assistência Funeral - Cláusula 18ª da CCT</v>
      </c>
      <c r="C104" s="132"/>
      <c r="D104" s="107"/>
      <c r="E104" s="296"/>
      <c r="F104" s="939">
        <f>Dados!J54</f>
        <v>2.2999999999999998</v>
      </c>
      <c r="G104" s="300">
        <f t="shared" si="1"/>
        <v>2.2999999999999998</v>
      </c>
      <c r="H104" s="111"/>
      <c r="I104" s="111"/>
    </row>
    <row r="105" spans="1:9" ht="15.75" thickTop="1" thickBot="1" x14ac:dyDescent="0.25">
      <c r="A105" s="1121" t="s">
        <v>6</v>
      </c>
      <c r="B105" s="1132" t="str">
        <f>HLOOKUP($F$20,BENEFÍCIOS!$B$25:$O$38,10,FALSE) &amp; " " &amp; "(Pagamento por ressarcimento)"</f>
        <v>Assistência Odontológica - Cláusula 17ª da CCT (Pagamento por ressarcimento)</v>
      </c>
      <c r="C105" s="132"/>
      <c r="D105" s="107"/>
      <c r="E105" s="296"/>
      <c r="F105" s="939"/>
      <c r="G105" s="300">
        <f t="shared" si="1"/>
        <v>0</v>
      </c>
      <c r="H105" s="111"/>
      <c r="I105" s="111"/>
    </row>
    <row r="106" spans="1:9" ht="15.75" hidden="1" thickTop="1" thickBot="1" x14ac:dyDescent="0.25">
      <c r="A106" s="1121" t="s">
        <v>8</v>
      </c>
      <c r="B106" s="1132" t="str">
        <f>HLOOKUP($F$20,BENEFÍCIOS!$B$25:$O$38,11,FALSE)</f>
        <v>Auxílio Lazer/Cultura</v>
      </c>
      <c r="C106" s="132"/>
      <c r="D106" s="107"/>
      <c r="E106" s="296"/>
      <c r="F106" s="939">
        <f>Dados!J56</f>
        <v>0</v>
      </c>
      <c r="G106" s="300">
        <f t="shared" si="1"/>
        <v>0</v>
      </c>
      <c r="H106" s="111"/>
      <c r="I106" s="111"/>
    </row>
    <row r="107" spans="1:9" ht="15.75" hidden="1" thickTop="1" thickBot="1" x14ac:dyDescent="0.25">
      <c r="A107" s="1121" t="s">
        <v>9</v>
      </c>
      <c r="B107" s="1132" t="str">
        <f>HLOOKUP($F$20,BENEFÍCIOS!$B$25:$O$38,12,FALSE)</f>
        <v>Treinamento/capacitação/reciclagem - Cláusula 30ª da CCT</v>
      </c>
      <c r="C107" s="132"/>
      <c r="D107" s="107"/>
      <c r="E107" s="296"/>
      <c r="F107" s="939">
        <f>Dados!J57</f>
        <v>0</v>
      </c>
      <c r="G107" s="300">
        <f t="shared" si="1"/>
        <v>0</v>
      </c>
      <c r="H107" s="111"/>
      <c r="I107" s="111"/>
    </row>
    <row r="108" spans="1:9" ht="15.75" hidden="1" thickTop="1" thickBot="1" x14ac:dyDescent="0.25">
      <c r="A108" s="1121" t="s">
        <v>160</v>
      </c>
      <c r="B108" s="1132" t="str">
        <f>HLOOKUP($F$20,BENEFÍCIOS!$B$25:$O$38,13,FALSE)</f>
        <v>Contribuição Assistencial Patronal - Cláusula 61ª da CCT</v>
      </c>
      <c r="C108" s="132"/>
      <c r="D108" s="107"/>
      <c r="E108" s="296"/>
      <c r="F108" s="939">
        <f>Dados!J58</f>
        <v>0</v>
      </c>
      <c r="G108" s="300">
        <f t="shared" si="1"/>
        <v>0</v>
      </c>
      <c r="H108" s="111"/>
      <c r="I108" s="111"/>
    </row>
    <row r="109" spans="1:9" ht="15.75" hidden="1" thickTop="1" thickBot="1" x14ac:dyDescent="0.25">
      <c r="A109" s="1121" t="s">
        <v>627</v>
      </c>
      <c r="B109" s="1132" t="str">
        <f>HLOOKUP($F$20,BENEFÍCIOS!$B$25:$O$38,14,FALSE)</f>
        <v>Auxílio Creche</v>
      </c>
      <c r="C109" s="132"/>
      <c r="D109" s="107"/>
      <c r="E109" s="296"/>
      <c r="F109" s="939">
        <f>Dados!J59</f>
        <v>0</v>
      </c>
      <c r="G109" s="300">
        <f t="shared" si="1"/>
        <v>0</v>
      </c>
      <c r="H109" s="111"/>
      <c r="I109" s="111"/>
    </row>
    <row r="110" spans="1:9" ht="15.75" thickTop="1" thickBot="1" x14ac:dyDescent="0.25">
      <c r="A110" s="1121" t="s">
        <v>7</v>
      </c>
      <c r="B110" s="125" t="s">
        <v>57</v>
      </c>
      <c r="C110" s="132"/>
      <c r="D110" s="107"/>
      <c r="E110" s="296"/>
      <c r="F110" s="939"/>
      <c r="G110" s="301"/>
      <c r="H110" s="111"/>
      <c r="I110" s="111"/>
    </row>
    <row r="111" spans="1:9" ht="18" customHeight="1" thickTop="1" thickBot="1" x14ac:dyDescent="0.25">
      <c r="A111" s="1686" t="s">
        <v>232</v>
      </c>
      <c r="B111" s="1687"/>
      <c r="C111" s="1687"/>
      <c r="D111" s="1687"/>
      <c r="E111" s="1687"/>
      <c r="F111" s="1688"/>
      <c r="G111" s="302">
        <f>SUM(G96,G97,G98,G99,G100,G101,G103,G104,G105,G106,G107,G108,G109,)</f>
        <v>772.3</v>
      </c>
      <c r="H111" s="624"/>
      <c r="I111" s="624"/>
    </row>
    <row r="112" spans="1:9" s="68" customFormat="1" ht="15" hidden="1" customHeight="1" thickTop="1" x14ac:dyDescent="0.2">
      <c r="A112" s="101" t="s">
        <v>744</v>
      </c>
      <c r="B112" s="99"/>
      <c r="C112" s="99"/>
      <c r="D112" s="99"/>
      <c r="E112" s="99"/>
      <c r="F112" s="120"/>
      <c r="G112" s="121"/>
      <c r="H112" s="122"/>
      <c r="I112" s="122"/>
    </row>
    <row r="113" spans="1:10" s="68" customFormat="1" hidden="1" x14ac:dyDescent="0.2">
      <c r="A113" s="1618" t="s">
        <v>743</v>
      </c>
      <c r="B113" s="1618"/>
      <c r="C113" s="1618"/>
      <c r="D113" s="1618"/>
      <c r="E113" s="1618"/>
      <c r="F113" s="1618"/>
      <c r="G113" s="1618"/>
      <c r="H113" s="122"/>
      <c r="I113" s="122"/>
    </row>
    <row r="114" spans="1:10" s="68" customFormat="1" hidden="1" x14ac:dyDescent="0.2">
      <c r="A114" s="1618"/>
      <c r="B114" s="1618"/>
      <c r="C114" s="1618"/>
      <c r="D114" s="1618"/>
      <c r="E114" s="1618"/>
      <c r="F114" s="1618"/>
      <c r="G114" s="1618"/>
      <c r="H114" s="122"/>
      <c r="I114" s="122"/>
    </row>
    <row r="115" spans="1:10" s="68" customFormat="1" ht="15" thickTop="1" x14ac:dyDescent="0.2">
      <c r="A115" s="98"/>
      <c r="B115" s="99"/>
      <c r="C115" s="99"/>
      <c r="D115" s="99"/>
      <c r="E115" s="99"/>
      <c r="F115" s="120"/>
      <c r="G115" s="121"/>
      <c r="H115" s="122"/>
      <c r="I115" s="122"/>
    </row>
    <row r="116" spans="1:10" s="68" customFormat="1" ht="15" thickBot="1" x14ac:dyDescent="0.25">
      <c r="A116" s="576" t="s">
        <v>748</v>
      </c>
      <c r="B116" s="99"/>
      <c r="C116" s="99"/>
      <c r="D116" s="99"/>
      <c r="E116" s="99"/>
      <c r="F116" s="120"/>
      <c r="G116" s="121"/>
      <c r="H116" s="122"/>
      <c r="I116" s="122"/>
    </row>
    <row r="117" spans="1:10" s="68" customFormat="1" ht="15.75" thickTop="1" thickBot="1" x14ac:dyDescent="0.25">
      <c r="A117" s="1131">
        <v>2</v>
      </c>
      <c r="B117" s="1672" t="s">
        <v>749</v>
      </c>
      <c r="C117" s="1673"/>
      <c r="D117" s="1673"/>
      <c r="E117" s="1673"/>
      <c r="F117" s="1674"/>
      <c r="G117" s="1131" t="s">
        <v>121</v>
      </c>
      <c r="H117" s="122"/>
      <c r="I117" s="122"/>
    </row>
    <row r="118" spans="1:10" s="68" customFormat="1" ht="15.75" thickTop="1" thickBot="1" x14ac:dyDescent="0.25">
      <c r="A118" s="112" t="s">
        <v>732</v>
      </c>
      <c r="B118" s="1132" t="str">
        <f>B61</f>
        <v>13º (décimo terceiro) Salário, Férias e Adicional de Férias</v>
      </c>
      <c r="C118" s="131"/>
      <c r="D118" s="131"/>
      <c r="E118" s="131"/>
      <c r="F118" s="288"/>
      <c r="G118" s="123">
        <f>G64</f>
        <v>528.61</v>
      </c>
      <c r="H118" s="122"/>
      <c r="I118" s="122"/>
    </row>
    <row r="119" spans="1:10" s="68" customFormat="1" ht="15.75" thickTop="1" thickBot="1" x14ac:dyDescent="0.25">
      <c r="A119" s="112" t="s">
        <v>731</v>
      </c>
      <c r="B119" s="1132" t="str">
        <f>B79</f>
        <v>GPS, FGTS e outras contribuições</v>
      </c>
      <c r="C119" s="131"/>
      <c r="D119" s="131"/>
      <c r="E119" s="131"/>
      <c r="F119" s="288"/>
      <c r="G119" s="123">
        <f>G88</f>
        <v>1057.9000000000001</v>
      </c>
      <c r="H119" s="122"/>
      <c r="I119" s="122"/>
    </row>
    <row r="120" spans="1:10" s="68" customFormat="1" ht="15.75" thickTop="1" thickBot="1" x14ac:dyDescent="0.25">
      <c r="A120" s="112" t="s">
        <v>742</v>
      </c>
      <c r="B120" s="1132" t="str">
        <f>B95</f>
        <v>Benefícios Mensais e Diários</v>
      </c>
      <c r="C120" s="131"/>
      <c r="D120" s="131"/>
      <c r="E120" s="131"/>
      <c r="F120" s="288"/>
      <c r="G120" s="123">
        <f>G111</f>
        <v>772.3</v>
      </c>
      <c r="H120" s="122"/>
      <c r="I120" s="122"/>
    </row>
    <row r="121" spans="1:10" s="68" customFormat="1" ht="15.75" thickTop="1" thickBot="1" x14ac:dyDescent="0.25">
      <c r="A121" s="1644" t="s">
        <v>232</v>
      </c>
      <c r="B121" s="1645"/>
      <c r="C121" s="1645"/>
      <c r="D121" s="1645"/>
      <c r="E121" s="1645"/>
      <c r="F121" s="1646"/>
      <c r="G121" s="133">
        <f>SUM(G118:G120)</f>
        <v>2358.81</v>
      </c>
      <c r="H121" s="122"/>
      <c r="I121" s="622"/>
      <c r="J121" s="620"/>
    </row>
    <row r="122" spans="1:10" s="68" customFormat="1" ht="15" thickTop="1" x14ac:dyDescent="0.2">
      <c r="A122" s="101"/>
      <c r="B122" s="101"/>
      <c r="C122" s="101"/>
      <c r="D122" s="101"/>
      <c r="E122" s="101"/>
      <c r="F122" s="574"/>
      <c r="G122" s="575"/>
      <c r="H122" s="122"/>
      <c r="I122" s="122"/>
    </row>
    <row r="123" spans="1:10" s="68" customFormat="1" ht="15" thickBot="1" x14ac:dyDescent="0.25">
      <c r="A123" s="1629" t="s">
        <v>750</v>
      </c>
      <c r="B123" s="1629"/>
      <c r="C123" s="1629"/>
      <c r="D123" s="1629"/>
      <c r="E123" s="1629"/>
      <c r="F123" s="1629"/>
      <c r="G123" s="1629"/>
      <c r="H123" s="122"/>
      <c r="I123" s="122"/>
    </row>
    <row r="124" spans="1:10" s="68" customFormat="1" ht="15.75" thickTop="1" thickBot="1" x14ac:dyDescent="0.25">
      <c r="A124" s="1125">
        <v>3</v>
      </c>
      <c r="B124" s="1652" t="s">
        <v>99</v>
      </c>
      <c r="C124" s="1653"/>
      <c r="D124" s="1653"/>
      <c r="E124" s="1654"/>
      <c r="F124" s="1125" t="s">
        <v>746</v>
      </c>
      <c r="G124" s="1131" t="s">
        <v>121</v>
      </c>
      <c r="H124" s="122"/>
      <c r="I124" s="122"/>
    </row>
    <row r="125" spans="1:10" s="68" customFormat="1" ht="15.75" thickTop="1" thickBot="1" x14ac:dyDescent="0.25">
      <c r="A125" s="1121" t="s">
        <v>1</v>
      </c>
      <c r="B125" s="136" t="str">
        <f>Dados!B111</f>
        <v>Aviso Prévio Indenizado </v>
      </c>
      <c r="C125" s="285"/>
      <c r="D125" s="137"/>
      <c r="E125" s="126"/>
      <c r="F125" s="138">
        <f>Dados!G111</f>
        <v>2.5000000000000001E-3</v>
      </c>
      <c r="G125" s="127">
        <f>F125*$G$53</f>
        <v>6.23</v>
      </c>
      <c r="H125" s="122"/>
      <c r="I125" s="122"/>
    </row>
    <row r="126" spans="1:10" s="68" customFormat="1" ht="15.75" thickTop="1" thickBot="1" x14ac:dyDescent="0.25">
      <c r="A126" s="1121" t="s">
        <v>2</v>
      </c>
      <c r="B126" s="136" t="str">
        <f>Dados!B112</f>
        <v>Incidência do FGTS sobre aviso prévio indenizado</v>
      </c>
      <c r="C126" s="285"/>
      <c r="D126" s="137"/>
      <c r="E126" s="126"/>
      <c r="F126" s="138">
        <f>Dados!G112</f>
        <v>2.0000000000000001E-4</v>
      </c>
      <c r="G126" s="127">
        <f t="shared" ref="G126:G130" si="2">F126*$G$53</f>
        <v>0.5</v>
      </c>
      <c r="H126" s="122"/>
      <c r="I126" s="122"/>
    </row>
    <row r="127" spans="1:10" s="68" customFormat="1" ht="15.75" thickTop="1" thickBot="1" x14ac:dyDescent="0.25">
      <c r="A127" s="1121" t="s">
        <v>4</v>
      </c>
      <c r="B127" s="136" t="str">
        <f>Dados!B113</f>
        <v>Multa do FGTS e contribuição social sobre o Aviso Prévio Indenizado</v>
      </c>
      <c r="C127" s="285"/>
      <c r="D127" s="137"/>
      <c r="E127" s="126"/>
      <c r="F127" s="138">
        <f>Dados!G113</f>
        <v>0</v>
      </c>
      <c r="G127" s="127">
        <f t="shared" si="2"/>
        <v>0</v>
      </c>
      <c r="H127" s="122"/>
      <c r="I127" s="122"/>
    </row>
    <row r="128" spans="1:10" s="68" customFormat="1" ht="15.75" thickTop="1" thickBot="1" x14ac:dyDescent="0.25">
      <c r="A128" s="1121" t="s">
        <v>5</v>
      </c>
      <c r="B128" s="136" t="str">
        <f>Dados!B114</f>
        <v>Aviso Prévio Trabalhado</v>
      </c>
      <c r="C128" s="285"/>
      <c r="D128" s="137"/>
      <c r="E128" s="126"/>
      <c r="F128" s="138">
        <f>Dados!G114</f>
        <v>1.9400000000000001E-2</v>
      </c>
      <c r="G128" s="127">
        <f t="shared" si="2"/>
        <v>48.35</v>
      </c>
      <c r="H128" s="122"/>
      <c r="I128" s="122"/>
    </row>
    <row r="129" spans="1:13" s="68" customFormat="1" ht="15.75" thickTop="1" thickBot="1" x14ac:dyDescent="0.25">
      <c r="A129" s="1121" t="s">
        <v>6</v>
      </c>
      <c r="B129" s="136" t="str">
        <f>Dados!B115</f>
        <v>Incidência de GPS, FGTS e outras contribuições sobre o aviso prévio trabalhado</v>
      </c>
      <c r="C129" s="285"/>
      <c r="D129" s="137"/>
      <c r="E129" s="126"/>
      <c r="F129" s="138">
        <f>Dados!G115</f>
        <v>6.7999999999999996E-3</v>
      </c>
      <c r="G129" s="127">
        <f t="shared" si="2"/>
        <v>16.95</v>
      </c>
      <c r="H129" s="122"/>
      <c r="I129" s="122"/>
    </row>
    <row r="130" spans="1:13" s="68" customFormat="1" ht="15.75" thickTop="1" thickBot="1" x14ac:dyDescent="0.25">
      <c r="A130" s="1121" t="s">
        <v>7</v>
      </c>
      <c r="B130" s="136" t="str">
        <f>Dados!B116</f>
        <v>Multa do FGTS e contribuição social sobre o Aviso Prévio Trabalhado</v>
      </c>
      <c r="C130" s="285"/>
      <c r="D130" s="137"/>
      <c r="E130" s="126"/>
      <c r="F130" s="138">
        <f>Dados!G116</f>
        <v>1E-4</v>
      </c>
      <c r="G130" s="127">
        <f t="shared" si="2"/>
        <v>0.25</v>
      </c>
      <c r="H130" s="122"/>
      <c r="I130" s="122"/>
    </row>
    <row r="131" spans="1:13" s="68" customFormat="1" ht="15.75" thickTop="1" thickBot="1" x14ac:dyDescent="0.25">
      <c r="A131" s="1157" t="s">
        <v>7</v>
      </c>
      <c r="B131" s="136" t="str">
        <f>Dados!B117</f>
        <v>Multa do FGTS</v>
      </c>
      <c r="C131" s="285"/>
      <c r="D131" s="137"/>
      <c r="E131" s="126"/>
      <c r="F131" s="138">
        <f>Dados!G117</f>
        <v>3.49E-2</v>
      </c>
      <c r="G131" s="127">
        <f t="shared" ref="G131" si="3">F131*$G$53</f>
        <v>86.98</v>
      </c>
      <c r="H131" s="122"/>
      <c r="I131" s="122"/>
    </row>
    <row r="132" spans="1:13" s="68" customFormat="1" ht="15.75" thickTop="1" thickBot="1" x14ac:dyDescent="0.25">
      <c r="A132" s="1644" t="s">
        <v>232</v>
      </c>
      <c r="B132" s="1645"/>
      <c r="C132" s="1645"/>
      <c r="D132" s="1645"/>
      <c r="E132" s="1646"/>
      <c r="F132" s="139">
        <f>SUM(F125:F131)</f>
        <v>6.3899999999999998E-2</v>
      </c>
      <c r="G132" s="133">
        <f>SUM(G125:G131)</f>
        <v>159.26</v>
      </c>
      <c r="H132" s="122"/>
      <c r="I132" s="618"/>
    </row>
    <row r="133" spans="1:13" s="68" customFormat="1" ht="15" thickTop="1" x14ac:dyDescent="0.2">
      <c r="A133" s="129"/>
      <c r="B133" s="129"/>
      <c r="C133" s="129"/>
      <c r="D133" s="129"/>
      <c r="E133" s="129"/>
      <c r="F133" s="120"/>
      <c r="G133" s="140"/>
      <c r="H133" s="122"/>
      <c r="I133" s="122"/>
    </row>
    <row r="134" spans="1:13" s="68" customFormat="1" x14ac:dyDescent="0.2">
      <c r="A134" s="1629" t="s">
        <v>751</v>
      </c>
      <c r="B134" s="1629"/>
      <c r="C134" s="1629"/>
      <c r="D134" s="1629"/>
      <c r="E134" s="1629"/>
      <c r="F134" s="1629"/>
      <c r="G134" s="1629"/>
      <c r="H134" s="122"/>
      <c r="I134" s="122"/>
    </row>
    <row r="135" spans="1:13" s="68" customFormat="1" ht="14.25" hidden="1" customHeight="1" x14ac:dyDescent="0.2">
      <c r="A135" s="1618" t="s">
        <v>919</v>
      </c>
      <c r="B135" s="1618"/>
      <c r="C135" s="1618"/>
      <c r="D135" s="1618"/>
      <c r="E135" s="1618"/>
      <c r="F135" s="1618"/>
      <c r="G135" s="1618"/>
      <c r="H135" s="122"/>
      <c r="I135" s="122"/>
    </row>
    <row r="136" spans="1:13" s="68" customFormat="1" hidden="1" x14ac:dyDescent="0.2">
      <c r="A136" s="1618"/>
      <c r="B136" s="1618"/>
      <c r="C136" s="1618"/>
      <c r="D136" s="1618"/>
      <c r="E136" s="1618"/>
      <c r="F136" s="1618"/>
      <c r="G136" s="1618"/>
      <c r="H136" s="122"/>
      <c r="I136" s="122"/>
    </row>
    <row r="137" spans="1:13" s="68" customFormat="1" hidden="1" x14ac:dyDescent="0.2">
      <c r="A137" s="101" t="s">
        <v>935</v>
      </c>
      <c r="B137" s="1124"/>
      <c r="C137" s="1124"/>
      <c r="D137" s="1124"/>
      <c r="E137" s="1124"/>
      <c r="F137" s="1124"/>
      <c r="G137" s="1124"/>
      <c r="H137" s="122"/>
      <c r="I137" s="122"/>
    </row>
    <row r="138" spans="1:13" s="68" customFormat="1" ht="15" thickBot="1" x14ac:dyDescent="0.25">
      <c r="A138" s="576" t="s">
        <v>929</v>
      </c>
      <c r="B138" s="1124"/>
      <c r="C138" s="1124"/>
      <c r="D138" s="1124"/>
      <c r="E138" s="785"/>
      <c r="F138" s="1124"/>
      <c r="G138" s="1124"/>
      <c r="H138" s="762"/>
      <c r="I138" s="629"/>
      <c r="J138" s="620"/>
    </row>
    <row r="139" spans="1:13" s="68" customFormat="1" ht="15.75" thickTop="1" thickBot="1" x14ac:dyDescent="0.25">
      <c r="A139" s="1125" t="s">
        <v>48</v>
      </c>
      <c r="B139" s="1652" t="s">
        <v>930</v>
      </c>
      <c r="C139" s="1653"/>
      <c r="D139" s="1653"/>
      <c r="E139" s="1654"/>
      <c r="F139" s="1125" t="s">
        <v>746</v>
      </c>
      <c r="G139" s="1131" t="s">
        <v>121</v>
      </c>
      <c r="H139" s="763"/>
      <c r="I139" s="623"/>
      <c r="J139" s="626"/>
      <c r="K139" s="626"/>
      <c r="L139" s="621"/>
    </row>
    <row r="140" spans="1:13" s="68" customFormat="1" ht="15.75" thickTop="1" thickBot="1" x14ac:dyDescent="0.25">
      <c r="A140" s="1121" t="s">
        <v>1</v>
      </c>
      <c r="B140" s="136" t="str">
        <f>Dados!B122</f>
        <v>Substituto na cobertura de Férias</v>
      </c>
      <c r="C140" s="285"/>
      <c r="D140" s="137"/>
      <c r="E140" s="285"/>
      <c r="F140" s="138">
        <f>Dados!G122</f>
        <v>7.6E-3</v>
      </c>
      <c r="G140" s="127">
        <f>$G$53*F140</f>
        <v>18.940000000000001</v>
      </c>
      <c r="H140" s="764"/>
      <c r="I140" s="626"/>
      <c r="J140" s="626"/>
      <c r="K140" s="619"/>
      <c r="L140" s="619"/>
      <c r="M140" s="626"/>
    </row>
    <row r="141" spans="1:13" s="68" customFormat="1" ht="15.75" thickTop="1" thickBot="1" x14ac:dyDescent="0.25">
      <c r="A141" s="1121" t="s">
        <v>2</v>
      </c>
      <c r="B141" s="136" t="str">
        <f>Dados!B123</f>
        <v>Substituto na cobertura de Ausências Legais</v>
      </c>
      <c r="C141" s="285"/>
      <c r="D141" s="137"/>
      <c r="E141" s="285"/>
      <c r="F141" s="138">
        <f>Dados!G123</f>
        <v>1E-4</v>
      </c>
      <c r="G141" s="127">
        <f t="shared" ref="G141:G145" si="4">$G$53*F141</f>
        <v>0.25</v>
      </c>
      <c r="H141" s="765"/>
      <c r="K141" s="626"/>
      <c r="M141" s="626"/>
    </row>
    <row r="142" spans="1:13" s="68" customFormat="1" ht="15.75" thickTop="1" thickBot="1" x14ac:dyDescent="0.25">
      <c r="A142" s="1121" t="s">
        <v>4</v>
      </c>
      <c r="B142" s="136" t="str">
        <f>Dados!B124</f>
        <v>Substituto na cobertura de Licença-Paternidade</v>
      </c>
      <c r="C142" s="285"/>
      <c r="D142" s="137"/>
      <c r="E142" s="285"/>
      <c r="F142" s="138">
        <f>Dados!G124</f>
        <v>1E-4</v>
      </c>
      <c r="G142" s="127">
        <f t="shared" si="4"/>
        <v>0.25</v>
      </c>
      <c r="H142" s="764"/>
      <c r="J142" s="619"/>
      <c r="K142" s="626"/>
      <c r="M142" s="626"/>
    </row>
    <row r="143" spans="1:13" s="68" customFormat="1" ht="15.75" thickTop="1" thickBot="1" x14ac:dyDescent="0.25">
      <c r="A143" s="1121" t="s">
        <v>5</v>
      </c>
      <c r="B143" s="136" t="str">
        <f>Dados!B125</f>
        <v>Substituto na cobertura de Ausência por acidente de trabalho</v>
      </c>
      <c r="C143" s="285"/>
      <c r="D143" s="137"/>
      <c r="E143" s="285"/>
      <c r="F143" s="138">
        <f>Dados!G125</f>
        <v>1E-4</v>
      </c>
      <c r="G143" s="127">
        <f t="shared" si="4"/>
        <v>0.25</v>
      </c>
      <c r="H143" s="764"/>
      <c r="K143" s="626"/>
      <c r="M143" s="626"/>
    </row>
    <row r="144" spans="1:13" s="68" customFormat="1" ht="15.75" thickTop="1" thickBot="1" x14ac:dyDescent="0.25">
      <c r="A144" s="1121" t="s">
        <v>6</v>
      </c>
      <c r="B144" s="136" t="str">
        <f>Dados!B126</f>
        <v>Substituto na cobertura de Afastamento Maternidade</v>
      </c>
      <c r="C144" s="285"/>
      <c r="D144" s="137"/>
      <c r="E144" s="285"/>
      <c r="F144" s="138">
        <f>Dados!G126</f>
        <v>1E-4</v>
      </c>
      <c r="G144" s="127">
        <f t="shared" si="4"/>
        <v>0.25</v>
      </c>
      <c r="H144" s="764"/>
      <c r="K144" s="626"/>
      <c r="M144" s="626"/>
    </row>
    <row r="145" spans="1:13" s="68" customFormat="1" ht="15.75" thickTop="1" thickBot="1" x14ac:dyDescent="0.25">
      <c r="A145" s="1121" t="s">
        <v>7</v>
      </c>
      <c r="B145" s="136" t="str">
        <f>Dados!B127</f>
        <v>Substituto na cobertura de outras ausências (licença por doença)</v>
      </c>
      <c r="C145" s="285"/>
      <c r="D145" s="137"/>
      <c r="E145" s="285"/>
      <c r="F145" s="138">
        <f>Dados!G127</f>
        <v>0</v>
      </c>
      <c r="G145" s="127">
        <f t="shared" si="4"/>
        <v>0</v>
      </c>
      <c r="H145" s="764"/>
      <c r="K145" s="626"/>
      <c r="M145" s="627"/>
    </row>
    <row r="146" spans="1:13" s="68" customFormat="1" ht="15.75" customHeight="1" thickTop="1" thickBot="1" x14ac:dyDescent="0.25">
      <c r="A146" s="1644" t="s">
        <v>232</v>
      </c>
      <c r="B146" s="1645"/>
      <c r="C146" s="1645"/>
      <c r="D146" s="1645"/>
      <c r="E146" s="1646"/>
      <c r="F146" s="139">
        <f>SUM(F140:F145)</f>
        <v>8.0000000000000002E-3</v>
      </c>
      <c r="G146" s="128">
        <f>SUM(G140:G145)</f>
        <v>19.940000000000001</v>
      </c>
      <c r="H146" s="766"/>
      <c r="I146" s="619"/>
      <c r="J146" s="620"/>
      <c r="K146" s="619"/>
    </row>
    <row r="147" spans="1:13" s="68" customFormat="1" ht="15" hidden="1" customHeight="1" thickTop="1" x14ac:dyDescent="0.2">
      <c r="A147" s="1618" t="s">
        <v>936</v>
      </c>
      <c r="B147" s="1618"/>
      <c r="C147" s="1618"/>
      <c r="D147" s="1618"/>
      <c r="E147" s="1618"/>
      <c r="F147" s="1618"/>
      <c r="G147" s="1618"/>
      <c r="H147" s="122"/>
      <c r="I147" s="122"/>
    </row>
    <row r="148" spans="1:13" s="68" customFormat="1" hidden="1" x14ac:dyDescent="0.2">
      <c r="A148" s="1618"/>
      <c r="B148" s="1618"/>
      <c r="C148" s="1618"/>
      <c r="D148" s="1618"/>
      <c r="E148" s="1618"/>
      <c r="F148" s="1618"/>
      <c r="G148" s="1618"/>
      <c r="H148" s="122"/>
      <c r="I148" s="617"/>
      <c r="J148" s="617"/>
      <c r="K148" s="617"/>
    </row>
    <row r="149" spans="1:13" s="68" customFormat="1" ht="15" thickTop="1" x14ac:dyDescent="0.2">
      <c r="A149" s="1122"/>
      <c r="B149" s="1122"/>
      <c r="C149" s="1122"/>
      <c r="D149" s="1122"/>
      <c r="E149" s="1122"/>
      <c r="F149" s="1122"/>
      <c r="G149" s="1122"/>
      <c r="H149" s="122"/>
      <c r="I149" s="122"/>
    </row>
    <row r="150" spans="1:13" s="68" customFormat="1" ht="15" thickBot="1" x14ac:dyDescent="0.25">
      <c r="A150" s="210" t="s">
        <v>926</v>
      </c>
      <c r="B150" s="1124"/>
      <c r="C150" s="1124"/>
      <c r="D150" s="1124"/>
      <c r="E150" s="1124"/>
      <c r="F150" s="1124"/>
      <c r="G150" s="1124"/>
      <c r="H150" s="122"/>
      <c r="I150" s="619"/>
      <c r="J150" s="621"/>
      <c r="K150" s="621"/>
      <c r="L150" s="619"/>
      <c r="M150" s="621"/>
    </row>
    <row r="151" spans="1:13" s="68" customFormat="1" ht="15.75" thickTop="1" thickBot="1" x14ac:dyDescent="0.25">
      <c r="A151" s="1125" t="s">
        <v>53</v>
      </c>
      <c r="B151" s="1652" t="s">
        <v>927</v>
      </c>
      <c r="C151" s="1653"/>
      <c r="D151" s="1653"/>
      <c r="E151" s="1653"/>
      <c r="F151" s="1654"/>
      <c r="G151" s="1131" t="s">
        <v>121</v>
      </c>
      <c r="H151" s="122"/>
      <c r="I151" s="122"/>
      <c r="K151" s="621"/>
      <c r="L151" s="619"/>
      <c r="M151" s="626"/>
    </row>
    <row r="152" spans="1:13" s="68" customFormat="1" ht="17.25" thickTop="1" thickBot="1" x14ac:dyDescent="0.25">
      <c r="A152" s="1121" t="s">
        <v>1</v>
      </c>
      <c r="B152" s="1683" t="s">
        <v>928</v>
      </c>
      <c r="C152" s="1684"/>
      <c r="D152" s="1684"/>
      <c r="E152" s="1684"/>
      <c r="F152" s="1685"/>
      <c r="G152" s="127">
        <f>ROUND(IF(G52=0,H152,0),2)</f>
        <v>0</v>
      </c>
      <c r="H152" s="628"/>
      <c r="I152" s="122"/>
    </row>
    <row r="153" spans="1:13" s="68" customFormat="1" ht="15.75" customHeight="1" thickTop="1" thickBot="1" x14ac:dyDescent="0.25">
      <c r="A153" s="1644" t="s">
        <v>232</v>
      </c>
      <c r="B153" s="1645"/>
      <c r="C153" s="1645"/>
      <c r="D153" s="1645"/>
      <c r="E153" s="1645"/>
      <c r="F153" s="1646"/>
      <c r="G153" s="128">
        <f>SUM(G147:G152)</f>
        <v>0</v>
      </c>
      <c r="H153" s="122"/>
      <c r="I153" s="122"/>
    </row>
    <row r="154" spans="1:13" s="68" customFormat="1" ht="15" hidden="1" thickTop="1" x14ac:dyDescent="0.2">
      <c r="A154" s="1618" t="s">
        <v>752</v>
      </c>
      <c r="B154" s="1618"/>
      <c r="C154" s="1618"/>
      <c r="D154" s="1618"/>
      <c r="E154" s="1618"/>
      <c r="F154" s="1618"/>
      <c r="G154" s="1618"/>
      <c r="H154" s="122"/>
      <c r="I154" s="122"/>
    </row>
    <row r="155" spans="1:13" s="68" customFormat="1" ht="15.75" hidden="1" customHeight="1" x14ac:dyDescent="0.2">
      <c r="A155" s="1618"/>
      <c r="B155" s="1618"/>
      <c r="C155" s="1618"/>
      <c r="D155" s="1618"/>
      <c r="E155" s="1618"/>
      <c r="F155" s="1618"/>
      <c r="G155" s="1618"/>
      <c r="H155" s="122"/>
      <c r="I155" s="122"/>
    </row>
    <row r="156" spans="1:13" s="68" customFormat="1" ht="15" thickTop="1" x14ac:dyDescent="0.2">
      <c r="A156" s="101"/>
      <c r="B156" s="101"/>
      <c r="C156" s="101"/>
      <c r="D156" s="101"/>
      <c r="E156" s="101"/>
      <c r="F156" s="574"/>
      <c r="G156" s="575"/>
      <c r="H156" s="122"/>
      <c r="I156" s="122"/>
    </row>
    <row r="157" spans="1:13" s="68" customFormat="1" ht="15" thickBot="1" x14ac:dyDescent="0.25">
      <c r="A157" s="576" t="s">
        <v>754</v>
      </c>
      <c r="B157" s="99"/>
      <c r="C157" s="99"/>
      <c r="D157" s="99"/>
      <c r="E157" s="99"/>
      <c r="F157" s="120"/>
      <c r="G157" s="121"/>
      <c r="H157" s="122"/>
      <c r="I157" s="122"/>
    </row>
    <row r="158" spans="1:13" s="68" customFormat="1" ht="15.75" thickTop="1" thickBot="1" x14ac:dyDescent="0.25">
      <c r="A158" s="1131">
        <v>4</v>
      </c>
      <c r="B158" s="1672" t="s">
        <v>753</v>
      </c>
      <c r="C158" s="1673"/>
      <c r="D158" s="1673"/>
      <c r="E158" s="1673"/>
      <c r="F158" s="1674"/>
      <c r="G158" s="1131" t="s">
        <v>121</v>
      </c>
      <c r="H158" s="122"/>
      <c r="I158" s="122"/>
    </row>
    <row r="159" spans="1:13" s="68" customFormat="1" ht="15.75" thickTop="1" thickBot="1" x14ac:dyDescent="0.25">
      <c r="A159" s="112" t="s">
        <v>48</v>
      </c>
      <c r="B159" s="1132" t="str">
        <f>B139</f>
        <v>Substituto nas Ausências Legais</v>
      </c>
      <c r="C159" s="131"/>
      <c r="D159" s="131"/>
      <c r="E159" s="131"/>
      <c r="F159" s="288"/>
      <c r="G159" s="123">
        <f>G146</f>
        <v>19.940000000000001</v>
      </c>
      <c r="H159" s="122"/>
      <c r="I159" s="122"/>
    </row>
    <row r="160" spans="1:13" s="68" customFormat="1" ht="15.75" thickTop="1" thickBot="1" x14ac:dyDescent="0.25">
      <c r="A160" s="112" t="s">
        <v>53</v>
      </c>
      <c r="B160" s="1132" t="str">
        <f>B151</f>
        <v>Substituo na Intrajornada</v>
      </c>
      <c r="C160" s="131"/>
      <c r="D160" s="131"/>
      <c r="E160" s="131"/>
      <c r="F160" s="288"/>
      <c r="G160" s="123">
        <f>G153</f>
        <v>0</v>
      </c>
      <c r="H160" s="122"/>
      <c r="I160" s="122"/>
    </row>
    <row r="161" spans="1:9" s="68" customFormat="1" ht="15.75" thickTop="1" thickBot="1" x14ac:dyDescent="0.25">
      <c r="A161" s="1644" t="s">
        <v>232</v>
      </c>
      <c r="B161" s="1645"/>
      <c r="C161" s="1645"/>
      <c r="D161" s="1645"/>
      <c r="E161" s="1645"/>
      <c r="F161" s="1646"/>
      <c r="G161" s="133">
        <f>SUM(G159:G160)</f>
        <v>19.940000000000001</v>
      </c>
      <c r="H161" s="122"/>
      <c r="I161" s="122"/>
    </row>
    <row r="162" spans="1:9" s="68" customFormat="1" ht="15" thickTop="1" x14ac:dyDescent="0.2">
      <c r="A162" s="101"/>
      <c r="B162" s="101"/>
      <c r="C162" s="101"/>
      <c r="D162" s="101"/>
      <c r="E162" s="101"/>
      <c r="F162" s="574"/>
      <c r="G162" s="575"/>
      <c r="H162" s="122"/>
      <c r="I162" s="122"/>
    </row>
    <row r="163" spans="1:9" ht="15" thickBot="1" x14ac:dyDescent="0.25">
      <c r="A163" s="1629" t="s">
        <v>756</v>
      </c>
      <c r="B163" s="1629"/>
      <c r="C163" s="1629"/>
      <c r="D163" s="1629"/>
      <c r="E163" s="1629"/>
      <c r="F163" s="1629"/>
      <c r="G163" s="1629"/>
      <c r="H163" s="111"/>
      <c r="I163" s="111"/>
    </row>
    <row r="164" spans="1:9" ht="15.75" thickTop="1" thickBot="1" x14ac:dyDescent="0.25">
      <c r="A164" s="1131">
        <v>5</v>
      </c>
      <c r="B164" s="1672" t="s">
        <v>93</v>
      </c>
      <c r="C164" s="1673"/>
      <c r="D164" s="1673"/>
      <c r="E164" s="1673"/>
      <c r="F164" s="1674"/>
      <c r="G164" s="1131" t="s">
        <v>121</v>
      </c>
      <c r="H164" s="111"/>
      <c r="I164" s="111"/>
    </row>
    <row r="165" spans="1:9" ht="15.75" thickTop="1" thickBot="1" x14ac:dyDescent="0.25">
      <c r="A165" s="112" t="s">
        <v>1</v>
      </c>
      <c r="B165" s="130" t="str">
        <f>Dados!A63</f>
        <v>Uniformes</v>
      </c>
      <c r="C165" s="131"/>
      <c r="D165" s="131"/>
      <c r="E165" s="131"/>
      <c r="F165" s="769">
        <f>Dados!J66</f>
        <v>38.14</v>
      </c>
      <c r="G165" s="123">
        <f>F165*$F$14</f>
        <v>38.14</v>
      </c>
      <c r="H165" s="111"/>
      <c r="I165" s="111"/>
    </row>
    <row r="166" spans="1:9" ht="15.75" thickTop="1" thickBot="1" x14ac:dyDescent="0.25">
      <c r="A166" s="112" t="s">
        <v>2</v>
      </c>
      <c r="B166" s="130" t="str">
        <f>Dados!A71</f>
        <v>Materiais</v>
      </c>
      <c r="C166" s="131"/>
      <c r="D166" s="131"/>
      <c r="E166" s="131"/>
      <c r="F166" s="769"/>
      <c r="G166" s="123">
        <f t="shared" ref="G166:G167" si="5">F166*$F$14</f>
        <v>0</v>
      </c>
      <c r="H166" s="111"/>
      <c r="I166" s="111"/>
    </row>
    <row r="167" spans="1:9" ht="15.75" thickTop="1" thickBot="1" x14ac:dyDescent="0.25">
      <c r="A167" s="112" t="s">
        <v>4</v>
      </c>
      <c r="B167" s="1132" t="str">
        <f>Dados!A73</f>
        <v xml:space="preserve">Equipamentos </v>
      </c>
      <c r="C167" s="131"/>
      <c r="D167" s="131"/>
      <c r="E167" s="131"/>
      <c r="F167" s="769"/>
      <c r="G167" s="123">
        <f t="shared" si="5"/>
        <v>0</v>
      </c>
      <c r="H167" s="111"/>
      <c r="I167" s="111"/>
    </row>
    <row r="168" spans="1:9" ht="15.75" thickTop="1" thickBot="1" x14ac:dyDescent="0.25">
      <c r="A168" s="112" t="s">
        <v>5</v>
      </c>
      <c r="B168" s="1132" t="str">
        <f>Dados!A74</f>
        <v>Depreciação e manutenção dos equipamentos</v>
      </c>
      <c r="C168" s="131"/>
      <c r="D168" s="131"/>
      <c r="E168" s="131"/>
      <c r="F168" s="770">
        <f>Dados!I74</f>
        <v>0</v>
      </c>
      <c r="G168" s="123">
        <f>G167*F168</f>
        <v>0</v>
      </c>
      <c r="H168" s="111"/>
      <c r="I168" s="111"/>
    </row>
    <row r="169" spans="1:9" ht="15.75" thickTop="1" thickBot="1" x14ac:dyDescent="0.25">
      <c r="A169" s="112" t="s">
        <v>6</v>
      </c>
      <c r="B169" s="125" t="s">
        <v>57</v>
      </c>
      <c r="C169" s="132"/>
      <c r="D169" s="132"/>
      <c r="E169" s="285"/>
      <c r="F169" s="288"/>
      <c r="G169" s="124"/>
      <c r="H169" s="111"/>
      <c r="I169" s="111"/>
    </row>
    <row r="170" spans="1:9" ht="15.75" thickTop="1" thickBot="1" x14ac:dyDescent="0.25">
      <c r="A170" s="118"/>
      <c r="B170" s="1644" t="s">
        <v>232</v>
      </c>
      <c r="C170" s="1645"/>
      <c r="D170" s="1645"/>
      <c r="E170" s="1645"/>
      <c r="F170" s="1646"/>
      <c r="G170" s="133">
        <f>SUM(G165:G169)</f>
        <v>38.14</v>
      </c>
      <c r="H170" s="111"/>
      <c r="I170" s="111"/>
    </row>
    <row r="171" spans="1:9" s="68" customFormat="1" ht="15" hidden="1" thickTop="1" x14ac:dyDescent="0.2">
      <c r="A171" s="101" t="s">
        <v>757</v>
      </c>
      <c r="B171" s="99"/>
      <c r="C171" s="99"/>
      <c r="D171" s="99"/>
      <c r="E171" s="99"/>
      <c r="F171" s="120"/>
      <c r="G171" s="121"/>
      <c r="H171" s="122"/>
      <c r="I171" s="122"/>
    </row>
    <row r="172" spans="1:9" s="68" customFormat="1" ht="15" thickTop="1" x14ac:dyDescent="0.2">
      <c r="A172" s="98"/>
      <c r="B172" s="99"/>
      <c r="C172" s="99"/>
      <c r="D172" s="99"/>
      <c r="E172" s="99"/>
      <c r="F172" s="120"/>
      <c r="G172" s="121"/>
      <c r="H172" s="122"/>
      <c r="I172" s="122"/>
    </row>
    <row r="173" spans="1:9" ht="15" thickBot="1" x14ac:dyDescent="0.25">
      <c r="A173" s="1629" t="s">
        <v>760</v>
      </c>
      <c r="B173" s="1629"/>
      <c r="C173" s="1629"/>
      <c r="D173" s="1629"/>
      <c r="E173" s="1629"/>
      <c r="F173" s="1629"/>
      <c r="G173" s="1629"/>
      <c r="H173" s="111"/>
    </row>
    <row r="174" spans="1:9" ht="15.75" thickTop="1" thickBot="1" x14ac:dyDescent="0.25">
      <c r="A174" s="1125">
        <v>6</v>
      </c>
      <c r="B174" s="1657" t="s">
        <v>27</v>
      </c>
      <c r="C174" s="1657"/>
      <c r="D174" s="1657"/>
      <c r="E174" s="1657"/>
      <c r="F174" s="1125" t="s">
        <v>746</v>
      </c>
      <c r="G174" s="1131" t="s">
        <v>121</v>
      </c>
      <c r="H174" s="111"/>
      <c r="I174" s="111"/>
    </row>
    <row r="175" spans="1:9" ht="14.25" customHeight="1" thickTop="1" thickBot="1" x14ac:dyDescent="0.25">
      <c r="A175" s="1121" t="s">
        <v>1</v>
      </c>
      <c r="B175" s="141" t="s">
        <v>28</v>
      </c>
      <c r="C175" s="137"/>
      <c r="D175" s="137"/>
      <c r="E175" s="126"/>
      <c r="F175" s="138">
        <f>Dados!M77</f>
        <v>2.3E-2</v>
      </c>
      <c r="G175" s="142">
        <f>$G$196*F175</f>
        <v>116.57</v>
      </c>
      <c r="H175" s="111"/>
      <c r="I175" s="111"/>
    </row>
    <row r="176" spans="1:9" ht="14.25" customHeight="1" thickTop="1" thickBot="1" x14ac:dyDescent="0.25">
      <c r="A176" s="1121" t="s">
        <v>2</v>
      </c>
      <c r="B176" s="141" t="s">
        <v>20</v>
      </c>
      <c r="C176" s="137"/>
      <c r="D176" s="137"/>
      <c r="E176" s="126"/>
      <c r="F176" s="138">
        <f>Dados!M78</f>
        <v>0.01</v>
      </c>
      <c r="G176" s="142">
        <f>($G$196+$G$175)*F176</f>
        <v>51.85</v>
      </c>
      <c r="H176" s="111"/>
      <c r="I176" s="111"/>
    </row>
    <row r="177" spans="1:9" ht="14.25" customHeight="1" thickTop="1" thickBot="1" x14ac:dyDescent="0.25">
      <c r="A177" s="1675" t="s">
        <v>4</v>
      </c>
      <c r="B177" s="141" t="s">
        <v>24</v>
      </c>
      <c r="C177" s="296"/>
      <c r="D177" s="137"/>
      <c r="E177" s="920"/>
      <c r="F177" s="921"/>
      <c r="G177" s="939">
        <f>SUM(G175:G176)</f>
        <v>168.42</v>
      </c>
      <c r="H177" s="111"/>
      <c r="I177" s="111"/>
    </row>
    <row r="178" spans="1:9" ht="14.25" customHeight="1" thickTop="1" thickBot="1" x14ac:dyDescent="0.25">
      <c r="A178" s="1676"/>
      <c r="B178" s="136" t="s">
        <v>103</v>
      </c>
      <c r="C178" s="285"/>
      <c r="D178" s="137"/>
      <c r="E178" s="920"/>
      <c r="F178" s="921"/>
      <c r="G178" s="919"/>
      <c r="H178" s="111"/>
      <c r="I178" s="111"/>
    </row>
    <row r="179" spans="1:9" ht="14.25" customHeight="1" thickTop="1" thickBot="1" x14ac:dyDescent="0.25">
      <c r="A179" s="1676"/>
      <c r="B179" s="136" t="s">
        <v>21</v>
      </c>
      <c r="C179" s="285"/>
      <c r="D179" s="137"/>
      <c r="F179" s="295">
        <f>Dados!F88</f>
        <v>1.17E-2</v>
      </c>
      <c r="G179" s="143">
        <f>(($G$196+$G$175+$G$176)/Dados!$H$88)*F179</f>
        <v>69.25</v>
      </c>
      <c r="H179" s="111"/>
      <c r="I179" s="111"/>
    </row>
    <row r="180" spans="1:9" ht="14.25" customHeight="1" thickTop="1" thickBot="1" x14ac:dyDescent="0.25">
      <c r="A180" s="1676"/>
      <c r="B180" s="136" t="s">
        <v>22</v>
      </c>
      <c r="C180" s="285"/>
      <c r="D180" s="137"/>
      <c r="E180" s="126"/>
      <c r="F180" s="295">
        <f>Dados!E88</f>
        <v>5.3499999999999999E-2</v>
      </c>
      <c r="G180" s="143">
        <f>(($G$196+$G$175+$G$176)/Dados!$H$88)*F180</f>
        <v>316.64999999999998</v>
      </c>
      <c r="H180" s="111"/>
      <c r="I180" s="111"/>
    </row>
    <row r="181" spans="1:9" ht="14.25" customHeight="1" thickTop="1" thickBot="1" x14ac:dyDescent="0.25">
      <c r="A181" s="1676"/>
      <c r="B181" s="136" t="s">
        <v>104</v>
      </c>
      <c r="C181" s="285"/>
      <c r="D181" s="137"/>
      <c r="E181" s="126"/>
      <c r="F181" s="138"/>
      <c r="G181" s="142"/>
      <c r="H181" s="111"/>
      <c r="I181" s="111"/>
    </row>
    <row r="182" spans="1:9" ht="14.25" customHeight="1" thickTop="1" thickBot="1" x14ac:dyDescent="0.25">
      <c r="A182" s="1676"/>
      <c r="B182" s="136" t="s">
        <v>29</v>
      </c>
      <c r="C182" s="285"/>
      <c r="D182" s="137"/>
      <c r="E182" s="126"/>
      <c r="F182" s="138"/>
      <c r="G182" s="143"/>
      <c r="H182" s="111"/>
      <c r="I182" s="111"/>
    </row>
    <row r="183" spans="1:9" ht="14.25" customHeight="1" thickTop="1" thickBot="1" x14ac:dyDescent="0.25">
      <c r="A183" s="1676"/>
      <c r="B183" s="136" t="s">
        <v>105</v>
      </c>
      <c r="C183" s="285"/>
      <c r="D183" s="137"/>
      <c r="E183" s="126"/>
      <c r="F183" s="138"/>
      <c r="G183" s="142"/>
      <c r="H183" s="111"/>
      <c r="I183" s="111"/>
    </row>
    <row r="184" spans="1:9" ht="14.25" customHeight="1" thickTop="1" thickBot="1" x14ac:dyDescent="0.25">
      <c r="A184" s="1677"/>
      <c r="B184" s="136" t="s">
        <v>23</v>
      </c>
      <c r="C184" s="285"/>
      <c r="D184" s="137"/>
      <c r="E184" s="126"/>
      <c r="F184" s="295">
        <f>Dados!C88</f>
        <v>0.05</v>
      </c>
      <c r="G184" s="143">
        <f>(($G$196+$G$175+$G$176)/Dados!$H$88)*F184</f>
        <v>295.93</v>
      </c>
      <c r="H184" s="111"/>
      <c r="I184" s="111"/>
    </row>
    <row r="185" spans="1:9" ht="18" customHeight="1" thickTop="1" thickBot="1" x14ac:dyDescent="0.25">
      <c r="A185" s="1644" t="s">
        <v>232</v>
      </c>
      <c r="B185" s="1645"/>
      <c r="C185" s="1645"/>
      <c r="D185" s="1645"/>
      <c r="E185" s="1646"/>
      <c r="F185" s="139">
        <f>SUM(F175:F184)</f>
        <v>0.1482</v>
      </c>
      <c r="G185" s="144">
        <f>G175+G179+G180+G184+G176</f>
        <v>850.25</v>
      </c>
      <c r="H185" s="111"/>
      <c r="I185" s="111"/>
    </row>
    <row r="186" spans="1:9" ht="15" hidden="1" thickTop="1" x14ac:dyDescent="0.2">
      <c r="A186" s="572" t="s">
        <v>759</v>
      </c>
      <c r="B186" s="145"/>
      <c r="C186" s="145"/>
      <c r="D186" s="145"/>
      <c r="E186" s="145"/>
      <c r="F186" s="145"/>
      <c r="G186" s="146"/>
      <c r="H186" s="111"/>
      <c r="I186" s="111"/>
    </row>
    <row r="187" spans="1:9" hidden="1" x14ac:dyDescent="0.2">
      <c r="A187" s="572" t="s">
        <v>758</v>
      </c>
      <c r="B187" s="145"/>
      <c r="C187" s="145"/>
      <c r="D187" s="145"/>
      <c r="E187" s="145"/>
      <c r="F187" s="145"/>
      <c r="G187" s="146"/>
      <c r="H187" s="111"/>
      <c r="I187" s="111"/>
    </row>
    <row r="188" spans="1:9" ht="15" thickTop="1" x14ac:dyDescent="0.2">
      <c r="A188" s="572"/>
      <c r="B188" s="145"/>
      <c r="C188" s="145"/>
      <c r="D188" s="145"/>
      <c r="E188" s="145"/>
      <c r="F188" s="145"/>
      <c r="G188" s="146"/>
      <c r="H188" s="111"/>
      <c r="I188" s="111"/>
    </row>
    <row r="189" spans="1:9" ht="15" thickBot="1" x14ac:dyDescent="0.25">
      <c r="A189" s="1124" t="s">
        <v>761</v>
      </c>
      <c r="B189" s="145"/>
      <c r="C189" s="145"/>
      <c r="D189" s="145"/>
      <c r="E189" s="145"/>
      <c r="F189" s="145"/>
      <c r="G189" s="146"/>
      <c r="H189" s="111"/>
      <c r="I189" s="111"/>
    </row>
    <row r="190" spans="1:9" ht="16.5" customHeight="1" thickTop="1" thickBot="1" x14ac:dyDescent="0.25">
      <c r="A190" s="1658" t="s">
        <v>718</v>
      </c>
      <c r="B190" s="1658"/>
      <c r="C190" s="1658"/>
      <c r="D190" s="1658"/>
      <c r="E190" s="1658"/>
      <c r="F190" s="1658"/>
      <c r="G190" s="1131" t="s">
        <v>121</v>
      </c>
      <c r="H190" s="111"/>
    </row>
    <row r="191" spans="1:9" ht="14.25" customHeight="1" thickTop="1" thickBot="1" x14ac:dyDescent="0.25">
      <c r="A191" s="1121" t="s">
        <v>1</v>
      </c>
      <c r="B191" s="1132" t="str">
        <f>A45</f>
        <v>Módulo 1 - Composição da Remuneração</v>
      </c>
      <c r="C191" s="1133"/>
      <c r="D191" s="566"/>
      <c r="E191" s="566"/>
      <c r="F191" s="147"/>
      <c r="G191" s="124">
        <f>G53</f>
        <v>2492.25</v>
      </c>
      <c r="H191" s="111"/>
    </row>
    <row r="192" spans="1:9" ht="14.25" customHeight="1" thickTop="1" thickBot="1" x14ac:dyDescent="0.25">
      <c r="A192" s="1121" t="s">
        <v>2</v>
      </c>
      <c r="B192" s="1132" t="str">
        <f>A58</f>
        <v>Módulo 2 - Encargos e Benefícios Anuais, Mensais e Diários</v>
      </c>
      <c r="C192" s="1133"/>
      <c r="D192" s="566"/>
      <c r="E192" s="566"/>
      <c r="F192" s="147"/>
      <c r="G192" s="124">
        <f>G121</f>
        <v>2358.81</v>
      </c>
      <c r="H192" s="111"/>
    </row>
    <row r="193" spans="1:8" ht="14.25" customHeight="1" thickTop="1" thickBot="1" x14ac:dyDescent="0.25">
      <c r="A193" s="1121" t="s">
        <v>4</v>
      </c>
      <c r="B193" s="1132" t="str">
        <f>A123</f>
        <v>Módulo 3 - Provisão para Rescisão</v>
      </c>
      <c r="C193" s="1133"/>
      <c r="D193" s="566"/>
      <c r="E193" s="566"/>
      <c r="F193" s="147"/>
      <c r="G193" s="124">
        <f>G132</f>
        <v>159.26</v>
      </c>
      <c r="H193" s="111"/>
    </row>
    <row r="194" spans="1:8" ht="14.25" customHeight="1" thickTop="1" thickBot="1" x14ac:dyDescent="0.25">
      <c r="A194" s="1121" t="s">
        <v>5</v>
      </c>
      <c r="B194" s="1132" t="str">
        <f>A134</f>
        <v>Módulo 4 - Custo de Reposição do Profissional</v>
      </c>
      <c r="C194" s="1133"/>
      <c r="D194" s="566"/>
      <c r="E194" s="566"/>
      <c r="F194" s="147"/>
      <c r="G194" s="124">
        <f>G161</f>
        <v>19.940000000000001</v>
      </c>
      <c r="H194" s="111"/>
    </row>
    <row r="195" spans="1:8" ht="15.75" hidden="1" thickTop="1" thickBot="1" x14ac:dyDescent="0.25">
      <c r="A195" s="583" t="s">
        <v>6</v>
      </c>
      <c r="B195" s="1132" t="str">
        <f>A163</f>
        <v>Módulo 5 - Insumos Diversos</v>
      </c>
      <c r="C195" s="579"/>
      <c r="D195" s="579"/>
      <c r="E195" s="579"/>
      <c r="F195" s="580"/>
      <c r="G195" s="584">
        <f>G170</f>
        <v>38.14</v>
      </c>
    </row>
    <row r="196" spans="1:8" ht="15.75" thickTop="1" thickBot="1" x14ac:dyDescent="0.25">
      <c r="A196" s="1644" t="s">
        <v>762</v>
      </c>
      <c r="B196" s="1645"/>
      <c r="C196" s="1645"/>
      <c r="D196" s="1645"/>
      <c r="E196" s="1645"/>
      <c r="F196" s="1646"/>
      <c r="G196" s="133">
        <f>SUM(G191:G195)</f>
        <v>5068.3999999999996</v>
      </c>
    </row>
    <row r="197" spans="1:8" ht="14.25" customHeight="1" thickTop="1" thickBot="1" x14ac:dyDescent="0.25">
      <c r="A197" s="1121" t="s">
        <v>7</v>
      </c>
      <c r="B197" s="1132" t="str">
        <f>A173</f>
        <v>Módulo 6 - Custos Indiretos, Tributos e Lucro</v>
      </c>
      <c r="C197" s="1133"/>
      <c r="D197" s="566"/>
      <c r="E197" s="566"/>
      <c r="F197" s="147"/>
      <c r="G197" s="124">
        <f>G185</f>
        <v>850.25</v>
      </c>
    </row>
    <row r="198" spans="1:8" ht="15.75" customHeight="1" thickTop="1" thickBot="1" x14ac:dyDescent="0.25">
      <c r="A198" s="1644" t="s">
        <v>687</v>
      </c>
      <c r="B198" s="1645"/>
      <c r="C198" s="1645"/>
      <c r="D198" s="1645"/>
      <c r="E198" s="1645"/>
      <c r="F198" s="1646"/>
      <c r="G198" s="133">
        <f>SUM(G196:G197)</f>
        <v>5918.65</v>
      </c>
    </row>
    <row r="199" spans="1:8" ht="15.75" thickTop="1" thickBot="1" x14ac:dyDescent="0.25">
      <c r="A199" s="1644" t="s">
        <v>1445</v>
      </c>
      <c r="B199" s="1645"/>
      <c r="C199" s="1645"/>
      <c r="D199" s="1645"/>
      <c r="E199" s="1645"/>
      <c r="F199" s="1646"/>
      <c r="G199" s="133">
        <f>Dados!J51+Dados!J55</f>
        <v>170.7</v>
      </c>
    </row>
    <row r="200" spans="1:8" ht="15.75" thickTop="1" thickBot="1" x14ac:dyDescent="0.25">
      <c r="A200" s="1644" t="s">
        <v>687</v>
      </c>
      <c r="B200" s="1645"/>
      <c r="C200" s="1645"/>
      <c r="D200" s="1645"/>
      <c r="E200" s="1645"/>
      <c r="F200" s="1646"/>
      <c r="G200" s="133">
        <f>G198+G199</f>
        <v>6089.35</v>
      </c>
    </row>
    <row r="201" spans="1:8" ht="15" thickTop="1" x14ac:dyDescent="0.2"/>
    <row r="202" spans="1:8" ht="15" hidden="1" thickBot="1" x14ac:dyDescent="0.25">
      <c r="A202" s="1124" t="s">
        <v>763</v>
      </c>
    </row>
    <row r="203" spans="1:8" ht="46.5" hidden="1" customHeight="1" thickTop="1" x14ac:dyDescent="0.2">
      <c r="A203" s="1650" t="s">
        <v>167</v>
      </c>
      <c r="B203" s="1651"/>
      <c r="C203" s="1130" t="s">
        <v>765</v>
      </c>
      <c r="D203" s="1130" t="s">
        <v>764</v>
      </c>
      <c r="E203" s="1130" t="s">
        <v>766</v>
      </c>
      <c r="F203" s="1126" t="s">
        <v>767</v>
      </c>
      <c r="G203" s="1126" t="s">
        <v>768</v>
      </c>
    </row>
    <row r="204" spans="1:8" ht="18" hidden="1" customHeight="1" thickBot="1" x14ac:dyDescent="0.25">
      <c r="A204" s="1659" t="s">
        <v>168</v>
      </c>
      <c r="B204" s="1660"/>
      <c r="C204" s="586" t="s">
        <v>169</v>
      </c>
      <c r="D204" s="586" t="s">
        <v>170</v>
      </c>
      <c r="E204" s="586" t="s">
        <v>171</v>
      </c>
      <c r="F204" s="587" t="s">
        <v>172</v>
      </c>
      <c r="G204" s="587" t="s">
        <v>173</v>
      </c>
    </row>
    <row r="205" spans="1:8" ht="49.5" hidden="1" customHeight="1" thickTop="1" thickBot="1" x14ac:dyDescent="0.25">
      <c r="A205" s="583" t="s">
        <v>160</v>
      </c>
      <c r="B205" s="1129" t="str">
        <f>F40</f>
        <v>Garçom de segunda a sexta-feira - 44 horas semanais</v>
      </c>
      <c r="C205" s="274">
        <f>G198</f>
        <v>5918.65</v>
      </c>
      <c r="D205" s="275">
        <f>F26</f>
        <v>1</v>
      </c>
      <c r="E205" s="276">
        <f>C205*D205</f>
        <v>5918.65</v>
      </c>
      <c r="F205" s="277">
        <f>E26</f>
        <v>3</v>
      </c>
      <c r="G205" s="278">
        <f>E205*F205</f>
        <v>17755.95</v>
      </c>
    </row>
    <row r="206" spans="1:8" ht="15.75" hidden="1" thickTop="1" thickBot="1" x14ac:dyDescent="0.25">
      <c r="A206" s="1644" t="s">
        <v>769</v>
      </c>
      <c r="B206" s="1645"/>
      <c r="C206" s="1645"/>
      <c r="D206" s="1645"/>
      <c r="E206" s="1645"/>
      <c r="F206" s="1646"/>
      <c r="G206" s="133">
        <f>SUM(G205)</f>
        <v>17755.95</v>
      </c>
    </row>
    <row r="207" spans="1:8" ht="15" hidden="1" thickTop="1" x14ac:dyDescent="0.2">
      <c r="A207" s="247"/>
      <c r="B207" s="247"/>
      <c r="C207" s="247"/>
      <c r="D207" s="247"/>
      <c r="E207" s="247"/>
      <c r="F207" s="247"/>
      <c r="G207" s="247"/>
    </row>
    <row r="208" spans="1:8" ht="15" hidden="1" thickBot="1" x14ac:dyDescent="0.25">
      <c r="A208" s="1124" t="s">
        <v>770</v>
      </c>
      <c r="B208" s="247"/>
      <c r="C208" s="247"/>
      <c r="D208" s="247"/>
      <c r="E208" s="247"/>
      <c r="F208" s="247"/>
      <c r="G208" s="247"/>
    </row>
    <row r="209" spans="1:7" ht="15" hidden="1" customHeight="1" thickTop="1" thickBot="1" x14ac:dyDescent="0.25">
      <c r="A209" s="1128"/>
      <c r="B209" s="1656" t="s">
        <v>771</v>
      </c>
      <c r="C209" s="1656"/>
      <c r="D209" s="1656"/>
      <c r="E209" s="1656"/>
      <c r="F209" s="1656"/>
      <c r="G209" s="1656"/>
    </row>
    <row r="210" spans="1:7" ht="15.75" hidden="1" thickTop="1" thickBot="1" x14ac:dyDescent="0.25">
      <c r="A210" s="283"/>
      <c r="B210" s="1647" t="s">
        <v>772</v>
      </c>
      <c r="C210" s="1648"/>
      <c r="D210" s="1648"/>
      <c r="E210" s="1648"/>
      <c r="F210" s="1649"/>
      <c r="G210" s="283" t="s">
        <v>773</v>
      </c>
    </row>
    <row r="211" spans="1:7" ht="15.75" hidden="1" thickTop="1" thickBot="1" x14ac:dyDescent="0.25">
      <c r="A211" s="279" t="s">
        <v>1</v>
      </c>
      <c r="B211" s="287" t="s">
        <v>174</v>
      </c>
      <c r="C211" s="286"/>
      <c r="D211" s="284"/>
      <c r="E211" s="284"/>
      <c r="F211" s="284"/>
      <c r="G211" s="280">
        <f>G198</f>
        <v>5918.65</v>
      </c>
    </row>
    <row r="212" spans="1:7" ht="15.75" hidden="1" thickTop="1" thickBot="1" x14ac:dyDescent="0.25">
      <c r="A212" s="279" t="s">
        <v>2</v>
      </c>
      <c r="B212" s="287" t="s">
        <v>175</v>
      </c>
      <c r="C212" s="286"/>
      <c r="D212" s="284"/>
      <c r="E212" s="284"/>
      <c r="F212" s="284"/>
      <c r="G212" s="280">
        <f>G205</f>
        <v>17755.95</v>
      </c>
    </row>
    <row r="213" spans="1:7" ht="15.75" hidden="1" customHeight="1" thickTop="1" thickBot="1" x14ac:dyDescent="0.25">
      <c r="A213" s="279" t="s">
        <v>4</v>
      </c>
      <c r="B213" s="287" t="s">
        <v>914</v>
      </c>
      <c r="C213" s="286"/>
      <c r="D213" s="284"/>
      <c r="E213" s="284"/>
      <c r="F213" s="284"/>
      <c r="G213" s="280">
        <f>G212*$F$22</f>
        <v>213071.4</v>
      </c>
    </row>
    <row r="214" spans="1:7" ht="15" hidden="1" thickTop="1" x14ac:dyDescent="0.2">
      <c r="A214" s="68" t="s">
        <v>774</v>
      </c>
    </row>
    <row r="216" spans="1:7" hidden="1" x14ac:dyDescent="0.2"/>
    <row r="217" spans="1:7" hidden="1" x14ac:dyDescent="0.2">
      <c r="A217" s="1124" t="s">
        <v>775</v>
      </c>
    </row>
    <row r="218" spans="1:7" ht="15" hidden="1" thickBot="1" x14ac:dyDescent="0.25">
      <c r="A218" s="145"/>
      <c r="B218" s="585"/>
      <c r="C218" s="585"/>
      <c r="D218" s="585"/>
      <c r="E218" s="585"/>
      <c r="F218" s="585"/>
      <c r="G218" s="585"/>
    </row>
    <row r="219" spans="1:7" ht="15" hidden="1" customHeight="1" thickTop="1" x14ac:dyDescent="0.2">
      <c r="A219" s="1650" t="s">
        <v>776</v>
      </c>
      <c r="B219" s="1661"/>
      <c r="C219" s="1661"/>
      <c r="D219" s="1651"/>
      <c r="E219" s="1668" t="s">
        <v>778</v>
      </c>
      <c r="F219" s="1641" t="s">
        <v>779</v>
      </c>
      <c r="G219" s="1641" t="s">
        <v>54</v>
      </c>
    </row>
    <row r="220" spans="1:7" ht="15" hidden="1" thickBot="1" x14ac:dyDescent="0.25">
      <c r="A220" s="1662"/>
      <c r="B220" s="1663"/>
      <c r="C220" s="1663"/>
      <c r="D220" s="1664"/>
      <c r="E220" s="1669"/>
      <c r="F220" s="1642"/>
      <c r="G220" s="1642"/>
    </row>
    <row r="221" spans="1:7" ht="36" hidden="1" customHeight="1" thickTop="1" thickBot="1" x14ac:dyDescent="0.25">
      <c r="A221" s="588" t="str">
        <f>A205</f>
        <v>I</v>
      </c>
      <c r="B221" s="1665" t="str">
        <f>B205</f>
        <v>Garçom de segunda a sexta-feira - 44 horas semanais</v>
      </c>
      <c r="C221" s="1666"/>
      <c r="D221" s="1667"/>
      <c r="E221" s="276">
        <f>E205</f>
        <v>5918.65</v>
      </c>
      <c r="F221" s="277">
        <f>F205</f>
        <v>3</v>
      </c>
      <c r="G221" s="278">
        <f>E221*F221</f>
        <v>17755.95</v>
      </c>
    </row>
    <row r="222" spans="1:7" ht="15.75" hidden="1" customHeight="1" thickTop="1" thickBot="1" x14ac:dyDescent="0.25">
      <c r="A222" s="1644" t="s">
        <v>47</v>
      </c>
      <c r="B222" s="1645"/>
      <c r="C222" s="1645"/>
      <c r="D222" s="1645"/>
      <c r="E222" s="1645"/>
      <c r="F222" s="1646"/>
      <c r="G222" s="133">
        <f>SUM(G221)</f>
        <v>17755.95</v>
      </c>
    </row>
    <row r="223" spans="1:7" hidden="1" x14ac:dyDescent="0.2">
      <c r="A223" s="68" t="s">
        <v>777</v>
      </c>
    </row>
  </sheetData>
  <mergeCells count="97">
    <mergeCell ref="A20:A21"/>
    <mergeCell ref="B20:E21"/>
    <mergeCell ref="F20:G20"/>
    <mergeCell ref="F21:G21"/>
    <mergeCell ref="A5:G5"/>
    <mergeCell ref="A6:G6"/>
    <mergeCell ref="A8:G8"/>
    <mergeCell ref="A9:G9"/>
    <mergeCell ref="A10:G10"/>
    <mergeCell ref="A13:B13"/>
    <mergeCell ref="C13:D13"/>
    <mergeCell ref="A14:B14"/>
    <mergeCell ref="C14:D14"/>
    <mergeCell ref="A17:G17"/>
    <mergeCell ref="F18:G18"/>
    <mergeCell ref="F19:G19"/>
    <mergeCell ref="B38:E38"/>
    <mergeCell ref="F38:G38"/>
    <mergeCell ref="F22:G22"/>
    <mergeCell ref="A24:G24"/>
    <mergeCell ref="A25:B25"/>
    <mergeCell ref="A26:B26"/>
    <mergeCell ref="A27:G28"/>
    <mergeCell ref="A29:G30"/>
    <mergeCell ref="A34:G34"/>
    <mergeCell ref="A35:G35"/>
    <mergeCell ref="A36:G36"/>
    <mergeCell ref="B37:E37"/>
    <mergeCell ref="F37:G37"/>
    <mergeCell ref="B39:E39"/>
    <mergeCell ref="F39:G39"/>
    <mergeCell ref="B40:E40"/>
    <mergeCell ref="F40:G40"/>
    <mergeCell ref="B41:E41"/>
    <mergeCell ref="F41:G41"/>
    <mergeCell ref="A73:F73"/>
    <mergeCell ref="B46:E46"/>
    <mergeCell ref="A53:F53"/>
    <mergeCell ref="A55:G56"/>
    <mergeCell ref="A58:G58"/>
    <mergeCell ref="A60:G60"/>
    <mergeCell ref="B61:E61"/>
    <mergeCell ref="B63:E63"/>
    <mergeCell ref="A64:E64"/>
    <mergeCell ref="A65:G66"/>
    <mergeCell ref="A67:G68"/>
    <mergeCell ref="A69:G71"/>
    <mergeCell ref="B117:F117"/>
    <mergeCell ref="A76:F76"/>
    <mergeCell ref="B79:E79"/>
    <mergeCell ref="A88:E88"/>
    <mergeCell ref="A89:G89"/>
    <mergeCell ref="A90:G90"/>
    <mergeCell ref="B95:E95"/>
    <mergeCell ref="A96:A97"/>
    <mergeCell ref="A98:A99"/>
    <mergeCell ref="A101:A103"/>
    <mergeCell ref="A111:F111"/>
    <mergeCell ref="A113:G114"/>
    <mergeCell ref="A153:F153"/>
    <mergeCell ref="A121:F121"/>
    <mergeCell ref="A123:G123"/>
    <mergeCell ref="B124:E124"/>
    <mergeCell ref="A132:E132"/>
    <mergeCell ref="A134:G134"/>
    <mergeCell ref="A135:G136"/>
    <mergeCell ref="B139:E139"/>
    <mergeCell ref="A146:E146"/>
    <mergeCell ref="A147:G148"/>
    <mergeCell ref="B151:F151"/>
    <mergeCell ref="B152:F152"/>
    <mergeCell ref="A196:F196"/>
    <mergeCell ref="A154:G155"/>
    <mergeCell ref="B158:F158"/>
    <mergeCell ref="A161:F161"/>
    <mergeCell ref="A163:G163"/>
    <mergeCell ref="B164:F164"/>
    <mergeCell ref="B170:F170"/>
    <mergeCell ref="A173:G173"/>
    <mergeCell ref="B174:E174"/>
    <mergeCell ref="A177:A184"/>
    <mergeCell ref="A185:E185"/>
    <mergeCell ref="A190:F190"/>
    <mergeCell ref="A222:F222"/>
    <mergeCell ref="A198:F198"/>
    <mergeCell ref="A203:B203"/>
    <mergeCell ref="A204:B204"/>
    <mergeCell ref="A206:F206"/>
    <mergeCell ref="B209:G209"/>
    <mergeCell ref="B210:F210"/>
    <mergeCell ref="A219:D220"/>
    <mergeCell ref="E219:E220"/>
    <mergeCell ref="F219:F220"/>
    <mergeCell ref="G219:G220"/>
    <mergeCell ref="B221:D221"/>
    <mergeCell ref="A199:F199"/>
    <mergeCell ref="A200:F200"/>
  </mergeCells>
  <dataValidations count="2">
    <dataValidation allowBlank="1" showInputMessage="1" showErrorMessage="1" errorTitle="Atenção" error="Não esquecer de buscar os valores e alterar na coluna F - das linhas 50 a 60, em caso de mais de um Sindicato." promptTitle="Benefícios" prompt="- Em caso de mais de um Sindicato em &quot;Dados&quot;, não esquecer de buscar os valores e alterar na coluna F - das linhas 50 a 60." sqref="F96:F110"/>
    <dataValidation allowBlank="1" showInputMessage="1" showErrorMessage="1" errorTitle="Atenção" error="Os dias só poderão ser alterados nos Dados." promptTitle="Jornada de Trabalho" prompt="- Alterando a carga horária, automaticamente será alterado os dias trabalhados._x000a_" sqref="C26"/>
  </dataValidations>
  <printOptions horizontalCentered="1"/>
  <pageMargins left="0.82677165354330717" right="0.55118110236220474" top="0.82677165354330717" bottom="0.43307086614173229" header="0.19685039370078741" footer="0.23622047244094491"/>
  <pageSetup paperSize="9" scale="61" fitToWidth="0" orientation="portrait" r:id="rId1"/>
  <headerFooter alignWithMargins="0"/>
  <rowBreaks count="1" manualBreakCount="1">
    <brk id="114" max="6" man="1"/>
  </rowBreaks>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22"/>
  <dimension ref="A1:M223"/>
  <sheetViews>
    <sheetView view="pageBreakPreview" topLeftCell="A38" zoomScale="90" zoomScaleNormal="100" zoomScaleSheetLayoutView="90" workbookViewId="0">
      <selection activeCell="C45" sqref="B45:K48"/>
    </sheetView>
  </sheetViews>
  <sheetFormatPr defaultRowHeight="14.25" x14ac:dyDescent="0.2"/>
  <cols>
    <col min="1" max="1" width="5.85546875" style="68" customWidth="1"/>
    <col min="2" max="2" width="29.42578125" style="68" customWidth="1"/>
    <col min="3" max="3" width="19.7109375" style="68" customWidth="1"/>
    <col min="4" max="4" width="17.140625" style="68" customWidth="1"/>
    <col min="5" max="5" width="18" style="68" customWidth="1"/>
    <col min="6" max="6" width="15.42578125" style="68" customWidth="1"/>
    <col min="7" max="7" width="18" style="97" bestFit="1" customWidth="1"/>
    <col min="8" max="8" width="17.28515625" style="69" bestFit="1" customWidth="1"/>
    <col min="9" max="9" width="15.28515625" style="69" bestFit="1" customWidth="1"/>
    <col min="10" max="11" width="13.42578125" style="69" bestFit="1" customWidth="1"/>
    <col min="12" max="12" width="11.5703125" style="69" bestFit="1" customWidth="1"/>
    <col min="13" max="13" width="12.5703125" style="69" bestFit="1" customWidth="1"/>
    <col min="14" max="16384" width="9.140625" style="69"/>
  </cols>
  <sheetData>
    <row r="1" spans="1:7" ht="11.25" hidden="1" customHeight="1" x14ac:dyDescent="0.2">
      <c r="A1" s="96" t="str">
        <f>Proposta!C83</f>
        <v>Razão Social: BRASFORT ADMINISTRAÇÃO E SERVIÇOS LTDA</v>
      </c>
    </row>
    <row r="2" spans="1:7" ht="11.25" hidden="1" customHeight="1" x14ac:dyDescent="0.2">
      <c r="A2" s="96" t="str">
        <f>Proposta!C84</f>
        <v>CNPJ: 36.770.857/0001-38</v>
      </c>
    </row>
    <row r="3" spans="1:7" hidden="1" x14ac:dyDescent="0.2">
      <c r="A3" s="97"/>
    </row>
    <row r="4" spans="1:7" hidden="1" x14ac:dyDescent="0.2">
      <c r="A4" s="97"/>
    </row>
    <row r="5" spans="1:7" hidden="1" x14ac:dyDescent="0.2">
      <c r="A5" s="1630" t="str">
        <f>Dados!H2</f>
        <v xml:space="preserve">REPACTUAÇÃO CONTRATUAL 20___ - </v>
      </c>
      <c r="B5" s="1630"/>
      <c r="C5" s="1630"/>
      <c r="D5" s="1630"/>
      <c r="E5" s="1630"/>
      <c r="F5" s="1630"/>
      <c r="G5" s="1630"/>
    </row>
    <row r="6" spans="1:7" hidden="1" x14ac:dyDescent="0.2">
      <c r="A6" s="1630" t="str">
        <f>Dados!A10</f>
        <v>CONTRATO Nº __________/201__ - CONTRATANTE - PRESTAÇÃO DE SERVIÇOS --------</v>
      </c>
      <c r="B6" s="1630"/>
      <c r="C6" s="1630"/>
      <c r="D6" s="1630"/>
      <c r="E6" s="1630"/>
      <c r="F6" s="1630"/>
      <c r="G6" s="1630"/>
    </row>
    <row r="7" spans="1:7" x14ac:dyDescent="0.2">
      <c r="A7" s="1123"/>
      <c r="B7" s="1123"/>
      <c r="C7" s="1123"/>
      <c r="D7" s="1123"/>
      <c r="E7" s="1123"/>
      <c r="F7" s="1123"/>
      <c r="G7" s="1123"/>
    </row>
    <row r="8" spans="1:7" ht="18" customHeight="1" x14ac:dyDescent="0.2">
      <c r="A8" s="1637"/>
      <c r="B8" s="1637"/>
      <c r="C8" s="1637"/>
      <c r="D8" s="1637"/>
      <c r="E8" s="1637"/>
      <c r="F8" s="1637"/>
      <c r="G8" s="1637"/>
    </row>
    <row r="9" spans="1:7" x14ac:dyDescent="0.2">
      <c r="A9" s="1637" t="str">
        <f>Dados!$A$11</f>
        <v>PLANILHA DE CUSTOS E FORMAÇÃO DE PREÇOS - CJF</v>
      </c>
      <c r="B9" s="1637"/>
      <c r="C9" s="1637"/>
      <c r="D9" s="1637"/>
      <c r="E9" s="1637"/>
      <c r="F9" s="1637"/>
      <c r="G9" s="1637"/>
    </row>
    <row r="10" spans="1:7" x14ac:dyDescent="0.2">
      <c r="A10" s="1637"/>
      <c r="B10" s="1637"/>
      <c r="C10" s="1637"/>
      <c r="D10" s="1637"/>
      <c r="E10" s="1637"/>
      <c r="F10" s="1637"/>
      <c r="G10" s="1637"/>
    </row>
    <row r="11" spans="1:7" x14ac:dyDescent="0.2">
      <c r="A11" s="98"/>
      <c r="B11" s="98"/>
      <c r="C11" s="98"/>
      <c r="D11" s="98"/>
      <c r="E11" s="98"/>
      <c r="F11" s="98"/>
      <c r="G11" s="98"/>
    </row>
    <row r="12" spans="1:7" ht="15" thickBot="1" x14ac:dyDescent="0.25">
      <c r="A12" s="99"/>
      <c r="B12" s="99"/>
      <c r="C12" s="99"/>
      <c r="D12" s="99"/>
      <c r="E12" s="99"/>
      <c r="F12" s="99"/>
      <c r="G12" s="99"/>
    </row>
    <row r="13" spans="1:7" ht="15.75" customHeight="1" thickTop="1" thickBot="1" x14ac:dyDescent="0.25">
      <c r="A13" s="1631" t="s">
        <v>117</v>
      </c>
      <c r="B13" s="1631"/>
      <c r="C13" s="1670" t="str">
        <f>Dados!$G$14</f>
        <v>0001561-97.2021.4.90.8000</v>
      </c>
      <c r="D13" s="1671"/>
      <c r="E13" s="102"/>
      <c r="F13" s="135"/>
      <c r="G13" s="100"/>
    </row>
    <row r="14" spans="1:7" ht="15.75" customHeight="1" thickTop="1" thickBot="1" x14ac:dyDescent="0.25">
      <c r="A14" s="1631" t="s">
        <v>116</v>
      </c>
      <c r="B14" s="1631"/>
      <c r="C14" s="1619" t="str">
        <f>"Pregão Eletrônico nº:" &amp; " " &amp; Dados!$G$22</f>
        <v>Pregão Eletrônico nº: PE 32/2021</v>
      </c>
      <c r="D14" s="1620"/>
      <c r="E14" s="102"/>
      <c r="F14" s="298">
        <v>1</v>
      </c>
      <c r="G14" s="100"/>
    </row>
    <row r="15" spans="1:7" ht="15.75" customHeight="1" thickTop="1" x14ac:dyDescent="0.2">
      <c r="A15" s="101" t="str">
        <f>"Dia:" &amp; " " &amp; TEXT(Dados!$G$15,"dd/mm/aaaa") &amp; " " &amp; "às" &amp; " " &amp; TEXT(Dados!$G$18,"hh:mm") &amp; " " &amp; "horas"</f>
        <v>Dia: 15/10/2021 às 10:00 horas</v>
      </c>
      <c r="B15" s="101"/>
      <c r="C15" s="101"/>
      <c r="D15" s="99"/>
      <c r="E15" s="102"/>
      <c r="F15" s="297"/>
      <c r="G15" s="104"/>
    </row>
    <row r="16" spans="1:7" ht="15.75" customHeight="1" x14ac:dyDescent="0.2">
      <c r="A16" s="101"/>
      <c r="B16" s="101"/>
      <c r="C16" s="101"/>
      <c r="D16" s="99"/>
      <c r="E16" s="102"/>
      <c r="F16" s="103"/>
      <c r="G16" s="104"/>
    </row>
    <row r="17" spans="1:7" ht="18" customHeight="1" thickBot="1" x14ac:dyDescent="0.25">
      <c r="A17" s="1638" t="s">
        <v>723</v>
      </c>
      <c r="B17" s="1638"/>
      <c r="C17" s="1638"/>
      <c r="D17" s="1638"/>
      <c r="E17" s="1638"/>
      <c r="F17" s="1638"/>
      <c r="G17" s="1638"/>
    </row>
    <row r="18" spans="1:7" ht="16.5" customHeight="1" thickTop="1" thickBot="1" x14ac:dyDescent="0.25">
      <c r="A18" s="1121" t="s">
        <v>1</v>
      </c>
      <c r="B18" s="1132" t="s">
        <v>119</v>
      </c>
      <c r="C18" s="1133"/>
      <c r="D18" s="566"/>
      <c r="E18" s="106"/>
      <c r="F18" s="1639" t="d">
        <f>Dados!G16</f>
        <v>2021-10-21</v>
      </c>
      <c r="G18" s="1640"/>
    </row>
    <row r="19" spans="1:7" ht="16.5" customHeight="1" thickTop="1" thickBot="1" x14ac:dyDescent="0.25">
      <c r="A19" s="1121" t="s">
        <v>2</v>
      </c>
      <c r="B19" s="565" t="s">
        <v>3</v>
      </c>
      <c r="C19" s="566"/>
      <c r="D19" s="566"/>
      <c r="E19" s="107"/>
      <c r="F19" s="1639" t="str">
        <f>Dados!G19</f>
        <v>Brasília - DF</v>
      </c>
      <c r="G19" s="1640"/>
    </row>
    <row r="20" spans="1:7" ht="15" thickTop="1" x14ac:dyDescent="0.2">
      <c r="A20" s="1675" t="s">
        <v>4</v>
      </c>
      <c r="B20" s="1621" t="s">
        <v>118</v>
      </c>
      <c r="C20" s="1622"/>
      <c r="D20" s="1622"/>
      <c r="E20" s="1623"/>
      <c r="F20" s="1681" t="str">
        <f>Dados!N101</f>
        <v>SINDISERVIÇOS/SEAC-DF</v>
      </c>
      <c r="G20" s="1681"/>
    </row>
    <row r="21" spans="1:7" ht="15" thickBot="1" x14ac:dyDescent="0.25">
      <c r="A21" s="1677"/>
      <c r="B21" s="1624"/>
      <c r="C21" s="1625"/>
      <c r="D21" s="1625"/>
      <c r="E21" s="1626"/>
      <c r="F21" s="1627" t="str">
        <f>VLOOKUP(F20,'CCT''S'!$A$7:$J$21,5,FALSE)</f>
        <v>2021/2021</v>
      </c>
      <c r="G21" s="1628"/>
    </row>
    <row r="22" spans="1:7" ht="16.5" customHeight="1" thickTop="1" thickBot="1" x14ac:dyDescent="0.25">
      <c r="A22" s="1121" t="s">
        <v>5</v>
      </c>
      <c r="B22" s="1132" t="s">
        <v>120</v>
      </c>
      <c r="C22" s="1133"/>
      <c r="D22" s="566"/>
      <c r="E22" s="107"/>
      <c r="F22" s="1640">
        <f>Dados!G26</f>
        <v>12</v>
      </c>
      <c r="G22" s="1640"/>
    </row>
    <row r="23" spans="1:7" ht="15" thickTop="1" x14ac:dyDescent="0.2">
      <c r="A23" s="98"/>
      <c r="B23" s="99"/>
      <c r="C23" s="99"/>
      <c r="D23" s="99"/>
      <c r="E23" s="99"/>
      <c r="F23" s="108"/>
      <c r="G23" s="109"/>
    </row>
    <row r="24" spans="1:7" ht="16.5" customHeight="1" thickBot="1" x14ac:dyDescent="0.25">
      <c r="A24" s="1638" t="s">
        <v>722</v>
      </c>
      <c r="B24" s="1638"/>
      <c r="C24" s="1638"/>
      <c r="D24" s="1638"/>
      <c r="E24" s="1638"/>
      <c r="F24" s="1638"/>
      <c r="G24" s="1638"/>
    </row>
    <row r="25" spans="1:7" ht="51" customHeight="1" thickTop="1" thickBot="1" x14ac:dyDescent="0.25">
      <c r="A25" s="1635" t="s">
        <v>89</v>
      </c>
      <c r="B25" s="1635"/>
      <c r="C25" s="1125" t="s">
        <v>194</v>
      </c>
      <c r="D25" s="1125" t="s">
        <v>115</v>
      </c>
      <c r="E25" s="1125" t="s">
        <v>73</v>
      </c>
      <c r="F25" s="1125" t="s">
        <v>195</v>
      </c>
      <c r="G25" s="1125" t="s">
        <v>86</v>
      </c>
    </row>
    <row r="26" spans="1:7" ht="33.75" customHeight="1" thickTop="1" thickBot="1" x14ac:dyDescent="0.25">
      <c r="A26" s="1631" t="str">
        <f>Dados!N89</f>
        <v>Copeira</v>
      </c>
      <c r="B26" s="1631"/>
      <c r="C26" s="1121" t="str">
        <f>Dados!J30</f>
        <v>44 horas semanais - 5x2</v>
      </c>
      <c r="D26" s="1121" t="str">
        <f>Dados!G25</f>
        <v>Postos de Serviços</v>
      </c>
      <c r="E26" s="292">
        <f>Dados!R89</f>
        <v>3</v>
      </c>
      <c r="F26" s="292">
        <f>Dados!S89</f>
        <v>1</v>
      </c>
      <c r="G26" s="292">
        <f>E26*F26</f>
        <v>3</v>
      </c>
    </row>
    <row r="27" spans="1:7" ht="14.25" hidden="1" customHeight="1" thickTop="1" x14ac:dyDescent="0.2">
      <c r="A27" s="1634" t="s">
        <v>725</v>
      </c>
      <c r="B27" s="1634"/>
      <c r="C27" s="1634"/>
      <c r="D27" s="1634"/>
      <c r="E27" s="1634"/>
      <c r="F27" s="1634"/>
      <c r="G27" s="1634"/>
    </row>
    <row r="28" spans="1:7" ht="14.25" hidden="1" customHeight="1" x14ac:dyDescent="0.2">
      <c r="A28" s="1618"/>
      <c r="B28" s="1618"/>
      <c r="C28" s="1618"/>
      <c r="D28" s="1618"/>
      <c r="E28" s="1618"/>
      <c r="F28" s="1618"/>
      <c r="G28" s="1618"/>
    </row>
    <row r="29" spans="1:7" ht="14.25" hidden="1" customHeight="1" x14ac:dyDescent="0.2">
      <c r="A29" s="1618" t="s">
        <v>724</v>
      </c>
      <c r="B29" s="1618"/>
      <c r="C29" s="1618"/>
      <c r="D29" s="1618"/>
      <c r="E29" s="1618"/>
      <c r="F29" s="1618"/>
      <c r="G29" s="1618"/>
    </row>
    <row r="30" spans="1:7" ht="14.25" hidden="1" customHeight="1" x14ac:dyDescent="0.2">
      <c r="A30" s="1618"/>
      <c r="B30" s="1618"/>
      <c r="C30" s="1618"/>
      <c r="D30" s="1618"/>
      <c r="E30" s="1618"/>
      <c r="F30" s="1618"/>
      <c r="G30" s="1618"/>
    </row>
    <row r="31" spans="1:7" ht="14.25" customHeight="1" thickTop="1" x14ac:dyDescent="0.2">
      <c r="A31" s="101"/>
      <c r="B31" s="101"/>
      <c r="C31" s="101"/>
      <c r="D31" s="101"/>
      <c r="E31" s="101"/>
      <c r="F31" s="572"/>
      <c r="G31" s="573"/>
    </row>
    <row r="32" spans="1:7" ht="14.25" customHeight="1" x14ac:dyDescent="0.2">
      <c r="A32" s="1124" t="s">
        <v>719</v>
      </c>
      <c r="B32" s="98"/>
      <c r="C32" s="98"/>
      <c r="D32" s="98"/>
      <c r="E32" s="98"/>
      <c r="G32" s="110"/>
    </row>
    <row r="33" spans="1:9" ht="6.75" customHeight="1" x14ac:dyDescent="0.2">
      <c r="A33" s="98"/>
      <c r="B33" s="98"/>
      <c r="C33" s="98"/>
      <c r="D33" s="98"/>
      <c r="E33" s="98"/>
      <c r="G33" s="110"/>
    </row>
    <row r="34" spans="1:9" ht="14.25" customHeight="1" x14ac:dyDescent="0.2">
      <c r="A34" s="1632" t="s">
        <v>159</v>
      </c>
      <c r="B34" s="1632"/>
      <c r="C34" s="1632"/>
      <c r="D34" s="1632"/>
      <c r="E34" s="1632"/>
      <c r="F34" s="1632"/>
      <c r="G34" s="1632"/>
    </row>
    <row r="35" spans="1:9" ht="14.25" customHeight="1" thickBot="1" x14ac:dyDescent="0.25">
      <c r="A35" s="1636" t="s">
        <v>102</v>
      </c>
      <c r="B35" s="1636"/>
      <c r="C35" s="1636"/>
      <c r="D35" s="1636"/>
      <c r="E35" s="1636"/>
      <c r="F35" s="1636"/>
      <c r="G35" s="1636"/>
    </row>
    <row r="36" spans="1:9" ht="15" customHeight="1" thickTop="1" thickBot="1" x14ac:dyDescent="0.25">
      <c r="A36" s="1633" t="s">
        <v>88</v>
      </c>
      <c r="B36" s="1633"/>
      <c r="C36" s="1633"/>
      <c r="D36" s="1633"/>
      <c r="E36" s="1633"/>
      <c r="F36" s="1633"/>
      <c r="G36" s="1633"/>
    </row>
    <row r="37" spans="1:9" ht="15.75" thickTop="1" thickBot="1" x14ac:dyDescent="0.25">
      <c r="A37" s="1121">
        <v>1</v>
      </c>
      <c r="B37" s="1633" t="s">
        <v>89</v>
      </c>
      <c r="C37" s="1633"/>
      <c r="D37" s="1633"/>
      <c r="E37" s="1633"/>
      <c r="F37" s="1631" t="str">
        <f>A26</f>
        <v>Copeira</v>
      </c>
      <c r="G37" s="1631"/>
    </row>
    <row r="38" spans="1:9" ht="15.75" thickTop="1" thickBot="1" x14ac:dyDescent="0.25">
      <c r="A38" s="1121">
        <v>2</v>
      </c>
      <c r="B38" s="1633" t="s">
        <v>720</v>
      </c>
      <c r="C38" s="1633"/>
      <c r="D38" s="1633"/>
      <c r="E38" s="1633"/>
      <c r="F38" s="1631" t="str">
        <f>Dados!O89</f>
        <v>5134-25</v>
      </c>
      <c r="G38" s="1631"/>
    </row>
    <row r="39" spans="1:9" ht="15.75" customHeight="1" thickTop="1" thickBot="1" x14ac:dyDescent="0.25">
      <c r="A39" s="1121">
        <v>3</v>
      </c>
      <c r="B39" s="1633" t="s">
        <v>90</v>
      </c>
      <c r="C39" s="1633"/>
      <c r="D39" s="1633"/>
      <c r="E39" s="1633"/>
      <c r="F39" s="1682">
        <f>Dados!U89</f>
        <v>1739.15</v>
      </c>
      <c r="G39" s="1682"/>
    </row>
    <row r="40" spans="1:9" ht="44.25" customHeight="1" thickTop="1" thickBot="1" x14ac:dyDescent="0.25">
      <c r="A40" s="1121">
        <v>4</v>
      </c>
      <c r="B40" s="1633" t="s">
        <v>10</v>
      </c>
      <c r="C40" s="1633"/>
      <c r="D40" s="1633"/>
      <c r="E40" s="1633"/>
      <c r="F40" s="1640" t="str">
        <f>Dados!P89</f>
        <v>Copeira de segunda a sexta-feira - 44 horas semanais</v>
      </c>
      <c r="G40" s="1640"/>
    </row>
    <row r="41" spans="1:9" ht="14.25" customHeight="1" thickTop="1" thickBot="1" x14ac:dyDescent="0.25">
      <c r="A41" s="1121">
        <v>5</v>
      </c>
      <c r="B41" s="1633" t="s">
        <v>11</v>
      </c>
      <c r="C41" s="1633"/>
      <c r="D41" s="1633"/>
      <c r="E41" s="1633"/>
      <c r="F41" s="1689" t="d">
        <f>VLOOKUP(F20,'CCT''S'!$A$7:$J$21,6,FALSE)</f>
        <v>2021-01-01</v>
      </c>
      <c r="G41" s="1690"/>
    </row>
    <row r="42" spans="1:9" ht="14.25" hidden="1" customHeight="1" thickTop="1" x14ac:dyDescent="0.2">
      <c r="A42" s="101" t="s">
        <v>726</v>
      </c>
      <c r="B42" s="129"/>
      <c r="C42" s="129"/>
      <c r="D42" s="129"/>
      <c r="E42" s="129"/>
      <c r="F42" s="103"/>
      <c r="G42" s="103"/>
    </row>
    <row r="43" spans="1:9" ht="14.25" hidden="1" customHeight="1" x14ac:dyDescent="0.2">
      <c r="A43" s="101" t="s">
        <v>727</v>
      </c>
      <c r="B43" s="129"/>
      <c r="C43" s="129"/>
      <c r="D43" s="129"/>
      <c r="E43" s="129"/>
      <c r="F43" s="103"/>
      <c r="G43" s="103"/>
    </row>
    <row r="44" spans="1:9" ht="14.25" customHeight="1" thickTop="1" x14ac:dyDescent="0.2">
      <c r="A44" s="98"/>
      <c r="B44" s="129"/>
      <c r="C44" s="129"/>
      <c r="D44" s="129"/>
      <c r="E44" s="129"/>
      <c r="F44" s="103"/>
      <c r="G44" s="103"/>
    </row>
    <row r="45" spans="1:9" s="576" customFormat="1" ht="15" thickBot="1" x14ac:dyDescent="0.25">
      <c r="A45" s="576" t="s">
        <v>30</v>
      </c>
    </row>
    <row r="46" spans="1:9" ht="18" customHeight="1" thickTop="1" thickBot="1" x14ac:dyDescent="0.25">
      <c r="A46" s="1131">
        <v>1</v>
      </c>
      <c r="B46" s="1672" t="s">
        <v>91</v>
      </c>
      <c r="C46" s="1673"/>
      <c r="D46" s="1673"/>
      <c r="E46" s="1674"/>
      <c r="F46" s="1125" t="s">
        <v>746</v>
      </c>
      <c r="G46" s="1131" t="s">
        <v>121</v>
      </c>
      <c r="H46" s="111"/>
      <c r="I46" s="111"/>
    </row>
    <row r="47" spans="1:9" ht="15.75" thickTop="1" thickBot="1" x14ac:dyDescent="0.25">
      <c r="A47" s="112" t="s">
        <v>1</v>
      </c>
      <c r="B47" s="1132" t="s">
        <v>674</v>
      </c>
      <c r="C47" s="1133"/>
      <c r="D47" s="1133"/>
      <c r="E47" s="1134"/>
      <c r="F47" s="115"/>
      <c r="G47" s="116">
        <f>$F$39*F14</f>
        <v>1739.15</v>
      </c>
      <c r="H47" s="111"/>
      <c r="I47" s="111"/>
    </row>
    <row r="48" spans="1:9" ht="15.75" thickTop="1" thickBot="1" x14ac:dyDescent="0.25">
      <c r="A48" s="112" t="s">
        <v>2</v>
      </c>
      <c r="B48" s="1132" t="str">
        <f>Dados!A36</f>
        <v xml:space="preserve">Adicional de Periculosidade </v>
      </c>
      <c r="C48" s="1133"/>
      <c r="D48" s="1133"/>
      <c r="E48" s="1134"/>
      <c r="F48" s="369">
        <f>Dados!G36</f>
        <v>0.3</v>
      </c>
      <c r="G48" s="117"/>
      <c r="H48" s="111"/>
      <c r="I48" s="111"/>
    </row>
    <row r="49" spans="1:9" ht="15.75" thickTop="1" thickBot="1" x14ac:dyDescent="0.25">
      <c r="A49" s="112" t="s">
        <v>4</v>
      </c>
      <c r="B49" s="1132" t="s">
        <v>908</v>
      </c>
      <c r="C49" s="1133"/>
      <c r="D49" s="1133"/>
      <c r="E49" s="1134"/>
      <c r="F49" s="369"/>
      <c r="G49" s="117"/>
      <c r="H49" s="111"/>
      <c r="I49" s="111"/>
    </row>
    <row r="50" spans="1:9" ht="15.75" thickTop="1" thickBot="1" x14ac:dyDescent="0.25">
      <c r="A50" s="112" t="s">
        <v>5</v>
      </c>
      <c r="B50" s="1132" t="s">
        <v>12</v>
      </c>
      <c r="C50" s="1133"/>
      <c r="D50" s="1133"/>
      <c r="E50" s="1134"/>
      <c r="F50" s="369">
        <f>Dados!G39</f>
        <v>0.2</v>
      </c>
      <c r="G50" s="117"/>
      <c r="H50" s="111"/>
      <c r="I50" s="111"/>
    </row>
    <row r="51" spans="1:9" ht="15.75" thickTop="1" thickBot="1" x14ac:dyDescent="0.25">
      <c r="A51" s="112" t="s">
        <v>6</v>
      </c>
      <c r="B51" s="1132" t="s">
        <v>728</v>
      </c>
      <c r="C51" s="1133"/>
      <c r="D51" s="1133"/>
      <c r="E51" s="1134"/>
      <c r="F51" s="369"/>
      <c r="G51" s="117"/>
      <c r="H51" s="111"/>
      <c r="I51" s="111"/>
    </row>
    <row r="52" spans="1:9" ht="15.75" thickTop="1" thickBot="1" x14ac:dyDescent="0.25">
      <c r="A52" s="112" t="s">
        <v>7</v>
      </c>
      <c r="B52" s="1132" t="s">
        <v>57</v>
      </c>
      <c r="C52" s="1133"/>
      <c r="D52" s="1133"/>
      <c r="E52" s="1134"/>
      <c r="F52" s="369"/>
      <c r="G52" s="117"/>
      <c r="H52" s="111"/>
      <c r="I52" s="111"/>
    </row>
    <row r="53" spans="1:9" ht="16.5" customHeight="1" thickTop="1" thickBot="1" x14ac:dyDescent="0.25">
      <c r="A53" s="1644" t="s">
        <v>232</v>
      </c>
      <c r="B53" s="1645"/>
      <c r="C53" s="1645"/>
      <c r="D53" s="1645"/>
      <c r="E53" s="1645"/>
      <c r="F53" s="1646"/>
      <c r="G53" s="119">
        <f>SUM(G47:G52)</f>
        <v>1739.15</v>
      </c>
      <c r="H53" s="111"/>
      <c r="I53" s="111"/>
    </row>
    <row r="54" spans="1:9" s="68" customFormat="1" ht="15" hidden="1" thickTop="1" x14ac:dyDescent="0.2">
      <c r="A54" s="101" t="s">
        <v>729</v>
      </c>
      <c r="B54" s="101"/>
      <c r="C54" s="101"/>
      <c r="D54" s="101"/>
      <c r="E54" s="101"/>
      <c r="F54" s="574"/>
      <c r="G54" s="575"/>
      <c r="H54" s="122"/>
      <c r="I54" s="122"/>
    </row>
    <row r="55" spans="1:9" s="68" customFormat="1" ht="14.25" hidden="1" customHeight="1" x14ac:dyDescent="0.2">
      <c r="A55" s="1618" t="s">
        <v>958</v>
      </c>
      <c r="B55" s="1618"/>
      <c r="C55" s="1618"/>
      <c r="D55" s="1618"/>
      <c r="E55" s="1618"/>
      <c r="F55" s="1618"/>
      <c r="G55" s="1618"/>
      <c r="H55" s="122"/>
      <c r="I55" s="122"/>
    </row>
    <row r="56" spans="1:9" s="68" customFormat="1" hidden="1" x14ac:dyDescent="0.2">
      <c r="A56" s="1618"/>
      <c r="B56" s="1618"/>
      <c r="C56" s="1618"/>
      <c r="D56" s="1618"/>
      <c r="E56" s="1618"/>
      <c r="F56" s="1618"/>
      <c r="G56" s="1618"/>
      <c r="H56" s="122"/>
      <c r="I56" s="122"/>
    </row>
    <row r="57" spans="1:9" s="68" customFormat="1" ht="15" thickTop="1" x14ac:dyDescent="0.2">
      <c r="A57" s="101"/>
      <c r="B57" s="101"/>
      <c r="C57" s="101"/>
      <c r="D57" s="101"/>
      <c r="E57" s="101"/>
      <c r="F57" s="574"/>
      <c r="G57" s="575"/>
      <c r="H57" s="122"/>
      <c r="I57" s="122"/>
    </row>
    <row r="58" spans="1:9" s="68" customFormat="1" x14ac:dyDescent="0.2">
      <c r="A58" s="1629" t="s">
        <v>730</v>
      </c>
      <c r="B58" s="1629"/>
      <c r="C58" s="1629"/>
      <c r="D58" s="1629"/>
      <c r="E58" s="1629"/>
      <c r="F58" s="1629"/>
      <c r="G58" s="1629"/>
      <c r="H58" s="122"/>
      <c r="I58" s="122"/>
    </row>
    <row r="59" spans="1:9" s="68" customFormat="1" ht="5.25" customHeight="1" x14ac:dyDescent="0.2">
      <c r="A59" s="101"/>
      <c r="B59" s="101"/>
      <c r="C59" s="101"/>
      <c r="D59" s="101"/>
      <c r="E59" s="101"/>
      <c r="F59" s="574"/>
      <c r="G59" s="575"/>
      <c r="H59" s="122"/>
      <c r="I59" s="122"/>
    </row>
    <row r="60" spans="1:9" s="68" customFormat="1" ht="15" thickBot="1" x14ac:dyDescent="0.25">
      <c r="A60" s="1632" t="s">
        <v>737</v>
      </c>
      <c r="B60" s="1632"/>
      <c r="C60" s="1632"/>
      <c r="D60" s="1632"/>
      <c r="E60" s="1632"/>
      <c r="F60" s="1632"/>
      <c r="G60" s="1632"/>
      <c r="H60" s="122"/>
      <c r="I60" s="122"/>
    </row>
    <row r="61" spans="1:9" s="68" customFormat="1" ht="15.75" thickTop="1" thickBot="1" x14ac:dyDescent="0.25">
      <c r="A61" s="1125" t="s">
        <v>732</v>
      </c>
      <c r="B61" s="1635" t="s">
        <v>747</v>
      </c>
      <c r="C61" s="1635"/>
      <c r="D61" s="1635"/>
      <c r="E61" s="1635"/>
      <c r="F61" s="1125" t="s">
        <v>746</v>
      </c>
      <c r="G61" s="1131" t="s">
        <v>121</v>
      </c>
      <c r="H61" s="122"/>
      <c r="I61" s="122"/>
    </row>
    <row r="62" spans="1:9" s="68" customFormat="1" ht="15.75" thickTop="1" thickBot="1" x14ac:dyDescent="0.25">
      <c r="A62" s="1121" t="s">
        <v>1</v>
      </c>
      <c r="B62" s="136" t="str">
        <f>Dados!B92</f>
        <v xml:space="preserve">13º (décimo terceiro) salário  </v>
      </c>
      <c r="C62" s="285"/>
      <c r="D62" s="137"/>
      <c r="E62" s="126"/>
      <c r="F62" s="138">
        <f>Dados!G92</f>
        <v>9.0899999999999995E-2</v>
      </c>
      <c r="G62" s="127">
        <f>F62*$G$53</f>
        <v>158.09</v>
      </c>
      <c r="H62" s="122"/>
      <c r="I62" s="122"/>
    </row>
    <row r="63" spans="1:9" s="68" customFormat="1" ht="15.75" thickTop="1" thickBot="1" x14ac:dyDescent="0.25">
      <c r="A63" s="1121" t="s">
        <v>2</v>
      </c>
      <c r="B63" s="1655" t="str">
        <f>Dados!B93</f>
        <v xml:space="preserve"> Férias e Adicional de Férias</v>
      </c>
      <c r="C63" s="1655"/>
      <c r="D63" s="1655"/>
      <c r="E63" s="1655"/>
      <c r="F63" s="138">
        <f>Dados!G93</f>
        <v>0.1212</v>
      </c>
      <c r="G63" s="127">
        <f>F63*$G$53</f>
        <v>210.78</v>
      </c>
      <c r="H63" s="122"/>
      <c r="I63" s="122"/>
    </row>
    <row r="64" spans="1:9" s="68" customFormat="1" ht="18.75" customHeight="1" thickTop="1" thickBot="1" x14ac:dyDescent="0.25">
      <c r="A64" s="1644" t="s">
        <v>232</v>
      </c>
      <c r="B64" s="1645"/>
      <c r="C64" s="1645"/>
      <c r="D64" s="1645"/>
      <c r="E64" s="1646"/>
      <c r="F64" s="139">
        <f>SUM(F62:F63)</f>
        <v>0.21210000000000001</v>
      </c>
      <c r="G64" s="133">
        <f>SUM(G62:G63)</f>
        <v>368.87</v>
      </c>
      <c r="H64" s="122"/>
      <c r="I64" s="623"/>
    </row>
    <row r="65" spans="1:9" s="68" customFormat="1" ht="15" hidden="1" customHeight="1" thickTop="1" x14ac:dyDescent="0.2">
      <c r="A65" s="1618" t="s">
        <v>736</v>
      </c>
      <c r="B65" s="1618"/>
      <c r="C65" s="1618"/>
      <c r="D65" s="1618"/>
      <c r="E65" s="1618"/>
      <c r="F65" s="1618"/>
      <c r="G65" s="1618"/>
      <c r="H65" s="122"/>
      <c r="I65" s="623"/>
    </row>
    <row r="66" spans="1:9" s="68" customFormat="1" hidden="1" x14ac:dyDescent="0.2">
      <c r="A66" s="1618"/>
      <c r="B66" s="1618"/>
      <c r="C66" s="1618"/>
      <c r="D66" s="1618"/>
      <c r="E66" s="1618"/>
      <c r="F66" s="1618"/>
      <c r="G66" s="1618"/>
      <c r="H66" s="122"/>
      <c r="I66" s="623"/>
    </row>
    <row r="67" spans="1:9" s="68" customFormat="1" ht="14.25" hidden="1" customHeight="1" x14ac:dyDescent="0.2">
      <c r="A67" s="1643" t="s">
        <v>934</v>
      </c>
      <c r="B67" s="1643"/>
      <c r="C67" s="1643"/>
      <c r="D67" s="1643"/>
      <c r="E67" s="1643"/>
      <c r="F67" s="1643"/>
      <c r="G67" s="1643"/>
      <c r="H67" s="122"/>
      <c r="I67" s="623"/>
    </row>
    <row r="68" spans="1:9" s="68" customFormat="1" hidden="1" x14ac:dyDescent="0.2">
      <c r="A68" s="1643"/>
      <c r="B68" s="1643"/>
      <c r="C68" s="1643"/>
      <c r="D68" s="1643"/>
      <c r="E68" s="1643"/>
      <c r="F68" s="1643"/>
      <c r="G68" s="1643"/>
      <c r="H68" s="122"/>
      <c r="I68" s="623"/>
    </row>
    <row r="69" spans="1:9" s="68" customFormat="1" ht="14.25" hidden="1" customHeight="1" x14ac:dyDescent="0.2">
      <c r="A69" s="1618" t="s">
        <v>916</v>
      </c>
      <c r="B69" s="1618"/>
      <c r="C69" s="1618"/>
      <c r="D69" s="1618"/>
      <c r="E69" s="1618"/>
      <c r="F69" s="1618"/>
      <c r="G69" s="1618"/>
      <c r="H69" s="122"/>
      <c r="I69" s="623"/>
    </row>
    <row r="70" spans="1:9" s="68" customFormat="1" hidden="1" x14ac:dyDescent="0.2">
      <c r="A70" s="1618"/>
      <c r="B70" s="1618"/>
      <c r="C70" s="1618"/>
      <c r="D70" s="1618"/>
      <c r="E70" s="1618"/>
      <c r="F70" s="1618"/>
      <c r="G70" s="1618"/>
      <c r="H70" s="122"/>
      <c r="I70" s="623"/>
    </row>
    <row r="71" spans="1:9" s="68" customFormat="1" hidden="1" x14ac:dyDescent="0.2">
      <c r="A71" s="1618"/>
      <c r="B71" s="1618"/>
      <c r="C71" s="1618"/>
      <c r="D71" s="1618"/>
      <c r="E71" s="1618"/>
      <c r="F71" s="1618"/>
      <c r="G71" s="1618"/>
      <c r="H71" s="122"/>
      <c r="I71" s="623"/>
    </row>
    <row r="72" spans="1:9" s="68" customFormat="1" ht="15.75" thickTop="1" thickBot="1" x14ac:dyDescent="0.25">
      <c r="A72" s="1122"/>
      <c r="B72" s="1122"/>
      <c r="C72" s="1122"/>
      <c r="D72" s="1122"/>
      <c r="E72" s="1122"/>
      <c r="F72" s="1122"/>
      <c r="G72" s="1122"/>
      <c r="H72" s="122"/>
      <c r="I72" s="623"/>
    </row>
    <row r="73" spans="1:9" s="68" customFormat="1" ht="15.75" customHeight="1" thickTop="1" thickBot="1" x14ac:dyDescent="0.25">
      <c r="A73" s="1652" t="s">
        <v>804</v>
      </c>
      <c r="B73" s="1653"/>
      <c r="C73" s="1653"/>
      <c r="D73" s="1653"/>
      <c r="E73" s="1653"/>
      <c r="F73" s="1654"/>
      <c r="G73" s="1131" t="s">
        <v>121</v>
      </c>
      <c r="H73" s="122"/>
      <c r="I73" s="623"/>
    </row>
    <row r="74" spans="1:9" s="68" customFormat="1" ht="15.75" thickTop="1" thickBot="1" x14ac:dyDescent="0.25">
      <c r="A74" s="1121">
        <v>1</v>
      </c>
      <c r="B74" s="136" t="str">
        <f>A45</f>
        <v>Módulo 1 - Composição da Remuneração</v>
      </c>
      <c r="C74" s="285"/>
      <c r="D74" s="137"/>
      <c r="E74" s="137"/>
      <c r="F74" s="582"/>
      <c r="G74" s="127">
        <f>G53</f>
        <v>1739.15</v>
      </c>
      <c r="H74" s="122"/>
      <c r="I74" s="623"/>
    </row>
    <row r="75" spans="1:9" s="68" customFormat="1" ht="15.75" thickTop="1" thickBot="1" x14ac:dyDescent="0.25">
      <c r="A75" s="1121" t="s">
        <v>732</v>
      </c>
      <c r="B75" s="136" t="str">
        <f>A60</f>
        <v>Submódulo 2.1 - 13º (décimo terceiro) Salário, Férias e Adicional de Férias</v>
      </c>
      <c r="C75" s="285"/>
      <c r="D75" s="137"/>
      <c r="E75" s="137"/>
      <c r="F75" s="582"/>
      <c r="G75" s="127">
        <f>G64</f>
        <v>368.87</v>
      </c>
      <c r="H75" s="122"/>
      <c r="I75" s="122"/>
    </row>
    <row r="76" spans="1:9" s="68" customFormat="1" ht="15.75" thickTop="1" thickBot="1" x14ac:dyDescent="0.25">
      <c r="A76" s="1686" t="s">
        <v>805</v>
      </c>
      <c r="B76" s="1687"/>
      <c r="C76" s="1687"/>
      <c r="D76" s="1687"/>
      <c r="E76" s="1687"/>
      <c r="F76" s="1688"/>
      <c r="G76" s="133">
        <f>SUM(G74:G75)</f>
        <v>2108.02</v>
      </c>
      <c r="H76" s="122"/>
      <c r="I76" s="122"/>
    </row>
    <row r="77" spans="1:9" s="68" customFormat="1" ht="15" thickTop="1" x14ac:dyDescent="0.2">
      <c r="A77" s="1122"/>
      <c r="B77" s="1122"/>
      <c r="C77" s="1122"/>
      <c r="D77" s="1122"/>
      <c r="E77" s="1122"/>
      <c r="F77" s="1122"/>
      <c r="G77" s="1122"/>
      <c r="H77" s="122"/>
      <c r="I77" s="122"/>
    </row>
    <row r="78" spans="1:9" ht="15" thickBot="1" x14ac:dyDescent="0.25">
      <c r="A78" s="134" t="s">
        <v>738</v>
      </c>
      <c r="B78" s="135"/>
      <c r="C78" s="135"/>
      <c r="D78" s="135"/>
      <c r="E78" s="135"/>
      <c r="F78" s="135"/>
      <c r="G78" s="135"/>
      <c r="H78" s="111"/>
      <c r="I78" s="111"/>
    </row>
    <row r="79" spans="1:9" ht="15.75" thickTop="1" thickBot="1" x14ac:dyDescent="0.25">
      <c r="A79" s="1125" t="s">
        <v>731</v>
      </c>
      <c r="B79" s="1635" t="s">
        <v>745</v>
      </c>
      <c r="C79" s="1635"/>
      <c r="D79" s="1635"/>
      <c r="E79" s="1635"/>
      <c r="F79" s="1125" t="s">
        <v>746</v>
      </c>
      <c r="G79" s="1131" t="s">
        <v>121</v>
      </c>
      <c r="H79" s="111"/>
      <c r="I79" s="111"/>
    </row>
    <row r="80" spans="1:9" ht="15.75" thickTop="1" thickBot="1" x14ac:dyDescent="0.25">
      <c r="A80" s="1121" t="s">
        <v>1</v>
      </c>
      <c r="B80" s="136" t="str">
        <f>Dados!B98</f>
        <v>INSS</v>
      </c>
      <c r="C80" s="285"/>
      <c r="D80" s="137"/>
      <c r="E80" s="126"/>
      <c r="F80" s="138">
        <f>Dados!G98</f>
        <v>0.2</v>
      </c>
      <c r="G80" s="127">
        <f t="shared" ref="G80:G87" si="0">$G$76*F80</f>
        <v>421.6</v>
      </c>
      <c r="H80" s="111"/>
      <c r="I80" s="111"/>
    </row>
    <row r="81" spans="1:9" ht="15.75" thickTop="1" thickBot="1" x14ac:dyDescent="0.25">
      <c r="A81" s="1121" t="s">
        <v>2</v>
      </c>
      <c r="B81" s="136" t="str">
        <f>Dados!B99</f>
        <v>Salário Educação</v>
      </c>
      <c r="C81" s="285"/>
      <c r="D81" s="137"/>
      <c r="E81" s="126"/>
      <c r="F81" s="138">
        <f>Dados!G99</f>
        <v>2.5000000000000001E-2</v>
      </c>
      <c r="G81" s="127">
        <f t="shared" si="0"/>
        <v>52.7</v>
      </c>
      <c r="H81" s="111"/>
      <c r="I81" s="111"/>
    </row>
    <row r="82" spans="1:9" ht="15.75" thickTop="1" thickBot="1" x14ac:dyDescent="0.25">
      <c r="A82" s="1121" t="s">
        <v>4</v>
      </c>
      <c r="B82" s="136" t="str">
        <f>Dados!B100</f>
        <v>Seguro Acidente do Trabalho - SAT = RAT x FAP</v>
      </c>
      <c r="C82" s="285"/>
      <c r="D82" s="137"/>
      <c r="E82" s="126"/>
      <c r="F82" s="138">
        <f>Dados!G100</f>
        <v>1.2200000000000001E-2</v>
      </c>
      <c r="G82" s="127">
        <f t="shared" si="0"/>
        <v>25.72</v>
      </c>
      <c r="H82" s="111"/>
      <c r="I82" s="111"/>
    </row>
    <row r="83" spans="1:9" ht="15.75" thickTop="1" thickBot="1" x14ac:dyDescent="0.25">
      <c r="A83" s="1121" t="s">
        <v>5</v>
      </c>
      <c r="B83" s="136" t="str">
        <f>Dados!B101</f>
        <v>SESI ou SESC</v>
      </c>
      <c r="C83" s="285"/>
      <c r="D83" s="137"/>
      <c r="E83" s="126"/>
      <c r="F83" s="138">
        <f>Dados!G101</f>
        <v>1.4999999999999999E-2</v>
      </c>
      <c r="G83" s="127">
        <f t="shared" si="0"/>
        <v>31.62</v>
      </c>
      <c r="H83" s="111"/>
      <c r="I83" s="111"/>
    </row>
    <row r="84" spans="1:9" ht="15.75" thickTop="1" thickBot="1" x14ac:dyDescent="0.25">
      <c r="A84" s="1121" t="s">
        <v>6</v>
      </c>
      <c r="B84" s="136" t="str">
        <f>Dados!B102</f>
        <v>SENAI ou SENAC</v>
      </c>
      <c r="C84" s="285"/>
      <c r="D84" s="137"/>
      <c r="E84" s="126"/>
      <c r="F84" s="138">
        <f>Dados!G102</f>
        <v>0.01</v>
      </c>
      <c r="G84" s="127">
        <f t="shared" si="0"/>
        <v>21.08</v>
      </c>
      <c r="H84" s="111"/>
      <c r="I84" s="111"/>
    </row>
    <row r="85" spans="1:9" ht="15.75" thickTop="1" thickBot="1" x14ac:dyDescent="0.25">
      <c r="A85" s="1121" t="s">
        <v>7</v>
      </c>
      <c r="B85" s="136" t="str">
        <f>Dados!B103</f>
        <v>SEBRAE</v>
      </c>
      <c r="C85" s="285"/>
      <c r="D85" s="137"/>
      <c r="E85" s="126"/>
      <c r="F85" s="138">
        <f>Dados!G103</f>
        <v>6.0000000000000001E-3</v>
      </c>
      <c r="G85" s="127">
        <f t="shared" si="0"/>
        <v>12.65</v>
      </c>
      <c r="H85" s="111"/>
      <c r="I85" s="111"/>
    </row>
    <row r="86" spans="1:9" ht="15.75" thickTop="1" thickBot="1" x14ac:dyDescent="0.25">
      <c r="A86" s="1121" t="s">
        <v>8</v>
      </c>
      <c r="B86" s="136" t="str">
        <f>Dados!B104</f>
        <v>INCRA</v>
      </c>
      <c r="C86" s="285"/>
      <c r="D86" s="137"/>
      <c r="E86" s="126"/>
      <c r="F86" s="138">
        <f>Dados!G104</f>
        <v>2E-3</v>
      </c>
      <c r="G86" s="127">
        <f t="shared" si="0"/>
        <v>4.22</v>
      </c>
      <c r="H86" s="111"/>
      <c r="I86" s="111"/>
    </row>
    <row r="87" spans="1:9" ht="15.75" thickTop="1" thickBot="1" x14ac:dyDescent="0.25">
      <c r="A87" s="1121" t="s">
        <v>9</v>
      </c>
      <c r="B87" s="136" t="str">
        <f>Dados!B105</f>
        <v>FGTS</v>
      </c>
      <c r="C87" s="285"/>
      <c r="D87" s="137"/>
      <c r="E87" s="126"/>
      <c r="F87" s="138">
        <f>Dados!G105</f>
        <v>0.08</v>
      </c>
      <c r="G87" s="127">
        <f t="shared" si="0"/>
        <v>168.64</v>
      </c>
      <c r="H87" s="111"/>
      <c r="I87" s="111"/>
    </row>
    <row r="88" spans="1:9" ht="15.75" customHeight="1" thickTop="1" thickBot="1" x14ac:dyDescent="0.25">
      <c r="A88" s="1644" t="s">
        <v>232</v>
      </c>
      <c r="B88" s="1645"/>
      <c r="C88" s="1645"/>
      <c r="D88" s="1645"/>
      <c r="E88" s="1646"/>
      <c r="F88" s="139">
        <f>SUM(F80:F87)</f>
        <v>0.35020000000000001</v>
      </c>
      <c r="G88" s="133">
        <f>SUM(G80:G87)</f>
        <v>738.23</v>
      </c>
      <c r="H88" s="111"/>
      <c r="I88" s="625"/>
    </row>
    <row r="89" spans="1:9" ht="15" hidden="1" customHeight="1" thickTop="1" x14ac:dyDescent="0.2">
      <c r="A89" s="1618" t="s">
        <v>740</v>
      </c>
      <c r="B89" s="1618"/>
      <c r="C89" s="1618"/>
      <c r="D89" s="1618"/>
      <c r="E89" s="1618"/>
      <c r="F89" s="1618"/>
      <c r="G89" s="1618"/>
      <c r="H89" s="111"/>
      <c r="I89" s="111"/>
    </row>
    <row r="90" spans="1:9" ht="33" hidden="1" customHeight="1" x14ac:dyDescent="0.2">
      <c r="A90" s="1618" t="s">
        <v>739</v>
      </c>
      <c r="B90" s="1618"/>
      <c r="C90" s="1618"/>
      <c r="D90" s="1618"/>
      <c r="E90" s="1618"/>
      <c r="F90" s="1618"/>
      <c r="G90" s="1618"/>
      <c r="H90" s="111"/>
      <c r="I90" s="111"/>
    </row>
    <row r="91" spans="1:9" hidden="1" x14ac:dyDescent="0.2">
      <c r="A91" s="577" t="s">
        <v>917</v>
      </c>
      <c r="B91" s="1124"/>
      <c r="C91" s="1124"/>
      <c r="D91" s="1124"/>
      <c r="E91" s="1124"/>
      <c r="F91" s="1124"/>
      <c r="G91" s="1124"/>
      <c r="H91" s="111"/>
      <c r="I91" s="111"/>
    </row>
    <row r="92" spans="1:9" hidden="1" x14ac:dyDescent="0.2">
      <c r="A92" s="577" t="s">
        <v>803</v>
      </c>
      <c r="B92" s="1124"/>
      <c r="C92" s="1124"/>
      <c r="D92" s="1124"/>
      <c r="E92" s="1124"/>
      <c r="F92" s="1124"/>
      <c r="G92" s="1124"/>
      <c r="H92" s="111"/>
      <c r="I92" s="111"/>
    </row>
    <row r="93" spans="1:9" ht="15.75" thickTop="1" x14ac:dyDescent="0.2">
      <c r="A93" s="578"/>
      <c r="B93" s="1124"/>
      <c r="C93" s="1124"/>
      <c r="D93" s="1124"/>
      <c r="E93" s="1124"/>
      <c r="F93" s="1124"/>
      <c r="G93" s="1124"/>
      <c r="H93" s="111"/>
      <c r="I93" s="111"/>
    </row>
    <row r="94" spans="1:9" ht="15" thickBot="1" x14ac:dyDescent="0.25">
      <c r="A94" s="576" t="s">
        <v>741</v>
      </c>
      <c r="B94" s="1124"/>
      <c r="C94" s="1124"/>
      <c r="D94" s="1124"/>
      <c r="E94" s="1124"/>
      <c r="F94" s="1124"/>
      <c r="G94" s="1124"/>
      <c r="H94" s="111"/>
      <c r="I94" s="111"/>
    </row>
    <row r="95" spans="1:9" ht="15.75" thickTop="1" thickBot="1" x14ac:dyDescent="0.25">
      <c r="A95" s="1125" t="s">
        <v>742</v>
      </c>
      <c r="B95" s="1652" t="s">
        <v>26</v>
      </c>
      <c r="C95" s="1653"/>
      <c r="D95" s="1653"/>
      <c r="E95" s="1653"/>
      <c r="F95" s="1125" t="s">
        <v>746</v>
      </c>
      <c r="G95" s="1127" t="s">
        <v>121</v>
      </c>
      <c r="H95" s="111"/>
      <c r="I95" s="111"/>
    </row>
    <row r="96" spans="1:9" ht="15.75" thickTop="1" thickBot="1" x14ac:dyDescent="0.25">
      <c r="A96" s="1631" t="s">
        <v>1</v>
      </c>
      <c r="B96" s="1132" t="str">
        <f>HLOOKUP($F$20,BENEFÍCIOS!$B$25:$O$38,5,FALSE)</f>
        <v>Auxílio Transporte - Cláusula 15ª da CCT</v>
      </c>
      <c r="C96" s="1133"/>
      <c r="D96" s="566"/>
      <c r="E96" s="938">
        <f>INDEX(Dados!$J$27:$M$31,MATCH($C$26,Dados!$J$27:$J$31,0),4)</f>
        <v>22</v>
      </c>
      <c r="F96" s="939">
        <f>Dados!J45</f>
        <v>9.64</v>
      </c>
      <c r="G96" s="299">
        <f>$E$96*F96*$F$14</f>
        <v>212.08</v>
      </c>
      <c r="H96" s="111"/>
      <c r="I96" s="111"/>
    </row>
    <row r="97" spans="1:9" ht="15.75" thickTop="1" thickBot="1" x14ac:dyDescent="0.25">
      <c r="A97" s="1631"/>
      <c r="B97" s="1132" t="str">
        <f>Dados!A46</f>
        <v>Desconto Legal sobre o salário</v>
      </c>
      <c r="C97" s="1133"/>
      <c r="D97" s="566"/>
      <c r="E97" s="940"/>
      <c r="F97" s="937">
        <f>Dados!J46</f>
        <v>0.06</v>
      </c>
      <c r="G97" s="495">
        <f>-MIN(G96,(F97*G47))</f>
        <v>-104.35</v>
      </c>
      <c r="H97" s="111"/>
      <c r="I97" s="111"/>
    </row>
    <row r="98" spans="1:9" ht="15.75" thickTop="1" thickBot="1" x14ac:dyDescent="0.25">
      <c r="A98" s="1675" t="s">
        <v>2</v>
      </c>
      <c r="B98" s="1132" t="str">
        <f>HLOOKUP($F$20,BENEFÍCIOS!$B$25:$O$38,2,FALSE)</f>
        <v>Auxílio Alimentação - Cláusula 14ª da CCT</v>
      </c>
      <c r="C98" s="1133"/>
      <c r="D98" s="566"/>
      <c r="E98" s="938">
        <f>INDEX(Dados!$J$27:$M$31,MATCH($C$26,Dados!$J$27:$J$31,0),4)</f>
        <v>22</v>
      </c>
      <c r="F98" s="939">
        <f>Dados!J48</f>
        <v>35</v>
      </c>
      <c r="G98" s="299">
        <f>(E98*F98)*$F$14</f>
        <v>770</v>
      </c>
      <c r="H98" s="111"/>
      <c r="I98" s="111"/>
    </row>
    <row r="99" spans="1:9" ht="15.75" hidden="1" thickTop="1" thickBot="1" x14ac:dyDescent="0.25">
      <c r="A99" s="1677"/>
      <c r="B99" s="1132" t="str">
        <f>HLOOKUP($F$20,BENEFÍCIOS!$B$25:$O$38,3,FALSE)</f>
        <v>Desconto do Auxílio Alimentação</v>
      </c>
      <c r="C99" s="132"/>
      <c r="D99" s="107"/>
      <c r="E99" s="296"/>
      <c r="F99" s="939">
        <f>Dados!J49</f>
        <v>0</v>
      </c>
      <c r="G99" s="300">
        <f>-F99*E98</f>
        <v>0</v>
      </c>
      <c r="H99" s="111"/>
      <c r="I99" s="111"/>
    </row>
    <row r="100" spans="1:9" ht="15.75" hidden="1" thickTop="1" thickBot="1" x14ac:dyDescent="0.25">
      <c r="A100" s="1121" t="s">
        <v>4</v>
      </c>
      <c r="B100" s="1132" t="str">
        <f>HLOOKUP($F$20,BENEFÍCIOS!$B$25:$O$38,4,FALSE)</f>
        <v>Auxílio Café da Manhã</v>
      </c>
      <c r="C100" s="132"/>
      <c r="D100" s="107"/>
      <c r="E100" s="296"/>
      <c r="F100" s="939">
        <f>Dados!J50</f>
        <v>0</v>
      </c>
      <c r="G100" s="300">
        <f t="shared" ref="G100:G109" si="1">F100*$F$14</f>
        <v>0</v>
      </c>
      <c r="H100" s="111"/>
      <c r="I100" s="111"/>
    </row>
    <row r="101" spans="1:9" ht="15.75" thickTop="1" thickBot="1" x14ac:dyDescent="0.25">
      <c r="A101" s="1678" t="s">
        <v>4</v>
      </c>
      <c r="B101" s="962" t="str">
        <f>HLOOKUP($F$20,BENEFÍCIOS!$B$25:$O$38,6,FALSE) &amp; " " &amp; "(Pagamento por ressarcimento)"</f>
        <v>Plano Ambulatorial - Cláusula 16ª da CCT (Pagamento por ressarcimento)</v>
      </c>
      <c r="C101" s="963"/>
      <c r="D101" s="964"/>
      <c r="E101" s="965"/>
      <c r="F101" s="966"/>
      <c r="G101" s="967">
        <f>F101*$F$14</f>
        <v>0</v>
      </c>
      <c r="H101" s="111"/>
      <c r="I101" s="111"/>
    </row>
    <row r="102" spans="1:9" ht="15.75" hidden="1" thickTop="1" thickBot="1" x14ac:dyDescent="0.25">
      <c r="A102" s="1679"/>
      <c r="B102" s="962" t="str">
        <f>HLOOKUP($F$20,BENEFÍCIOS!$B$25:$O$38,7,FALSE)</f>
        <v>Plano Ambulatorial - Contr. Empresa - Cláusula 16ª da CCT</v>
      </c>
      <c r="C102" s="963"/>
      <c r="D102" s="964"/>
      <c r="E102" s="965"/>
      <c r="F102" s="966">
        <f>Dados!J52</f>
        <v>0</v>
      </c>
      <c r="G102" s="967">
        <f>F102*$F$14</f>
        <v>0</v>
      </c>
      <c r="H102" s="111"/>
      <c r="I102" s="111"/>
    </row>
    <row r="103" spans="1:9" ht="15.75" hidden="1" thickTop="1" thickBot="1" x14ac:dyDescent="0.25">
      <c r="A103" s="1680"/>
      <c r="B103" s="962" t="str">
        <f>HLOOKUP($F$20,BENEFÍCIOS!$B$25:$O$38,8,FALSE)</f>
        <v>Plano Ambulatorial - Contr. Empregado - Cláusula 16ª da CCT</v>
      </c>
      <c r="C103" s="963"/>
      <c r="D103" s="964"/>
      <c r="E103" s="965"/>
      <c r="F103" s="966">
        <f>Dados!J53</f>
        <v>0</v>
      </c>
      <c r="G103" s="967">
        <f>-F103*$F$14</f>
        <v>0</v>
      </c>
      <c r="H103" s="111"/>
      <c r="I103" s="111"/>
    </row>
    <row r="104" spans="1:9" ht="15.75" thickTop="1" thickBot="1" x14ac:dyDescent="0.25">
      <c r="A104" s="1121" t="s">
        <v>5</v>
      </c>
      <c r="B104" s="1132" t="str">
        <f>HLOOKUP($F$20,BENEFÍCIOS!$B$25:$O$38,9,FALSE)</f>
        <v>Seguro de Vida e Assistência Funeral - Cláusula 18ª da CCT</v>
      </c>
      <c r="C104" s="132"/>
      <c r="D104" s="107"/>
      <c r="E104" s="296"/>
      <c r="F104" s="939">
        <f>Dados!J54</f>
        <v>2.2999999999999998</v>
      </c>
      <c r="G104" s="300">
        <f t="shared" si="1"/>
        <v>2.2999999999999998</v>
      </c>
      <c r="H104" s="111"/>
      <c r="I104" s="111"/>
    </row>
    <row r="105" spans="1:9" ht="15.75" thickTop="1" thickBot="1" x14ac:dyDescent="0.25">
      <c r="A105" s="1121" t="s">
        <v>6</v>
      </c>
      <c r="B105" s="1132" t="str">
        <f>HLOOKUP($F$20,BENEFÍCIOS!$B$25:$O$38,10,FALSE) &amp; " " &amp; "(Pagamento por ressarcimento)"</f>
        <v>Assistência Odontológica - Cláusula 17ª da CCT (Pagamento por ressarcimento)</v>
      </c>
      <c r="C105" s="132"/>
      <c r="D105" s="107"/>
      <c r="E105" s="296"/>
      <c r="F105" s="939"/>
      <c r="G105" s="300">
        <f t="shared" si="1"/>
        <v>0</v>
      </c>
      <c r="H105" s="111"/>
      <c r="I105" s="111"/>
    </row>
    <row r="106" spans="1:9" ht="15.75" hidden="1" thickTop="1" thickBot="1" x14ac:dyDescent="0.25">
      <c r="A106" s="1121" t="s">
        <v>8</v>
      </c>
      <c r="B106" s="1132" t="str">
        <f>HLOOKUP($F$20,BENEFÍCIOS!$B$25:$O$38,11,FALSE)</f>
        <v>Auxílio Lazer/Cultura</v>
      </c>
      <c r="C106" s="132"/>
      <c r="D106" s="107"/>
      <c r="E106" s="296"/>
      <c r="F106" s="939">
        <f>Dados!J56</f>
        <v>0</v>
      </c>
      <c r="G106" s="300">
        <f t="shared" si="1"/>
        <v>0</v>
      </c>
      <c r="H106" s="111"/>
      <c r="I106" s="111"/>
    </row>
    <row r="107" spans="1:9" ht="15.75" hidden="1" thickTop="1" thickBot="1" x14ac:dyDescent="0.25">
      <c r="A107" s="1121" t="s">
        <v>9</v>
      </c>
      <c r="B107" s="1132" t="str">
        <f>HLOOKUP($F$20,BENEFÍCIOS!$B$25:$O$38,12,FALSE)</f>
        <v>Treinamento/capacitação/reciclagem - Cláusula 30ª da CCT</v>
      </c>
      <c r="C107" s="132"/>
      <c r="D107" s="107"/>
      <c r="E107" s="296"/>
      <c r="F107" s="939">
        <f>Dados!J57</f>
        <v>0</v>
      </c>
      <c r="G107" s="300">
        <f t="shared" si="1"/>
        <v>0</v>
      </c>
      <c r="H107" s="111"/>
      <c r="I107" s="111"/>
    </row>
    <row r="108" spans="1:9" ht="15.75" hidden="1" thickTop="1" thickBot="1" x14ac:dyDescent="0.25">
      <c r="A108" s="1121" t="s">
        <v>160</v>
      </c>
      <c r="B108" s="1132" t="str">
        <f>HLOOKUP($F$20,BENEFÍCIOS!$B$25:$O$38,13,FALSE)</f>
        <v>Contribuição Assistencial Patronal - Cláusula 61ª da CCT</v>
      </c>
      <c r="C108" s="132"/>
      <c r="D108" s="107"/>
      <c r="E108" s="296"/>
      <c r="F108" s="939">
        <f>Dados!J58</f>
        <v>0</v>
      </c>
      <c r="G108" s="300">
        <f t="shared" si="1"/>
        <v>0</v>
      </c>
      <c r="H108" s="111"/>
      <c r="I108" s="111"/>
    </row>
    <row r="109" spans="1:9" ht="15.75" hidden="1" thickTop="1" thickBot="1" x14ac:dyDescent="0.25">
      <c r="A109" s="1121" t="s">
        <v>627</v>
      </c>
      <c r="B109" s="1132" t="str">
        <f>HLOOKUP($F$20,BENEFÍCIOS!$B$25:$O$38,14,FALSE)</f>
        <v>Auxílio Creche</v>
      </c>
      <c r="C109" s="132"/>
      <c r="D109" s="107"/>
      <c r="E109" s="296"/>
      <c r="F109" s="939">
        <f>Dados!J59</f>
        <v>0</v>
      </c>
      <c r="G109" s="300">
        <f t="shared" si="1"/>
        <v>0</v>
      </c>
      <c r="H109" s="111"/>
      <c r="I109" s="111"/>
    </row>
    <row r="110" spans="1:9" ht="15.75" thickTop="1" thickBot="1" x14ac:dyDescent="0.25">
      <c r="A110" s="1121" t="s">
        <v>7</v>
      </c>
      <c r="B110" s="125" t="s">
        <v>57</v>
      </c>
      <c r="C110" s="132"/>
      <c r="D110" s="107"/>
      <c r="E110" s="296"/>
      <c r="F110" s="939"/>
      <c r="G110" s="301"/>
      <c r="H110" s="111"/>
      <c r="I110" s="111"/>
    </row>
    <row r="111" spans="1:9" ht="18" customHeight="1" thickTop="1" thickBot="1" x14ac:dyDescent="0.25">
      <c r="A111" s="1686" t="s">
        <v>232</v>
      </c>
      <c r="B111" s="1687"/>
      <c r="C111" s="1687"/>
      <c r="D111" s="1687"/>
      <c r="E111" s="1687"/>
      <c r="F111" s="1688"/>
      <c r="G111" s="302">
        <f>SUM(G96,G97,G98,G99,G100,G101,G103,G104,G105,G106,G107,G108,G109,)</f>
        <v>880.03</v>
      </c>
      <c r="H111" s="624"/>
      <c r="I111" s="624"/>
    </row>
    <row r="112" spans="1:9" s="68" customFormat="1" ht="15" hidden="1" customHeight="1" thickTop="1" x14ac:dyDescent="0.2">
      <c r="A112" s="101" t="s">
        <v>744</v>
      </c>
      <c r="B112" s="99"/>
      <c r="C112" s="99"/>
      <c r="D112" s="99"/>
      <c r="E112" s="99"/>
      <c r="F112" s="120"/>
      <c r="G112" s="121"/>
      <c r="H112" s="122"/>
      <c r="I112" s="122"/>
    </row>
    <row r="113" spans="1:10" s="68" customFormat="1" hidden="1" x14ac:dyDescent="0.2">
      <c r="A113" s="1618" t="s">
        <v>743</v>
      </c>
      <c r="B113" s="1618"/>
      <c r="C113" s="1618"/>
      <c r="D113" s="1618"/>
      <c r="E113" s="1618"/>
      <c r="F113" s="1618"/>
      <c r="G113" s="1618"/>
      <c r="H113" s="122"/>
      <c r="I113" s="122"/>
    </row>
    <row r="114" spans="1:10" s="68" customFormat="1" hidden="1" x14ac:dyDescent="0.2">
      <c r="A114" s="1618"/>
      <c r="B114" s="1618"/>
      <c r="C114" s="1618"/>
      <c r="D114" s="1618"/>
      <c r="E114" s="1618"/>
      <c r="F114" s="1618"/>
      <c r="G114" s="1618"/>
      <c r="H114" s="122"/>
      <c r="I114" s="122"/>
    </row>
    <row r="115" spans="1:10" s="68" customFormat="1" ht="15" thickTop="1" x14ac:dyDescent="0.2">
      <c r="A115" s="98"/>
      <c r="B115" s="99"/>
      <c r="C115" s="99"/>
      <c r="D115" s="99"/>
      <c r="E115" s="99"/>
      <c r="F115" s="120"/>
      <c r="G115" s="121"/>
      <c r="H115" s="122"/>
      <c r="I115" s="122"/>
    </row>
    <row r="116" spans="1:10" s="68" customFormat="1" ht="15" thickBot="1" x14ac:dyDescent="0.25">
      <c r="A116" s="576" t="s">
        <v>748</v>
      </c>
      <c r="B116" s="99"/>
      <c r="C116" s="99"/>
      <c r="D116" s="99"/>
      <c r="E116" s="99"/>
      <c r="F116" s="120"/>
      <c r="G116" s="121"/>
      <c r="H116" s="122"/>
      <c r="I116" s="122"/>
    </row>
    <row r="117" spans="1:10" s="68" customFormat="1" ht="15.75" thickTop="1" thickBot="1" x14ac:dyDescent="0.25">
      <c r="A117" s="1131">
        <v>2</v>
      </c>
      <c r="B117" s="1672" t="s">
        <v>749</v>
      </c>
      <c r="C117" s="1673"/>
      <c r="D117" s="1673"/>
      <c r="E117" s="1673"/>
      <c r="F117" s="1674"/>
      <c r="G117" s="1131" t="s">
        <v>121</v>
      </c>
      <c r="H117" s="122"/>
      <c r="I117" s="122"/>
    </row>
    <row r="118" spans="1:10" s="68" customFormat="1" ht="15.75" thickTop="1" thickBot="1" x14ac:dyDescent="0.25">
      <c r="A118" s="112" t="s">
        <v>732</v>
      </c>
      <c r="B118" s="1132" t="str">
        <f>B61</f>
        <v>13º (décimo terceiro) Salário, Férias e Adicional de Férias</v>
      </c>
      <c r="C118" s="131"/>
      <c r="D118" s="131"/>
      <c r="E118" s="131"/>
      <c r="F118" s="288"/>
      <c r="G118" s="123">
        <f>G64</f>
        <v>368.87</v>
      </c>
      <c r="H118" s="122"/>
      <c r="I118" s="122"/>
    </row>
    <row r="119" spans="1:10" s="68" customFormat="1" ht="15.75" thickTop="1" thickBot="1" x14ac:dyDescent="0.25">
      <c r="A119" s="112" t="s">
        <v>731</v>
      </c>
      <c r="B119" s="1132" t="str">
        <f>B79</f>
        <v>GPS, FGTS e outras contribuições</v>
      </c>
      <c r="C119" s="131"/>
      <c r="D119" s="131"/>
      <c r="E119" s="131"/>
      <c r="F119" s="288"/>
      <c r="G119" s="123">
        <f>G88</f>
        <v>738.23</v>
      </c>
      <c r="H119" s="122"/>
      <c r="I119" s="122"/>
    </row>
    <row r="120" spans="1:10" s="68" customFormat="1" ht="15.75" thickTop="1" thickBot="1" x14ac:dyDescent="0.25">
      <c r="A120" s="112" t="s">
        <v>742</v>
      </c>
      <c r="B120" s="1132" t="str">
        <f>B95</f>
        <v>Benefícios Mensais e Diários</v>
      </c>
      <c r="C120" s="131"/>
      <c r="D120" s="131"/>
      <c r="E120" s="131"/>
      <c r="F120" s="288"/>
      <c r="G120" s="123">
        <f>G111</f>
        <v>880.03</v>
      </c>
      <c r="H120" s="122"/>
      <c r="I120" s="122"/>
    </row>
    <row r="121" spans="1:10" s="68" customFormat="1" ht="15.75" thickTop="1" thickBot="1" x14ac:dyDescent="0.25">
      <c r="A121" s="1644" t="s">
        <v>232</v>
      </c>
      <c r="B121" s="1645"/>
      <c r="C121" s="1645"/>
      <c r="D121" s="1645"/>
      <c r="E121" s="1645"/>
      <c r="F121" s="1646"/>
      <c r="G121" s="133">
        <f>SUM(G118:G120)</f>
        <v>1987.13</v>
      </c>
      <c r="H121" s="122"/>
      <c r="I121" s="622"/>
      <c r="J121" s="620"/>
    </row>
    <row r="122" spans="1:10" s="68" customFormat="1" ht="15" thickTop="1" x14ac:dyDescent="0.2">
      <c r="A122" s="101"/>
      <c r="B122" s="101"/>
      <c r="C122" s="101"/>
      <c r="D122" s="101"/>
      <c r="E122" s="101"/>
      <c r="F122" s="574"/>
      <c r="G122" s="575"/>
      <c r="H122" s="122"/>
      <c r="I122" s="122"/>
    </row>
    <row r="123" spans="1:10" s="68" customFormat="1" ht="15" thickBot="1" x14ac:dyDescent="0.25">
      <c r="A123" s="1629" t="s">
        <v>750</v>
      </c>
      <c r="B123" s="1629"/>
      <c r="C123" s="1629"/>
      <c r="D123" s="1629"/>
      <c r="E123" s="1629"/>
      <c r="F123" s="1629"/>
      <c r="G123" s="1629"/>
      <c r="H123" s="122"/>
      <c r="I123" s="122"/>
    </row>
    <row r="124" spans="1:10" s="68" customFormat="1" ht="15.75" thickTop="1" thickBot="1" x14ac:dyDescent="0.25">
      <c r="A124" s="1125">
        <v>3</v>
      </c>
      <c r="B124" s="1652" t="s">
        <v>99</v>
      </c>
      <c r="C124" s="1653"/>
      <c r="D124" s="1653"/>
      <c r="E124" s="1654"/>
      <c r="F124" s="1125" t="s">
        <v>746</v>
      </c>
      <c r="G124" s="1131" t="s">
        <v>121</v>
      </c>
      <c r="H124" s="122"/>
      <c r="I124" s="122"/>
    </row>
    <row r="125" spans="1:10" s="68" customFormat="1" ht="15.75" thickTop="1" thickBot="1" x14ac:dyDescent="0.25">
      <c r="A125" s="1121" t="s">
        <v>1</v>
      </c>
      <c r="B125" s="136" t="str">
        <f>Dados!B111</f>
        <v>Aviso Prévio Indenizado </v>
      </c>
      <c r="C125" s="285"/>
      <c r="D125" s="137"/>
      <c r="E125" s="126"/>
      <c r="F125" s="138">
        <f>Dados!G111</f>
        <v>2.5000000000000001E-3</v>
      </c>
      <c r="G125" s="127">
        <f>F125*$G$53</f>
        <v>4.3499999999999996</v>
      </c>
      <c r="H125" s="122"/>
      <c r="I125" s="122"/>
    </row>
    <row r="126" spans="1:10" s="68" customFormat="1" ht="15.75" thickTop="1" thickBot="1" x14ac:dyDescent="0.25">
      <c r="A126" s="1121" t="s">
        <v>2</v>
      </c>
      <c r="B126" s="136" t="str">
        <f>Dados!B112</f>
        <v>Incidência do FGTS sobre aviso prévio indenizado</v>
      </c>
      <c r="C126" s="285"/>
      <c r="D126" s="137"/>
      <c r="E126" s="126"/>
      <c r="F126" s="138">
        <f>Dados!G112</f>
        <v>2.0000000000000001E-4</v>
      </c>
      <c r="G126" s="127">
        <f t="shared" ref="G126:G130" si="2">F126*$G$53</f>
        <v>0.35</v>
      </c>
      <c r="H126" s="122"/>
      <c r="I126" s="122"/>
    </row>
    <row r="127" spans="1:10" s="68" customFormat="1" ht="15.75" thickTop="1" thickBot="1" x14ac:dyDescent="0.25">
      <c r="A127" s="1121" t="s">
        <v>4</v>
      </c>
      <c r="B127" s="136" t="str">
        <f>Dados!B113</f>
        <v>Multa do FGTS e contribuição social sobre o Aviso Prévio Indenizado</v>
      </c>
      <c r="C127" s="285"/>
      <c r="D127" s="137"/>
      <c r="E127" s="126"/>
      <c r="F127" s="138">
        <f>Dados!G113</f>
        <v>0</v>
      </c>
      <c r="G127" s="127">
        <f t="shared" si="2"/>
        <v>0</v>
      </c>
      <c r="H127" s="122"/>
      <c r="I127" s="122"/>
    </row>
    <row r="128" spans="1:10" s="68" customFormat="1" ht="15.75" thickTop="1" thickBot="1" x14ac:dyDescent="0.25">
      <c r="A128" s="1121" t="s">
        <v>5</v>
      </c>
      <c r="B128" s="136" t="str">
        <f>Dados!B114</f>
        <v>Aviso Prévio Trabalhado</v>
      </c>
      <c r="C128" s="285"/>
      <c r="D128" s="137"/>
      <c r="E128" s="126"/>
      <c r="F128" s="138">
        <f>Dados!G114</f>
        <v>1.9400000000000001E-2</v>
      </c>
      <c r="G128" s="127">
        <f t="shared" si="2"/>
        <v>33.74</v>
      </c>
      <c r="H128" s="122"/>
      <c r="I128" s="122"/>
    </row>
    <row r="129" spans="1:13" s="68" customFormat="1" ht="15.75" thickTop="1" thickBot="1" x14ac:dyDescent="0.25">
      <c r="A129" s="1121" t="s">
        <v>6</v>
      </c>
      <c r="B129" s="136" t="str">
        <f>Dados!B115</f>
        <v>Incidência de GPS, FGTS e outras contribuições sobre o aviso prévio trabalhado</v>
      </c>
      <c r="C129" s="285"/>
      <c r="D129" s="137"/>
      <c r="E129" s="126"/>
      <c r="F129" s="138">
        <f>Dados!G115</f>
        <v>6.7999999999999996E-3</v>
      </c>
      <c r="G129" s="127">
        <f t="shared" si="2"/>
        <v>11.83</v>
      </c>
      <c r="H129" s="122"/>
      <c r="I129" s="122"/>
    </row>
    <row r="130" spans="1:13" s="68" customFormat="1" ht="15.75" thickTop="1" thickBot="1" x14ac:dyDescent="0.25">
      <c r="A130" s="1121" t="s">
        <v>7</v>
      </c>
      <c r="B130" s="136" t="str">
        <f>Dados!B116</f>
        <v>Multa do FGTS e contribuição social sobre o Aviso Prévio Trabalhado</v>
      </c>
      <c r="C130" s="285"/>
      <c r="D130" s="137"/>
      <c r="E130" s="126"/>
      <c r="F130" s="138">
        <f>Dados!G116</f>
        <v>1E-4</v>
      </c>
      <c r="G130" s="127">
        <f t="shared" si="2"/>
        <v>0.17</v>
      </c>
      <c r="H130" s="122"/>
      <c r="I130" s="122"/>
    </row>
    <row r="131" spans="1:13" s="68" customFormat="1" ht="15.75" thickTop="1" thickBot="1" x14ac:dyDescent="0.25">
      <c r="A131" s="1157" t="s">
        <v>7</v>
      </c>
      <c r="B131" s="136" t="str">
        <f>Dados!B117</f>
        <v>Multa do FGTS</v>
      </c>
      <c r="C131" s="285"/>
      <c r="D131" s="137"/>
      <c r="E131" s="126"/>
      <c r="F131" s="138">
        <f>Dados!G117</f>
        <v>3.49E-2</v>
      </c>
      <c r="G131" s="127">
        <f t="shared" ref="G131" si="3">F131*$G$53</f>
        <v>60.7</v>
      </c>
      <c r="H131" s="122"/>
      <c r="I131" s="122"/>
    </row>
    <row r="132" spans="1:13" s="68" customFormat="1" ht="15.75" thickTop="1" thickBot="1" x14ac:dyDescent="0.25">
      <c r="A132" s="1644" t="s">
        <v>232</v>
      </c>
      <c r="B132" s="1645"/>
      <c r="C132" s="1645"/>
      <c r="D132" s="1645"/>
      <c r="E132" s="1646"/>
      <c r="F132" s="139">
        <f>SUM(F125:F131)</f>
        <v>6.3899999999999998E-2</v>
      </c>
      <c r="G132" s="133">
        <f>SUM(G125:G131)</f>
        <v>111.14</v>
      </c>
      <c r="H132" s="122"/>
      <c r="I132" s="618"/>
    </row>
    <row r="133" spans="1:13" s="68" customFormat="1" ht="15" thickTop="1" x14ac:dyDescent="0.2">
      <c r="A133" s="129"/>
      <c r="B133" s="129"/>
      <c r="C133" s="129"/>
      <c r="D133" s="129"/>
      <c r="E133" s="129"/>
      <c r="F133" s="120"/>
      <c r="G133" s="140"/>
      <c r="H133" s="122"/>
      <c r="I133" s="122"/>
    </row>
    <row r="134" spans="1:13" s="68" customFormat="1" x14ac:dyDescent="0.2">
      <c r="A134" s="1629" t="s">
        <v>751</v>
      </c>
      <c r="B134" s="1629"/>
      <c r="C134" s="1629"/>
      <c r="D134" s="1629"/>
      <c r="E134" s="1629"/>
      <c r="F134" s="1629"/>
      <c r="G134" s="1629"/>
      <c r="H134" s="122"/>
      <c r="I134" s="122"/>
    </row>
    <row r="135" spans="1:13" s="68" customFormat="1" ht="14.25" hidden="1" customHeight="1" x14ac:dyDescent="0.2">
      <c r="A135" s="1618" t="s">
        <v>919</v>
      </c>
      <c r="B135" s="1618"/>
      <c r="C135" s="1618"/>
      <c r="D135" s="1618"/>
      <c r="E135" s="1618"/>
      <c r="F135" s="1618"/>
      <c r="G135" s="1618"/>
      <c r="H135" s="122"/>
      <c r="I135" s="122"/>
    </row>
    <row r="136" spans="1:13" s="68" customFormat="1" hidden="1" x14ac:dyDescent="0.2">
      <c r="A136" s="1618"/>
      <c r="B136" s="1618"/>
      <c r="C136" s="1618"/>
      <c r="D136" s="1618"/>
      <c r="E136" s="1618"/>
      <c r="F136" s="1618"/>
      <c r="G136" s="1618"/>
      <c r="H136" s="122"/>
      <c r="I136" s="122"/>
    </row>
    <row r="137" spans="1:13" s="68" customFormat="1" hidden="1" x14ac:dyDescent="0.2">
      <c r="A137" s="101" t="s">
        <v>935</v>
      </c>
      <c r="B137" s="1124"/>
      <c r="C137" s="1124"/>
      <c r="D137" s="1124"/>
      <c r="E137" s="1124"/>
      <c r="F137" s="1124"/>
      <c r="G137" s="1124"/>
      <c r="H137" s="122"/>
      <c r="I137" s="122"/>
    </row>
    <row r="138" spans="1:13" s="68" customFormat="1" ht="15" thickBot="1" x14ac:dyDescent="0.25">
      <c r="A138" s="576" t="s">
        <v>929</v>
      </c>
      <c r="B138" s="1124"/>
      <c r="C138" s="1124"/>
      <c r="D138" s="1124"/>
      <c r="E138" s="785"/>
      <c r="F138" s="1124"/>
      <c r="G138" s="1124"/>
      <c r="H138" s="762"/>
      <c r="I138" s="629"/>
      <c r="J138" s="620"/>
    </row>
    <row r="139" spans="1:13" s="68" customFormat="1" ht="15.75" thickTop="1" thickBot="1" x14ac:dyDescent="0.25">
      <c r="A139" s="1125" t="s">
        <v>48</v>
      </c>
      <c r="B139" s="1652" t="s">
        <v>930</v>
      </c>
      <c r="C139" s="1653"/>
      <c r="D139" s="1653"/>
      <c r="E139" s="1654"/>
      <c r="F139" s="1125" t="s">
        <v>746</v>
      </c>
      <c r="G139" s="1131" t="s">
        <v>121</v>
      </c>
      <c r="H139" s="763"/>
      <c r="I139" s="623"/>
      <c r="J139" s="626"/>
      <c r="K139" s="626"/>
      <c r="L139" s="621"/>
    </row>
    <row r="140" spans="1:13" s="68" customFormat="1" ht="15.75" thickTop="1" thickBot="1" x14ac:dyDescent="0.25">
      <c r="A140" s="1121" t="s">
        <v>1</v>
      </c>
      <c r="B140" s="136" t="str">
        <f>Dados!B122</f>
        <v>Substituto na cobertura de Férias</v>
      </c>
      <c r="C140" s="285"/>
      <c r="D140" s="137"/>
      <c r="E140" s="285"/>
      <c r="F140" s="138">
        <f>Dados!G122</f>
        <v>7.6E-3</v>
      </c>
      <c r="G140" s="127">
        <f>$G$53*F140</f>
        <v>13.22</v>
      </c>
      <c r="H140" s="764"/>
      <c r="I140" s="626"/>
      <c r="J140" s="626"/>
      <c r="K140" s="619"/>
      <c r="L140" s="619"/>
      <c r="M140" s="626"/>
    </row>
    <row r="141" spans="1:13" s="68" customFormat="1" ht="15.75" thickTop="1" thickBot="1" x14ac:dyDescent="0.25">
      <c r="A141" s="1121" t="s">
        <v>2</v>
      </c>
      <c r="B141" s="136" t="str">
        <f>Dados!B123</f>
        <v>Substituto na cobertura de Ausências Legais</v>
      </c>
      <c r="C141" s="285"/>
      <c r="D141" s="137"/>
      <c r="E141" s="285"/>
      <c r="F141" s="138">
        <f>Dados!G123</f>
        <v>1E-4</v>
      </c>
      <c r="G141" s="127">
        <f t="shared" ref="G141:G145" si="4">$G$53*F141</f>
        <v>0.17</v>
      </c>
      <c r="H141" s="765"/>
      <c r="K141" s="626"/>
      <c r="M141" s="626"/>
    </row>
    <row r="142" spans="1:13" s="68" customFormat="1" ht="15.75" thickTop="1" thickBot="1" x14ac:dyDescent="0.25">
      <c r="A142" s="1121" t="s">
        <v>4</v>
      </c>
      <c r="B142" s="136" t="str">
        <f>Dados!B124</f>
        <v>Substituto na cobertura de Licença-Paternidade</v>
      </c>
      <c r="C142" s="285"/>
      <c r="D142" s="137"/>
      <c r="E142" s="285"/>
      <c r="F142" s="138">
        <f>Dados!G124</f>
        <v>1E-4</v>
      </c>
      <c r="G142" s="127">
        <f t="shared" si="4"/>
        <v>0.17</v>
      </c>
      <c r="H142" s="764"/>
      <c r="J142" s="619"/>
      <c r="K142" s="626"/>
      <c r="M142" s="626"/>
    </row>
    <row r="143" spans="1:13" s="68" customFormat="1" ht="15.75" thickTop="1" thickBot="1" x14ac:dyDescent="0.25">
      <c r="A143" s="1121" t="s">
        <v>5</v>
      </c>
      <c r="B143" s="136" t="str">
        <f>Dados!B125</f>
        <v>Substituto na cobertura de Ausência por acidente de trabalho</v>
      </c>
      <c r="C143" s="285"/>
      <c r="D143" s="137"/>
      <c r="E143" s="285"/>
      <c r="F143" s="138">
        <f>Dados!G125</f>
        <v>1E-4</v>
      </c>
      <c r="G143" s="127">
        <f t="shared" si="4"/>
        <v>0.17</v>
      </c>
      <c r="H143" s="764"/>
      <c r="K143" s="626"/>
      <c r="M143" s="626"/>
    </row>
    <row r="144" spans="1:13" s="68" customFormat="1" ht="15.75" thickTop="1" thickBot="1" x14ac:dyDescent="0.25">
      <c r="A144" s="1121" t="s">
        <v>6</v>
      </c>
      <c r="B144" s="136" t="str">
        <f>Dados!B126</f>
        <v>Substituto na cobertura de Afastamento Maternidade</v>
      </c>
      <c r="C144" s="285"/>
      <c r="D144" s="137"/>
      <c r="E144" s="285"/>
      <c r="F144" s="138">
        <f>Dados!G126</f>
        <v>1E-4</v>
      </c>
      <c r="G144" s="127">
        <f t="shared" si="4"/>
        <v>0.17</v>
      </c>
      <c r="H144" s="764"/>
      <c r="K144" s="626"/>
      <c r="M144" s="626"/>
    </row>
    <row r="145" spans="1:13" s="68" customFormat="1" ht="15.75" thickTop="1" thickBot="1" x14ac:dyDescent="0.25">
      <c r="A145" s="1121" t="s">
        <v>7</v>
      </c>
      <c r="B145" s="136" t="str">
        <f>Dados!B127</f>
        <v>Substituto na cobertura de outras ausências (licença por doença)</v>
      </c>
      <c r="C145" s="285"/>
      <c r="D145" s="137"/>
      <c r="E145" s="285"/>
      <c r="F145" s="138">
        <f>Dados!G127</f>
        <v>0</v>
      </c>
      <c r="G145" s="127">
        <f t="shared" si="4"/>
        <v>0</v>
      </c>
      <c r="H145" s="764"/>
      <c r="K145" s="626"/>
      <c r="M145" s="627"/>
    </row>
    <row r="146" spans="1:13" s="68" customFormat="1" ht="15.75" customHeight="1" thickTop="1" thickBot="1" x14ac:dyDescent="0.25">
      <c r="A146" s="1644" t="s">
        <v>232</v>
      </c>
      <c r="B146" s="1645"/>
      <c r="C146" s="1645"/>
      <c r="D146" s="1645"/>
      <c r="E146" s="1646"/>
      <c r="F146" s="139">
        <f>SUM(F140:F145)</f>
        <v>8.0000000000000002E-3</v>
      </c>
      <c r="G146" s="128">
        <f>SUM(G140:G145)</f>
        <v>13.9</v>
      </c>
      <c r="H146" s="766"/>
      <c r="I146" s="619"/>
      <c r="J146" s="620"/>
      <c r="K146" s="619"/>
    </row>
    <row r="147" spans="1:13" s="68" customFormat="1" ht="15" hidden="1" customHeight="1" thickTop="1" x14ac:dyDescent="0.2">
      <c r="A147" s="1618" t="s">
        <v>936</v>
      </c>
      <c r="B147" s="1618"/>
      <c r="C147" s="1618"/>
      <c r="D147" s="1618"/>
      <c r="E147" s="1618"/>
      <c r="F147" s="1618"/>
      <c r="G147" s="1618"/>
      <c r="H147" s="122"/>
      <c r="I147" s="122"/>
    </row>
    <row r="148" spans="1:13" s="68" customFormat="1" hidden="1" x14ac:dyDescent="0.2">
      <c r="A148" s="1618"/>
      <c r="B148" s="1618"/>
      <c r="C148" s="1618"/>
      <c r="D148" s="1618"/>
      <c r="E148" s="1618"/>
      <c r="F148" s="1618"/>
      <c r="G148" s="1618"/>
      <c r="H148" s="122"/>
      <c r="I148" s="617"/>
      <c r="J148" s="617"/>
      <c r="K148" s="617"/>
    </row>
    <row r="149" spans="1:13" s="68" customFormat="1" ht="15" thickTop="1" x14ac:dyDescent="0.2">
      <c r="A149" s="1122"/>
      <c r="B149" s="1122"/>
      <c r="C149" s="1122"/>
      <c r="D149" s="1122"/>
      <c r="E149" s="1122"/>
      <c r="F149" s="1122"/>
      <c r="G149" s="1122"/>
      <c r="H149" s="122"/>
      <c r="I149" s="122"/>
    </row>
    <row r="150" spans="1:13" s="68" customFormat="1" ht="15" thickBot="1" x14ac:dyDescent="0.25">
      <c r="A150" s="210" t="s">
        <v>926</v>
      </c>
      <c r="B150" s="1124"/>
      <c r="C150" s="1124"/>
      <c r="D150" s="1124"/>
      <c r="E150" s="1124"/>
      <c r="F150" s="1124"/>
      <c r="G150" s="1124"/>
      <c r="H150" s="122"/>
      <c r="I150" s="619"/>
      <c r="J150" s="621"/>
      <c r="K150" s="621"/>
      <c r="L150" s="619"/>
      <c r="M150" s="621"/>
    </row>
    <row r="151" spans="1:13" s="68" customFormat="1" ht="15.75" thickTop="1" thickBot="1" x14ac:dyDescent="0.25">
      <c r="A151" s="1125" t="s">
        <v>53</v>
      </c>
      <c r="B151" s="1652" t="s">
        <v>927</v>
      </c>
      <c r="C151" s="1653"/>
      <c r="D151" s="1653"/>
      <c r="E151" s="1653"/>
      <c r="F151" s="1654"/>
      <c r="G151" s="1131" t="s">
        <v>121</v>
      </c>
      <c r="H151" s="122"/>
      <c r="I151" s="122"/>
      <c r="K151" s="621"/>
      <c r="L151" s="619"/>
      <c r="M151" s="626"/>
    </row>
    <row r="152" spans="1:13" s="68" customFormat="1" ht="17.25" thickTop="1" thickBot="1" x14ac:dyDescent="0.25">
      <c r="A152" s="1121" t="s">
        <v>1</v>
      </c>
      <c r="B152" s="1683" t="s">
        <v>928</v>
      </c>
      <c r="C152" s="1684"/>
      <c r="D152" s="1684"/>
      <c r="E152" s="1684"/>
      <c r="F152" s="1685"/>
      <c r="G152" s="127">
        <f>ROUND(IF(G52=0,H152,0),2)</f>
        <v>0</v>
      </c>
      <c r="H152" s="628"/>
      <c r="I152" s="122"/>
    </row>
    <row r="153" spans="1:13" s="68" customFormat="1" ht="15.75" customHeight="1" thickTop="1" thickBot="1" x14ac:dyDescent="0.25">
      <c r="A153" s="1644" t="s">
        <v>232</v>
      </c>
      <c r="B153" s="1645"/>
      <c r="C153" s="1645"/>
      <c r="D153" s="1645"/>
      <c r="E153" s="1645"/>
      <c r="F153" s="1646"/>
      <c r="G153" s="128">
        <f>SUM(G147:G152)</f>
        <v>0</v>
      </c>
      <c r="H153" s="122"/>
      <c r="I153" s="122"/>
    </row>
    <row r="154" spans="1:13" s="68" customFormat="1" ht="15" hidden="1" thickTop="1" x14ac:dyDescent="0.2">
      <c r="A154" s="1618" t="s">
        <v>752</v>
      </c>
      <c r="B154" s="1618"/>
      <c r="C154" s="1618"/>
      <c r="D154" s="1618"/>
      <c r="E154" s="1618"/>
      <c r="F154" s="1618"/>
      <c r="G154" s="1618"/>
      <c r="H154" s="122"/>
      <c r="I154" s="122"/>
    </row>
    <row r="155" spans="1:13" s="68" customFormat="1" ht="15.75" hidden="1" customHeight="1" x14ac:dyDescent="0.2">
      <c r="A155" s="1618"/>
      <c r="B155" s="1618"/>
      <c r="C155" s="1618"/>
      <c r="D155" s="1618"/>
      <c r="E155" s="1618"/>
      <c r="F155" s="1618"/>
      <c r="G155" s="1618"/>
      <c r="H155" s="122"/>
      <c r="I155" s="122"/>
    </row>
    <row r="156" spans="1:13" s="68" customFormat="1" ht="15" thickTop="1" x14ac:dyDescent="0.2">
      <c r="A156" s="101"/>
      <c r="B156" s="101"/>
      <c r="C156" s="101"/>
      <c r="D156" s="101"/>
      <c r="E156" s="101"/>
      <c r="F156" s="574"/>
      <c r="G156" s="575"/>
      <c r="H156" s="122"/>
      <c r="I156" s="122"/>
    </row>
    <row r="157" spans="1:13" s="68" customFormat="1" ht="15" thickBot="1" x14ac:dyDescent="0.25">
      <c r="A157" s="576" t="s">
        <v>754</v>
      </c>
      <c r="B157" s="99"/>
      <c r="C157" s="99"/>
      <c r="D157" s="99"/>
      <c r="E157" s="99"/>
      <c r="F157" s="120"/>
      <c r="G157" s="121"/>
      <c r="H157" s="122"/>
      <c r="I157" s="122"/>
    </row>
    <row r="158" spans="1:13" s="68" customFormat="1" ht="15.75" thickTop="1" thickBot="1" x14ac:dyDescent="0.25">
      <c r="A158" s="1131">
        <v>4</v>
      </c>
      <c r="B158" s="1672" t="s">
        <v>753</v>
      </c>
      <c r="C158" s="1673"/>
      <c r="D158" s="1673"/>
      <c r="E158" s="1673"/>
      <c r="F158" s="1674"/>
      <c r="G158" s="1131" t="s">
        <v>121</v>
      </c>
      <c r="H158" s="122"/>
      <c r="I158" s="122"/>
    </row>
    <row r="159" spans="1:13" s="68" customFormat="1" ht="15.75" thickTop="1" thickBot="1" x14ac:dyDescent="0.25">
      <c r="A159" s="112" t="s">
        <v>48</v>
      </c>
      <c r="B159" s="1132" t="str">
        <f>B139</f>
        <v>Substituto nas Ausências Legais</v>
      </c>
      <c r="C159" s="131"/>
      <c r="D159" s="131"/>
      <c r="E159" s="131"/>
      <c r="F159" s="288"/>
      <c r="G159" s="123">
        <f>G146</f>
        <v>13.9</v>
      </c>
      <c r="H159" s="122"/>
      <c r="I159" s="122"/>
    </row>
    <row r="160" spans="1:13" s="68" customFormat="1" ht="15.75" thickTop="1" thickBot="1" x14ac:dyDescent="0.25">
      <c r="A160" s="112" t="s">
        <v>53</v>
      </c>
      <c r="B160" s="1132" t="str">
        <f>B151</f>
        <v>Substituo na Intrajornada</v>
      </c>
      <c r="C160" s="131"/>
      <c r="D160" s="131"/>
      <c r="E160" s="131"/>
      <c r="F160" s="288"/>
      <c r="G160" s="123">
        <f>G153</f>
        <v>0</v>
      </c>
      <c r="H160" s="122"/>
      <c r="I160" s="122"/>
    </row>
    <row r="161" spans="1:9" s="68" customFormat="1" ht="15.75" thickTop="1" thickBot="1" x14ac:dyDescent="0.25">
      <c r="A161" s="1644" t="s">
        <v>232</v>
      </c>
      <c r="B161" s="1645"/>
      <c r="C161" s="1645"/>
      <c r="D161" s="1645"/>
      <c r="E161" s="1645"/>
      <c r="F161" s="1646"/>
      <c r="G161" s="133">
        <f>SUM(G159:G160)</f>
        <v>13.9</v>
      </c>
      <c r="H161" s="122"/>
      <c r="I161" s="122"/>
    </row>
    <row r="162" spans="1:9" s="68" customFormat="1" ht="15" thickTop="1" x14ac:dyDescent="0.2">
      <c r="A162" s="101"/>
      <c r="B162" s="101"/>
      <c r="C162" s="101"/>
      <c r="D162" s="101"/>
      <c r="E162" s="101"/>
      <c r="F162" s="574"/>
      <c r="G162" s="575"/>
      <c r="H162" s="122"/>
      <c r="I162" s="122"/>
    </row>
    <row r="163" spans="1:9" ht="15" thickBot="1" x14ac:dyDescent="0.25">
      <c r="A163" s="1629" t="s">
        <v>756</v>
      </c>
      <c r="B163" s="1629"/>
      <c r="C163" s="1629"/>
      <c r="D163" s="1629"/>
      <c r="E163" s="1629"/>
      <c r="F163" s="1629"/>
      <c r="G163" s="1629"/>
      <c r="H163" s="111"/>
      <c r="I163" s="111"/>
    </row>
    <row r="164" spans="1:9" ht="15.75" thickTop="1" thickBot="1" x14ac:dyDescent="0.25">
      <c r="A164" s="1131">
        <v>5</v>
      </c>
      <c r="B164" s="1672" t="s">
        <v>93</v>
      </c>
      <c r="C164" s="1673"/>
      <c r="D164" s="1673"/>
      <c r="E164" s="1673"/>
      <c r="F164" s="1674"/>
      <c r="G164" s="1131" t="s">
        <v>121</v>
      </c>
      <c r="H164" s="111"/>
      <c r="I164" s="111"/>
    </row>
    <row r="165" spans="1:9" ht="15.75" thickTop="1" thickBot="1" x14ac:dyDescent="0.25">
      <c r="A165" s="112" t="s">
        <v>1</v>
      </c>
      <c r="B165" s="130" t="str">
        <f>Dados!A63</f>
        <v>Uniformes</v>
      </c>
      <c r="C165" s="131"/>
      <c r="D165" s="131"/>
      <c r="E165" s="131"/>
      <c r="F165" s="769">
        <f>Dados!J67</f>
        <v>39.65</v>
      </c>
      <c r="G165" s="123">
        <f>F165*$F$14</f>
        <v>39.65</v>
      </c>
      <c r="H165" s="111"/>
      <c r="I165" s="111"/>
    </row>
    <row r="166" spans="1:9" ht="15.75" thickTop="1" thickBot="1" x14ac:dyDescent="0.25">
      <c r="A166" s="112" t="s">
        <v>2</v>
      </c>
      <c r="B166" s="130" t="str">
        <f>Dados!A71</f>
        <v>Materiais</v>
      </c>
      <c r="C166" s="131"/>
      <c r="D166" s="131"/>
      <c r="E166" s="131"/>
      <c r="F166" s="769"/>
      <c r="G166" s="123">
        <f t="shared" ref="G166:G167" si="5">F166*$F$14</f>
        <v>0</v>
      </c>
      <c r="H166" s="111"/>
      <c r="I166" s="111"/>
    </row>
    <row r="167" spans="1:9" ht="15.75" thickTop="1" thickBot="1" x14ac:dyDescent="0.25">
      <c r="A167" s="112" t="s">
        <v>4</v>
      </c>
      <c r="B167" s="1132" t="str">
        <f>Dados!A73</f>
        <v xml:space="preserve">Equipamentos </v>
      </c>
      <c r="C167" s="131"/>
      <c r="D167" s="131"/>
      <c r="E167" s="131"/>
      <c r="F167" s="769"/>
      <c r="G167" s="123">
        <f t="shared" si="5"/>
        <v>0</v>
      </c>
      <c r="H167" s="111"/>
      <c r="I167" s="111"/>
    </row>
    <row r="168" spans="1:9" ht="15.75" thickTop="1" thickBot="1" x14ac:dyDescent="0.25">
      <c r="A168" s="112" t="s">
        <v>5</v>
      </c>
      <c r="B168" s="1132" t="str">
        <f>Dados!A74</f>
        <v>Depreciação e manutenção dos equipamentos</v>
      </c>
      <c r="C168" s="131"/>
      <c r="D168" s="131"/>
      <c r="E168" s="131"/>
      <c r="F168" s="770">
        <f>Dados!I74</f>
        <v>0</v>
      </c>
      <c r="G168" s="123">
        <f>G167*F168</f>
        <v>0</v>
      </c>
      <c r="H168" s="111"/>
      <c r="I168" s="111"/>
    </row>
    <row r="169" spans="1:9" ht="15.75" thickTop="1" thickBot="1" x14ac:dyDescent="0.25">
      <c r="A169" s="112" t="s">
        <v>6</v>
      </c>
      <c r="B169" s="125" t="s">
        <v>57</v>
      </c>
      <c r="C169" s="132"/>
      <c r="D169" s="132"/>
      <c r="E169" s="285"/>
      <c r="F169" s="288"/>
      <c r="G169" s="124"/>
      <c r="H169" s="111"/>
      <c r="I169" s="111"/>
    </row>
    <row r="170" spans="1:9" ht="15.75" thickTop="1" thickBot="1" x14ac:dyDescent="0.25">
      <c r="A170" s="118"/>
      <c r="B170" s="1644" t="s">
        <v>232</v>
      </c>
      <c r="C170" s="1645"/>
      <c r="D170" s="1645"/>
      <c r="E170" s="1645"/>
      <c r="F170" s="1646"/>
      <c r="G170" s="133">
        <f>SUM(G165:G169)</f>
        <v>39.65</v>
      </c>
      <c r="H170" s="111"/>
      <c r="I170" s="111"/>
    </row>
    <row r="171" spans="1:9" s="68" customFormat="1" ht="15" hidden="1" thickTop="1" x14ac:dyDescent="0.2">
      <c r="A171" s="101" t="s">
        <v>757</v>
      </c>
      <c r="B171" s="99"/>
      <c r="C171" s="99"/>
      <c r="D171" s="99"/>
      <c r="E171" s="99"/>
      <c r="F171" s="120"/>
      <c r="G171" s="121"/>
      <c r="H171" s="122"/>
      <c r="I171" s="122"/>
    </row>
    <row r="172" spans="1:9" s="68" customFormat="1" ht="15" thickTop="1" x14ac:dyDescent="0.2">
      <c r="A172" s="98"/>
      <c r="B172" s="99"/>
      <c r="C172" s="99"/>
      <c r="D172" s="99"/>
      <c r="E172" s="99"/>
      <c r="F172" s="120"/>
      <c r="G172" s="121"/>
      <c r="H172" s="122"/>
      <c r="I172" s="122"/>
    </row>
    <row r="173" spans="1:9" ht="15" thickBot="1" x14ac:dyDescent="0.25">
      <c r="A173" s="1629" t="s">
        <v>760</v>
      </c>
      <c r="B173" s="1629"/>
      <c r="C173" s="1629"/>
      <c r="D173" s="1629"/>
      <c r="E173" s="1629"/>
      <c r="F173" s="1629"/>
      <c r="G173" s="1629"/>
      <c r="H173" s="111"/>
    </row>
    <row r="174" spans="1:9" ht="15.75" thickTop="1" thickBot="1" x14ac:dyDescent="0.25">
      <c r="A174" s="1125">
        <v>6</v>
      </c>
      <c r="B174" s="1657" t="s">
        <v>27</v>
      </c>
      <c r="C174" s="1657"/>
      <c r="D174" s="1657"/>
      <c r="E174" s="1657"/>
      <c r="F174" s="1125" t="s">
        <v>746</v>
      </c>
      <c r="G174" s="1131" t="s">
        <v>121</v>
      </c>
      <c r="H174" s="111"/>
      <c r="I174" s="111"/>
    </row>
    <row r="175" spans="1:9" ht="14.25" customHeight="1" thickTop="1" thickBot="1" x14ac:dyDescent="0.25">
      <c r="A175" s="1121" t="s">
        <v>1</v>
      </c>
      <c r="B175" s="141" t="s">
        <v>28</v>
      </c>
      <c r="C175" s="137"/>
      <c r="D175" s="137"/>
      <c r="E175" s="126"/>
      <c r="F175" s="138">
        <f>Dados!N77</f>
        <v>1.24E-2</v>
      </c>
      <c r="G175" s="142">
        <f>$G$196*F175</f>
        <v>48.25</v>
      </c>
      <c r="H175" s="111"/>
      <c r="I175" s="111"/>
    </row>
    <row r="176" spans="1:9" ht="14.25" customHeight="1" thickTop="1" thickBot="1" x14ac:dyDescent="0.25">
      <c r="A176" s="1121" t="s">
        <v>2</v>
      </c>
      <c r="B176" s="141" t="s">
        <v>20</v>
      </c>
      <c r="C176" s="137"/>
      <c r="D176" s="137"/>
      <c r="E176" s="126"/>
      <c r="F176" s="138">
        <f>Dados!N78</f>
        <v>0.01</v>
      </c>
      <c r="G176" s="142">
        <f>($G$196+$G$175)*F176</f>
        <v>39.39</v>
      </c>
      <c r="H176" s="111"/>
      <c r="I176" s="111"/>
    </row>
    <row r="177" spans="1:9" ht="14.25" customHeight="1" thickTop="1" thickBot="1" x14ac:dyDescent="0.25">
      <c r="A177" s="1675" t="s">
        <v>4</v>
      </c>
      <c r="B177" s="141" t="s">
        <v>24</v>
      </c>
      <c r="C177" s="296"/>
      <c r="D177" s="137"/>
      <c r="E177" s="920"/>
      <c r="F177" s="921"/>
      <c r="G177" s="939">
        <f>SUM(G175:G176)</f>
        <v>87.64</v>
      </c>
      <c r="H177" s="111"/>
      <c r="I177" s="111"/>
    </row>
    <row r="178" spans="1:9" ht="14.25" customHeight="1" thickTop="1" thickBot="1" x14ac:dyDescent="0.25">
      <c r="A178" s="1676"/>
      <c r="B178" s="136" t="s">
        <v>103</v>
      </c>
      <c r="C178" s="285"/>
      <c r="D178" s="137"/>
      <c r="E178" s="920"/>
      <c r="F178" s="921"/>
      <c r="G178" s="919"/>
      <c r="H178" s="111"/>
      <c r="I178" s="111"/>
    </row>
    <row r="179" spans="1:9" ht="14.25" customHeight="1" thickTop="1" thickBot="1" x14ac:dyDescent="0.25">
      <c r="A179" s="1676"/>
      <c r="B179" s="136" t="s">
        <v>21</v>
      </c>
      <c r="C179" s="285"/>
      <c r="D179" s="137"/>
      <c r="F179" s="295">
        <f>Dados!F88</f>
        <v>1.17E-2</v>
      </c>
      <c r="G179" s="143">
        <f>(($G$196+$G$175+$G$176)/Dados!$H$88)*F179</f>
        <v>52.61</v>
      </c>
      <c r="H179" s="111"/>
      <c r="I179" s="111"/>
    </row>
    <row r="180" spans="1:9" ht="14.25" customHeight="1" thickTop="1" thickBot="1" x14ac:dyDescent="0.25">
      <c r="A180" s="1676"/>
      <c r="B180" s="136" t="s">
        <v>22</v>
      </c>
      <c r="C180" s="285"/>
      <c r="D180" s="137"/>
      <c r="E180" s="126"/>
      <c r="F180" s="295">
        <f>Dados!E88</f>
        <v>5.3499999999999999E-2</v>
      </c>
      <c r="G180" s="143">
        <f>(($G$196+$G$175+$G$176)/Dados!$H$88)*F180</f>
        <v>240.57</v>
      </c>
      <c r="H180" s="111"/>
      <c r="I180" s="111"/>
    </row>
    <row r="181" spans="1:9" ht="14.25" customHeight="1" thickTop="1" thickBot="1" x14ac:dyDescent="0.25">
      <c r="A181" s="1676"/>
      <c r="B181" s="136" t="s">
        <v>104</v>
      </c>
      <c r="C181" s="285"/>
      <c r="D181" s="137"/>
      <c r="E181" s="126"/>
      <c r="F181" s="138"/>
      <c r="G181" s="142"/>
      <c r="H181" s="111"/>
      <c r="I181" s="111"/>
    </row>
    <row r="182" spans="1:9" ht="14.25" customHeight="1" thickTop="1" thickBot="1" x14ac:dyDescent="0.25">
      <c r="A182" s="1676"/>
      <c r="B182" s="136" t="s">
        <v>29</v>
      </c>
      <c r="C182" s="285"/>
      <c r="D182" s="137"/>
      <c r="E182" s="126"/>
      <c r="F182" s="138"/>
      <c r="G182" s="143"/>
      <c r="H182" s="111"/>
      <c r="I182" s="111"/>
    </row>
    <row r="183" spans="1:9" ht="14.25" customHeight="1" thickTop="1" thickBot="1" x14ac:dyDescent="0.25">
      <c r="A183" s="1676"/>
      <c r="B183" s="136" t="s">
        <v>105</v>
      </c>
      <c r="C183" s="285"/>
      <c r="D183" s="137"/>
      <c r="E183" s="126"/>
      <c r="F183" s="138"/>
      <c r="G183" s="142"/>
      <c r="H183" s="111"/>
      <c r="I183" s="111"/>
    </row>
    <row r="184" spans="1:9" ht="14.25" customHeight="1" thickTop="1" thickBot="1" x14ac:dyDescent="0.25">
      <c r="A184" s="1677"/>
      <c r="B184" s="136" t="s">
        <v>23</v>
      </c>
      <c r="C184" s="285"/>
      <c r="D184" s="137"/>
      <c r="E184" s="126"/>
      <c r="F184" s="295">
        <f>Dados!C88</f>
        <v>0.05</v>
      </c>
      <c r="G184" s="143">
        <f>(($G$196+$G$175+$G$176)/Dados!$H$88)*F184</f>
        <v>224.83</v>
      </c>
      <c r="H184" s="111"/>
      <c r="I184" s="111"/>
    </row>
    <row r="185" spans="1:9" ht="18" customHeight="1" thickTop="1" thickBot="1" x14ac:dyDescent="0.25">
      <c r="A185" s="1644" t="s">
        <v>232</v>
      </c>
      <c r="B185" s="1645"/>
      <c r="C185" s="1645"/>
      <c r="D185" s="1645"/>
      <c r="E185" s="1646"/>
      <c r="F185" s="139">
        <f>SUM(F175:F184)</f>
        <v>0.1376</v>
      </c>
      <c r="G185" s="144">
        <f>G175+G179+G180+G184+G176</f>
        <v>605.65</v>
      </c>
      <c r="H185" s="111"/>
      <c r="I185" s="111"/>
    </row>
    <row r="186" spans="1:9" ht="15" hidden="1" thickTop="1" x14ac:dyDescent="0.2">
      <c r="A186" s="572" t="s">
        <v>759</v>
      </c>
      <c r="B186" s="145"/>
      <c r="C186" s="145"/>
      <c r="D186" s="145"/>
      <c r="E186" s="145"/>
      <c r="F186" s="145"/>
      <c r="G186" s="146"/>
      <c r="H186" s="111"/>
      <c r="I186" s="111"/>
    </row>
    <row r="187" spans="1:9" hidden="1" x14ac:dyDescent="0.2">
      <c r="A187" s="572" t="s">
        <v>758</v>
      </c>
      <c r="B187" s="145"/>
      <c r="C187" s="145"/>
      <c r="D187" s="145"/>
      <c r="E187" s="145"/>
      <c r="F187" s="145"/>
      <c r="G187" s="146"/>
      <c r="H187" s="111"/>
      <c r="I187" s="111"/>
    </row>
    <row r="188" spans="1:9" ht="15" thickTop="1" x14ac:dyDescent="0.2">
      <c r="A188" s="572"/>
      <c r="B188" s="145"/>
      <c r="C188" s="145"/>
      <c r="D188" s="145"/>
      <c r="E188" s="145"/>
      <c r="F188" s="145"/>
      <c r="G188" s="146"/>
      <c r="H188" s="111"/>
      <c r="I188" s="111"/>
    </row>
    <row r="189" spans="1:9" ht="15" thickBot="1" x14ac:dyDescent="0.25">
      <c r="A189" s="1124" t="s">
        <v>761</v>
      </c>
      <c r="B189" s="145"/>
      <c r="C189" s="145"/>
      <c r="D189" s="145"/>
      <c r="E189" s="145"/>
      <c r="F189" s="145"/>
      <c r="G189" s="146"/>
      <c r="H189" s="111"/>
      <c r="I189" s="111"/>
    </row>
    <row r="190" spans="1:9" ht="16.5" customHeight="1" thickTop="1" thickBot="1" x14ac:dyDescent="0.25">
      <c r="A190" s="1658" t="s">
        <v>718</v>
      </c>
      <c r="B190" s="1658"/>
      <c r="C190" s="1658"/>
      <c r="D190" s="1658"/>
      <c r="E190" s="1658"/>
      <c r="F190" s="1658"/>
      <c r="G190" s="1131" t="s">
        <v>121</v>
      </c>
      <c r="H190" s="111"/>
    </row>
    <row r="191" spans="1:9" ht="14.25" customHeight="1" thickTop="1" thickBot="1" x14ac:dyDescent="0.25">
      <c r="A191" s="1121" t="s">
        <v>1</v>
      </c>
      <c r="B191" s="1132" t="str">
        <f>A45</f>
        <v>Módulo 1 - Composição da Remuneração</v>
      </c>
      <c r="C191" s="1133"/>
      <c r="D191" s="566"/>
      <c r="E191" s="566"/>
      <c r="F191" s="147"/>
      <c r="G191" s="124">
        <f>G53</f>
        <v>1739.15</v>
      </c>
      <c r="H191" s="111"/>
    </row>
    <row r="192" spans="1:9" ht="14.25" customHeight="1" thickTop="1" thickBot="1" x14ac:dyDescent="0.25">
      <c r="A192" s="1121" t="s">
        <v>2</v>
      </c>
      <c r="B192" s="1132" t="str">
        <f>A58</f>
        <v>Módulo 2 - Encargos e Benefícios Anuais, Mensais e Diários</v>
      </c>
      <c r="C192" s="1133"/>
      <c r="D192" s="566"/>
      <c r="E192" s="566"/>
      <c r="F192" s="147"/>
      <c r="G192" s="124">
        <f>G121</f>
        <v>1987.13</v>
      </c>
      <c r="H192" s="111"/>
    </row>
    <row r="193" spans="1:8" ht="14.25" customHeight="1" thickTop="1" thickBot="1" x14ac:dyDescent="0.25">
      <c r="A193" s="1121" t="s">
        <v>4</v>
      </c>
      <c r="B193" s="1132" t="str">
        <f>A123</f>
        <v>Módulo 3 - Provisão para Rescisão</v>
      </c>
      <c r="C193" s="1133"/>
      <c r="D193" s="566"/>
      <c r="E193" s="566"/>
      <c r="F193" s="147"/>
      <c r="G193" s="124">
        <f>G132</f>
        <v>111.14</v>
      </c>
      <c r="H193" s="111"/>
    </row>
    <row r="194" spans="1:8" ht="14.25" customHeight="1" thickTop="1" thickBot="1" x14ac:dyDescent="0.25">
      <c r="A194" s="1121" t="s">
        <v>5</v>
      </c>
      <c r="B194" s="1132" t="str">
        <f>A134</f>
        <v>Módulo 4 - Custo de Reposição do Profissional</v>
      </c>
      <c r="C194" s="1133"/>
      <c r="D194" s="566"/>
      <c r="E194" s="566"/>
      <c r="F194" s="147"/>
      <c r="G194" s="124">
        <f>G161</f>
        <v>13.9</v>
      </c>
      <c r="H194" s="111"/>
    </row>
    <row r="195" spans="1:8" ht="15.75" hidden="1" thickTop="1" thickBot="1" x14ac:dyDescent="0.25">
      <c r="A195" s="583" t="s">
        <v>6</v>
      </c>
      <c r="B195" s="1132" t="str">
        <f>A163</f>
        <v>Módulo 5 - Insumos Diversos</v>
      </c>
      <c r="C195" s="579"/>
      <c r="D195" s="579"/>
      <c r="E195" s="579"/>
      <c r="F195" s="580"/>
      <c r="G195" s="584">
        <f>G170</f>
        <v>39.65</v>
      </c>
    </row>
    <row r="196" spans="1:8" ht="15.75" thickTop="1" thickBot="1" x14ac:dyDescent="0.25">
      <c r="A196" s="1644" t="s">
        <v>762</v>
      </c>
      <c r="B196" s="1645"/>
      <c r="C196" s="1645"/>
      <c r="D196" s="1645"/>
      <c r="E196" s="1645"/>
      <c r="F196" s="1646"/>
      <c r="G196" s="133">
        <f>SUM(G191:G195)</f>
        <v>3890.97</v>
      </c>
    </row>
    <row r="197" spans="1:8" ht="14.25" customHeight="1" thickTop="1" thickBot="1" x14ac:dyDescent="0.25">
      <c r="A197" s="1121" t="s">
        <v>7</v>
      </c>
      <c r="B197" s="1132" t="str">
        <f>A173</f>
        <v>Módulo 6 - Custos Indiretos, Tributos e Lucro</v>
      </c>
      <c r="C197" s="1133"/>
      <c r="D197" s="566"/>
      <c r="E197" s="566"/>
      <c r="F197" s="147"/>
      <c r="G197" s="124">
        <f>G185</f>
        <v>605.65</v>
      </c>
    </row>
    <row r="198" spans="1:8" ht="15.75" customHeight="1" thickTop="1" thickBot="1" x14ac:dyDescent="0.25">
      <c r="A198" s="1644" t="s">
        <v>687</v>
      </c>
      <c r="B198" s="1645"/>
      <c r="C198" s="1645"/>
      <c r="D198" s="1645"/>
      <c r="E198" s="1645"/>
      <c r="F198" s="1646"/>
      <c r="G198" s="133">
        <f>SUM(G196:G197)</f>
        <v>4496.62</v>
      </c>
    </row>
    <row r="199" spans="1:8" ht="15.75" thickTop="1" thickBot="1" x14ac:dyDescent="0.25">
      <c r="A199" s="1644" t="s">
        <v>1445</v>
      </c>
      <c r="B199" s="1645"/>
      <c r="C199" s="1645"/>
      <c r="D199" s="1645"/>
      <c r="E199" s="1645"/>
      <c r="F199" s="1646"/>
      <c r="G199" s="133">
        <f>Dados!J51+Dados!J55</f>
        <v>170.7</v>
      </c>
    </row>
    <row r="200" spans="1:8" ht="15.75" thickTop="1" thickBot="1" x14ac:dyDescent="0.25">
      <c r="A200" s="1644" t="s">
        <v>687</v>
      </c>
      <c r="B200" s="1645"/>
      <c r="C200" s="1645"/>
      <c r="D200" s="1645"/>
      <c r="E200" s="1645"/>
      <c r="F200" s="1646"/>
      <c r="G200" s="133">
        <f>G198+G199</f>
        <v>4667.32</v>
      </c>
    </row>
    <row r="201" spans="1:8" ht="15" thickTop="1" x14ac:dyDescent="0.2"/>
    <row r="202" spans="1:8" ht="15" hidden="1" thickBot="1" x14ac:dyDescent="0.25">
      <c r="A202" s="1124" t="s">
        <v>763</v>
      </c>
    </row>
    <row r="203" spans="1:8" ht="46.5" hidden="1" customHeight="1" thickTop="1" x14ac:dyDescent="0.2">
      <c r="A203" s="1650" t="s">
        <v>167</v>
      </c>
      <c r="B203" s="1651"/>
      <c r="C203" s="1130" t="s">
        <v>765</v>
      </c>
      <c r="D203" s="1130" t="s">
        <v>764</v>
      </c>
      <c r="E203" s="1130" t="s">
        <v>766</v>
      </c>
      <c r="F203" s="1126" t="s">
        <v>767</v>
      </c>
      <c r="G203" s="1126" t="s">
        <v>768</v>
      </c>
    </row>
    <row r="204" spans="1:8" ht="18" hidden="1" customHeight="1" thickBot="1" x14ac:dyDescent="0.25">
      <c r="A204" s="1659" t="s">
        <v>168</v>
      </c>
      <c r="B204" s="1660"/>
      <c r="C204" s="586" t="s">
        <v>169</v>
      </c>
      <c r="D204" s="586" t="s">
        <v>170</v>
      </c>
      <c r="E204" s="586" t="s">
        <v>171</v>
      </c>
      <c r="F204" s="587" t="s">
        <v>172</v>
      </c>
      <c r="G204" s="587" t="s">
        <v>173</v>
      </c>
    </row>
    <row r="205" spans="1:8" ht="49.5" hidden="1" customHeight="1" thickTop="1" thickBot="1" x14ac:dyDescent="0.25">
      <c r="A205" s="583" t="s">
        <v>160</v>
      </c>
      <c r="B205" s="1129" t="str">
        <f>F40</f>
        <v>Copeira de segunda a sexta-feira - 44 horas semanais</v>
      </c>
      <c r="C205" s="274">
        <f>G198</f>
        <v>4496.62</v>
      </c>
      <c r="D205" s="275">
        <f>F26</f>
        <v>1</v>
      </c>
      <c r="E205" s="276">
        <f>C205*D205</f>
        <v>4496.62</v>
      </c>
      <c r="F205" s="277">
        <f>E26</f>
        <v>3</v>
      </c>
      <c r="G205" s="278">
        <f>E205*F205</f>
        <v>13489.86</v>
      </c>
    </row>
    <row r="206" spans="1:8" ht="15.75" hidden="1" thickTop="1" thickBot="1" x14ac:dyDescent="0.25">
      <c r="A206" s="1644" t="s">
        <v>769</v>
      </c>
      <c r="B206" s="1645"/>
      <c r="C206" s="1645"/>
      <c r="D206" s="1645"/>
      <c r="E206" s="1645"/>
      <c r="F206" s="1646"/>
      <c r="G206" s="133">
        <f>SUM(G205)</f>
        <v>13489.86</v>
      </c>
    </row>
    <row r="207" spans="1:8" ht="15" hidden="1" thickTop="1" x14ac:dyDescent="0.2">
      <c r="A207" s="247"/>
      <c r="B207" s="247"/>
      <c r="C207" s="247"/>
      <c r="D207" s="247"/>
      <c r="E207" s="247"/>
      <c r="F207" s="247"/>
      <c r="G207" s="247"/>
    </row>
    <row r="208" spans="1:8" ht="15" hidden="1" thickBot="1" x14ac:dyDescent="0.25">
      <c r="A208" s="1124" t="s">
        <v>770</v>
      </c>
      <c r="B208" s="247"/>
      <c r="C208" s="247"/>
      <c r="D208" s="247"/>
      <c r="E208" s="247"/>
      <c r="F208" s="247"/>
      <c r="G208" s="247"/>
    </row>
    <row r="209" spans="1:7" ht="15" hidden="1" customHeight="1" thickTop="1" thickBot="1" x14ac:dyDescent="0.25">
      <c r="A209" s="1128"/>
      <c r="B209" s="1656" t="s">
        <v>771</v>
      </c>
      <c r="C209" s="1656"/>
      <c r="D209" s="1656"/>
      <c r="E209" s="1656"/>
      <c r="F209" s="1656"/>
      <c r="G209" s="1656"/>
    </row>
    <row r="210" spans="1:7" ht="15.75" hidden="1" thickTop="1" thickBot="1" x14ac:dyDescent="0.25">
      <c r="A210" s="283"/>
      <c r="B210" s="1647" t="s">
        <v>772</v>
      </c>
      <c r="C210" s="1648"/>
      <c r="D210" s="1648"/>
      <c r="E210" s="1648"/>
      <c r="F210" s="1649"/>
      <c r="G210" s="283" t="s">
        <v>773</v>
      </c>
    </row>
    <row r="211" spans="1:7" ht="15.75" hidden="1" thickTop="1" thickBot="1" x14ac:dyDescent="0.25">
      <c r="A211" s="279" t="s">
        <v>1</v>
      </c>
      <c r="B211" s="287" t="s">
        <v>174</v>
      </c>
      <c r="C211" s="286"/>
      <c r="D211" s="284"/>
      <c r="E211" s="284"/>
      <c r="F211" s="284"/>
      <c r="G211" s="280">
        <f>G198</f>
        <v>4496.62</v>
      </c>
    </row>
    <row r="212" spans="1:7" ht="15.75" hidden="1" thickTop="1" thickBot="1" x14ac:dyDescent="0.25">
      <c r="A212" s="279" t="s">
        <v>2</v>
      </c>
      <c r="B212" s="287" t="s">
        <v>175</v>
      </c>
      <c r="C212" s="286"/>
      <c r="D212" s="284"/>
      <c r="E212" s="284"/>
      <c r="F212" s="284"/>
      <c r="G212" s="280">
        <f>G205</f>
        <v>13489.86</v>
      </c>
    </row>
    <row r="213" spans="1:7" ht="15.75" hidden="1" customHeight="1" thickTop="1" thickBot="1" x14ac:dyDescent="0.25">
      <c r="A213" s="279" t="s">
        <v>4</v>
      </c>
      <c r="B213" s="287" t="s">
        <v>914</v>
      </c>
      <c r="C213" s="286"/>
      <c r="D213" s="284"/>
      <c r="E213" s="284"/>
      <c r="F213" s="284"/>
      <c r="G213" s="280">
        <f>G212*$F$22</f>
        <v>161878.32</v>
      </c>
    </row>
    <row r="214" spans="1:7" ht="15" hidden="1" thickTop="1" x14ac:dyDescent="0.2">
      <c r="A214" s="68" t="s">
        <v>774</v>
      </c>
    </row>
    <row r="216" spans="1:7" hidden="1" x14ac:dyDescent="0.2"/>
    <row r="217" spans="1:7" hidden="1" x14ac:dyDescent="0.2">
      <c r="A217" s="1124" t="s">
        <v>775</v>
      </c>
    </row>
    <row r="218" spans="1:7" ht="15" hidden="1" thickBot="1" x14ac:dyDescent="0.25">
      <c r="A218" s="145"/>
      <c r="B218" s="585"/>
      <c r="C218" s="585"/>
      <c r="D218" s="585"/>
      <c r="E218" s="585"/>
      <c r="F218" s="585"/>
      <c r="G218" s="585"/>
    </row>
    <row r="219" spans="1:7" ht="15" hidden="1" customHeight="1" thickTop="1" x14ac:dyDescent="0.2">
      <c r="A219" s="1650" t="s">
        <v>776</v>
      </c>
      <c r="B219" s="1661"/>
      <c r="C219" s="1661"/>
      <c r="D219" s="1651"/>
      <c r="E219" s="1668" t="s">
        <v>778</v>
      </c>
      <c r="F219" s="1641" t="s">
        <v>779</v>
      </c>
      <c r="G219" s="1641" t="s">
        <v>54</v>
      </c>
    </row>
    <row r="220" spans="1:7" ht="15" hidden="1" thickBot="1" x14ac:dyDescent="0.25">
      <c r="A220" s="1662"/>
      <c r="B220" s="1663"/>
      <c r="C220" s="1663"/>
      <c r="D220" s="1664"/>
      <c r="E220" s="1669"/>
      <c r="F220" s="1642"/>
      <c r="G220" s="1642"/>
    </row>
    <row r="221" spans="1:7" ht="36" hidden="1" customHeight="1" thickTop="1" thickBot="1" x14ac:dyDescent="0.25">
      <c r="A221" s="588" t="str">
        <f>A205</f>
        <v>I</v>
      </c>
      <c r="B221" s="1665" t="str">
        <f>B205</f>
        <v>Copeira de segunda a sexta-feira - 44 horas semanais</v>
      </c>
      <c r="C221" s="1666"/>
      <c r="D221" s="1667"/>
      <c r="E221" s="276">
        <f>E205</f>
        <v>4496.62</v>
      </c>
      <c r="F221" s="277">
        <f>F205</f>
        <v>3</v>
      </c>
      <c r="G221" s="278">
        <f>E221*F221</f>
        <v>13489.86</v>
      </c>
    </row>
    <row r="222" spans="1:7" ht="15.75" hidden="1" customHeight="1" thickTop="1" thickBot="1" x14ac:dyDescent="0.25">
      <c r="A222" s="1644" t="s">
        <v>47</v>
      </c>
      <c r="B222" s="1645"/>
      <c r="C222" s="1645"/>
      <c r="D222" s="1645"/>
      <c r="E222" s="1645"/>
      <c r="F222" s="1646"/>
      <c r="G222" s="133">
        <f>SUM(G221)</f>
        <v>13489.86</v>
      </c>
    </row>
    <row r="223" spans="1:7" hidden="1" x14ac:dyDescent="0.2">
      <c r="A223" s="68" t="s">
        <v>777</v>
      </c>
    </row>
  </sheetData>
  <mergeCells count="97">
    <mergeCell ref="A20:A21"/>
    <mergeCell ref="B20:E21"/>
    <mergeCell ref="F20:G20"/>
    <mergeCell ref="F21:G21"/>
    <mergeCell ref="A5:G5"/>
    <mergeCell ref="A6:G6"/>
    <mergeCell ref="A8:G8"/>
    <mergeCell ref="A9:G9"/>
    <mergeCell ref="A10:G10"/>
    <mergeCell ref="A13:B13"/>
    <mergeCell ref="C13:D13"/>
    <mergeCell ref="A14:B14"/>
    <mergeCell ref="C14:D14"/>
    <mergeCell ref="A17:G17"/>
    <mergeCell ref="F18:G18"/>
    <mergeCell ref="F19:G19"/>
    <mergeCell ref="B38:E38"/>
    <mergeCell ref="F38:G38"/>
    <mergeCell ref="F22:G22"/>
    <mergeCell ref="A24:G24"/>
    <mergeCell ref="A25:B25"/>
    <mergeCell ref="A26:B26"/>
    <mergeCell ref="A27:G28"/>
    <mergeCell ref="A29:G30"/>
    <mergeCell ref="A34:G34"/>
    <mergeCell ref="A35:G35"/>
    <mergeCell ref="A36:G36"/>
    <mergeCell ref="B37:E37"/>
    <mergeCell ref="F37:G37"/>
    <mergeCell ref="B39:E39"/>
    <mergeCell ref="F39:G39"/>
    <mergeCell ref="B40:E40"/>
    <mergeCell ref="F40:G40"/>
    <mergeCell ref="B41:E41"/>
    <mergeCell ref="F41:G41"/>
    <mergeCell ref="A73:F73"/>
    <mergeCell ref="B46:E46"/>
    <mergeCell ref="A53:F53"/>
    <mergeCell ref="A55:G56"/>
    <mergeCell ref="A58:G58"/>
    <mergeCell ref="A60:G60"/>
    <mergeCell ref="B61:E61"/>
    <mergeCell ref="B63:E63"/>
    <mergeCell ref="A64:E64"/>
    <mergeCell ref="A65:G66"/>
    <mergeCell ref="A67:G68"/>
    <mergeCell ref="A69:G71"/>
    <mergeCell ref="B117:F117"/>
    <mergeCell ref="A76:F76"/>
    <mergeCell ref="B79:E79"/>
    <mergeCell ref="A88:E88"/>
    <mergeCell ref="A89:G89"/>
    <mergeCell ref="A90:G90"/>
    <mergeCell ref="B95:E95"/>
    <mergeCell ref="A96:A97"/>
    <mergeCell ref="A98:A99"/>
    <mergeCell ref="A101:A103"/>
    <mergeCell ref="A111:F111"/>
    <mergeCell ref="A113:G114"/>
    <mergeCell ref="A153:F153"/>
    <mergeCell ref="A121:F121"/>
    <mergeCell ref="A123:G123"/>
    <mergeCell ref="B124:E124"/>
    <mergeCell ref="A132:E132"/>
    <mergeCell ref="A134:G134"/>
    <mergeCell ref="A135:G136"/>
    <mergeCell ref="B139:E139"/>
    <mergeCell ref="A146:E146"/>
    <mergeCell ref="A147:G148"/>
    <mergeCell ref="B151:F151"/>
    <mergeCell ref="B152:F152"/>
    <mergeCell ref="A196:F196"/>
    <mergeCell ref="A154:G155"/>
    <mergeCell ref="B158:F158"/>
    <mergeCell ref="A161:F161"/>
    <mergeCell ref="A163:G163"/>
    <mergeCell ref="B164:F164"/>
    <mergeCell ref="B170:F170"/>
    <mergeCell ref="A173:G173"/>
    <mergeCell ref="B174:E174"/>
    <mergeCell ref="A177:A184"/>
    <mergeCell ref="A185:E185"/>
    <mergeCell ref="A190:F190"/>
    <mergeCell ref="A222:F222"/>
    <mergeCell ref="A198:F198"/>
    <mergeCell ref="A203:B203"/>
    <mergeCell ref="A204:B204"/>
    <mergeCell ref="A206:F206"/>
    <mergeCell ref="B209:G209"/>
    <mergeCell ref="B210:F210"/>
    <mergeCell ref="A219:D220"/>
    <mergeCell ref="E219:E220"/>
    <mergeCell ref="F219:F220"/>
    <mergeCell ref="G219:G220"/>
    <mergeCell ref="B221:D221"/>
    <mergeCell ref="A199:F199"/>
    <mergeCell ref="A200:F200"/>
  </mergeCells>
  <dataValidations count="2">
    <dataValidation allowBlank="1" showInputMessage="1" showErrorMessage="1" errorTitle="Atenção" error="Os dias só poderão ser alterados nos Dados." promptTitle="Jornada de Trabalho" prompt="- Alterando a carga horária, automaticamente será alterado os dias trabalhados._x000a_" sqref="C26"/>
    <dataValidation allowBlank="1" showInputMessage="1" showErrorMessage="1" errorTitle="Atenção" error="Não esquecer de buscar os valores e alterar na coluna F - das linhas 50 a 60, em caso de mais de um Sindicato." promptTitle="Benefícios" prompt="- Em caso de mais de um Sindicato em &quot;Dados&quot;, não esquecer de buscar os valores e alterar na coluna F - das linhas 50 a 60." sqref="F96:F110"/>
  </dataValidations>
  <printOptions horizontalCentered="1"/>
  <pageMargins left="0.82677165354330717" right="0.55118110236220474" top="0.82677165354330717" bottom="0.43307086614173229" header="0.19685039370078741" footer="0.23622047244094491"/>
  <pageSetup paperSize="9" scale="61" fitToHeight="0" orientation="portrait" r:id="rId1"/>
  <headerFooter alignWithMargins="0"/>
  <rowBreaks count="1" manualBreakCount="1">
    <brk id="111" max="6" man="1"/>
  </rowBreaks>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23"/>
  <dimension ref="A1:M223"/>
  <sheetViews>
    <sheetView view="pageBreakPreview" topLeftCell="A8" zoomScale="90" zoomScaleNormal="100" zoomScaleSheetLayoutView="90" workbookViewId="0">
      <selection activeCell="C45" sqref="B45:K48"/>
    </sheetView>
  </sheetViews>
  <sheetFormatPr defaultRowHeight="14.25" x14ac:dyDescent="0.2"/>
  <cols>
    <col min="1" max="1" width="5.85546875" style="68" customWidth="1"/>
    <col min="2" max="2" width="29.42578125" style="68" customWidth="1"/>
    <col min="3" max="3" width="19.7109375" style="68" customWidth="1"/>
    <col min="4" max="4" width="17.140625" style="68" customWidth="1"/>
    <col min="5" max="5" width="18" style="68" customWidth="1"/>
    <col min="6" max="6" width="15.42578125" style="68" customWidth="1"/>
    <col min="7" max="7" width="18" style="97" bestFit="1" customWidth="1"/>
    <col min="8" max="8" width="17.28515625" style="69" bestFit="1" customWidth="1"/>
    <col min="9" max="9" width="15.28515625" style="69" bestFit="1" customWidth="1"/>
    <col min="10" max="11" width="13.42578125" style="69" bestFit="1" customWidth="1"/>
    <col min="12" max="12" width="11.5703125" style="69" bestFit="1" customWidth="1"/>
    <col min="13" max="13" width="12.5703125" style="69" bestFit="1" customWidth="1"/>
    <col min="14" max="16384" width="9.140625" style="69"/>
  </cols>
  <sheetData>
    <row r="1" spans="1:7" ht="11.25" hidden="1" customHeight="1" x14ac:dyDescent="0.2">
      <c r="A1" s="96" t="str">
        <f>Proposta!C83</f>
        <v>Razão Social: BRASFORT ADMINISTRAÇÃO E SERVIÇOS LTDA</v>
      </c>
    </row>
    <row r="2" spans="1:7" ht="11.25" hidden="1" customHeight="1" x14ac:dyDescent="0.2">
      <c r="A2" s="96" t="str">
        <f>Proposta!C84</f>
        <v>CNPJ: 36.770.857/0001-38</v>
      </c>
    </row>
    <row r="3" spans="1:7" hidden="1" x14ac:dyDescent="0.2">
      <c r="A3" s="97"/>
    </row>
    <row r="4" spans="1:7" hidden="1" x14ac:dyDescent="0.2">
      <c r="A4" s="97"/>
    </row>
    <row r="5" spans="1:7" hidden="1" x14ac:dyDescent="0.2">
      <c r="A5" s="1630" t="str">
        <f>Dados!H2</f>
        <v xml:space="preserve">REPACTUAÇÃO CONTRATUAL 20___ - </v>
      </c>
      <c r="B5" s="1630"/>
      <c r="C5" s="1630"/>
      <c r="D5" s="1630"/>
      <c r="E5" s="1630"/>
      <c r="F5" s="1630"/>
      <c r="G5" s="1630"/>
    </row>
    <row r="6" spans="1:7" hidden="1" x14ac:dyDescent="0.2">
      <c r="A6" s="1630" t="str">
        <f>Dados!A10</f>
        <v>CONTRATO Nº __________/201__ - CONTRATANTE - PRESTAÇÃO DE SERVIÇOS --------</v>
      </c>
      <c r="B6" s="1630"/>
      <c r="C6" s="1630"/>
      <c r="D6" s="1630"/>
      <c r="E6" s="1630"/>
      <c r="F6" s="1630"/>
      <c r="G6" s="1630"/>
    </row>
    <row r="7" spans="1:7" x14ac:dyDescent="0.2">
      <c r="A7" s="1123"/>
      <c r="B7" s="1123"/>
      <c r="C7" s="1123"/>
      <c r="D7" s="1123"/>
      <c r="E7" s="1123"/>
      <c r="F7" s="1123"/>
      <c r="G7" s="1123"/>
    </row>
    <row r="8" spans="1:7" ht="18" customHeight="1" x14ac:dyDescent="0.2">
      <c r="A8" s="1637"/>
      <c r="B8" s="1637"/>
      <c r="C8" s="1637"/>
      <c r="D8" s="1637"/>
      <c r="E8" s="1637"/>
      <c r="F8" s="1637"/>
      <c r="G8" s="1637"/>
    </row>
    <row r="9" spans="1:7" x14ac:dyDescent="0.2">
      <c r="A9" s="1637" t="str">
        <f>Dados!$A$11</f>
        <v>PLANILHA DE CUSTOS E FORMAÇÃO DE PREÇOS - CJF</v>
      </c>
      <c r="B9" s="1637"/>
      <c r="C9" s="1637"/>
      <c r="D9" s="1637"/>
      <c r="E9" s="1637"/>
      <c r="F9" s="1637"/>
      <c r="G9" s="1637"/>
    </row>
    <row r="10" spans="1:7" x14ac:dyDescent="0.2">
      <c r="A10" s="1637"/>
      <c r="B10" s="1637"/>
      <c r="C10" s="1637"/>
      <c r="D10" s="1637"/>
      <c r="E10" s="1637"/>
      <c r="F10" s="1637"/>
      <c r="G10" s="1637"/>
    </row>
    <row r="11" spans="1:7" x14ac:dyDescent="0.2">
      <c r="A11" s="98"/>
      <c r="B11" s="98"/>
      <c r="C11" s="98"/>
      <c r="D11" s="98"/>
      <c r="E11" s="98"/>
      <c r="F11" s="98"/>
      <c r="G11" s="98"/>
    </row>
    <row r="12" spans="1:7" ht="15" thickBot="1" x14ac:dyDescent="0.25">
      <c r="A12" s="99"/>
      <c r="B12" s="99"/>
      <c r="C12" s="99"/>
      <c r="D12" s="99"/>
      <c r="E12" s="99"/>
      <c r="F12" s="99"/>
      <c r="G12" s="99"/>
    </row>
    <row r="13" spans="1:7" ht="15.75" customHeight="1" thickTop="1" thickBot="1" x14ac:dyDescent="0.25">
      <c r="A13" s="1631" t="s">
        <v>117</v>
      </c>
      <c r="B13" s="1631"/>
      <c r="C13" s="1670" t="str">
        <f>Dados!$G$14</f>
        <v>0001561-97.2021.4.90.8000</v>
      </c>
      <c r="D13" s="1671"/>
      <c r="E13" s="102"/>
      <c r="F13" s="135"/>
      <c r="G13" s="100"/>
    </row>
    <row r="14" spans="1:7" ht="15.75" customHeight="1" thickTop="1" thickBot="1" x14ac:dyDescent="0.25">
      <c r="A14" s="1631" t="s">
        <v>116</v>
      </c>
      <c r="B14" s="1631"/>
      <c r="C14" s="1619" t="str">
        <f>"Pregão Eletrônico nº:" &amp; " " &amp; Dados!$G$22</f>
        <v>Pregão Eletrônico nº: PE 32/2021</v>
      </c>
      <c r="D14" s="1620"/>
      <c r="E14" s="102"/>
      <c r="F14" s="298">
        <v>1</v>
      </c>
      <c r="G14" s="100"/>
    </row>
    <row r="15" spans="1:7" ht="15.75" customHeight="1" thickTop="1" x14ac:dyDescent="0.2">
      <c r="A15" s="101" t="str">
        <f>"Dia:" &amp; " " &amp; TEXT(Dados!$G$15,"dd/mm/aaaa") &amp; " " &amp; "às" &amp; " " &amp; TEXT(Dados!$G$18,"hh:mm") &amp; " " &amp; "horas"</f>
        <v>Dia: 15/10/2021 às 10:00 horas</v>
      </c>
      <c r="B15" s="101"/>
      <c r="C15" s="101"/>
      <c r="D15" s="99"/>
      <c r="E15" s="102"/>
      <c r="F15" s="297"/>
      <c r="G15" s="104"/>
    </row>
    <row r="16" spans="1:7" ht="15.75" customHeight="1" x14ac:dyDescent="0.2">
      <c r="A16" s="101"/>
      <c r="B16" s="101"/>
      <c r="C16" s="101"/>
      <c r="D16" s="99"/>
      <c r="E16" s="102"/>
      <c r="F16" s="103"/>
      <c r="G16" s="104"/>
    </row>
    <row r="17" spans="1:7" ht="18" customHeight="1" thickBot="1" x14ac:dyDescent="0.25">
      <c r="A17" s="1638" t="s">
        <v>723</v>
      </c>
      <c r="B17" s="1638"/>
      <c r="C17" s="1638"/>
      <c r="D17" s="1638"/>
      <c r="E17" s="1638"/>
      <c r="F17" s="1638"/>
      <c r="G17" s="1638"/>
    </row>
    <row r="18" spans="1:7" ht="16.5" customHeight="1" thickTop="1" thickBot="1" x14ac:dyDescent="0.25">
      <c r="A18" s="1121" t="s">
        <v>1</v>
      </c>
      <c r="B18" s="1132" t="s">
        <v>119</v>
      </c>
      <c r="C18" s="1133"/>
      <c r="D18" s="566"/>
      <c r="E18" s="106"/>
      <c r="F18" s="1639" t="d">
        <f>Dados!G16</f>
        <v>2021-10-21</v>
      </c>
      <c r="G18" s="1640"/>
    </row>
    <row r="19" spans="1:7" ht="16.5" customHeight="1" thickTop="1" thickBot="1" x14ac:dyDescent="0.25">
      <c r="A19" s="1121" t="s">
        <v>2</v>
      </c>
      <c r="B19" s="565" t="s">
        <v>3</v>
      </c>
      <c r="C19" s="566"/>
      <c r="D19" s="566"/>
      <c r="E19" s="107"/>
      <c r="F19" s="1639" t="str">
        <f>Dados!G19</f>
        <v>Brasília - DF</v>
      </c>
      <c r="G19" s="1640"/>
    </row>
    <row r="20" spans="1:7" ht="15" thickTop="1" x14ac:dyDescent="0.2">
      <c r="A20" s="1675" t="s">
        <v>4</v>
      </c>
      <c r="B20" s="1621" t="s">
        <v>118</v>
      </c>
      <c r="C20" s="1622"/>
      <c r="D20" s="1622"/>
      <c r="E20" s="1623"/>
      <c r="F20" s="1681" t="str">
        <f>Dados!N101</f>
        <v>SINDISERVIÇOS/SEAC-DF</v>
      </c>
      <c r="G20" s="1681"/>
    </row>
    <row r="21" spans="1:7" ht="15" thickBot="1" x14ac:dyDescent="0.25">
      <c r="A21" s="1677"/>
      <c r="B21" s="1624"/>
      <c r="C21" s="1625"/>
      <c r="D21" s="1625"/>
      <c r="E21" s="1626"/>
      <c r="F21" s="1627" t="str">
        <f>VLOOKUP(F20,'CCT''S'!$A$7:$J$21,5,FALSE)</f>
        <v>2021/2021</v>
      </c>
      <c r="G21" s="1628"/>
    </row>
    <row r="22" spans="1:7" ht="16.5" customHeight="1" thickTop="1" thickBot="1" x14ac:dyDescent="0.25">
      <c r="A22" s="1121" t="s">
        <v>5</v>
      </c>
      <c r="B22" s="1132" t="s">
        <v>120</v>
      </c>
      <c r="C22" s="1133"/>
      <c r="D22" s="566"/>
      <c r="E22" s="107"/>
      <c r="F22" s="1640">
        <f>Dados!G26</f>
        <v>12</v>
      </c>
      <c r="G22" s="1640"/>
    </row>
    <row r="23" spans="1:7" ht="15" thickTop="1" x14ac:dyDescent="0.2">
      <c r="A23" s="98"/>
      <c r="B23" s="99"/>
      <c r="C23" s="99"/>
      <c r="D23" s="99"/>
      <c r="E23" s="99"/>
      <c r="F23" s="108"/>
      <c r="G23" s="109"/>
    </row>
    <row r="24" spans="1:7" ht="16.5" customHeight="1" thickBot="1" x14ac:dyDescent="0.25">
      <c r="A24" s="1638" t="s">
        <v>722</v>
      </c>
      <c r="B24" s="1638"/>
      <c r="C24" s="1638"/>
      <c r="D24" s="1638"/>
      <c r="E24" s="1638"/>
      <c r="F24" s="1638"/>
      <c r="G24" s="1638"/>
    </row>
    <row r="25" spans="1:7" ht="51" customHeight="1" thickTop="1" thickBot="1" x14ac:dyDescent="0.25">
      <c r="A25" s="1635" t="s">
        <v>89</v>
      </c>
      <c r="B25" s="1635"/>
      <c r="C25" s="1125" t="s">
        <v>194</v>
      </c>
      <c r="D25" s="1125" t="s">
        <v>115</v>
      </c>
      <c r="E25" s="1125" t="s">
        <v>73</v>
      </c>
      <c r="F25" s="1125" t="s">
        <v>195</v>
      </c>
      <c r="G25" s="1125" t="s">
        <v>86</v>
      </c>
    </row>
    <row r="26" spans="1:7" ht="33.75" customHeight="1" thickTop="1" thickBot="1" x14ac:dyDescent="0.25">
      <c r="A26" s="1631" t="str">
        <f>Dados!N90</f>
        <v>Recepcionista</v>
      </c>
      <c r="B26" s="1631"/>
      <c r="C26" s="1121" t="str">
        <f>Dados!J30</f>
        <v>44 horas semanais - 5x2</v>
      </c>
      <c r="D26" s="1121" t="str">
        <f>Dados!G25</f>
        <v>Postos de Serviços</v>
      </c>
      <c r="E26" s="292">
        <f>Dados!R90</f>
        <v>12</v>
      </c>
      <c r="F26" s="292">
        <f>Dados!S90</f>
        <v>1</v>
      </c>
      <c r="G26" s="292">
        <f>E26*F26</f>
        <v>12</v>
      </c>
    </row>
    <row r="27" spans="1:7" ht="14.25" hidden="1" customHeight="1" thickTop="1" x14ac:dyDescent="0.2">
      <c r="A27" s="1634" t="s">
        <v>725</v>
      </c>
      <c r="B27" s="1634"/>
      <c r="C27" s="1634"/>
      <c r="D27" s="1634"/>
      <c r="E27" s="1634"/>
      <c r="F27" s="1634"/>
      <c r="G27" s="1634"/>
    </row>
    <row r="28" spans="1:7" ht="14.25" hidden="1" customHeight="1" x14ac:dyDescent="0.2">
      <c r="A28" s="1618"/>
      <c r="B28" s="1618"/>
      <c r="C28" s="1618"/>
      <c r="D28" s="1618"/>
      <c r="E28" s="1618"/>
      <c r="F28" s="1618"/>
      <c r="G28" s="1618"/>
    </row>
    <row r="29" spans="1:7" ht="14.25" hidden="1" customHeight="1" x14ac:dyDescent="0.2">
      <c r="A29" s="1618" t="s">
        <v>724</v>
      </c>
      <c r="B29" s="1618"/>
      <c r="C29" s="1618"/>
      <c r="D29" s="1618"/>
      <c r="E29" s="1618"/>
      <c r="F29" s="1618"/>
      <c r="G29" s="1618"/>
    </row>
    <row r="30" spans="1:7" ht="14.25" hidden="1" customHeight="1" x14ac:dyDescent="0.2">
      <c r="A30" s="1618"/>
      <c r="B30" s="1618"/>
      <c r="C30" s="1618"/>
      <c r="D30" s="1618"/>
      <c r="E30" s="1618"/>
      <c r="F30" s="1618"/>
      <c r="G30" s="1618"/>
    </row>
    <row r="31" spans="1:7" ht="14.25" customHeight="1" thickTop="1" x14ac:dyDescent="0.2">
      <c r="A31" s="101"/>
      <c r="B31" s="101"/>
      <c r="C31" s="101"/>
      <c r="D31" s="101"/>
      <c r="E31" s="101"/>
      <c r="F31" s="572"/>
      <c r="G31" s="573"/>
    </row>
    <row r="32" spans="1:7" ht="14.25" customHeight="1" x14ac:dyDescent="0.2">
      <c r="A32" s="1124" t="s">
        <v>719</v>
      </c>
      <c r="B32" s="98"/>
      <c r="C32" s="98"/>
      <c r="D32" s="98"/>
      <c r="E32" s="98"/>
      <c r="G32" s="110"/>
    </row>
    <row r="33" spans="1:9" ht="6.75" customHeight="1" x14ac:dyDescent="0.2">
      <c r="A33" s="98"/>
      <c r="B33" s="98"/>
      <c r="C33" s="98"/>
      <c r="D33" s="98"/>
      <c r="E33" s="98"/>
      <c r="G33" s="110"/>
    </row>
    <row r="34" spans="1:9" ht="14.25" customHeight="1" x14ac:dyDescent="0.2">
      <c r="A34" s="1632" t="s">
        <v>159</v>
      </c>
      <c r="B34" s="1632"/>
      <c r="C34" s="1632"/>
      <c r="D34" s="1632"/>
      <c r="E34" s="1632"/>
      <c r="F34" s="1632"/>
      <c r="G34" s="1632"/>
    </row>
    <row r="35" spans="1:9" ht="14.25" customHeight="1" thickBot="1" x14ac:dyDescent="0.25">
      <c r="A35" s="1636" t="s">
        <v>102</v>
      </c>
      <c r="B35" s="1636"/>
      <c r="C35" s="1636"/>
      <c r="D35" s="1636"/>
      <c r="E35" s="1636"/>
      <c r="F35" s="1636"/>
      <c r="G35" s="1636"/>
    </row>
    <row r="36" spans="1:9" ht="15" customHeight="1" thickTop="1" thickBot="1" x14ac:dyDescent="0.25">
      <c r="A36" s="1633" t="s">
        <v>88</v>
      </c>
      <c r="B36" s="1633"/>
      <c r="C36" s="1633"/>
      <c r="D36" s="1633"/>
      <c r="E36" s="1633"/>
      <c r="F36" s="1633"/>
      <c r="G36" s="1633"/>
    </row>
    <row r="37" spans="1:9" ht="15.75" thickTop="1" thickBot="1" x14ac:dyDescent="0.25">
      <c r="A37" s="1121">
        <v>1</v>
      </c>
      <c r="B37" s="1633" t="s">
        <v>89</v>
      </c>
      <c r="C37" s="1633"/>
      <c r="D37" s="1633"/>
      <c r="E37" s="1633"/>
      <c r="F37" s="1631" t="str">
        <f>A26</f>
        <v>Recepcionista</v>
      </c>
      <c r="G37" s="1631"/>
    </row>
    <row r="38" spans="1:9" ht="15.75" thickTop="1" thickBot="1" x14ac:dyDescent="0.25">
      <c r="A38" s="1121">
        <v>2</v>
      </c>
      <c r="B38" s="1633" t="s">
        <v>720</v>
      </c>
      <c r="C38" s="1633"/>
      <c r="D38" s="1633"/>
      <c r="E38" s="1633"/>
      <c r="F38" s="1631" t="str">
        <f>Dados!O90</f>
        <v>4221-05</v>
      </c>
      <c r="G38" s="1631"/>
    </row>
    <row r="39" spans="1:9" ht="15.75" customHeight="1" thickTop="1" thickBot="1" x14ac:dyDescent="0.25">
      <c r="A39" s="1121">
        <v>3</v>
      </c>
      <c r="B39" s="1633" t="s">
        <v>90</v>
      </c>
      <c r="C39" s="1633"/>
      <c r="D39" s="1633"/>
      <c r="E39" s="1633"/>
      <c r="F39" s="1682">
        <f>Dados!U90</f>
        <v>2473.75</v>
      </c>
      <c r="G39" s="1682"/>
    </row>
    <row r="40" spans="1:9" ht="44.25" customHeight="1" thickTop="1" thickBot="1" x14ac:dyDescent="0.25">
      <c r="A40" s="1121">
        <v>4</v>
      </c>
      <c r="B40" s="1633" t="s">
        <v>10</v>
      </c>
      <c r="C40" s="1633"/>
      <c r="D40" s="1633"/>
      <c r="E40" s="1633"/>
      <c r="F40" s="1640" t="str">
        <f>Dados!P90</f>
        <v>Recepcionista de segunda a sexta-feira - 44 horas semanais</v>
      </c>
      <c r="G40" s="1640"/>
    </row>
    <row r="41" spans="1:9" ht="14.25" customHeight="1" thickTop="1" thickBot="1" x14ac:dyDescent="0.25">
      <c r="A41" s="1121">
        <v>5</v>
      </c>
      <c r="B41" s="1633" t="s">
        <v>11</v>
      </c>
      <c r="C41" s="1633"/>
      <c r="D41" s="1633"/>
      <c r="E41" s="1633"/>
      <c r="F41" s="1689" t="d">
        <f>VLOOKUP(F20,'CCT''S'!$A$7:$J$21,6,FALSE)</f>
        <v>2021-01-01</v>
      </c>
      <c r="G41" s="1690"/>
    </row>
    <row r="42" spans="1:9" ht="14.25" hidden="1" customHeight="1" thickTop="1" x14ac:dyDescent="0.2">
      <c r="A42" s="101" t="s">
        <v>726</v>
      </c>
      <c r="B42" s="129"/>
      <c r="C42" s="129"/>
      <c r="D42" s="129"/>
      <c r="E42" s="129"/>
      <c r="F42" s="103"/>
      <c r="G42" s="103"/>
    </row>
    <row r="43" spans="1:9" ht="14.25" hidden="1" customHeight="1" x14ac:dyDescent="0.2">
      <c r="A43" s="101" t="s">
        <v>727</v>
      </c>
      <c r="B43" s="129"/>
      <c r="C43" s="129"/>
      <c r="D43" s="129"/>
      <c r="E43" s="129"/>
      <c r="F43" s="103"/>
      <c r="G43" s="103"/>
    </row>
    <row r="44" spans="1:9" ht="14.25" customHeight="1" thickTop="1" x14ac:dyDescent="0.2">
      <c r="A44" s="98"/>
      <c r="B44" s="129"/>
      <c r="C44" s="129"/>
      <c r="D44" s="129"/>
      <c r="E44" s="129"/>
      <c r="F44" s="103"/>
      <c r="G44" s="103"/>
    </row>
    <row r="45" spans="1:9" s="576" customFormat="1" ht="15" thickBot="1" x14ac:dyDescent="0.25">
      <c r="A45" s="576" t="s">
        <v>30</v>
      </c>
    </row>
    <row r="46" spans="1:9" ht="18" customHeight="1" thickTop="1" thickBot="1" x14ac:dyDescent="0.25">
      <c r="A46" s="1131">
        <v>1</v>
      </c>
      <c r="B46" s="1672" t="s">
        <v>91</v>
      </c>
      <c r="C46" s="1673"/>
      <c r="D46" s="1673"/>
      <c r="E46" s="1674"/>
      <c r="F46" s="1125" t="s">
        <v>746</v>
      </c>
      <c r="G46" s="1131" t="s">
        <v>121</v>
      </c>
      <c r="H46" s="111"/>
      <c r="I46" s="111"/>
    </row>
    <row r="47" spans="1:9" ht="15.75" thickTop="1" thickBot="1" x14ac:dyDescent="0.25">
      <c r="A47" s="112" t="s">
        <v>1</v>
      </c>
      <c r="B47" s="1132" t="s">
        <v>674</v>
      </c>
      <c r="C47" s="1133"/>
      <c r="D47" s="1133"/>
      <c r="E47" s="1134"/>
      <c r="F47" s="115"/>
      <c r="G47" s="116">
        <f>$F$39*F14</f>
        <v>2473.75</v>
      </c>
      <c r="H47" s="111"/>
      <c r="I47" s="111"/>
    </row>
    <row r="48" spans="1:9" ht="15.75" thickTop="1" thickBot="1" x14ac:dyDescent="0.25">
      <c r="A48" s="112" t="s">
        <v>2</v>
      </c>
      <c r="B48" s="1132" t="str">
        <f>Dados!A36</f>
        <v xml:space="preserve">Adicional de Periculosidade </v>
      </c>
      <c r="C48" s="1133"/>
      <c r="D48" s="1133"/>
      <c r="E48" s="1134"/>
      <c r="F48" s="369">
        <f>Dados!G36</f>
        <v>0.3</v>
      </c>
      <c r="G48" s="117"/>
      <c r="H48" s="111"/>
      <c r="I48" s="111"/>
    </row>
    <row r="49" spans="1:9" ht="15.75" thickTop="1" thickBot="1" x14ac:dyDescent="0.25">
      <c r="A49" s="112" t="s">
        <v>4</v>
      </c>
      <c r="B49" s="1132" t="s">
        <v>908</v>
      </c>
      <c r="C49" s="1133"/>
      <c r="D49" s="1133"/>
      <c r="E49" s="1134"/>
      <c r="F49" s="369"/>
      <c r="G49" s="117"/>
      <c r="H49" s="111"/>
      <c r="I49" s="111"/>
    </row>
    <row r="50" spans="1:9" ht="15.75" thickTop="1" thickBot="1" x14ac:dyDescent="0.25">
      <c r="A50" s="112" t="s">
        <v>5</v>
      </c>
      <c r="B50" s="1132" t="s">
        <v>12</v>
      </c>
      <c r="C50" s="1133"/>
      <c r="D50" s="1133"/>
      <c r="E50" s="1134"/>
      <c r="F50" s="369">
        <f>Dados!G39</f>
        <v>0.2</v>
      </c>
      <c r="G50" s="117"/>
      <c r="H50" s="111"/>
      <c r="I50" s="111"/>
    </row>
    <row r="51" spans="1:9" ht="15.75" thickTop="1" thickBot="1" x14ac:dyDescent="0.25">
      <c r="A51" s="112" t="s">
        <v>6</v>
      </c>
      <c r="B51" s="1132" t="s">
        <v>728</v>
      </c>
      <c r="C51" s="1133"/>
      <c r="D51" s="1133"/>
      <c r="E51" s="1134"/>
      <c r="F51" s="369"/>
      <c r="G51" s="117"/>
      <c r="H51" s="111"/>
      <c r="I51" s="111"/>
    </row>
    <row r="52" spans="1:9" ht="15.75" thickTop="1" thickBot="1" x14ac:dyDescent="0.25">
      <c r="A52" s="112" t="s">
        <v>7</v>
      </c>
      <c r="B52" s="1132" t="s">
        <v>57</v>
      </c>
      <c r="C52" s="1133"/>
      <c r="D52" s="1133"/>
      <c r="E52" s="1134"/>
      <c r="F52" s="369"/>
      <c r="G52" s="117"/>
      <c r="H52" s="111"/>
      <c r="I52" s="111"/>
    </row>
    <row r="53" spans="1:9" ht="16.5" customHeight="1" thickTop="1" thickBot="1" x14ac:dyDescent="0.25">
      <c r="A53" s="1644" t="s">
        <v>232</v>
      </c>
      <c r="B53" s="1645"/>
      <c r="C53" s="1645"/>
      <c r="D53" s="1645"/>
      <c r="E53" s="1645"/>
      <c r="F53" s="1646"/>
      <c r="G53" s="119">
        <f>SUM(G47:G52)</f>
        <v>2473.75</v>
      </c>
      <c r="H53" s="111"/>
      <c r="I53" s="111"/>
    </row>
    <row r="54" spans="1:9" s="68" customFormat="1" ht="15" hidden="1" thickTop="1" x14ac:dyDescent="0.2">
      <c r="A54" s="101" t="s">
        <v>729</v>
      </c>
      <c r="B54" s="101"/>
      <c r="C54" s="101"/>
      <c r="D54" s="101"/>
      <c r="E54" s="101"/>
      <c r="F54" s="574"/>
      <c r="G54" s="575"/>
      <c r="H54" s="122"/>
      <c r="I54" s="122"/>
    </row>
    <row r="55" spans="1:9" s="68" customFormat="1" ht="14.25" hidden="1" customHeight="1" x14ac:dyDescent="0.2">
      <c r="A55" s="1618" t="s">
        <v>958</v>
      </c>
      <c r="B55" s="1618"/>
      <c r="C55" s="1618"/>
      <c r="D55" s="1618"/>
      <c r="E55" s="1618"/>
      <c r="F55" s="1618"/>
      <c r="G55" s="1618"/>
      <c r="H55" s="122"/>
      <c r="I55" s="122"/>
    </row>
    <row r="56" spans="1:9" s="68" customFormat="1" hidden="1" x14ac:dyDescent="0.2">
      <c r="A56" s="1618"/>
      <c r="B56" s="1618"/>
      <c r="C56" s="1618"/>
      <c r="D56" s="1618"/>
      <c r="E56" s="1618"/>
      <c r="F56" s="1618"/>
      <c r="G56" s="1618"/>
      <c r="H56" s="122"/>
      <c r="I56" s="122"/>
    </row>
    <row r="57" spans="1:9" s="68" customFormat="1" ht="15" thickTop="1" x14ac:dyDescent="0.2">
      <c r="A57" s="101"/>
      <c r="B57" s="101"/>
      <c r="C57" s="101"/>
      <c r="D57" s="101"/>
      <c r="E57" s="101"/>
      <c r="F57" s="574"/>
      <c r="G57" s="575"/>
      <c r="H57" s="122"/>
      <c r="I57" s="122"/>
    </row>
    <row r="58" spans="1:9" s="68" customFormat="1" x14ac:dyDescent="0.2">
      <c r="A58" s="1629" t="s">
        <v>730</v>
      </c>
      <c r="B58" s="1629"/>
      <c r="C58" s="1629"/>
      <c r="D58" s="1629"/>
      <c r="E58" s="1629"/>
      <c r="F58" s="1629"/>
      <c r="G58" s="1629"/>
      <c r="H58" s="122"/>
      <c r="I58" s="122"/>
    </row>
    <row r="59" spans="1:9" s="68" customFormat="1" ht="5.25" customHeight="1" x14ac:dyDescent="0.2">
      <c r="A59" s="101"/>
      <c r="B59" s="101"/>
      <c r="C59" s="101"/>
      <c r="D59" s="101"/>
      <c r="E59" s="101"/>
      <c r="F59" s="574"/>
      <c r="G59" s="575"/>
      <c r="H59" s="122"/>
      <c r="I59" s="122"/>
    </row>
    <row r="60" spans="1:9" s="68" customFormat="1" ht="15" thickBot="1" x14ac:dyDescent="0.25">
      <c r="A60" s="1632" t="s">
        <v>737</v>
      </c>
      <c r="B60" s="1632"/>
      <c r="C60" s="1632"/>
      <c r="D60" s="1632"/>
      <c r="E60" s="1632"/>
      <c r="F60" s="1632"/>
      <c r="G60" s="1632"/>
      <c r="H60" s="122"/>
      <c r="I60" s="122"/>
    </row>
    <row r="61" spans="1:9" s="68" customFormat="1" ht="15.75" thickTop="1" thickBot="1" x14ac:dyDescent="0.25">
      <c r="A61" s="1125" t="s">
        <v>732</v>
      </c>
      <c r="B61" s="1635" t="s">
        <v>747</v>
      </c>
      <c r="C61" s="1635"/>
      <c r="D61" s="1635"/>
      <c r="E61" s="1635"/>
      <c r="F61" s="1125" t="s">
        <v>746</v>
      </c>
      <c r="G61" s="1131" t="s">
        <v>121</v>
      </c>
      <c r="H61" s="122"/>
      <c r="I61" s="122"/>
    </row>
    <row r="62" spans="1:9" s="68" customFormat="1" ht="15.75" thickTop="1" thickBot="1" x14ac:dyDescent="0.25">
      <c r="A62" s="1121" t="s">
        <v>1</v>
      </c>
      <c r="B62" s="136" t="str">
        <f>Dados!B92</f>
        <v xml:space="preserve">13º (décimo terceiro) salário  </v>
      </c>
      <c r="C62" s="285"/>
      <c r="D62" s="137"/>
      <c r="E62" s="126"/>
      <c r="F62" s="138">
        <f>Dados!G92</f>
        <v>9.0899999999999995E-2</v>
      </c>
      <c r="G62" s="127">
        <f>F62*$G$53</f>
        <v>224.86</v>
      </c>
      <c r="H62" s="122"/>
      <c r="I62" s="122"/>
    </row>
    <row r="63" spans="1:9" s="68" customFormat="1" ht="15.75" thickTop="1" thickBot="1" x14ac:dyDescent="0.25">
      <c r="A63" s="1121" t="s">
        <v>2</v>
      </c>
      <c r="B63" s="1655" t="str">
        <f>Dados!B93</f>
        <v xml:space="preserve"> Férias e Adicional de Férias</v>
      </c>
      <c r="C63" s="1655"/>
      <c r="D63" s="1655"/>
      <c r="E63" s="1655"/>
      <c r="F63" s="138">
        <f>Dados!G93</f>
        <v>0.1212</v>
      </c>
      <c r="G63" s="127">
        <f>F63*$G$53</f>
        <v>299.82</v>
      </c>
      <c r="H63" s="122"/>
      <c r="I63" s="122"/>
    </row>
    <row r="64" spans="1:9" s="68" customFormat="1" ht="18.75" customHeight="1" thickTop="1" thickBot="1" x14ac:dyDescent="0.25">
      <c r="A64" s="1644" t="s">
        <v>232</v>
      </c>
      <c r="B64" s="1645"/>
      <c r="C64" s="1645"/>
      <c r="D64" s="1645"/>
      <c r="E64" s="1646"/>
      <c r="F64" s="139">
        <f>SUM(F62:F63)</f>
        <v>0.21210000000000001</v>
      </c>
      <c r="G64" s="133">
        <f>SUM(G62:G63)</f>
        <v>524.67999999999995</v>
      </c>
      <c r="H64" s="122"/>
      <c r="I64" s="623"/>
    </row>
    <row r="65" spans="1:9" s="68" customFormat="1" ht="15" hidden="1" customHeight="1" thickTop="1" x14ac:dyDescent="0.2">
      <c r="A65" s="1618" t="s">
        <v>736</v>
      </c>
      <c r="B65" s="1618"/>
      <c r="C65" s="1618"/>
      <c r="D65" s="1618"/>
      <c r="E65" s="1618"/>
      <c r="F65" s="1618"/>
      <c r="G65" s="1618"/>
      <c r="H65" s="122"/>
      <c r="I65" s="623"/>
    </row>
    <row r="66" spans="1:9" s="68" customFormat="1" hidden="1" x14ac:dyDescent="0.2">
      <c r="A66" s="1618"/>
      <c r="B66" s="1618"/>
      <c r="C66" s="1618"/>
      <c r="D66" s="1618"/>
      <c r="E66" s="1618"/>
      <c r="F66" s="1618"/>
      <c r="G66" s="1618"/>
      <c r="H66" s="122"/>
      <c r="I66" s="623"/>
    </row>
    <row r="67" spans="1:9" s="68" customFormat="1" ht="14.25" hidden="1" customHeight="1" x14ac:dyDescent="0.2">
      <c r="A67" s="1643" t="s">
        <v>934</v>
      </c>
      <c r="B67" s="1643"/>
      <c r="C67" s="1643"/>
      <c r="D67" s="1643"/>
      <c r="E67" s="1643"/>
      <c r="F67" s="1643"/>
      <c r="G67" s="1643"/>
      <c r="H67" s="122"/>
      <c r="I67" s="623"/>
    </row>
    <row r="68" spans="1:9" s="68" customFormat="1" hidden="1" x14ac:dyDescent="0.2">
      <c r="A68" s="1643"/>
      <c r="B68" s="1643"/>
      <c r="C68" s="1643"/>
      <c r="D68" s="1643"/>
      <c r="E68" s="1643"/>
      <c r="F68" s="1643"/>
      <c r="G68" s="1643"/>
      <c r="H68" s="122"/>
      <c r="I68" s="623"/>
    </row>
    <row r="69" spans="1:9" s="68" customFormat="1" ht="14.25" hidden="1" customHeight="1" x14ac:dyDescent="0.2">
      <c r="A69" s="1618" t="s">
        <v>916</v>
      </c>
      <c r="B69" s="1618"/>
      <c r="C69" s="1618"/>
      <c r="D69" s="1618"/>
      <c r="E69" s="1618"/>
      <c r="F69" s="1618"/>
      <c r="G69" s="1618"/>
      <c r="H69" s="122"/>
      <c r="I69" s="623"/>
    </row>
    <row r="70" spans="1:9" s="68" customFormat="1" hidden="1" x14ac:dyDescent="0.2">
      <c r="A70" s="1618"/>
      <c r="B70" s="1618"/>
      <c r="C70" s="1618"/>
      <c r="D70" s="1618"/>
      <c r="E70" s="1618"/>
      <c r="F70" s="1618"/>
      <c r="G70" s="1618"/>
      <c r="H70" s="122"/>
      <c r="I70" s="623"/>
    </row>
    <row r="71" spans="1:9" s="68" customFormat="1" hidden="1" x14ac:dyDescent="0.2">
      <c r="A71" s="1618"/>
      <c r="B71" s="1618"/>
      <c r="C71" s="1618"/>
      <c r="D71" s="1618"/>
      <c r="E71" s="1618"/>
      <c r="F71" s="1618"/>
      <c r="G71" s="1618"/>
      <c r="H71" s="122"/>
      <c r="I71" s="623"/>
    </row>
    <row r="72" spans="1:9" s="68" customFormat="1" ht="15.75" thickTop="1" thickBot="1" x14ac:dyDescent="0.25">
      <c r="A72" s="1122"/>
      <c r="B72" s="1122"/>
      <c r="C72" s="1122"/>
      <c r="D72" s="1122"/>
      <c r="E72" s="1122"/>
      <c r="F72" s="1122"/>
      <c r="G72" s="1122"/>
      <c r="H72" s="122"/>
      <c r="I72" s="623"/>
    </row>
    <row r="73" spans="1:9" s="68" customFormat="1" ht="15.75" customHeight="1" thickTop="1" thickBot="1" x14ac:dyDescent="0.25">
      <c r="A73" s="1652" t="s">
        <v>804</v>
      </c>
      <c r="B73" s="1653"/>
      <c r="C73" s="1653"/>
      <c r="D73" s="1653"/>
      <c r="E73" s="1653"/>
      <c r="F73" s="1654"/>
      <c r="G73" s="1131" t="s">
        <v>121</v>
      </c>
      <c r="H73" s="122"/>
      <c r="I73" s="623"/>
    </row>
    <row r="74" spans="1:9" s="68" customFormat="1" ht="15.75" thickTop="1" thickBot="1" x14ac:dyDescent="0.25">
      <c r="A74" s="1121">
        <v>1</v>
      </c>
      <c r="B74" s="136" t="str">
        <f>A45</f>
        <v>Módulo 1 - Composição da Remuneração</v>
      </c>
      <c r="C74" s="285"/>
      <c r="D74" s="137"/>
      <c r="E74" s="137"/>
      <c r="F74" s="582"/>
      <c r="G74" s="127">
        <f>G53</f>
        <v>2473.75</v>
      </c>
      <c r="H74" s="122"/>
      <c r="I74" s="623"/>
    </row>
    <row r="75" spans="1:9" s="68" customFormat="1" ht="15.75" thickTop="1" thickBot="1" x14ac:dyDescent="0.25">
      <c r="A75" s="1121" t="s">
        <v>732</v>
      </c>
      <c r="B75" s="136" t="str">
        <f>A60</f>
        <v>Submódulo 2.1 - 13º (décimo terceiro) Salário, Férias e Adicional de Férias</v>
      </c>
      <c r="C75" s="285"/>
      <c r="D75" s="137"/>
      <c r="E75" s="137"/>
      <c r="F75" s="582"/>
      <c r="G75" s="127">
        <f>G64</f>
        <v>524.67999999999995</v>
      </c>
      <c r="H75" s="122"/>
      <c r="I75" s="122"/>
    </row>
    <row r="76" spans="1:9" s="68" customFormat="1" ht="15.75" thickTop="1" thickBot="1" x14ac:dyDescent="0.25">
      <c r="A76" s="1686" t="s">
        <v>805</v>
      </c>
      <c r="B76" s="1687"/>
      <c r="C76" s="1687"/>
      <c r="D76" s="1687"/>
      <c r="E76" s="1687"/>
      <c r="F76" s="1688"/>
      <c r="G76" s="133">
        <f>SUM(G74:G75)</f>
        <v>2998.43</v>
      </c>
      <c r="H76" s="122"/>
      <c r="I76" s="122"/>
    </row>
    <row r="77" spans="1:9" s="68" customFormat="1" ht="15" thickTop="1" x14ac:dyDescent="0.2">
      <c r="A77" s="1122"/>
      <c r="B77" s="1122"/>
      <c r="C77" s="1122"/>
      <c r="D77" s="1122"/>
      <c r="E77" s="1122"/>
      <c r="F77" s="1122"/>
      <c r="G77" s="1122"/>
      <c r="H77" s="122"/>
      <c r="I77" s="122"/>
    </row>
    <row r="78" spans="1:9" ht="15" thickBot="1" x14ac:dyDescent="0.25">
      <c r="A78" s="134" t="s">
        <v>738</v>
      </c>
      <c r="B78" s="135"/>
      <c r="C78" s="135"/>
      <c r="D78" s="135"/>
      <c r="E78" s="135"/>
      <c r="F78" s="135"/>
      <c r="G78" s="135"/>
      <c r="H78" s="111"/>
      <c r="I78" s="111"/>
    </row>
    <row r="79" spans="1:9" ht="15.75" thickTop="1" thickBot="1" x14ac:dyDescent="0.25">
      <c r="A79" s="1125" t="s">
        <v>731</v>
      </c>
      <c r="B79" s="1635" t="s">
        <v>745</v>
      </c>
      <c r="C79" s="1635"/>
      <c r="D79" s="1635"/>
      <c r="E79" s="1635"/>
      <c r="F79" s="1125" t="s">
        <v>746</v>
      </c>
      <c r="G79" s="1131" t="s">
        <v>121</v>
      </c>
      <c r="H79" s="111"/>
      <c r="I79" s="111"/>
    </row>
    <row r="80" spans="1:9" ht="15.75" thickTop="1" thickBot="1" x14ac:dyDescent="0.25">
      <c r="A80" s="1121" t="s">
        <v>1</v>
      </c>
      <c r="B80" s="136" t="str">
        <f>Dados!B98</f>
        <v>INSS</v>
      </c>
      <c r="C80" s="285"/>
      <c r="D80" s="137"/>
      <c r="E80" s="126"/>
      <c r="F80" s="138">
        <f>Dados!G98</f>
        <v>0.2</v>
      </c>
      <c r="G80" s="127">
        <f t="shared" ref="G80:G87" si="0">$G$76*F80</f>
        <v>599.69000000000005</v>
      </c>
      <c r="H80" s="111"/>
      <c r="I80" s="111"/>
    </row>
    <row r="81" spans="1:9" ht="15.75" thickTop="1" thickBot="1" x14ac:dyDescent="0.25">
      <c r="A81" s="1121" t="s">
        <v>2</v>
      </c>
      <c r="B81" s="136" t="str">
        <f>Dados!B99</f>
        <v>Salário Educação</v>
      </c>
      <c r="C81" s="285"/>
      <c r="D81" s="137"/>
      <c r="E81" s="126"/>
      <c r="F81" s="138">
        <f>Dados!G99</f>
        <v>2.5000000000000001E-2</v>
      </c>
      <c r="G81" s="127">
        <f t="shared" si="0"/>
        <v>74.959999999999994</v>
      </c>
      <c r="H81" s="111"/>
      <c r="I81" s="111"/>
    </row>
    <row r="82" spans="1:9" ht="15.75" thickTop="1" thickBot="1" x14ac:dyDescent="0.25">
      <c r="A82" s="1121" t="s">
        <v>4</v>
      </c>
      <c r="B82" s="136" t="str">
        <f>Dados!B100</f>
        <v>Seguro Acidente do Trabalho - SAT = RAT x FAP</v>
      </c>
      <c r="C82" s="285"/>
      <c r="D82" s="137"/>
      <c r="E82" s="126"/>
      <c r="F82" s="138">
        <f>Dados!G100</f>
        <v>1.2200000000000001E-2</v>
      </c>
      <c r="G82" s="127">
        <f t="shared" si="0"/>
        <v>36.58</v>
      </c>
      <c r="H82" s="111"/>
      <c r="I82" s="111"/>
    </row>
    <row r="83" spans="1:9" ht="15.75" thickTop="1" thickBot="1" x14ac:dyDescent="0.25">
      <c r="A83" s="1121" t="s">
        <v>5</v>
      </c>
      <c r="B83" s="136" t="str">
        <f>Dados!B101</f>
        <v>SESI ou SESC</v>
      </c>
      <c r="C83" s="285"/>
      <c r="D83" s="137"/>
      <c r="E83" s="126"/>
      <c r="F83" s="138">
        <f>Dados!G101</f>
        <v>1.4999999999999999E-2</v>
      </c>
      <c r="G83" s="127">
        <f t="shared" si="0"/>
        <v>44.98</v>
      </c>
      <c r="H83" s="111"/>
      <c r="I83" s="111"/>
    </row>
    <row r="84" spans="1:9" ht="15.75" thickTop="1" thickBot="1" x14ac:dyDescent="0.25">
      <c r="A84" s="1121" t="s">
        <v>6</v>
      </c>
      <c r="B84" s="136" t="str">
        <f>Dados!B102</f>
        <v>SENAI ou SENAC</v>
      </c>
      <c r="C84" s="285"/>
      <c r="D84" s="137"/>
      <c r="E84" s="126"/>
      <c r="F84" s="138">
        <f>Dados!G102</f>
        <v>0.01</v>
      </c>
      <c r="G84" s="127">
        <f t="shared" si="0"/>
        <v>29.98</v>
      </c>
      <c r="H84" s="111"/>
      <c r="I84" s="111"/>
    </row>
    <row r="85" spans="1:9" ht="15.75" thickTop="1" thickBot="1" x14ac:dyDescent="0.25">
      <c r="A85" s="1121" t="s">
        <v>7</v>
      </c>
      <c r="B85" s="136" t="str">
        <f>Dados!B103</f>
        <v>SEBRAE</v>
      </c>
      <c r="C85" s="285"/>
      <c r="D85" s="137"/>
      <c r="E85" s="126"/>
      <c r="F85" s="138">
        <f>Dados!G103</f>
        <v>6.0000000000000001E-3</v>
      </c>
      <c r="G85" s="127">
        <f t="shared" si="0"/>
        <v>17.989999999999998</v>
      </c>
      <c r="H85" s="111"/>
      <c r="I85" s="111"/>
    </row>
    <row r="86" spans="1:9" ht="15.75" thickTop="1" thickBot="1" x14ac:dyDescent="0.25">
      <c r="A86" s="1121" t="s">
        <v>8</v>
      </c>
      <c r="B86" s="136" t="str">
        <f>Dados!B104</f>
        <v>INCRA</v>
      </c>
      <c r="C86" s="285"/>
      <c r="D86" s="137"/>
      <c r="E86" s="126"/>
      <c r="F86" s="138">
        <f>Dados!G104</f>
        <v>2E-3</v>
      </c>
      <c r="G86" s="127">
        <f t="shared" si="0"/>
        <v>6</v>
      </c>
      <c r="H86" s="111"/>
      <c r="I86" s="111"/>
    </row>
    <row r="87" spans="1:9" ht="15.75" thickTop="1" thickBot="1" x14ac:dyDescent="0.25">
      <c r="A87" s="1121" t="s">
        <v>9</v>
      </c>
      <c r="B87" s="136" t="str">
        <f>Dados!B105</f>
        <v>FGTS</v>
      </c>
      <c r="C87" s="285"/>
      <c r="D87" s="137"/>
      <c r="E87" s="126"/>
      <c r="F87" s="138">
        <f>Dados!G105</f>
        <v>0.08</v>
      </c>
      <c r="G87" s="127">
        <f t="shared" si="0"/>
        <v>239.87</v>
      </c>
      <c r="H87" s="111"/>
      <c r="I87" s="111"/>
    </row>
    <row r="88" spans="1:9" ht="15.75" customHeight="1" thickTop="1" thickBot="1" x14ac:dyDescent="0.25">
      <c r="A88" s="1644" t="s">
        <v>232</v>
      </c>
      <c r="B88" s="1645"/>
      <c r="C88" s="1645"/>
      <c r="D88" s="1645"/>
      <c r="E88" s="1646"/>
      <c r="F88" s="139">
        <f>SUM(F80:F87)</f>
        <v>0.35020000000000001</v>
      </c>
      <c r="G88" s="133">
        <f>SUM(G80:G87)</f>
        <v>1050.05</v>
      </c>
      <c r="H88" s="111"/>
      <c r="I88" s="625"/>
    </row>
    <row r="89" spans="1:9" ht="15" hidden="1" customHeight="1" thickTop="1" x14ac:dyDescent="0.2">
      <c r="A89" s="1618" t="s">
        <v>740</v>
      </c>
      <c r="B89" s="1618"/>
      <c r="C89" s="1618"/>
      <c r="D89" s="1618"/>
      <c r="E89" s="1618"/>
      <c r="F89" s="1618"/>
      <c r="G89" s="1618"/>
      <c r="H89" s="111"/>
      <c r="I89" s="111"/>
    </row>
    <row r="90" spans="1:9" ht="33" hidden="1" customHeight="1" x14ac:dyDescent="0.2">
      <c r="A90" s="1618" t="s">
        <v>739</v>
      </c>
      <c r="B90" s="1618"/>
      <c r="C90" s="1618"/>
      <c r="D90" s="1618"/>
      <c r="E90" s="1618"/>
      <c r="F90" s="1618"/>
      <c r="G90" s="1618"/>
      <c r="H90" s="111"/>
      <c r="I90" s="111"/>
    </row>
    <row r="91" spans="1:9" hidden="1" x14ac:dyDescent="0.2">
      <c r="A91" s="577" t="s">
        <v>917</v>
      </c>
      <c r="B91" s="1124"/>
      <c r="C91" s="1124"/>
      <c r="D91" s="1124"/>
      <c r="E91" s="1124"/>
      <c r="F91" s="1124"/>
      <c r="G91" s="1124"/>
      <c r="H91" s="111"/>
      <c r="I91" s="111"/>
    </row>
    <row r="92" spans="1:9" hidden="1" x14ac:dyDescent="0.2">
      <c r="A92" s="577" t="s">
        <v>803</v>
      </c>
      <c r="B92" s="1124"/>
      <c r="C92" s="1124"/>
      <c r="D92" s="1124"/>
      <c r="E92" s="1124"/>
      <c r="F92" s="1124"/>
      <c r="G92" s="1124"/>
      <c r="H92" s="111"/>
      <c r="I92" s="111"/>
    </row>
    <row r="93" spans="1:9" ht="15.75" thickTop="1" x14ac:dyDescent="0.2">
      <c r="A93" s="578"/>
      <c r="B93" s="1124"/>
      <c r="C93" s="1124"/>
      <c r="D93" s="1124"/>
      <c r="E93" s="1124"/>
      <c r="F93" s="1124"/>
      <c r="G93" s="1124"/>
      <c r="H93" s="111"/>
      <c r="I93" s="111"/>
    </row>
    <row r="94" spans="1:9" ht="15" thickBot="1" x14ac:dyDescent="0.25">
      <c r="A94" s="576" t="s">
        <v>741</v>
      </c>
      <c r="B94" s="1124"/>
      <c r="C94" s="1124"/>
      <c r="D94" s="1124"/>
      <c r="E94" s="1124"/>
      <c r="F94" s="1124"/>
      <c r="G94" s="1124"/>
      <c r="H94" s="111"/>
      <c r="I94" s="111"/>
    </row>
    <row r="95" spans="1:9" ht="15.75" thickTop="1" thickBot="1" x14ac:dyDescent="0.25">
      <c r="A95" s="1125" t="s">
        <v>742</v>
      </c>
      <c r="B95" s="1652" t="s">
        <v>26</v>
      </c>
      <c r="C95" s="1653"/>
      <c r="D95" s="1653"/>
      <c r="E95" s="1653"/>
      <c r="F95" s="1125" t="s">
        <v>746</v>
      </c>
      <c r="G95" s="1127" t="s">
        <v>121</v>
      </c>
      <c r="H95" s="111"/>
      <c r="I95" s="111"/>
    </row>
    <row r="96" spans="1:9" ht="15.75" thickTop="1" thickBot="1" x14ac:dyDescent="0.25">
      <c r="A96" s="1631" t="s">
        <v>1</v>
      </c>
      <c r="B96" s="1132" t="str">
        <f>HLOOKUP($F$20,BENEFÍCIOS!$B$25:$O$38,5,FALSE)</f>
        <v>Auxílio Transporte - Cláusula 15ª da CCT</v>
      </c>
      <c r="C96" s="1133"/>
      <c r="D96" s="566"/>
      <c r="E96" s="938">
        <f>INDEX(Dados!$J$27:$M$31,MATCH($C$26,Dados!$J$27:$J$31,0),4)</f>
        <v>22</v>
      </c>
      <c r="F96" s="939">
        <v>0</v>
      </c>
      <c r="G96" s="299">
        <f>$E$96*F96*$F$14</f>
        <v>0</v>
      </c>
      <c r="H96" s="111"/>
      <c r="I96" s="111"/>
    </row>
    <row r="97" spans="1:9" ht="15.75" thickTop="1" thickBot="1" x14ac:dyDescent="0.25">
      <c r="A97" s="1631"/>
      <c r="B97" s="1132" t="str">
        <f>Dados!A46</f>
        <v>Desconto Legal sobre o salário</v>
      </c>
      <c r="C97" s="1133"/>
      <c r="D97" s="566"/>
      <c r="E97" s="940"/>
      <c r="F97" s="937">
        <f>Dados!J46</f>
        <v>0.06</v>
      </c>
      <c r="G97" s="495">
        <f>-MIN(G96,(F97*G47))</f>
        <v>0</v>
      </c>
      <c r="H97" s="111"/>
      <c r="I97" s="111"/>
    </row>
    <row r="98" spans="1:9" ht="15.75" thickTop="1" thickBot="1" x14ac:dyDescent="0.25">
      <c r="A98" s="1675" t="s">
        <v>2</v>
      </c>
      <c r="B98" s="1132" t="str">
        <f>HLOOKUP($F$20,BENEFÍCIOS!$B$25:$O$38,2,FALSE)</f>
        <v>Auxílio Alimentação - Cláusula 14ª da CCT</v>
      </c>
      <c r="C98" s="1133"/>
      <c r="D98" s="566"/>
      <c r="E98" s="938">
        <f>INDEX(Dados!$J$27:$M$31,MATCH($C$26,Dados!$J$27:$J$31,0),4)</f>
        <v>22</v>
      </c>
      <c r="F98" s="939">
        <f>Dados!J48</f>
        <v>35</v>
      </c>
      <c r="G98" s="299">
        <f>(E98*F98)*$F$14</f>
        <v>770</v>
      </c>
      <c r="H98" s="111"/>
      <c r="I98" s="111"/>
    </row>
    <row r="99" spans="1:9" ht="15.75" hidden="1" thickTop="1" thickBot="1" x14ac:dyDescent="0.25">
      <c r="A99" s="1677"/>
      <c r="B99" s="1132" t="str">
        <f>HLOOKUP($F$20,BENEFÍCIOS!$B$25:$O$38,3,FALSE)</f>
        <v>Desconto do Auxílio Alimentação</v>
      </c>
      <c r="C99" s="132"/>
      <c r="D99" s="107"/>
      <c r="E99" s="296"/>
      <c r="F99" s="939">
        <f>Dados!J49</f>
        <v>0</v>
      </c>
      <c r="G99" s="300">
        <f>-F99*E98</f>
        <v>0</v>
      </c>
      <c r="H99" s="111"/>
      <c r="I99" s="111"/>
    </row>
    <row r="100" spans="1:9" ht="15.75" hidden="1" thickTop="1" thickBot="1" x14ac:dyDescent="0.25">
      <c r="A100" s="1121" t="s">
        <v>4</v>
      </c>
      <c r="B100" s="1132" t="str">
        <f>HLOOKUP($F$20,BENEFÍCIOS!$B$25:$O$38,4,FALSE)</f>
        <v>Auxílio Café da Manhã</v>
      </c>
      <c r="C100" s="132"/>
      <c r="D100" s="107"/>
      <c r="E100" s="296"/>
      <c r="F100" s="939">
        <f>Dados!J50</f>
        <v>0</v>
      </c>
      <c r="G100" s="300">
        <f t="shared" ref="G100:G109" si="1">F100*$F$14</f>
        <v>0</v>
      </c>
      <c r="H100" s="111"/>
      <c r="I100" s="111"/>
    </row>
    <row r="101" spans="1:9" ht="15.75" thickTop="1" thickBot="1" x14ac:dyDescent="0.25">
      <c r="A101" s="1678" t="s">
        <v>4</v>
      </c>
      <c r="B101" s="962" t="str">
        <f>HLOOKUP($F$20,BENEFÍCIOS!$B$25:$O$38,6,FALSE) &amp; " " &amp; "(Pagamento por ressarcimento)"</f>
        <v>Plano Ambulatorial - Cláusula 16ª da CCT (Pagamento por ressarcimento)</v>
      </c>
      <c r="C101" s="963"/>
      <c r="D101" s="964"/>
      <c r="E101" s="965"/>
      <c r="F101" s="966"/>
      <c r="G101" s="967">
        <f>F101*$F$14</f>
        <v>0</v>
      </c>
      <c r="H101" s="111"/>
      <c r="I101" s="111"/>
    </row>
    <row r="102" spans="1:9" ht="15.75" hidden="1" thickTop="1" thickBot="1" x14ac:dyDescent="0.25">
      <c r="A102" s="1679"/>
      <c r="B102" s="962" t="str">
        <f>HLOOKUP($F$20,BENEFÍCIOS!$B$25:$O$38,7,FALSE)</f>
        <v>Plano Ambulatorial - Contr. Empresa - Cláusula 16ª da CCT</v>
      </c>
      <c r="C102" s="963"/>
      <c r="D102" s="964"/>
      <c r="E102" s="965"/>
      <c r="F102" s="966">
        <f>Dados!J52</f>
        <v>0</v>
      </c>
      <c r="G102" s="967">
        <f>F102*$F$14</f>
        <v>0</v>
      </c>
      <c r="H102" s="111"/>
      <c r="I102" s="111"/>
    </row>
    <row r="103" spans="1:9" ht="15.75" hidden="1" thickTop="1" thickBot="1" x14ac:dyDescent="0.25">
      <c r="A103" s="1680"/>
      <c r="B103" s="962" t="str">
        <f>HLOOKUP($F$20,BENEFÍCIOS!$B$25:$O$38,8,FALSE)</f>
        <v>Plano Ambulatorial - Contr. Empregado - Cláusula 16ª da CCT</v>
      </c>
      <c r="C103" s="963"/>
      <c r="D103" s="964"/>
      <c r="E103" s="965"/>
      <c r="F103" s="966">
        <f>Dados!J53</f>
        <v>0</v>
      </c>
      <c r="G103" s="967">
        <f>-F103*$F$14</f>
        <v>0</v>
      </c>
      <c r="H103" s="111"/>
      <c r="I103" s="111"/>
    </row>
    <row r="104" spans="1:9" ht="15.75" thickTop="1" thickBot="1" x14ac:dyDescent="0.25">
      <c r="A104" s="1121" t="s">
        <v>5</v>
      </c>
      <c r="B104" s="1132" t="str">
        <f>HLOOKUP($F$20,BENEFÍCIOS!$B$25:$O$38,9,FALSE)</f>
        <v>Seguro de Vida e Assistência Funeral - Cláusula 18ª da CCT</v>
      </c>
      <c r="C104" s="132"/>
      <c r="D104" s="107"/>
      <c r="E104" s="296"/>
      <c r="F104" s="939">
        <f>Dados!J54</f>
        <v>2.2999999999999998</v>
      </c>
      <c r="G104" s="300">
        <f t="shared" si="1"/>
        <v>2.2999999999999998</v>
      </c>
      <c r="H104" s="111"/>
      <c r="I104" s="111"/>
    </row>
    <row r="105" spans="1:9" ht="15.75" thickTop="1" thickBot="1" x14ac:dyDescent="0.25">
      <c r="A105" s="1121" t="s">
        <v>6</v>
      </c>
      <c r="B105" s="1132" t="str">
        <f>HLOOKUP($F$20,BENEFÍCIOS!$B$25:$O$38,10,FALSE) &amp; " " &amp; "(Pagamento por ressarcimento)"</f>
        <v>Assistência Odontológica - Cláusula 17ª da CCT (Pagamento por ressarcimento)</v>
      </c>
      <c r="C105" s="132"/>
      <c r="D105" s="107"/>
      <c r="E105" s="296"/>
      <c r="F105" s="939"/>
      <c r="G105" s="300">
        <f t="shared" si="1"/>
        <v>0</v>
      </c>
      <c r="H105" s="111"/>
      <c r="I105" s="111"/>
    </row>
    <row r="106" spans="1:9" ht="15.75" hidden="1" thickTop="1" thickBot="1" x14ac:dyDescent="0.25">
      <c r="A106" s="1121" t="s">
        <v>8</v>
      </c>
      <c r="B106" s="1132" t="str">
        <f>HLOOKUP($F$20,BENEFÍCIOS!$B$25:$O$38,11,FALSE)</f>
        <v>Auxílio Lazer/Cultura</v>
      </c>
      <c r="C106" s="132"/>
      <c r="D106" s="107"/>
      <c r="E106" s="296"/>
      <c r="F106" s="939">
        <f>Dados!J56</f>
        <v>0</v>
      </c>
      <c r="G106" s="300">
        <f t="shared" si="1"/>
        <v>0</v>
      </c>
      <c r="H106" s="111"/>
      <c r="I106" s="111"/>
    </row>
    <row r="107" spans="1:9" ht="15.75" hidden="1" thickTop="1" thickBot="1" x14ac:dyDescent="0.25">
      <c r="A107" s="1121" t="s">
        <v>9</v>
      </c>
      <c r="B107" s="1132" t="str">
        <f>HLOOKUP($F$20,BENEFÍCIOS!$B$25:$O$38,12,FALSE)</f>
        <v>Treinamento/capacitação/reciclagem - Cláusula 30ª da CCT</v>
      </c>
      <c r="C107" s="132"/>
      <c r="D107" s="107"/>
      <c r="E107" s="296"/>
      <c r="F107" s="939">
        <f>Dados!J57</f>
        <v>0</v>
      </c>
      <c r="G107" s="300">
        <f t="shared" si="1"/>
        <v>0</v>
      </c>
      <c r="H107" s="111"/>
      <c r="I107" s="111"/>
    </row>
    <row r="108" spans="1:9" ht="15.75" hidden="1" thickTop="1" thickBot="1" x14ac:dyDescent="0.25">
      <c r="A108" s="1121" t="s">
        <v>160</v>
      </c>
      <c r="B108" s="1132" t="str">
        <f>HLOOKUP($F$20,BENEFÍCIOS!$B$25:$O$38,13,FALSE)</f>
        <v>Contribuição Assistencial Patronal - Cláusula 61ª da CCT</v>
      </c>
      <c r="C108" s="132"/>
      <c r="D108" s="107"/>
      <c r="E108" s="296"/>
      <c r="F108" s="939">
        <f>Dados!J58</f>
        <v>0</v>
      </c>
      <c r="G108" s="300">
        <f t="shared" si="1"/>
        <v>0</v>
      </c>
      <c r="H108" s="111"/>
      <c r="I108" s="111"/>
    </row>
    <row r="109" spans="1:9" ht="15.75" hidden="1" thickTop="1" thickBot="1" x14ac:dyDescent="0.25">
      <c r="A109" s="1121" t="s">
        <v>627</v>
      </c>
      <c r="B109" s="1132" t="str">
        <f>HLOOKUP($F$20,BENEFÍCIOS!$B$25:$O$38,14,FALSE)</f>
        <v>Auxílio Creche</v>
      </c>
      <c r="C109" s="132"/>
      <c r="D109" s="107"/>
      <c r="E109" s="296"/>
      <c r="F109" s="939">
        <f>Dados!J59</f>
        <v>0</v>
      </c>
      <c r="G109" s="300">
        <f t="shared" si="1"/>
        <v>0</v>
      </c>
      <c r="H109" s="111"/>
      <c r="I109" s="111"/>
    </row>
    <row r="110" spans="1:9" ht="15.75" thickTop="1" thickBot="1" x14ac:dyDescent="0.25">
      <c r="A110" s="1121" t="s">
        <v>7</v>
      </c>
      <c r="B110" s="125" t="s">
        <v>57</v>
      </c>
      <c r="C110" s="132"/>
      <c r="D110" s="107"/>
      <c r="E110" s="296"/>
      <c r="F110" s="939"/>
      <c r="G110" s="301"/>
      <c r="H110" s="111"/>
      <c r="I110" s="111"/>
    </row>
    <row r="111" spans="1:9" ht="18" customHeight="1" thickTop="1" thickBot="1" x14ac:dyDescent="0.25">
      <c r="A111" s="1686" t="s">
        <v>232</v>
      </c>
      <c r="B111" s="1687"/>
      <c r="C111" s="1687"/>
      <c r="D111" s="1687"/>
      <c r="E111" s="1687"/>
      <c r="F111" s="1688"/>
      <c r="G111" s="302">
        <f>SUM(G96,G97,G98,G99,G100,G101,G103,G104,G105,G106,G107,G108,G109,)</f>
        <v>772.3</v>
      </c>
      <c r="H111" s="624"/>
      <c r="I111" s="624"/>
    </row>
    <row r="112" spans="1:9" s="68" customFormat="1" ht="15" hidden="1" customHeight="1" thickTop="1" x14ac:dyDescent="0.2">
      <c r="A112" s="101" t="s">
        <v>744</v>
      </c>
      <c r="B112" s="99"/>
      <c r="C112" s="99"/>
      <c r="D112" s="99"/>
      <c r="E112" s="99"/>
      <c r="F112" s="120"/>
      <c r="G112" s="121"/>
      <c r="H112" s="122"/>
      <c r="I112" s="122"/>
    </row>
    <row r="113" spans="1:10" s="68" customFormat="1" hidden="1" x14ac:dyDescent="0.2">
      <c r="A113" s="1618" t="s">
        <v>743</v>
      </c>
      <c r="B113" s="1618"/>
      <c r="C113" s="1618"/>
      <c r="D113" s="1618"/>
      <c r="E113" s="1618"/>
      <c r="F113" s="1618"/>
      <c r="G113" s="1618"/>
      <c r="H113" s="122"/>
      <c r="I113" s="122"/>
    </row>
    <row r="114" spans="1:10" s="68" customFormat="1" hidden="1" x14ac:dyDescent="0.2">
      <c r="A114" s="1618"/>
      <c r="B114" s="1618"/>
      <c r="C114" s="1618"/>
      <c r="D114" s="1618"/>
      <c r="E114" s="1618"/>
      <c r="F114" s="1618"/>
      <c r="G114" s="1618"/>
      <c r="H114" s="122"/>
      <c r="I114" s="122"/>
    </row>
    <row r="115" spans="1:10" s="68" customFormat="1" ht="15" thickTop="1" x14ac:dyDescent="0.2">
      <c r="A115" s="98"/>
      <c r="B115" s="99"/>
      <c r="C115" s="99"/>
      <c r="D115" s="99"/>
      <c r="E115" s="99"/>
      <c r="F115" s="120"/>
      <c r="G115" s="121"/>
      <c r="H115" s="122"/>
      <c r="I115" s="122"/>
    </row>
    <row r="116" spans="1:10" s="68" customFormat="1" ht="15" thickBot="1" x14ac:dyDescent="0.25">
      <c r="A116" s="576" t="s">
        <v>748</v>
      </c>
      <c r="B116" s="99"/>
      <c r="C116" s="99"/>
      <c r="D116" s="99"/>
      <c r="E116" s="99"/>
      <c r="F116" s="120"/>
      <c r="G116" s="121"/>
      <c r="H116" s="122"/>
      <c r="I116" s="122"/>
    </row>
    <row r="117" spans="1:10" s="68" customFormat="1" ht="15.75" thickTop="1" thickBot="1" x14ac:dyDescent="0.25">
      <c r="A117" s="1131">
        <v>2</v>
      </c>
      <c r="B117" s="1672" t="s">
        <v>749</v>
      </c>
      <c r="C117" s="1673"/>
      <c r="D117" s="1673"/>
      <c r="E117" s="1673"/>
      <c r="F117" s="1674"/>
      <c r="G117" s="1131" t="s">
        <v>121</v>
      </c>
      <c r="H117" s="122"/>
      <c r="I117" s="122"/>
    </row>
    <row r="118" spans="1:10" s="68" customFormat="1" ht="15.75" thickTop="1" thickBot="1" x14ac:dyDescent="0.25">
      <c r="A118" s="112" t="s">
        <v>732</v>
      </c>
      <c r="B118" s="1132" t="str">
        <f>B61</f>
        <v>13º (décimo terceiro) Salário, Férias e Adicional de Férias</v>
      </c>
      <c r="C118" s="131"/>
      <c r="D118" s="131"/>
      <c r="E118" s="131"/>
      <c r="F118" s="288"/>
      <c r="G118" s="123">
        <f>G64</f>
        <v>524.67999999999995</v>
      </c>
      <c r="H118" s="122"/>
      <c r="I118" s="122"/>
    </row>
    <row r="119" spans="1:10" s="68" customFormat="1" ht="15.75" thickTop="1" thickBot="1" x14ac:dyDescent="0.25">
      <c r="A119" s="112" t="s">
        <v>731</v>
      </c>
      <c r="B119" s="1132" t="str">
        <f>B79</f>
        <v>GPS, FGTS e outras contribuições</v>
      </c>
      <c r="C119" s="131"/>
      <c r="D119" s="131"/>
      <c r="E119" s="131"/>
      <c r="F119" s="288"/>
      <c r="G119" s="123">
        <f>G88</f>
        <v>1050.05</v>
      </c>
      <c r="H119" s="122"/>
      <c r="I119" s="122"/>
    </row>
    <row r="120" spans="1:10" s="68" customFormat="1" ht="15.75" thickTop="1" thickBot="1" x14ac:dyDescent="0.25">
      <c r="A120" s="112" t="s">
        <v>742</v>
      </c>
      <c r="B120" s="1132" t="str">
        <f>B95</f>
        <v>Benefícios Mensais e Diários</v>
      </c>
      <c r="C120" s="131"/>
      <c r="D120" s="131"/>
      <c r="E120" s="131"/>
      <c r="F120" s="288"/>
      <c r="G120" s="123">
        <f>G111</f>
        <v>772.3</v>
      </c>
      <c r="H120" s="122"/>
      <c r="I120" s="122"/>
    </row>
    <row r="121" spans="1:10" s="68" customFormat="1" ht="15.75" thickTop="1" thickBot="1" x14ac:dyDescent="0.25">
      <c r="A121" s="1644" t="s">
        <v>232</v>
      </c>
      <c r="B121" s="1645"/>
      <c r="C121" s="1645"/>
      <c r="D121" s="1645"/>
      <c r="E121" s="1645"/>
      <c r="F121" s="1646"/>
      <c r="G121" s="133">
        <f>SUM(G118:G120)</f>
        <v>2347.0300000000002</v>
      </c>
      <c r="H121" s="122"/>
      <c r="I121" s="622"/>
      <c r="J121" s="620"/>
    </row>
    <row r="122" spans="1:10" s="68" customFormat="1" ht="15" thickTop="1" x14ac:dyDescent="0.2">
      <c r="A122" s="101"/>
      <c r="B122" s="101"/>
      <c r="C122" s="101"/>
      <c r="D122" s="101"/>
      <c r="E122" s="101"/>
      <c r="F122" s="574"/>
      <c r="G122" s="575"/>
      <c r="H122" s="122"/>
      <c r="I122" s="122"/>
    </row>
    <row r="123" spans="1:10" s="68" customFormat="1" ht="15" thickBot="1" x14ac:dyDescent="0.25">
      <c r="A123" s="1629" t="s">
        <v>750</v>
      </c>
      <c r="B123" s="1629"/>
      <c r="C123" s="1629"/>
      <c r="D123" s="1629"/>
      <c r="E123" s="1629"/>
      <c r="F123" s="1629"/>
      <c r="G123" s="1629"/>
      <c r="H123" s="122"/>
      <c r="I123" s="122"/>
    </row>
    <row r="124" spans="1:10" s="68" customFormat="1" ht="15.75" thickTop="1" thickBot="1" x14ac:dyDescent="0.25">
      <c r="A124" s="1125">
        <v>3</v>
      </c>
      <c r="B124" s="1652" t="s">
        <v>99</v>
      </c>
      <c r="C124" s="1653"/>
      <c r="D124" s="1653"/>
      <c r="E124" s="1654"/>
      <c r="F124" s="1125" t="s">
        <v>746</v>
      </c>
      <c r="G124" s="1131" t="s">
        <v>121</v>
      </c>
      <c r="H124" s="122"/>
      <c r="I124" s="122"/>
    </row>
    <row r="125" spans="1:10" s="68" customFormat="1" ht="15.75" thickTop="1" thickBot="1" x14ac:dyDescent="0.25">
      <c r="A125" s="1121" t="s">
        <v>1</v>
      </c>
      <c r="B125" s="136" t="str">
        <f>Dados!B111</f>
        <v>Aviso Prévio Indenizado </v>
      </c>
      <c r="C125" s="285"/>
      <c r="D125" s="137"/>
      <c r="E125" s="126"/>
      <c r="F125" s="138">
        <f>Dados!G111</f>
        <v>2.5000000000000001E-3</v>
      </c>
      <c r="G125" s="127">
        <f>F125*$G$53</f>
        <v>6.18</v>
      </c>
      <c r="H125" s="122"/>
      <c r="I125" s="122"/>
    </row>
    <row r="126" spans="1:10" s="68" customFormat="1" ht="15.75" thickTop="1" thickBot="1" x14ac:dyDescent="0.25">
      <c r="A126" s="1121" t="s">
        <v>2</v>
      </c>
      <c r="B126" s="136" t="str">
        <f>Dados!B112</f>
        <v>Incidência do FGTS sobre aviso prévio indenizado</v>
      </c>
      <c r="C126" s="285"/>
      <c r="D126" s="137"/>
      <c r="E126" s="126"/>
      <c r="F126" s="138">
        <f>Dados!G112</f>
        <v>2.0000000000000001E-4</v>
      </c>
      <c r="G126" s="127">
        <f t="shared" ref="G126:G130" si="2">F126*$G$53</f>
        <v>0.49</v>
      </c>
      <c r="H126" s="122"/>
      <c r="I126" s="122"/>
    </row>
    <row r="127" spans="1:10" s="68" customFormat="1" ht="15.75" thickTop="1" thickBot="1" x14ac:dyDescent="0.25">
      <c r="A127" s="1121" t="s">
        <v>4</v>
      </c>
      <c r="B127" s="136" t="str">
        <f>Dados!B113</f>
        <v>Multa do FGTS e contribuição social sobre o Aviso Prévio Indenizado</v>
      </c>
      <c r="C127" s="285"/>
      <c r="D127" s="137"/>
      <c r="E127" s="126"/>
      <c r="F127" s="138">
        <f>Dados!G113</f>
        <v>0</v>
      </c>
      <c r="G127" s="127">
        <f t="shared" si="2"/>
        <v>0</v>
      </c>
      <c r="H127" s="122"/>
      <c r="I127" s="122"/>
    </row>
    <row r="128" spans="1:10" s="68" customFormat="1" ht="15.75" thickTop="1" thickBot="1" x14ac:dyDescent="0.25">
      <c r="A128" s="1121" t="s">
        <v>5</v>
      </c>
      <c r="B128" s="136" t="str">
        <f>Dados!B114</f>
        <v>Aviso Prévio Trabalhado</v>
      </c>
      <c r="C128" s="285"/>
      <c r="D128" s="137"/>
      <c r="E128" s="126"/>
      <c r="F128" s="138">
        <f>Dados!G114</f>
        <v>1.9400000000000001E-2</v>
      </c>
      <c r="G128" s="127">
        <f t="shared" si="2"/>
        <v>47.99</v>
      </c>
      <c r="H128" s="122"/>
      <c r="I128" s="122"/>
    </row>
    <row r="129" spans="1:13" s="68" customFormat="1" ht="15.75" thickTop="1" thickBot="1" x14ac:dyDescent="0.25">
      <c r="A129" s="1121" t="s">
        <v>6</v>
      </c>
      <c r="B129" s="136" t="str">
        <f>Dados!B115</f>
        <v>Incidência de GPS, FGTS e outras contribuições sobre o aviso prévio trabalhado</v>
      </c>
      <c r="C129" s="285"/>
      <c r="D129" s="137"/>
      <c r="E129" s="126"/>
      <c r="F129" s="138">
        <f>Dados!G115</f>
        <v>6.7999999999999996E-3</v>
      </c>
      <c r="G129" s="127">
        <f t="shared" si="2"/>
        <v>16.82</v>
      </c>
      <c r="H129" s="122"/>
      <c r="I129" s="122"/>
    </row>
    <row r="130" spans="1:13" s="68" customFormat="1" ht="15.75" thickTop="1" thickBot="1" x14ac:dyDescent="0.25">
      <c r="A130" s="1121" t="s">
        <v>7</v>
      </c>
      <c r="B130" s="136" t="str">
        <f>Dados!B116</f>
        <v>Multa do FGTS e contribuição social sobre o Aviso Prévio Trabalhado</v>
      </c>
      <c r="C130" s="285"/>
      <c r="D130" s="137"/>
      <c r="E130" s="126"/>
      <c r="F130" s="138">
        <f>Dados!G116</f>
        <v>1E-4</v>
      </c>
      <c r="G130" s="127">
        <f t="shared" si="2"/>
        <v>0.25</v>
      </c>
      <c r="H130" s="122"/>
      <c r="I130" s="122"/>
    </row>
    <row r="131" spans="1:13" s="68" customFormat="1" ht="15.75" thickTop="1" thickBot="1" x14ac:dyDescent="0.25">
      <c r="A131" s="1157" t="s">
        <v>7</v>
      </c>
      <c r="B131" s="136" t="str">
        <f>Dados!B117</f>
        <v>Multa do FGTS</v>
      </c>
      <c r="C131" s="285"/>
      <c r="D131" s="137"/>
      <c r="E131" s="126"/>
      <c r="F131" s="138">
        <f>Dados!G117</f>
        <v>3.49E-2</v>
      </c>
      <c r="G131" s="127">
        <f t="shared" ref="G131" si="3">F131*$G$53</f>
        <v>86.33</v>
      </c>
      <c r="H131" s="122"/>
      <c r="I131" s="122"/>
    </row>
    <row r="132" spans="1:13" s="68" customFormat="1" ht="15.75" thickTop="1" thickBot="1" x14ac:dyDescent="0.25">
      <c r="A132" s="1644" t="s">
        <v>232</v>
      </c>
      <c r="B132" s="1645"/>
      <c r="C132" s="1645"/>
      <c r="D132" s="1645"/>
      <c r="E132" s="1646"/>
      <c r="F132" s="139">
        <f>SUM(F125:F131)</f>
        <v>6.3899999999999998E-2</v>
      </c>
      <c r="G132" s="133">
        <f>SUM(G125:G131)</f>
        <v>158.06</v>
      </c>
      <c r="H132" s="122"/>
      <c r="I132" s="618"/>
    </row>
    <row r="133" spans="1:13" s="68" customFormat="1" ht="15" thickTop="1" x14ac:dyDescent="0.2">
      <c r="A133" s="129"/>
      <c r="B133" s="129"/>
      <c r="C133" s="129"/>
      <c r="D133" s="129"/>
      <c r="E133" s="129"/>
      <c r="F133" s="120"/>
      <c r="G133" s="140"/>
      <c r="H133" s="122"/>
      <c r="I133" s="122"/>
    </row>
    <row r="134" spans="1:13" s="68" customFormat="1" x14ac:dyDescent="0.2">
      <c r="A134" s="1629" t="s">
        <v>751</v>
      </c>
      <c r="B134" s="1629"/>
      <c r="C134" s="1629"/>
      <c r="D134" s="1629"/>
      <c r="E134" s="1629"/>
      <c r="F134" s="1629"/>
      <c r="G134" s="1629"/>
      <c r="H134" s="122"/>
      <c r="I134" s="122"/>
    </row>
    <row r="135" spans="1:13" s="68" customFormat="1" ht="14.25" hidden="1" customHeight="1" x14ac:dyDescent="0.2">
      <c r="A135" s="1618" t="s">
        <v>919</v>
      </c>
      <c r="B135" s="1618"/>
      <c r="C135" s="1618"/>
      <c r="D135" s="1618"/>
      <c r="E135" s="1618"/>
      <c r="F135" s="1618"/>
      <c r="G135" s="1618"/>
      <c r="H135" s="122"/>
      <c r="I135" s="122"/>
    </row>
    <row r="136" spans="1:13" s="68" customFormat="1" hidden="1" x14ac:dyDescent="0.2">
      <c r="A136" s="1618"/>
      <c r="B136" s="1618"/>
      <c r="C136" s="1618"/>
      <c r="D136" s="1618"/>
      <c r="E136" s="1618"/>
      <c r="F136" s="1618"/>
      <c r="G136" s="1618"/>
      <c r="H136" s="122"/>
      <c r="I136" s="122"/>
    </row>
    <row r="137" spans="1:13" s="68" customFormat="1" hidden="1" x14ac:dyDescent="0.2">
      <c r="A137" s="101" t="s">
        <v>935</v>
      </c>
      <c r="B137" s="1124"/>
      <c r="C137" s="1124"/>
      <c r="D137" s="1124"/>
      <c r="E137" s="1124"/>
      <c r="F137" s="1124"/>
      <c r="G137" s="1124"/>
      <c r="H137" s="122"/>
      <c r="I137" s="122"/>
    </row>
    <row r="138" spans="1:13" s="68" customFormat="1" ht="15" thickBot="1" x14ac:dyDescent="0.25">
      <c r="A138" s="576" t="s">
        <v>929</v>
      </c>
      <c r="B138" s="1124"/>
      <c r="C138" s="1124"/>
      <c r="D138" s="1124"/>
      <c r="E138" s="785"/>
      <c r="F138" s="1124"/>
      <c r="G138" s="1124"/>
      <c r="H138" s="762"/>
      <c r="I138" s="629"/>
      <c r="J138" s="620"/>
    </row>
    <row r="139" spans="1:13" s="68" customFormat="1" ht="15.75" thickTop="1" thickBot="1" x14ac:dyDescent="0.25">
      <c r="A139" s="1125" t="s">
        <v>48</v>
      </c>
      <c r="B139" s="1652" t="s">
        <v>930</v>
      </c>
      <c r="C139" s="1653"/>
      <c r="D139" s="1653"/>
      <c r="E139" s="1654"/>
      <c r="F139" s="1125" t="s">
        <v>746</v>
      </c>
      <c r="G139" s="1131" t="s">
        <v>121</v>
      </c>
      <c r="H139" s="763"/>
      <c r="I139" s="623"/>
      <c r="J139" s="626"/>
      <c r="K139" s="626"/>
      <c r="L139" s="621"/>
    </row>
    <row r="140" spans="1:13" s="68" customFormat="1" ht="15.75" thickTop="1" thickBot="1" x14ac:dyDescent="0.25">
      <c r="A140" s="1121" t="s">
        <v>1</v>
      </c>
      <c r="B140" s="136" t="str">
        <f>Dados!B122</f>
        <v>Substituto na cobertura de Férias</v>
      </c>
      <c r="C140" s="285"/>
      <c r="D140" s="137"/>
      <c r="E140" s="285"/>
      <c r="F140" s="138">
        <f>Dados!G122</f>
        <v>7.6E-3</v>
      </c>
      <c r="G140" s="127">
        <f>$G$53*F140</f>
        <v>18.8</v>
      </c>
      <c r="H140" s="764"/>
      <c r="I140" s="626"/>
      <c r="J140" s="626"/>
      <c r="K140" s="619"/>
      <c r="L140" s="619"/>
      <c r="M140" s="626"/>
    </row>
    <row r="141" spans="1:13" s="68" customFormat="1" ht="15.75" thickTop="1" thickBot="1" x14ac:dyDescent="0.25">
      <c r="A141" s="1121" t="s">
        <v>2</v>
      </c>
      <c r="B141" s="136" t="str">
        <f>Dados!B123</f>
        <v>Substituto na cobertura de Ausências Legais</v>
      </c>
      <c r="C141" s="285"/>
      <c r="D141" s="137"/>
      <c r="E141" s="285"/>
      <c r="F141" s="138">
        <f>Dados!G123</f>
        <v>1E-4</v>
      </c>
      <c r="G141" s="127">
        <f t="shared" ref="G141:G145" si="4">$G$53*F141</f>
        <v>0.25</v>
      </c>
      <c r="H141" s="765"/>
      <c r="K141" s="626"/>
      <c r="M141" s="626"/>
    </row>
    <row r="142" spans="1:13" s="68" customFormat="1" ht="15.75" thickTop="1" thickBot="1" x14ac:dyDescent="0.25">
      <c r="A142" s="1121" t="s">
        <v>4</v>
      </c>
      <c r="B142" s="136" t="str">
        <f>Dados!B124</f>
        <v>Substituto na cobertura de Licença-Paternidade</v>
      </c>
      <c r="C142" s="285"/>
      <c r="D142" s="137"/>
      <c r="E142" s="285"/>
      <c r="F142" s="138">
        <f>Dados!G124</f>
        <v>1E-4</v>
      </c>
      <c r="G142" s="127">
        <f t="shared" si="4"/>
        <v>0.25</v>
      </c>
      <c r="H142" s="764"/>
      <c r="J142" s="619"/>
      <c r="K142" s="626"/>
      <c r="M142" s="626"/>
    </row>
    <row r="143" spans="1:13" s="68" customFormat="1" ht="15.75" thickTop="1" thickBot="1" x14ac:dyDescent="0.25">
      <c r="A143" s="1121" t="s">
        <v>5</v>
      </c>
      <c r="B143" s="136" t="str">
        <f>Dados!B125</f>
        <v>Substituto na cobertura de Ausência por acidente de trabalho</v>
      </c>
      <c r="C143" s="285"/>
      <c r="D143" s="137"/>
      <c r="E143" s="285"/>
      <c r="F143" s="138">
        <f>Dados!G125</f>
        <v>1E-4</v>
      </c>
      <c r="G143" s="127">
        <f t="shared" si="4"/>
        <v>0.25</v>
      </c>
      <c r="H143" s="764"/>
      <c r="K143" s="626"/>
      <c r="M143" s="626"/>
    </row>
    <row r="144" spans="1:13" s="68" customFormat="1" ht="15.75" thickTop="1" thickBot="1" x14ac:dyDescent="0.25">
      <c r="A144" s="1121" t="s">
        <v>6</v>
      </c>
      <c r="B144" s="136" t="str">
        <f>Dados!B126</f>
        <v>Substituto na cobertura de Afastamento Maternidade</v>
      </c>
      <c r="C144" s="285"/>
      <c r="D144" s="137"/>
      <c r="E144" s="285"/>
      <c r="F144" s="138">
        <f>Dados!G126</f>
        <v>1E-4</v>
      </c>
      <c r="G144" s="127">
        <f t="shared" si="4"/>
        <v>0.25</v>
      </c>
      <c r="H144" s="764"/>
      <c r="K144" s="626"/>
      <c r="M144" s="626"/>
    </row>
    <row r="145" spans="1:13" s="68" customFormat="1" ht="15.75" thickTop="1" thickBot="1" x14ac:dyDescent="0.25">
      <c r="A145" s="1121" t="s">
        <v>7</v>
      </c>
      <c r="B145" s="136" t="str">
        <f>Dados!B127</f>
        <v>Substituto na cobertura de outras ausências (licença por doença)</v>
      </c>
      <c r="C145" s="285"/>
      <c r="D145" s="137"/>
      <c r="E145" s="285"/>
      <c r="F145" s="138">
        <f>Dados!G127</f>
        <v>0</v>
      </c>
      <c r="G145" s="127">
        <f t="shared" si="4"/>
        <v>0</v>
      </c>
      <c r="H145" s="764"/>
      <c r="K145" s="626"/>
      <c r="M145" s="627"/>
    </row>
    <row r="146" spans="1:13" s="68" customFormat="1" ht="15.75" customHeight="1" thickTop="1" thickBot="1" x14ac:dyDescent="0.25">
      <c r="A146" s="1644" t="s">
        <v>232</v>
      </c>
      <c r="B146" s="1645"/>
      <c r="C146" s="1645"/>
      <c r="D146" s="1645"/>
      <c r="E146" s="1646"/>
      <c r="F146" s="139">
        <f>SUM(F140:F145)</f>
        <v>8.0000000000000002E-3</v>
      </c>
      <c r="G146" s="128">
        <f>SUM(G140:G145)</f>
        <v>19.8</v>
      </c>
      <c r="H146" s="766"/>
      <c r="I146" s="619"/>
      <c r="J146" s="620"/>
      <c r="K146" s="619"/>
    </row>
    <row r="147" spans="1:13" s="68" customFormat="1" ht="15" hidden="1" customHeight="1" thickTop="1" x14ac:dyDescent="0.2">
      <c r="A147" s="1618" t="s">
        <v>936</v>
      </c>
      <c r="B147" s="1618"/>
      <c r="C147" s="1618"/>
      <c r="D147" s="1618"/>
      <c r="E147" s="1618"/>
      <c r="F147" s="1618"/>
      <c r="G147" s="1618"/>
      <c r="H147" s="122"/>
      <c r="I147" s="122"/>
    </row>
    <row r="148" spans="1:13" s="68" customFormat="1" hidden="1" x14ac:dyDescent="0.2">
      <c r="A148" s="1618"/>
      <c r="B148" s="1618"/>
      <c r="C148" s="1618"/>
      <c r="D148" s="1618"/>
      <c r="E148" s="1618"/>
      <c r="F148" s="1618"/>
      <c r="G148" s="1618"/>
      <c r="H148" s="122"/>
      <c r="I148" s="617"/>
      <c r="J148" s="617"/>
      <c r="K148" s="617"/>
    </row>
    <row r="149" spans="1:13" s="68" customFormat="1" ht="15" thickTop="1" x14ac:dyDescent="0.2">
      <c r="A149" s="1122"/>
      <c r="B149" s="1122"/>
      <c r="C149" s="1122"/>
      <c r="D149" s="1122"/>
      <c r="E149" s="1122"/>
      <c r="F149" s="1122"/>
      <c r="G149" s="1122"/>
      <c r="H149" s="122"/>
      <c r="I149" s="122"/>
    </row>
    <row r="150" spans="1:13" s="68" customFormat="1" ht="15" thickBot="1" x14ac:dyDescent="0.25">
      <c r="A150" s="210" t="s">
        <v>926</v>
      </c>
      <c r="B150" s="1124"/>
      <c r="C150" s="1124"/>
      <c r="D150" s="1124"/>
      <c r="E150" s="1124"/>
      <c r="F150" s="1124"/>
      <c r="G150" s="1124"/>
      <c r="H150" s="122"/>
      <c r="I150" s="619"/>
      <c r="J150" s="621"/>
      <c r="K150" s="621"/>
      <c r="L150" s="619"/>
      <c r="M150" s="621"/>
    </row>
    <row r="151" spans="1:13" s="68" customFormat="1" ht="15.75" thickTop="1" thickBot="1" x14ac:dyDescent="0.25">
      <c r="A151" s="1125" t="s">
        <v>53</v>
      </c>
      <c r="B151" s="1652" t="s">
        <v>927</v>
      </c>
      <c r="C151" s="1653"/>
      <c r="D151" s="1653"/>
      <c r="E151" s="1653"/>
      <c r="F151" s="1654"/>
      <c r="G151" s="1131" t="s">
        <v>121</v>
      </c>
      <c r="H151" s="122"/>
      <c r="I151" s="122"/>
      <c r="K151" s="621"/>
      <c r="L151" s="619"/>
      <c r="M151" s="626"/>
    </row>
    <row r="152" spans="1:13" s="68" customFormat="1" ht="17.25" thickTop="1" thickBot="1" x14ac:dyDescent="0.25">
      <c r="A152" s="1121" t="s">
        <v>1</v>
      </c>
      <c r="B152" s="1683" t="s">
        <v>928</v>
      </c>
      <c r="C152" s="1684"/>
      <c r="D152" s="1684"/>
      <c r="E152" s="1684"/>
      <c r="F152" s="1685"/>
      <c r="G152" s="127">
        <f>ROUND(IF(G52=0,H152,0),2)</f>
        <v>0</v>
      </c>
      <c r="H152" s="628"/>
      <c r="I152" s="122"/>
    </row>
    <row r="153" spans="1:13" s="68" customFormat="1" ht="15.75" customHeight="1" thickTop="1" thickBot="1" x14ac:dyDescent="0.25">
      <c r="A153" s="1644" t="s">
        <v>232</v>
      </c>
      <c r="B153" s="1645"/>
      <c r="C153" s="1645"/>
      <c r="D153" s="1645"/>
      <c r="E153" s="1645"/>
      <c r="F153" s="1646"/>
      <c r="G153" s="128">
        <f>SUM(G147:G152)</f>
        <v>0</v>
      </c>
      <c r="H153" s="122"/>
      <c r="I153" s="122"/>
    </row>
    <row r="154" spans="1:13" s="68" customFormat="1" ht="15" hidden="1" thickTop="1" x14ac:dyDescent="0.2">
      <c r="A154" s="1618" t="s">
        <v>752</v>
      </c>
      <c r="B154" s="1618"/>
      <c r="C154" s="1618"/>
      <c r="D154" s="1618"/>
      <c r="E154" s="1618"/>
      <c r="F154" s="1618"/>
      <c r="G154" s="1618"/>
      <c r="H154" s="122"/>
      <c r="I154" s="122"/>
    </row>
    <row r="155" spans="1:13" s="68" customFormat="1" ht="15.75" hidden="1" customHeight="1" x14ac:dyDescent="0.2">
      <c r="A155" s="1618"/>
      <c r="B155" s="1618"/>
      <c r="C155" s="1618"/>
      <c r="D155" s="1618"/>
      <c r="E155" s="1618"/>
      <c r="F155" s="1618"/>
      <c r="G155" s="1618"/>
      <c r="H155" s="122"/>
      <c r="I155" s="122"/>
    </row>
    <row r="156" spans="1:13" s="68" customFormat="1" ht="15" thickTop="1" x14ac:dyDescent="0.2">
      <c r="A156" s="101"/>
      <c r="B156" s="101"/>
      <c r="C156" s="101"/>
      <c r="D156" s="101"/>
      <c r="E156" s="101"/>
      <c r="F156" s="574"/>
      <c r="G156" s="575"/>
      <c r="H156" s="122"/>
      <c r="I156" s="122"/>
    </row>
    <row r="157" spans="1:13" s="68" customFormat="1" ht="15" thickBot="1" x14ac:dyDescent="0.25">
      <c r="A157" s="576" t="s">
        <v>754</v>
      </c>
      <c r="B157" s="99"/>
      <c r="C157" s="99"/>
      <c r="D157" s="99"/>
      <c r="E157" s="99"/>
      <c r="F157" s="120"/>
      <c r="G157" s="121"/>
      <c r="H157" s="122"/>
      <c r="I157" s="122"/>
    </row>
    <row r="158" spans="1:13" s="68" customFormat="1" ht="15.75" thickTop="1" thickBot="1" x14ac:dyDescent="0.25">
      <c r="A158" s="1131">
        <v>4</v>
      </c>
      <c r="B158" s="1672" t="s">
        <v>753</v>
      </c>
      <c r="C158" s="1673"/>
      <c r="D158" s="1673"/>
      <c r="E158" s="1673"/>
      <c r="F158" s="1674"/>
      <c r="G158" s="1131" t="s">
        <v>121</v>
      </c>
      <c r="H158" s="122"/>
      <c r="I158" s="122"/>
    </row>
    <row r="159" spans="1:13" s="68" customFormat="1" ht="15.75" thickTop="1" thickBot="1" x14ac:dyDescent="0.25">
      <c r="A159" s="112" t="s">
        <v>48</v>
      </c>
      <c r="B159" s="1132" t="str">
        <f>B139</f>
        <v>Substituto nas Ausências Legais</v>
      </c>
      <c r="C159" s="131"/>
      <c r="D159" s="131"/>
      <c r="E159" s="131"/>
      <c r="F159" s="288"/>
      <c r="G159" s="123">
        <f>G146</f>
        <v>19.8</v>
      </c>
      <c r="H159" s="122"/>
      <c r="I159" s="122"/>
    </row>
    <row r="160" spans="1:13" s="68" customFormat="1" ht="15.75" thickTop="1" thickBot="1" x14ac:dyDescent="0.25">
      <c r="A160" s="112" t="s">
        <v>53</v>
      </c>
      <c r="B160" s="1132" t="str">
        <f>B151</f>
        <v>Substituo na Intrajornada</v>
      </c>
      <c r="C160" s="131"/>
      <c r="D160" s="131"/>
      <c r="E160" s="131"/>
      <c r="F160" s="288"/>
      <c r="G160" s="123">
        <f>G153</f>
        <v>0</v>
      </c>
      <c r="H160" s="122"/>
      <c r="I160" s="122"/>
    </row>
    <row r="161" spans="1:9" s="68" customFormat="1" ht="15.75" thickTop="1" thickBot="1" x14ac:dyDescent="0.25">
      <c r="A161" s="1644" t="s">
        <v>232</v>
      </c>
      <c r="B161" s="1645"/>
      <c r="C161" s="1645"/>
      <c r="D161" s="1645"/>
      <c r="E161" s="1645"/>
      <c r="F161" s="1646"/>
      <c r="G161" s="133">
        <f>SUM(G159:G160)</f>
        <v>19.8</v>
      </c>
      <c r="H161" s="122"/>
      <c r="I161" s="122"/>
    </row>
    <row r="162" spans="1:9" s="68" customFormat="1" ht="15" thickTop="1" x14ac:dyDescent="0.2">
      <c r="A162" s="101"/>
      <c r="B162" s="101"/>
      <c r="C162" s="101"/>
      <c r="D162" s="101"/>
      <c r="E162" s="101"/>
      <c r="F162" s="574"/>
      <c r="G162" s="575"/>
      <c r="H162" s="122"/>
      <c r="I162" s="122"/>
    </row>
    <row r="163" spans="1:9" ht="15" thickBot="1" x14ac:dyDescent="0.25">
      <c r="A163" s="1629" t="s">
        <v>756</v>
      </c>
      <c r="B163" s="1629"/>
      <c r="C163" s="1629"/>
      <c r="D163" s="1629"/>
      <c r="E163" s="1629"/>
      <c r="F163" s="1629"/>
      <c r="G163" s="1629"/>
      <c r="H163" s="111"/>
      <c r="I163" s="111"/>
    </row>
    <row r="164" spans="1:9" ht="15.75" thickTop="1" thickBot="1" x14ac:dyDescent="0.25">
      <c r="A164" s="1131">
        <v>5</v>
      </c>
      <c r="B164" s="1672" t="s">
        <v>93</v>
      </c>
      <c r="C164" s="1673"/>
      <c r="D164" s="1673"/>
      <c r="E164" s="1673"/>
      <c r="F164" s="1674"/>
      <c r="G164" s="1131" t="s">
        <v>121</v>
      </c>
      <c r="H164" s="111"/>
      <c r="I164" s="111"/>
    </row>
    <row r="165" spans="1:9" ht="15.75" thickTop="1" thickBot="1" x14ac:dyDescent="0.25">
      <c r="A165" s="112" t="s">
        <v>1</v>
      </c>
      <c r="B165" s="130" t="str">
        <f>Dados!A63</f>
        <v>Uniformes</v>
      </c>
      <c r="C165" s="131"/>
      <c r="D165" s="131"/>
      <c r="E165" s="131"/>
      <c r="F165" s="769">
        <f>Dados!J68</f>
        <v>76.86</v>
      </c>
      <c r="G165" s="123">
        <f>F165*$F$14</f>
        <v>76.86</v>
      </c>
      <c r="H165" s="111"/>
      <c r="I165" s="111"/>
    </row>
    <row r="166" spans="1:9" ht="15.75" thickTop="1" thickBot="1" x14ac:dyDescent="0.25">
      <c r="A166" s="112" t="s">
        <v>2</v>
      </c>
      <c r="B166" s="130" t="str">
        <f>Dados!A71</f>
        <v>Materiais</v>
      </c>
      <c r="C166" s="131"/>
      <c r="D166" s="131"/>
      <c r="E166" s="131"/>
      <c r="F166" s="769"/>
      <c r="G166" s="123">
        <f t="shared" ref="G166:G167" si="5">F166*$F$14</f>
        <v>0</v>
      </c>
      <c r="H166" s="111"/>
      <c r="I166" s="111"/>
    </row>
    <row r="167" spans="1:9" ht="15.75" thickTop="1" thickBot="1" x14ac:dyDescent="0.25">
      <c r="A167" s="112" t="s">
        <v>4</v>
      </c>
      <c r="B167" s="1132" t="str">
        <f>Dados!A73</f>
        <v xml:space="preserve">Equipamentos </v>
      </c>
      <c r="C167" s="131"/>
      <c r="D167" s="131"/>
      <c r="E167" s="131"/>
      <c r="F167" s="769"/>
      <c r="G167" s="123">
        <f t="shared" si="5"/>
        <v>0</v>
      </c>
      <c r="H167" s="111"/>
      <c r="I167" s="111"/>
    </row>
    <row r="168" spans="1:9" ht="15.75" thickTop="1" thickBot="1" x14ac:dyDescent="0.25">
      <c r="A168" s="112" t="s">
        <v>5</v>
      </c>
      <c r="B168" s="1132" t="str">
        <f>Dados!A74</f>
        <v>Depreciação e manutenção dos equipamentos</v>
      </c>
      <c r="C168" s="131"/>
      <c r="D168" s="131"/>
      <c r="E168" s="131"/>
      <c r="F168" s="770">
        <f>Dados!I74</f>
        <v>0</v>
      </c>
      <c r="G168" s="123">
        <f>G167*F168</f>
        <v>0</v>
      </c>
      <c r="H168" s="111"/>
      <c r="I168" s="111"/>
    </row>
    <row r="169" spans="1:9" ht="15.75" thickTop="1" thickBot="1" x14ac:dyDescent="0.25">
      <c r="A169" s="112" t="s">
        <v>6</v>
      </c>
      <c r="B169" s="125" t="s">
        <v>57</v>
      </c>
      <c r="C169" s="132"/>
      <c r="D169" s="132"/>
      <c r="E169" s="285"/>
      <c r="F169" s="288"/>
      <c r="G169" s="124"/>
      <c r="H169" s="111"/>
      <c r="I169" s="111"/>
    </row>
    <row r="170" spans="1:9" ht="15.75" thickTop="1" thickBot="1" x14ac:dyDescent="0.25">
      <c r="A170" s="118"/>
      <c r="B170" s="1644" t="s">
        <v>232</v>
      </c>
      <c r="C170" s="1645"/>
      <c r="D170" s="1645"/>
      <c r="E170" s="1645"/>
      <c r="F170" s="1646"/>
      <c r="G170" s="133">
        <f>SUM(G165:G169)</f>
        <v>76.86</v>
      </c>
      <c r="H170" s="111"/>
      <c r="I170" s="111"/>
    </row>
    <row r="171" spans="1:9" s="68" customFormat="1" ht="15" hidden="1" thickTop="1" x14ac:dyDescent="0.2">
      <c r="A171" s="101" t="s">
        <v>757</v>
      </c>
      <c r="B171" s="99"/>
      <c r="C171" s="99"/>
      <c r="D171" s="99"/>
      <c r="E171" s="99"/>
      <c r="F171" s="120"/>
      <c r="G171" s="121"/>
      <c r="H171" s="122"/>
      <c r="I171" s="122"/>
    </row>
    <row r="172" spans="1:9" s="68" customFormat="1" ht="15" thickTop="1" x14ac:dyDescent="0.2">
      <c r="A172" s="98"/>
      <c r="B172" s="99"/>
      <c r="C172" s="99"/>
      <c r="D172" s="99"/>
      <c r="E172" s="99"/>
      <c r="F172" s="120"/>
      <c r="G172" s="121"/>
      <c r="H172" s="122"/>
      <c r="I172" s="122"/>
    </row>
    <row r="173" spans="1:9" ht="15" thickBot="1" x14ac:dyDescent="0.25">
      <c r="A173" s="1629" t="s">
        <v>760</v>
      </c>
      <c r="B173" s="1629"/>
      <c r="C173" s="1629"/>
      <c r="D173" s="1629"/>
      <c r="E173" s="1629"/>
      <c r="F173" s="1629"/>
      <c r="G173" s="1629"/>
      <c r="H173" s="111"/>
    </row>
    <row r="174" spans="1:9" ht="15.75" thickTop="1" thickBot="1" x14ac:dyDescent="0.25">
      <c r="A174" s="1125">
        <v>6</v>
      </c>
      <c r="B174" s="1657" t="s">
        <v>27</v>
      </c>
      <c r="C174" s="1657"/>
      <c r="D174" s="1657"/>
      <c r="E174" s="1657"/>
      <c r="F174" s="1125" t="s">
        <v>746</v>
      </c>
      <c r="G174" s="1131" t="s">
        <v>121</v>
      </c>
      <c r="H174" s="111"/>
      <c r="I174" s="111"/>
    </row>
    <row r="175" spans="1:9" ht="14.25" customHeight="1" thickTop="1" thickBot="1" x14ac:dyDescent="0.25">
      <c r="A175" s="1121" t="s">
        <v>1</v>
      </c>
      <c r="B175" s="141" t="s">
        <v>28</v>
      </c>
      <c r="C175" s="137"/>
      <c r="D175" s="137"/>
      <c r="E175" s="126"/>
      <c r="F175" s="138">
        <f>Dados!O77</f>
        <v>1.7299999999999999E-2</v>
      </c>
      <c r="G175" s="142">
        <f>$G$196*F175</f>
        <v>87.81</v>
      </c>
      <c r="H175" s="111"/>
      <c r="I175" s="111"/>
    </row>
    <row r="176" spans="1:9" ht="14.25" customHeight="1" thickTop="1" thickBot="1" x14ac:dyDescent="0.25">
      <c r="A176" s="1121" t="s">
        <v>2</v>
      </c>
      <c r="B176" s="141" t="s">
        <v>20</v>
      </c>
      <c r="C176" s="137"/>
      <c r="D176" s="137"/>
      <c r="E176" s="126"/>
      <c r="F176" s="138">
        <f>Dados!O78</f>
        <v>0.01</v>
      </c>
      <c r="G176" s="142">
        <f>($G$196+$G$175)*F176</f>
        <v>51.63</v>
      </c>
      <c r="H176" s="111"/>
      <c r="I176" s="111"/>
    </row>
    <row r="177" spans="1:9" ht="14.25" customHeight="1" thickTop="1" thickBot="1" x14ac:dyDescent="0.25">
      <c r="A177" s="1675" t="s">
        <v>4</v>
      </c>
      <c r="B177" s="141" t="s">
        <v>24</v>
      </c>
      <c r="C177" s="296"/>
      <c r="D177" s="137"/>
      <c r="E177" s="920"/>
      <c r="F177" s="921"/>
      <c r="G177" s="939">
        <f>SUM(G175:G176)</f>
        <v>139.44</v>
      </c>
      <c r="H177" s="111"/>
      <c r="I177" s="111"/>
    </row>
    <row r="178" spans="1:9" ht="14.25" customHeight="1" thickTop="1" thickBot="1" x14ac:dyDescent="0.25">
      <c r="A178" s="1676"/>
      <c r="B178" s="136" t="s">
        <v>103</v>
      </c>
      <c r="C178" s="285"/>
      <c r="D178" s="137"/>
      <c r="E178" s="920"/>
      <c r="F178" s="921"/>
      <c r="G178" s="919"/>
      <c r="H178" s="111"/>
      <c r="I178" s="111"/>
    </row>
    <row r="179" spans="1:9" ht="14.25" customHeight="1" thickTop="1" thickBot="1" x14ac:dyDescent="0.25">
      <c r="A179" s="1676"/>
      <c r="B179" s="136" t="s">
        <v>21</v>
      </c>
      <c r="C179" s="285"/>
      <c r="D179" s="137"/>
      <c r="F179" s="295">
        <f>Dados!F88</f>
        <v>1.17E-2</v>
      </c>
      <c r="G179" s="143">
        <f>(($G$196+$G$175+$G$176)/Dados!$H$88)*F179</f>
        <v>68.959999999999994</v>
      </c>
      <c r="H179" s="111"/>
      <c r="I179" s="111"/>
    </row>
    <row r="180" spans="1:9" ht="14.25" customHeight="1" thickTop="1" thickBot="1" x14ac:dyDescent="0.25">
      <c r="A180" s="1676"/>
      <c r="B180" s="136" t="s">
        <v>22</v>
      </c>
      <c r="C180" s="285"/>
      <c r="D180" s="137"/>
      <c r="E180" s="126"/>
      <c r="F180" s="295">
        <f>Dados!E88</f>
        <v>5.3499999999999999E-2</v>
      </c>
      <c r="G180" s="143">
        <f>(($G$196+$G$175+$G$176)/Dados!$H$88)*F180</f>
        <v>315.32</v>
      </c>
      <c r="H180" s="111"/>
      <c r="I180" s="111"/>
    </row>
    <row r="181" spans="1:9" ht="14.25" customHeight="1" thickTop="1" thickBot="1" x14ac:dyDescent="0.25">
      <c r="A181" s="1676"/>
      <c r="B181" s="136" t="s">
        <v>104</v>
      </c>
      <c r="C181" s="285"/>
      <c r="D181" s="137"/>
      <c r="E181" s="126"/>
      <c r="F181" s="138"/>
      <c r="G181" s="142"/>
      <c r="H181" s="111"/>
      <c r="I181" s="111"/>
    </row>
    <row r="182" spans="1:9" ht="14.25" customHeight="1" thickTop="1" thickBot="1" x14ac:dyDescent="0.25">
      <c r="A182" s="1676"/>
      <c r="B182" s="136" t="s">
        <v>29</v>
      </c>
      <c r="C182" s="285"/>
      <c r="D182" s="137"/>
      <c r="E182" s="126"/>
      <c r="F182" s="138"/>
      <c r="G182" s="143"/>
      <c r="H182" s="111"/>
      <c r="I182" s="111"/>
    </row>
    <row r="183" spans="1:9" ht="14.25" customHeight="1" thickTop="1" thickBot="1" x14ac:dyDescent="0.25">
      <c r="A183" s="1676"/>
      <c r="B183" s="136" t="s">
        <v>105</v>
      </c>
      <c r="C183" s="285"/>
      <c r="D183" s="137"/>
      <c r="E183" s="126"/>
      <c r="F183" s="138"/>
      <c r="G183" s="142"/>
      <c r="H183" s="111"/>
      <c r="I183" s="111"/>
    </row>
    <row r="184" spans="1:9" ht="14.25" customHeight="1" thickTop="1" thickBot="1" x14ac:dyDescent="0.25">
      <c r="A184" s="1677"/>
      <c r="B184" s="136" t="s">
        <v>23</v>
      </c>
      <c r="C184" s="285"/>
      <c r="D184" s="137"/>
      <c r="E184" s="126"/>
      <c r="F184" s="295">
        <f>Dados!C88</f>
        <v>0.05</v>
      </c>
      <c r="G184" s="143">
        <f>(($G$196+$G$175+$G$176)/Dados!$H$88)*F184</f>
        <v>294.7</v>
      </c>
      <c r="H184" s="111"/>
      <c r="I184" s="111"/>
    </row>
    <row r="185" spans="1:9" ht="18" customHeight="1" thickTop="1" thickBot="1" x14ac:dyDescent="0.25">
      <c r="A185" s="1644" t="s">
        <v>232</v>
      </c>
      <c r="B185" s="1645"/>
      <c r="C185" s="1645"/>
      <c r="D185" s="1645"/>
      <c r="E185" s="1646"/>
      <c r="F185" s="139">
        <f>SUM(F175:F184)</f>
        <v>0.14249999999999999</v>
      </c>
      <c r="G185" s="144">
        <f>G175+G179+G180+G184+G176</f>
        <v>818.42</v>
      </c>
      <c r="H185" s="111"/>
      <c r="I185" s="111"/>
    </row>
    <row r="186" spans="1:9" ht="15" hidden="1" thickTop="1" x14ac:dyDescent="0.2">
      <c r="A186" s="572" t="s">
        <v>759</v>
      </c>
      <c r="B186" s="145"/>
      <c r="C186" s="145"/>
      <c r="D186" s="145"/>
      <c r="E186" s="145"/>
      <c r="F186" s="145"/>
      <c r="G186" s="146"/>
      <c r="H186" s="111"/>
      <c r="I186" s="111"/>
    </row>
    <row r="187" spans="1:9" hidden="1" x14ac:dyDescent="0.2">
      <c r="A187" s="572" t="s">
        <v>758</v>
      </c>
      <c r="B187" s="145"/>
      <c r="C187" s="145"/>
      <c r="D187" s="145"/>
      <c r="E187" s="145"/>
      <c r="F187" s="145"/>
      <c r="G187" s="146"/>
      <c r="H187" s="111"/>
      <c r="I187" s="111"/>
    </row>
    <row r="188" spans="1:9" ht="15" thickTop="1" x14ac:dyDescent="0.2">
      <c r="A188" s="572"/>
      <c r="B188" s="145"/>
      <c r="C188" s="145"/>
      <c r="D188" s="145"/>
      <c r="E188" s="145"/>
      <c r="F188" s="145"/>
      <c r="G188" s="146"/>
      <c r="H188" s="111"/>
      <c r="I188" s="111"/>
    </row>
    <row r="189" spans="1:9" ht="15" thickBot="1" x14ac:dyDescent="0.25">
      <c r="A189" s="1124" t="s">
        <v>761</v>
      </c>
      <c r="B189" s="145"/>
      <c r="C189" s="145"/>
      <c r="D189" s="145"/>
      <c r="E189" s="145"/>
      <c r="F189" s="145"/>
      <c r="G189" s="146"/>
      <c r="H189" s="111"/>
      <c r="I189" s="111"/>
    </row>
    <row r="190" spans="1:9" ht="16.5" customHeight="1" thickTop="1" thickBot="1" x14ac:dyDescent="0.25">
      <c r="A190" s="1658" t="s">
        <v>718</v>
      </c>
      <c r="B190" s="1658"/>
      <c r="C190" s="1658"/>
      <c r="D190" s="1658"/>
      <c r="E190" s="1658"/>
      <c r="F190" s="1658"/>
      <c r="G190" s="1131" t="s">
        <v>121</v>
      </c>
      <c r="H190" s="111"/>
    </row>
    <row r="191" spans="1:9" ht="14.25" customHeight="1" thickTop="1" thickBot="1" x14ac:dyDescent="0.25">
      <c r="A191" s="1121" t="s">
        <v>1</v>
      </c>
      <c r="B191" s="1132" t="str">
        <f>A45</f>
        <v>Módulo 1 - Composição da Remuneração</v>
      </c>
      <c r="C191" s="1133"/>
      <c r="D191" s="566"/>
      <c r="E191" s="566"/>
      <c r="F191" s="147"/>
      <c r="G191" s="124">
        <f>G53</f>
        <v>2473.75</v>
      </c>
      <c r="H191" s="111"/>
    </row>
    <row r="192" spans="1:9" ht="14.25" customHeight="1" thickTop="1" thickBot="1" x14ac:dyDescent="0.25">
      <c r="A192" s="1121" t="s">
        <v>2</v>
      </c>
      <c r="B192" s="1132" t="str">
        <f>A58</f>
        <v>Módulo 2 - Encargos e Benefícios Anuais, Mensais e Diários</v>
      </c>
      <c r="C192" s="1133"/>
      <c r="D192" s="566"/>
      <c r="E192" s="566"/>
      <c r="F192" s="147"/>
      <c r="G192" s="124">
        <f>G121</f>
        <v>2347.0300000000002</v>
      </c>
      <c r="H192" s="111"/>
    </row>
    <row r="193" spans="1:8" ht="14.25" customHeight="1" thickTop="1" thickBot="1" x14ac:dyDescent="0.25">
      <c r="A193" s="1121" t="s">
        <v>4</v>
      </c>
      <c r="B193" s="1132" t="str">
        <f>A123</f>
        <v>Módulo 3 - Provisão para Rescisão</v>
      </c>
      <c r="C193" s="1133"/>
      <c r="D193" s="566"/>
      <c r="E193" s="566"/>
      <c r="F193" s="147"/>
      <c r="G193" s="124">
        <f>G132</f>
        <v>158.06</v>
      </c>
      <c r="H193" s="111"/>
    </row>
    <row r="194" spans="1:8" ht="14.25" customHeight="1" thickTop="1" thickBot="1" x14ac:dyDescent="0.25">
      <c r="A194" s="1121" t="s">
        <v>5</v>
      </c>
      <c r="B194" s="1132" t="str">
        <f>A134</f>
        <v>Módulo 4 - Custo de Reposição do Profissional</v>
      </c>
      <c r="C194" s="1133"/>
      <c r="D194" s="566"/>
      <c r="E194" s="566"/>
      <c r="F194" s="147"/>
      <c r="G194" s="124">
        <f>G161</f>
        <v>19.8</v>
      </c>
      <c r="H194" s="111"/>
    </row>
    <row r="195" spans="1:8" ht="15.75" hidden="1" thickTop="1" thickBot="1" x14ac:dyDescent="0.25">
      <c r="A195" s="583" t="s">
        <v>6</v>
      </c>
      <c r="B195" s="1132" t="str">
        <f>A163</f>
        <v>Módulo 5 - Insumos Diversos</v>
      </c>
      <c r="C195" s="579"/>
      <c r="D195" s="579"/>
      <c r="E195" s="579"/>
      <c r="F195" s="580"/>
      <c r="G195" s="584">
        <f>G170</f>
        <v>76.86</v>
      </c>
    </row>
    <row r="196" spans="1:8" ht="15.75" thickTop="1" thickBot="1" x14ac:dyDescent="0.25">
      <c r="A196" s="1644" t="s">
        <v>762</v>
      </c>
      <c r="B196" s="1645"/>
      <c r="C196" s="1645"/>
      <c r="D196" s="1645"/>
      <c r="E196" s="1645"/>
      <c r="F196" s="1646"/>
      <c r="G196" s="133">
        <f>SUM(G191:G195)</f>
        <v>5075.5</v>
      </c>
    </row>
    <row r="197" spans="1:8" ht="14.25" customHeight="1" thickTop="1" thickBot="1" x14ac:dyDescent="0.25">
      <c r="A197" s="1121" t="s">
        <v>7</v>
      </c>
      <c r="B197" s="1132" t="str">
        <f>A173</f>
        <v>Módulo 6 - Custos Indiretos, Tributos e Lucro</v>
      </c>
      <c r="C197" s="1133"/>
      <c r="D197" s="566"/>
      <c r="E197" s="566"/>
      <c r="F197" s="147"/>
      <c r="G197" s="124">
        <f>G185</f>
        <v>818.42</v>
      </c>
    </row>
    <row r="198" spans="1:8" ht="15.75" customHeight="1" thickTop="1" thickBot="1" x14ac:dyDescent="0.25">
      <c r="A198" s="1644" t="s">
        <v>687</v>
      </c>
      <c r="B198" s="1645"/>
      <c r="C198" s="1645"/>
      <c r="D198" s="1645"/>
      <c r="E198" s="1645"/>
      <c r="F198" s="1646"/>
      <c r="G198" s="133">
        <f>SUM(G196:G197)</f>
        <v>5893.92</v>
      </c>
    </row>
    <row r="199" spans="1:8" ht="15.75" thickTop="1" thickBot="1" x14ac:dyDescent="0.25">
      <c r="A199" s="1644" t="s">
        <v>1445</v>
      </c>
      <c r="B199" s="1645"/>
      <c r="C199" s="1645"/>
      <c r="D199" s="1645"/>
      <c r="E199" s="1645"/>
      <c r="F199" s="1646"/>
      <c r="G199" s="133">
        <f>Dados!J51+Dados!J55</f>
        <v>170.7</v>
      </c>
    </row>
    <row r="200" spans="1:8" ht="15.75" thickTop="1" thickBot="1" x14ac:dyDescent="0.25">
      <c r="A200" s="1644" t="s">
        <v>687</v>
      </c>
      <c r="B200" s="1645"/>
      <c r="C200" s="1645"/>
      <c r="D200" s="1645"/>
      <c r="E200" s="1645"/>
      <c r="F200" s="1646"/>
      <c r="G200" s="133">
        <f>G198+G199</f>
        <v>6064.62</v>
      </c>
    </row>
    <row r="201" spans="1:8" ht="15" thickTop="1" x14ac:dyDescent="0.2"/>
    <row r="202" spans="1:8" ht="15" hidden="1" thickBot="1" x14ac:dyDescent="0.25">
      <c r="A202" s="1124" t="s">
        <v>763</v>
      </c>
    </row>
    <row r="203" spans="1:8" ht="46.5" hidden="1" customHeight="1" thickTop="1" x14ac:dyDescent="0.2">
      <c r="A203" s="1650" t="s">
        <v>167</v>
      </c>
      <c r="B203" s="1651"/>
      <c r="C203" s="1130" t="s">
        <v>765</v>
      </c>
      <c r="D203" s="1130" t="s">
        <v>764</v>
      </c>
      <c r="E203" s="1130" t="s">
        <v>766</v>
      </c>
      <c r="F203" s="1126" t="s">
        <v>767</v>
      </c>
      <c r="G203" s="1126" t="s">
        <v>768</v>
      </c>
    </row>
    <row r="204" spans="1:8" ht="18" hidden="1" customHeight="1" thickBot="1" x14ac:dyDescent="0.25">
      <c r="A204" s="1659" t="s">
        <v>168</v>
      </c>
      <c r="B204" s="1660"/>
      <c r="C204" s="586" t="s">
        <v>169</v>
      </c>
      <c r="D204" s="586" t="s">
        <v>170</v>
      </c>
      <c r="E204" s="586" t="s">
        <v>171</v>
      </c>
      <c r="F204" s="587" t="s">
        <v>172</v>
      </c>
      <c r="G204" s="587" t="s">
        <v>173</v>
      </c>
    </row>
    <row r="205" spans="1:8" ht="49.5" hidden="1" customHeight="1" thickTop="1" thickBot="1" x14ac:dyDescent="0.25">
      <c r="A205" s="583" t="s">
        <v>160</v>
      </c>
      <c r="B205" s="1129" t="str">
        <f>F40</f>
        <v>Recepcionista de segunda a sexta-feira - 44 horas semanais</v>
      </c>
      <c r="C205" s="274">
        <f>G198</f>
        <v>5893.92</v>
      </c>
      <c r="D205" s="275">
        <f>F26</f>
        <v>1</v>
      </c>
      <c r="E205" s="276">
        <f>C205*D205</f>
        <v>5893.92</v>
      </c>
      <c r="F205" s="277">
        <f>E26</f>
        <v>12</v>
      </c>
      <c r="G205" s="278">
        <f>E205*F205</f>
        <v>70727.039999999994</v>
      </c>
    </row>
    <row r="206" spans="1:8" ht="15.75" hidden="1" thickTop="1" thickBot="1" x14ac:dyDescent="0.25">
      <c r="A206" s="1644" t="s">
        <v>769</v>
      </c>
      <c r="B206" s="1645"/>
      <c r="C206" s="1645"/>
      <c r="D206" s="1645"/>
      <c r="E206" s="1645"/>
      <c r="F206" s="1646"/>
      <c r="G206" s="133">
        <f>SUM(G205)</f>
        <v>70727.039999999994</v>
      </c>
    </row>
    <row r="207" spans="1:8" ht="15" hidden="1" thickTop="1" x14ac:dyDescent="0.2">
      <c r="A207" s="247"/>
      <c r="B207" s="247"/>
      <c r="C207" s="247"/>
      <c r="D207" s="247"/>
      <c r="E207" s="247"/>
      <c r="F207" s="247"/>
      <c r="G207" s="247"/>
    </row>
    <row r="208" spans="1:8" ht="15" hidden="1" thickBot="1" x14ac:dyDescent="0.25">
      <c r="A208" s="1124" t="s">
        <v>770</v>
      </c>
      <c r="B208" s="247"/>
      <c r="C208" s="247"/>
      <c r="D208" s="247"/>
      <c r="E208" s="247"/>
      <c r="F208" s="247"/>
      <c r="G208" s="247"/>
    </row>
    <row r="209" spans="1:7" ht="15" hidden="1" customHeight="1" thickTop="1" thickBot="1" x14ac:dyDescent="0.25">
      <c r="A209" s="1128"/>
      <c r="B209" s="1656" t="s">
        <v>771</v>
      </c>
      <c r="C209" s="1656"/>
      <c r="D209" s="1656"/>
      <c r="E209" s="1656"/>
      <c r="F209" s="1656"/>
      <c r="G209" s="1656"/>
    </row>
    <row r="210" spans="1:7" ht="15.75" hidden="1" thickTop="1" thickBot="1" x14ac:dyDescent="0.25">
      <c r="A210" s="283"/>
      <c r="B210" s="1647" t="s">
        <v>772</v>
      </c>
      <c r="C210" s="1648"/>
      <c r="D210" s="1648"/>
      <c r="E210" s="1648"/>
      <c r="F210" s="1649"/>
      <c r="G210" s="283" t="s">
        <v>773</v>
      </c>
    </row>
    <row r="211" spans="1:7" ht="15.75" hidden="1" thickTop="1" thickBot="1" x14ac:dyDescent="0.25">
      <c r="A211" s="279" t="s">
        <v>1</v>
      </c>
      <c r="B211" s="287" t="s">
        <v>174</v>
      </c>
      <c r="C211" s="286"/>
      <c r="D211" s="284"/>
      <c r="E211" s="284"/>
      <c r="F211" s="284"/>
      <c r="G211" s="280">
        <f>G198</f>
        <v>5893.92</v>
      </c>
    </row>
    <row r="212" spans="1:7" ht="15.75" hidden="1" thickTop="1" thickBot="1" x14ac:dyDescent="0.25">
      <c r="A212" s="279" t="s">
        <v>2</v>
      </c>
      <c r="B212" s="287" t="s">
        <v>175</v>
      </c>
      <c r="C212" s="286"/>
      <c r="D212" s="284"/>
      <c r="E212" s="284"/>
      <c r="F212" s="284"/>
      <c r="G212" s="280">
        <f>G205</f>
        <v>70727.039999999994</v>
      </c>
    </row>
    <row r="213" spans="1:7" ht="15.75" hidden="1" customHeight="1" thickTop="1" thickBot="1" x14ac:dyDescent="0.25">
      <c r="A213" s="279" t="s">
        <v>4</v>
      </c>
      <c r="B213" s="287" t="s">
        <v>914</v>
      </c>
      <c r="C213" s="286"/>
      <c r="D213" s="284"/>
      <c r="E213" s="284"/>
      <c r="F213" s="284"/>
      <c r="G213" s="280">
        <f>G212*$F$22</f>
        <v>848724.47999999998</v>
      </c>
    </row>
    <row r="214" spans="1:7" ht="15" hidden="1" thickTop="1" x14ac:dyDescent="0.2">
      <c r="A214" s="68" t="s">
        <v>774</v>
      </c>
    </row>
    <row r="216" spans="1:7" hidden="1" x14ac:dyDescent="0.2"/>
    <row r="217" spans="1:7" hidden="1" x14ac:dyDescent="0.2">
      <c r="A217" s="1124" t="s">
        <v>775</v>
      </c>
    </row>
    <row r="218" spans="1:7" ht="15" hidden="1" thickBot="1" x14ac:dyDescent="0.25">
      <c r="A218" s="145"/>
      <c r="B218" s="585"/>
      <c r="C218" s="585"/>
      <c r="D218" s="585"/>
      <c r="E218" s="585"/>
      <c r="F218" s="585"/>
      <c r="G218" s="585"/>
    </row>
    <row r="219" spans="1:7" ht="15" hidden="1" customHeight="1" thickTop="1" x14ac:dyDescent="0.2">
      <c r="A219" s="1650" t="s">
        <v>776</v>
      </c>
      <c r="B219" s="1661"/>
      <c r="C219" s="1661"/>
      <c r="D219" s="1651"/>
      <c r="E219" s="1668" t="s">
        <v>778</v>
      </c>
      <c r="F219" s="1641" t="s">
        <v>779</v>
      </c>
      <c r="G219" s="1641" t="s">
        <v>54</v>
      </c>
    </row>
    <row r="220" spans="1:7" ht="15" hidden="1" thickBot="1" x14ac:dyDescent="0.25">
      <c r="A220" s="1662"/>
      <c r="B220" s="1663"/>
      <c r="C220" s="1663"/>
      <c r="D220" s="1664"/>
      <c r="E220" s="1669"/>
      <c r="F220" s="1642"/>
      <c r="G220" s="1642"/>
    </row>
    <row r="221" spans="1:7" ht="36" hidden="1" customHeight="1" thickTop="1" thickBot="1" x14ac:dyDescent="0.25">
      <c r="A221" s="588" t="str">
        <f>A205</f>
        <v>I</v>
      </c>
      <c r="B221" s="1665" t="str">
        <f>B205</f>
        <v>Recepcionista de segunda a sexta-feira - 44 horas semanais</v>
      </c>
      <c r="C221" s="1666"/>
      <c r="D221" s="1667"/>
      <c r="E221" s="276">
        <f>E205</f>
        <v>5893.92</v>
      </c>
      <c r="F221" s="277">
        <f>F205</f>
        <v>12</v>
      </c>
      <c r="G221" s="278">
        <f>E221*F221</f>
        <v>70727.039999999994</v>
      </c>
    </row>
    <row r="222" spans="1:7" ht="15.75" hidden="1" customHeight="1" thickTop="1" thickBot="1" x14ac:dyDescent="0.25">
      <c r="A222" s="1644" t="s">
        <v>47</v>
      </c>
      <c r="B222" s="1645"/>
      <c r="C222" s="1645"/>
      <c r="D222" s="1645"/>
      <c r="E222" s="1645"/>
      <c r="F222" s="1646"/>
      <c r="G222" s="133">
        <f>SUM(G221)</f>
        <v>70727.039999999994</v>
      </c>
    </row>
    <row r="223" spans="1:7" hidden="1" x14ac:dyDescent="0.2">
      <c r="A223" s="68" t="s">
        <v>777</v>
      </c>
    </row>
  </sheetData>
  <mergeCells count="97">
    <mergeCell ref="A20:A21"/>
    <mergeCell ref="B20:E21"/>
    <mergeCell ref="F20:G20"/>
    <mergeCell ref="F21:G21"/>
    <mergeCell ref="A5:G5"/>
    <mergeCell ref="A6:G6"/>
    <mergeCell ref="A8:G8"/>
    <mergeCell ref="A9:G9"/>
    <mergeCell ref="A10:G10"/>
    <mergeCell ref="A13:B13"/>
    <mergeCell ref="C13:D13"/>
    <mergeCell ref="A14:B14"/>
    <mergeCell ref="C14:D14"/>
    <mergeCell ref="A17:G17"/>
    <mergeCell ref="F18:G18"/>
    <mergeCell ref="F19:G19"/>
    <mergeCell ref="B38:E38"/>
    <mergeCell ref="F38:G38"/>
    <mergeCell ref="F22:G22"/>
    <mergeCell ref="A24:G24"/>
    <mergeCell ref="A25:B25"/>
    <mergeCell ref="A26:B26"/>
    <mergeCell ref="A27:G28"/>
    <mergeCell ref="A29:G30"/>
    <mergeCell ref="A34:G34"/>
    <mergeCell ref="A35:G35"/>
    <mergeCell ref="A36:G36"/>
    <mergeCell ref="B37:E37"/>
    <mergeCell ref="F37:G37"/>
    <mergeCell ref="B39:E39"/>
    <mergeCell ref="F39:G39"/>
    <mergeCell ref="B40:E40"/>
    <mergeCell ref="F40:G40"/>
    <mergeCell ref="B41:E41"/>
    <mergeCell ref="F41:G41"/>
    <mergeCell ref="A73:F73"/>
    <mergeCell ref="B46:E46"/>
    <mergeCell ref="A53:F53"/>
    <mergeCell ref="A55:G56"/>
    <mergeCell ref="A58:G58"/>
    <mergeCell ref="A60:G60"/>
    <mergeCell ref="B61:E61"/>
    <mergeCell ref="B63:E63"/>
    <mergeCell ref="A64:E64"/>
    <mergeCell ref="A65:G66"/>
    <mergeCell ref="A67:G68"/>
    <mergeCell ref="A69:G71"/>
    <mergeCell ref="B117:F117"/>
    <mergeCell ref="A76:F76"/>
    <mergeCell ref="B79:E79"/>
    <mergeCell ref="A88:E88"/>
    <mergeCell ref="A89:G89"/>
    <mergeCell ref="A90:G90"/>
    <mergeCell ref="B95:E95"/>
    <mergeCell ref="A96:A97"/>
    <mergeCell ref="A98:A99"/>
    <mergeCell ref="A101:A103"/>
    <mergeCell ref="A111:F111"/>
    <mergeCell ref="A113:G114"/>
    <mergeCell ref="A153:F153"/>
    <mergeCell ref="A121:F121"/>
    <mergeCell ref="A123:G123"/>
    <mergeCell ref="B124:E124"/>
    <mergeCell ref="A132:E132"/>
    <mergeCell ref="A134:G134"/>
    <mergeCell ref="A135:G136"/>
    <mergeCell ref="B139:E139"/>
    <mergeCell ref="A146:E146"/>
    <mergeCell ref="A147:G148"/>
    <mergeCell ref="B151:F151"/>
    <mergeCell ref="B152:F152"/>
    <mergeCell ref="A196:F196"/>
    <mergeCell ref="A154:G155"/>
    <mergeCell ref="B158:F158"/>
    <mergeCell ref="A161:F161"/>
    <mergeCell ref="A163:G163"/>
    <mergeCell ref="B164:F164"/>
    <mergeCell ref="B170:F170"/>
    <mergeCell ref="A173:G173"/>
    <mergeCell ref="B174:E174"/>
    <mergeCell ref="A177:A184"/>
    <mergeCell ref="A185:E185"/>
    <mergeCell ref="A190:F190"/>
    <mergeCell ref="A222:F222"/>
    <mergeCell ref="A198:F198"/>
    <mergeCell ref="A203:B203"/>
    <mergeCell ref="A204:B204"/>
    <mergeCell ref="A206:F206"/>
    <mergeCell ref="B209:G209"/>
    <mergeCell ref="B210:F210"/>
    <mergeCell ref="A219:D220"/>
    <mergeCell ref="E219:E220"/>
    <mergeCell ref="F219:F220"/>
    <mergeCell ref="G219:G220"/>
    <mergeCell ref="B221:D221"/>
    <mergeCell ref="A199:F199"/>
    <mergeCell ref="A200:F200"/>
  </mergeCells>
  <dataValidations count="2">
    <dataValidation allowBlank="1" showInputMessage="1" showErrorMessage="1" errorTitle="Atenção" error="Não esquecer de buscar os valores e alterar na coluna F - das linhas 50 a 60, em caso de mais de um Sindicato." promptTitle="Benefícios" prompt="- Em caso de mais de um Sindicato em &quot;Dados&quot;, não esquecer de buscar os valores e alterar na coluna F - das linhas 50 a 60." sqref="F96:F110"/>
    <dataValidation allowBlank="1" showInputMessage="1" showErrorMessage="1" errorTitle="Atenção" error="Os dias só poderão ser alterados nos Dados." promptTitle="Jornada de Trabalho" prompt="- Alterando a carga horária, automaticamente será alterado os dias trabalhados._x000a_" sqref="C26"/>
  </dataValidations>
  <printOptions horizontalCentered="1"/>
  <pageMargins left="0.82677165354330717" right="0.55118110236220474" top="0.82677165354330717" bottom="0.43307086614173229" header="0.19685039370078741" footer="0.23622047244094491"/>
  <pageSetup paperSize="9" scale="61" fitToHeight="0" orientation="portrait" r:id="rId1"/>
  <headerFooter alignWithMargins="0"/>
  <rowBreaks count="1" manualBreakCount="1">
    <brk id="111" max="6" man="1"/>
  </rowBreaks>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24"/>
  <dimension ref="A1:M223"/>
  <sheetViews>
    <sheetView view="pageBreakPreview" topLeftCell="A121" zoomScale="90" zoomScaleNormal="100" zoomScaleSheetLayoutView="90" workbookViewId="0">
      <selection activeCell="C45" sqref="B45:K48"/>
    </sheetView>
  </sheetViews>
  <sheetFormatPr defaultRowHeight="14.25" x14ac:dyDescent="0.2"/>
  <cols>
    <col min="1" max="1" width="5.85546875" style="68" customWidth="1"/>
    <col min="2" max="2" width="29.42578125" style="68" customWidth="1"/>
    <col min="3" max="3" width="19.7109375" style="68" customWidth="1"/>
    <col min="4" max="4" width="17.140625" style="68" customWidth="1"/>
    <col min="5" max="5" width="18" style="68" customWidth="1"/>
    <col min="6" max="6" width="15.42578125" style="68" customWidth="1"/>
    <col min="7" max="7" width="18" style="97" bestFit="1" customWidth="1"/>
    <col min="8" max="8" width="17.28515625" style="69" bestFit="1" customWidth="1"/>
    <col min="9" max="9" width="15.28515625" style="69" bestFit="1" customWidth="1"/>
    <col min="10" max="11" width="13.42578125" style="69" bestFit="1" customWidth="1"/>
    <col min="12" max="12" width="11.5703125" style="69" bestFit="1" customWidth="1"/>
    <col min="13" max="13" width="12.5703125" style="69" bestFit="1" customWidth="1"/>
    <col min="14" max="16384" width="9.140625" style="69"/>
  </cols>
  <sheetData>
    <row r="1" spans="1:7" ht="11.25" hidden="1" customHeight="1" x14ac:dyDescent="0.2">
      <c r="A1" s="96" t="str">
        <f>Proposta!C83</f>
        <v>Razão Social: BRASFORT ADMINISTRAÇÃO E SERVIÇOS LTDA</v>
      </c>
    </row>
    <row r="2" spans="1:7" ht="11.25" hidden="1" customHeight="1" x14ac:dyDescent="0.2">
      <c r="A2" s="96" t="str">
        <f>Proposta!C84</f>
        <v>CNPJ: 36.770.857/0001-38</v>
      </c>
    </row>
    <row r="3" spans="1:7" hidden="1" x14ac:dyDescent="0.2">
      <c r="A3" s="97"/>
    </row>
    <row r="4" spans="1:7" hidden="1" x14ac:dyDescent="0.2">
      <c r="A4" s="97"/>
    </row>
    <row r="5" spans="1:7" hidden="1" x14ac:dyDescent="0.2">
      <c r="A5" s="1630" t="str">
        <f>Dados!H2</f>
        <v xml:space="preserve">REPACTUAÇÃO CONTRATUAL 20___ - </v>
      </c>
      <c r="B5" s="1630"/>
      <c r="C5" s="1630"/>
      <c r="D5" s="1630"/>
      <c r="E5" s="1630"/>
      <c r="F5" s="1630"/>
      <c r="G5" s="1630"/>
    </row>
    <row r="6" spans="1:7" hidden="1" x14ac:dyDescent="0.2">
      <c r="A6" s="1630" t="str">
        <f>Dados!A10</f>
        <v>CONTRATO Nº __________/201__ - CONTRATANTE - PRESTAÇÃO DE SERVIÇOS --------</v>
      </c>
      <c r="B6" s="1630"/>
      <c r="C6" s="1630"/>
      <c r="D6" s="1630"/>
      <c r="E6" s="1630"/>
      <c r="F6" s="1630"/>
      <c r="G6" s="1630"/>
    </row>
    <row r="7" spans="1:7" x14ac:dyDescent="0.2">
      <c r="A7" s="1123"/>
      <c r="B7" s="1123"/>
      <c r="C7" s="1123"/>
      <c r="D7" s="1123"/>
      <c r="E7" s="1123"/>
      <c r="F7" s="1123"/>
      <c r="G7" s="1123"/>
    </row>
    <row r="8" spans="1:7" ht="18" customHeight="1" x14ac:dyDescent="0.2">
      <c r="A8" s="1637"/>
      <c r="B8" s="1637"/>
      <c r="C8" s="1637"/>
      <c r="D8" s="1637"/>
      <c r="E8" s="1637"/>
      <c r="F8" s="1637"/>
      <c r="G8" s="1637"/>
    </row>
    <row r="9" spans="1:7" x14ac:dyDescent="0.2">
      <c r="A9" s="1637" t="str">
        <f>Dados!$A$11</f>
        <v>PLANILHA DE CUSTOS E FORMAÇÃO DE PREÇOS - CJF</v>
      </c>
      <c r="B9" s="1637"/>
      <c r="C9" s="1637"/>
      <c r="D9" s="1637"/>
      <c r="E9" s="1637"/>
      <c r="F9" s="1637"/>
      <c r="G9" s="1637"/>
    </row>
    <row r="10" spans="1:7" x14ac:dyDescent="0.2">
      <c r="A10" s="1637"/>
      <c r="B10" s="1637"/>
      <c r="C10" s="1637"/>
      <c r="D10" s="1637"/>
      <c r="E10" s="1637"/>
      <c r="F10" s="1637"/>
      <c r="G10" s="1637"/>
    </row>
    <row r="11" spans="1:7" x14ac:dyDescent="0.2">
      <c r="A11" s="98"/>
      <c r="B11" s="98"/>
      <c r="C11" s="98"/>
      <c r="D11" s="98"/>
      <c r="E11" s="98"/>
      <c r="F11" s="98"/>
      <c r="G11" s="98"/>
    </row>
    <row r="12" spans="1:7" ht="15" thickBot="1" x14ac:dyDescent="0.25">
      <c r="A12" s="99"/>
      <c r="B12" s="99"/>
      <c r="C12" s="99"/>
      <c r="D12" s="99"/>
      <c r="E12" s="99"/>
      <c r="F12" s="99"/>
      <c r="G12" s="99"/>
    </row>
    <row r="13" spans="1:7" ht="15.75" customHeight="1" thickTop="1" thickBot="1" x14ac:dyDescent="0.25">
      <c r="A13" s="1631" t="s">
        <v>117</v>
      </c>
      <c r="B13" s="1631"/>
      <c r="C13" s="1670" t="str">
        <f>Dados!$G$14</f>
        <v>0001561-97.2021.4.90.8000</v>
      </c>
      <c r="D13" s="1671"/>
      <c r="E13" s="102"/>
      <c r="F13" s="135"/>
      <c r="G13" s="100"/>
    </row>
    <row r="14" spans="1:7" ht="15.75" customHeight="1" thickTop="1" thickBot="1" x14ac:dyDescent="0.25">
      <c r="A14" s="1631" t="s">
        <v>116</v>
      </c>
      <c r="B14" s="1631"/>
      <c r="C14" s="1619" t="str">
        <f>"Pregão Eletrônico nº:" &amp; " " &amp; Dados!$G$22</f>
        <v>Pregão Eletrônico nº: PE 32/2021</v>
      </c>
      <c r="D14" s="1620"/>
      <c r="E14" s="102"/>
      <c r="F14" s="298">
        <v>1</v>
      </c>
      <c r="G14" s="100"/>
    </row>
    <row r="15" spans="1:7" ht="15.75" customHeight="1" thickTop="1" x14ac:dyDescent="0.2">
      <c r="A15" s="101" t="str">
        <f>"Dia:" &amp; " " &amp; TEXT(Dados!$G$15,"dd/mm/aaaa") &amp; " " &amp; "às" &amp; " " &amp; TEXT(Dados!$G$18,"hh:mm") &amp; " " &amp; "horas"</f>
        <v>Dia: 15/10/2021 às 10:00 horas</v>
      </c>
      <c r="B15" s="101"/>
      <c r="C15" s="101"/>
      <c r="D15" s="99"/>
      <c r="E15" s="102"/>
      <c r="F15" s="297"/>
      <c r="G15" s="104"/>
    </row>
    <row r="16" spans="1:7" ht="15.75" customHeight="1" x14ac:dyDescent="0.2">
      <c r="A16" s="101"/>
      <c r="B16" s="101"/>
      <c r="C16" s="101"/>
      <c r="D16" s="99"/>
      <c r="E16" s="102"/>
      <c r="F16" s="103"/>
      <c r="G16" s="104"/>
    </row>
    <row r="17" spans="1:7" ht="18" customHeight="1" thickBot="1" x14ac:dyDescent="0.25">
      <c r="A17" s="1638" t="s">
        <v>723</v>
      </c>
      <c r="B17" s="1638"/>
      <c r="C17" s="1638"/>
      <c r="D17" s="1638"/>
      <c r="E17" s="1638"/>
      <c r="F17" s="1638"/>
      <c r="G17" s="1638"/>
    </row>
    <row r="18" spans="1:7" ht="16.5" customHeight="1" thickTop="1" thickBot="1" x14ac:dyDescent="0.25">
      <c r="A18" s="1121" t="s">
        <v>1</v>
      </c>
      <c r="B18" s="1132" t="s">
        <v>119</v>
      </c>
      <c r="C18" s="1133"/>
      <c r="D18" s="566"/>
      <c r="E18" s="106"/>
      <c r="F18" s="1639" t="d">
        <f>Dados!G16</f>
        <v>2021-10-21</v>
      </c>
      <c r="G18" s="1640"/>
    </row>
    <row r="19" spans="1:7" ht="16.5" customHeight="1" thickTop="1" thickBot="1" x14ac:dyDescent="0.25">
      <c r="A19" s="1121" t="s">
        <v>2</v>
      </c>
      <c r="B19" s="565" t="s">
        <v>3</v>
      </c>
      <c r="C19" s="566"/>
      <c r="D19" s="566"/>
      <c r="E19" s="107"/>
      <c r="F19" s="1639" t="str">
        <f>Dados!G19</f>
        <v>Brasília - DF</v>
      </c>
      <c r="G19" s="1640"/>
    </row>
    <row r="20" spans="1:7" ht="15" thickTop="1" x14ac:dyDescent="0.2">
      <c r="A20" s="1675" t="s">
        <v>4</v>
      </c>
      <c r="B20" s="1621" t="s">
        <v>118</v>
      </c>
      <c r="C20" s="1622"/>
      <c r="D20" s="1622"/>
      <c r="E20" s="1623"/>
      <c r="F20" s="1681" t="str">
        <f>Dados!N101</f>
        <v>SINDISERVIÇOS/SEAC-DF</v>
      </c>
      <c r="G20" s="1681"/>
    </row>
    <row r="21" spans="1:7" ht="15" thickBot="1" x14ac:dyDescent="0.25">
      <c r="A21" s="1677"/>
      <c r="B21" s="1624"/>
      <c r="C21" s="1625"/>
      <c r="D21" s="1625"/>
      <c r="E21" s="1626"/>
      <c r="F21" s="1627" t="str">
        <f>VLOOKUP(F20,'CCT''S'!$A$7:$J$21,5,FALSE)</f>
        <v>2021/2021</v>
      </c>
      <c r="G21" s="1628"/>
    </row>
    <row r="22" spans="1:7" ht="16.5" customHeight="1" thickTop="1" thickBot="1" x14ac:dyDescent="0.25">
      <c r="A22" s="1121" t="s">
        <v>5</v>
      </c>
      <c r="B22" s="1132" t="s">
        <v>120</v>
      </c>
      <c r="C22" s="1133"/>
      <c r="D22" s="566"/>
      <c r="E22" s="107"/>
      <c r="F22" s="1640">
        <f>Dados!G26</f>
        <v>12</v>
      </c>
      <c r="G22" s="1640"/>
    </row>
    <row r="23" spans="1:7" ht="15" thickTop="1" x14ac:dyDescent="0.2">
      <c r="A23" s="98"/>
      <c r="B23" s="99"/>
      <c r="C23" s="99"/>
      <c r="D23" s="99"/>
      <c r="E23" s="99"/>
      <c r="F23" s="108"/>
      <c r="G23" s="109"/>
    </row>
    <row r="24" spans="1:7" ht="16.5" customHeight="1" thickBot="1" x14ac:dyDescent="0.25">
      <c r="A24" s="1638" t="s">
        <v>722</v>
      </c>
      <c r="B24" s="1638"/>
      <c r="C24" s="1638"/>
      <c r="D24" s="1638"/>
      <c r="E24" s="1638"/>
      <c r="F24" s="1638"/>
      <c r="G24" s="1638"/>
    </row>
    <row r="25" spans="1:7" ht="51" customHeight="1" thickTop="1" thickBot="1" x14ac:dyDescent="0.25">
      <c r="A25" s="1635" t="s">
        <v>89</v>
      </c>
      <c r="B25" s="1635"/>
      <c r="C25" s="1125" t="s">
        <v>194</v>
      </c>
      <c r="D25" s="1125" t="s">
        <v>115</v>
      </c>
      <c r="E25" s="1125" t="s">
        <v>73</v>
      </c>
      <c r="F25" s="1125" t="s">
        <v>195</v>
      </c>
      <c r="G25" s="1125" t="s">
        <v>86</v>
      </c>
    </row>
    <row r="26" spans="1:7" ht="33.75" customHeight="1" thickTop="1" thickBot="1" x14ac:dyDescent="0.25">
      <c r="A26" s="1631" t="str">
        <f>Dados!N91</f>
        <v>Jauzeiro</v>
      </c>
      <c r="B26" s="1631"/>
      <c r="C26" s="1121" t="str">
        <f>Dados!J30</f>
        <v>44 horas semanais - 5x2</v>
      </c>
      <c r="D26" s="1121" t="str">
        <f>Dados!G25</f>
        <v>Postos de Serviços</v>
      </c>
      <c r="E26" s="292">
        <f>Dados!R91</f>
        <v>2</v>
      </c>
      <c r="F26" s="292">
        <f>Dados!S91</f>
        <v>1</v>
      </c>
      <c r="G26" s="292">
        <f>E26*F26</f>
        <v>2</v>
      </c>
    </row>
    <row r="27" spans="1:7" ht="14.25" hidden="1" customHeight="1" thickTop="1" x14ac:dyDescent="0.2">
      <c r="A27" s="1634" t="s">
        <v>725</v>
      </c>
      <c r="B27" s="1634"/>
      <c r="C27" s="1634"/>
      <c r="D27" s="1634"/>
      <c r="E27" s="1634"/>
      <c r="F27" s="1634"/>
      <c r="G27" s="1634"/>
    </row>
    <row r="28" spans="1:7" ht="14.25" hidden="1" customHeight="1" x14ac:dyDescent="0.2">
      <c r="A28" s="1618"/>
      <c r="B28" s="1618"/>
      <c r="C28" s="1618"/>
      <c r="D28" s="1618"/>
      <c r="E28" s="1618"/>
      <c r="F28" s="1618"/>
      <c r="G28" s="1618"/>
    </row>
    <row r="29" spans="1:7" ht="14.25" hidden="1" customHeight="1" x14ac:dyDescent="0.2">
      <c r="A29" s="1618" t="s">
        <v>724</v>
      </c>
      <c r="B29" s="1618"/>
      <c r="C29" s="1618"/>
      <c r="D29" s="1618"/>
      <c r="E29" s="1618"/>
      <c r="F29" s="1618"/>
      <c r="G29" s="1618"/>
    </row>
    <row r="30" spans="1:7" ht="14.25" hidden="1" customHeight="1" x14ac:dyDescent="0.2">
      <c r="A30" s="1618"/>
      <c r="B30" s="1618"/>
      <c r="C30" s="1618"/>
      <c r="D30" s="1618"/>
      <c r="E30" s="1618"/>
      <c r="F30" s="1618"/>
      <c r="G30" s="1618"/>
    </row>
    <row r="31" spans="1:7" ht="14.25" customHeight="1" thickTop="1" x14ac:dyDescent="0.2">
      <c r="A31" s="101"/>
      <c r="B31" s="101"/>
      <c r="C31" s="101"/>
      <c r="D31" s="101"/>
      <c r="E31" s="101"/>
      <c r="F31" s="572"/>
      <c r="G31" s="573"/>
    </row>
    <row r="32" spans="1:7" ht="14.25" customHeight="1" x14ac:dyDescent="0.2">
      <c r="A32" s="1124" t="s">
        <v>719</v>
      </c>
      <c r="B32" s="98"/>
      <c r="C32" s="98"/>
      <c r="D32" s="98"/>
      <c r="E32" s="98"/>
      <c r="G32" s="110"/>
    </row>
    <row r="33" spans="1:9" ht="6.75" customHeight="1" x14ac:dyDescent="0.2">
      <c r="A33" s="98"/>
      <c r="B33" s="98"/>
      <c r="C33" s="98"/>
      <c r="D33" s="98"/>
      <c r="E33" s="98"/>
      <c r="G33" s="110"/>
    </row>
    <row r="34" spans="1:9" ht="14.25" customHeight="1" x14ac:dyDescent="0.2">
      <c r="A34" s="1632" t="s">
        <v>159</v>
      </c>
      <c r="B34" s="1632"/>
      <c r="C34" s="1632"/>
      <c r="D34" s="1632"/>
      <c r="E34" s="1632"/>
      <c r="F34" s="1632"/>
      <c r="G34" s="1632"/>
    </row>
    <row r="35" spans="1:9" ht="14.25" customHeight="1" thickBot="1" x14ac:dyDescent="0.25">
      <c r="A35" s="1636" t="s">
        <v>102</v>
      </c>
      <c r="B35" s="1636"/>
      <c r="C35" s="1636"/>
      <c r="D35" s="1636"/>
      <c r="E35" s="1636"/>
      <c r="F35" s="1636"/>
      <c r="G35" s="1636"/>
    </row>
    <row r="36" spans="1:9" ht="15" customHeight="1" thickTop="1" thickBot="1" x14ac:dyDescent="0.25">
      <c r="A36" s="1633" t="s">
        <v>88</v>
      </c>
      <c r="B36" s="1633"/>
      <c r="C36" s="1633"/>
      <c r="D36" s="1633"/>
      <c r="E36" s="1633"/>
      <c r="F36" s="1633"/>
      <c r="G36" s="1633"/>
    </row>
    <row r="37" spans="1:9" ht="15.75" thickTop="1" thickBot="1" x14ac:dyDescent="0.25">
      <c r="A37" s="1121">
        <v>1</v>
      </c>
      <c r="B37" s="1633" t="s">
        <v>89</v>
      </c>
      <c r="C37" s="1633"/>
      <c r="D37" s="1633"/>
      <c r="E37" s="1633"/>
      <c r="F37" s="1631" t="str">
        <f>A26</f>
        <v>Jauzeiro</v>
      </c>
      <c r="G37" s="1631"/>
    </row>
    <row r="38" spans="1:9" ht="15.75" thickTop="1" thickBot="1" x14ac:dyDescent="0.25">
      <c r="A38" s="1121">
        <v>2</v>
      </c>
      <c r="B38" s="1633" t="s">
        <v>720</v>
      </c>
      <c r="C38" s="1633"/>
      <c r="D38" s="1633"/>
      <c r="E38" s="1633"/>
      <c r="F38" s="1631" t="str">
        <f>Dados!O91</f>
        <v>5143-15</v>
      </c>
      <c r="G38" s="1631"/>
    </row>
    <row r="39" spans="1:9" ht="15.75" customHeight="1" thickTop="1" thickBot="1" x14ac:dyDescent="0.25">
      <c r="A39" s="1121">
        <v>3</v>
      </c>
      <c r="B39" s="1633" t="s">
        <v>90</v>
      </c>
      <c r="C39" s="1633"/>
      <c r="D39" s="1633"/>
      <c r="E39" s="1633"/>
      <c r="F39" s="1682">
        <f>Dados!U91</f>
        <v>1527.03</v>
      </c>
      <c r="G39" s="1682"/>
    </row>
    <row r="40" spans="1:9" ht="44.25" customHeight="1" thickTop="1" thickBot="1" x14ac:dyDescent="0.25">
      <c r="A40" s="1121">
        <v>4</v>
      </c>
      <c r="B40" s="1633" t="s">
        <v>10</v>
      </c>
      <c r="C40" s="1633"/>
      <c r="D40" s="1633"/>
      <c r="E40" s="1633"/>
      <c r="F40" s="1640" t="str">
        <f>Dados!P91</f>
        <v>Jauzeiro de segunda a sexta-feira - 44 horas semanais</v>
      </c>
      <c r="G40" s="1640"/>
    </row>
    <row r="41" spans="1:9" ht="14.25" customHeight="1" thickTop="1" thickBot="1" x14ac:dyDescent="0.25">
      <c r="A41" s="1121">
        <v>5</v>
      </c>
      <c r="B41" s="1633" t="s">
        <v>11</v>
      </c>
      <c r="C41" s="1633"/>
      <c r="D41" s="1633"/>
      <c r="E41" s="1633"/>
      <c r="F41" s="1689" t="d">
        <f>VLOOKUP(F20,'CCT''S'!$A$7:$J$21,6,FALSE)</f>
        <v>2021-01-01</v>
      </c>
      <c r="G41" s="1690"/>
    </row>
    <row r="42" spans="1:9" ht="14.25" hidden="1" customHeight="1" thickTop="1" x14ac:dyDescent="0.2">
      <c r="A42" s="101" t="s">
        <v>726</v>
      </c>
      <c r="B42" s="129"/>
      <c r="C42" s="129"/>
      <c r="D42" s="129"/>
      <c r="E42" s="129"/>
      <c r="F42" s="103"/>
      <c r="G42" s="103"/>
    </row>
    <row r="43" spans="1:9" ht="14.25" hidden="1" customHeight="1" x14ac:dyDescent="0.2">
      <c r="A43" s="101" t="s">
        <v>727</v>
      </c>
      <c r="B43" s="129"/>
      <c r="C43" s="129"/>
      <c r="D43" s="129"/>
      <c r="E43" s="129"/>
      <c r="F43" s="103"/>
      <c r="G43" s="103"/>
    </row>
    <row r="44" spans="1:9" ht="14.25" customHeight="1" thickTop="1" x14ac:dyDescent="0.2">
      <c r="A44" s="98"/>
      <c r="B44" s="129"/>
      <c r="C44" s="129"/>
      <c r="D44" s="129"/>
      <c r="E44" s="129"/>
      <c r="F44" s="103"/>
      <c r="G44" s="103"/>
    </row>
    <row r="45" spans="1:9" s="576" customFormat="1" ht="15" thickBot="1" x14ac:dyDescent="0.25">
      <c r="A45" s="576" t="s">
        <v>30</v>
      </c>
    </row>
    <row r="46" spans="1:9" ht="18" customHeight="1" thickTop="1" thickBot="1" x14ac:dyDescent="0.25">
      <c r="A46" s="1131">
        <v>1</v>
      </c>
      <c r="B46" s="1672" t="s">
        <v>91</v>
      </c>
      <c r="C46" s="1673"/>
      <c r="D46" s="1673"/>
      <c r="E46" s="1674"/>
      <c r="F46" s="1125" t="s">
        <v>746</v>
      </c>
      <c r="G46" s="1131" t="s">
        <v>121</v>
      </c>
      <c r="H46" s="111"/>
      <c r="I46" s="111"/>
    </row>
    <row r="47" spans="1:9" ht="15.75" thickTop="1" thickBot="1" x14ac:dyDescent="0.25">
      <c r="A47" s="112" t="s">
        <v>1</v>
      </c>
      <c r="B47" s="1132" t="s">
        <v>674</v>
      </c>
      <c r="C47" s="1133"/>
      <c r="D47" s="1133"/>
      <c r="E47" s="1134"/>
      <c r="F47" s="115"/>
      <c r="G47" s="116">
        <f>$F$39*F14</f>
        <v>1527.03</v>
      </c>
      <c r="H47" s="111"/>
      <c r="I47" s="111"/>
    </row>
    <row r="48" spans="1:9" ht="15.75" thickTop="1" thickBot="1" x14ac:dyDescent="0.25">
      <c r="A48" s="112" t="s">
        <v>2</v>
      </c>
      <c r="B48" s="1132" t="str">
        <f>Dados!A36</f>
        <v xml:space="preserve">Adicional de Periculosidade </v>
      </c>
      <c r="C48" s="1133"/>
      <c r="D48" s="1133"/>
      <c r="E48" s="1134"/>
      <c r="F48" s="369">
        <f>Dados!G36</f>
        <v>0.3</v>
      </c>
      <c r="G48" s="117">
        <f>G47*F48</f>
        <v>458.11</v>
      </c>
      <c r="H48" s="111"/>
      <c r="I48" s="111"/>
    </row>
    <row r="49" spans="1:9" ht="15.75" thickTop="1" thickBot="1" x14ac:dyDescent="0.25">
      <c r="A49" s="112" t="s">
        <v>4</v>
      </c>
      <c r="B49" s="1132" t="s">
        <v>908</v>
      </c>
      <c r="C49" s="1133"/>
      <c r="D49" s="1133"/>
      <c r="E49" s="1134"/>
      <c r="F49" s="369"/>
      <c r="G49" s="117"/>
      <c r="H49" s="111"/>
      <c r="I49" s="111"/>
    </row>
    <row r="50" spans="1:9" ht="15.75" thickTop="1" thickBot="1" x14ac:dyDescent="0.25">
      <c r="A50" s="112" t="s">
        <v>5</v>
      </c>
      <c r="B50" s="1132" t="s">
        <v>12</v>
      </c>
      <c r="C50" s="1133"/>
      <c r="D50" s="1133"/>
      <c r="E50" s="1134"/>
      <c r="F50" s="369">
        <f>Dados!G39</f>
        <v>0.2</v>
      </c>
      <c r="G50" s="117"/>
      <c r="H50" s="111"/>
      <c r="I50" s="111"/>
    </row>
    <row r="51" spans="1:9" ht="15.75" thickTop="1" thickBot="1" x14ac:dyDescent="0.25">
      <c r="A51" s="112" t="s">
        <v>6</v>
      </c>
      <c r="B51" s="1132" t="s">
        <v>728</v>
      </c>
      <c r="C51" s="1133"/>
      <c r="D51" s="1133"/>
      <c r="E51" s="1134"/>
      <c r="F51" s="369"/>
      <c r="G51" s="117"/>
      <c r="H51" s="111"/>
      <c r="I51" s="111"/>
    </row>
    <row r="52" spans="1:9" ht="15.75" thickTop="1" thickBot="1" x14ac:dyDescent="0.25">
      <c r="A52" s="112" t="s">
        <v>7</v>
      </c>
      <c r="B52" s="1132" t="s">
        <v>57</v>
      </c>
      <c r="C52" s="1133"/>
      <c r="D52" s="1133"/>
      <c r="E52" s="1134"/>
      <c r="F52" s="369"/>
      <c r="G52" s="117"/>
      <c r="H52" s="111"/>
      <c r="I52" s="111"/>
    </row>
    <row r="53" spans="1:9" ht="16.5" customHeight="1" thickTop="1" thickBot="1" x14ac:dyDescent="0.25">
      <c r="A53" s="1644" t="s">
        <v>232</v>
      </c>
      <c r="B53" s="1645"/>
      <c r="C53" s="1645"/>
      <c r="D53" s="1645"/>
      <c r="E53" s="1645"/>
      <c r="F53" s="1646"/>
      <c r="G53" s="119">
        <f>SUM(G47:G52)</f>
        <v>1985.14</v>
      </c>
      <c r="H53" s="111"/>
      <c r="I53" s="111"/>
    </row>
    <row r="54" spans="1:9" s="68" customFormat="1" ht="15" hidden="1" thickTop="1" x14ac:dyDescent="0.2">
      <c r="A54" s="101" t="s">
        <v>729</v>
      </c>
      <c r="B54" s="101"/>
      <c r="C54" s="101"/>
      <c r="D54" s="101"/>
      <c r="E54" s="101"/>
      <c r="F54" s="574"/>
      <c r="G54" s="575"/>
      <c r="H54" s="122"/>
      <c r="I54" s="122"/>
    </row>
    <row r="55" spans="1:9" s="68" customFormat="1" ht="14.25" hidden="1" customHeight="1" x14ac:dyDescent="0.2">
      <c r="A55" s="1618" t="s">
        <v>958</v>
      </c>
      <c r="B55" s="1618"/>
      <c r="C55" s="1618"/>
      <c r="D55" s="1618"/>
      <c r="E55" s="1618"/>
      <c r="F55" s="1618"/>
      <c r="G55" s="1618"/>
      <c r="H55" s="122"/>
      <c r="I55" s="122"/>
    </row>
    <row r="56" spans="1:9" s="68" customFormat="1" hidden="1" x14ac:dyDescent="0.2">
      <c r="A56" s="1618"/>
      <c r="B56" s="1618"/>
      <c r="C56" s="1618"/>
      <c r="D56" s="1618"/>
      <c r="E56" s="1618"/>
      <c r="F56" s="1618"/>
      <c r="G56" s="1618"/>
      <c r="H56" s="122"/>
      <c r="I56" s="122"/>
    </row>
    <row r="57" spans="1:9" s="68" customFormat="1" ht="15" thickTop="1" x14ac:dyDescent="0.2">
      <c r="A57" s="101"/>
      <c r="B57" s="101"/>
      <c r="C57" s="101"/>
      <c r="D57" s="101"/>
      <c r="E57" s="101"/>
      <c r="F57" s="574"/>
      <c r="G57" s="575"/>
      <c r="H57" s="122"/>
      <c r="I57" s="122"/>
    </row>
    <row r="58" spans="1:9" s="68" customFormat="1" x14ac:dyDescent="0.2">
      <c r="A58" s="1629" t="s">
        <v>730</v>
      </c>
      <c r="B58" s="1629"/>
      <c r="C58" s="1629"/>
      <c r="D58" s="1629"/>
      <c r="E58" s="1629"/>
      <c r="F58" s="1629"/>
      <c r="G58" s="1629"/>
      <c r="H58" s="122"/>
      <c r="I58" s="122"/>
    </row>
    <row r="59" spans="1:9" s="68" customFormat="1" ht="5.25" customHeight="1" x14ac:dyDescent="0.2">
      <c r="A59" s="101"/>
      <c r="B59" s="101"/>
      <c r="C59" s="101"/>
      <c r="D59" s="101"/>
      <c r="E59" s="101"/>
      <c r="F59" s="574"/>
      <c r="G59" s="575"/>
      <c r="H59" s="122"/>
      <c r="I59" s="122"/>
    </row>
    <row r="60" spans="1:9" s="68" customFormat="1" ht="15" thickBot="1" x14ac:dyDescent="0.25">
      <c r="A60" s="1632" t="s">
        <v>737</v>
      </c>
      <c r="B60" s="1632"/>
      <c r="C60" s="1632"/>
      <c r="D60" s="1632"/>
      <c r="E60" s="1632"/>
      <c r="F60" s="1632"/>
      <c r="G60" s="1632"/>
      <c r="H60" s="122"/>
      <c r="I60" s="122"/>
    </row>
    <row r="61" spans="1:9" s="68" customFormat="1" ht="15.75" thickTop="1" thickBot="1" x14ac:dyDescent="0.25">
      <c r="A61" s="1125" t="s">
        <v>732</v>
      </c>
      <c r="B61" s="1635" t="s">
        <v>747</v>
      </c>
      <c r="C61" s="1635"/>
      <c r="D61" s="1635"/>
      <c r="E61" s="1635"/>
      <c r="F61" s="1125" t="s">
        <v>746</v>
      </c>
      <c r="G61" s="1131" t="s">
        <v>121</v>
      </c>
      <c r="H61" s="122"/>
      <c r="I61" s="122"/>
    </row>
    <row r="62" spans="1:9" s="68" customFormat="1" ht="15.75" thickTop="1" thickBot="1" x14ac:dyDescent="0.25">
      <c r="A62" s="1121" t="s">
        <v>1</v>
      </c>
      <c r="B62" s="136" t="str">
        <f>Dados!B92</f>
        <v xml:space="preserve">13º (décimo terceiro) salário  </v>
      </c>
      <c r="C62" s="285"/>
      <c r="D62" s="137"/>
      <c r="E62" s="126"/>
      <c r="F62" s="138">
        <f>Dados!G92</f>
        <v>9.0899999999999995E-2</v>
      </c>
      <c r="G62" s="127">
        <f>F62*$G$53</f>
        <v>180.45</v>
      </c>
      <c r="H62" s="122"/>
      <c r="I62" s="122"/>
    </row>
    <row r="63" spans="1:9" s="68" customFormat="1" ht="15.75" thickTop="1" thickBot="1" x14ac:dyDescent="0.25">
      <c r="A63" s="1121" t="s">
        <v>2</v>
      </c>
      <c r="B63" s="1655" t="str">
        <f>Dados!B93</f>
        <v xml:space="preserve"> Férias e Adicional de Férias</v>
      </c>
      <c r="C63" s="1655"/>
      <c r="D63" s="1655"/>
      <c r="E63" s="1655"/>
      <c r="F63" s="138">
        <f>Dados!G93</f>
        <v>0.1212</v>
      </c>
      <c r="G63" s="127">
        <f>F63*$G$53</f>
        <v>240.6</v>
      </c>
      <c r="H63" s="122"/>
      <c r="I63" s="122"/>
    </row>
    <row r="64" spans="1:9" s="68" customFormat="1" ht="18.75" customHeight="1" thickTop="1" thickBot="1" x14ac:dyDescent="0.25">
      <c r="A64" s="1644" t="s">
        <v>232</v>
      </c>
      <c r="B64" s="1645"/>
      <c r="C64" s="1645"/>
      <c r="D64" s="1645"/>
      <c r="E64" s="1646"/>
      <c r="F64" s="139">
        <f>SUM(F62:F63)</f>
        <v>0.21210000000000001</v>
      </c>
      <c r="G64" s="133">
        <f>SUM(G62:G63)</f>
        <v>421.05</v>
      </c>
      <c r="H64" s="122"/>
      <c r="I64" s="623"/>
    </row>
    <row r="65" spans="1:9" s="68" customFormat="1" ht="15" hidden="1" customHeight="1" thickTop="1" x14ac:dyDescent="0.2">
      <c r="A65" s="1618" t="s">
        <v>736</v>
      </c>
      <c r="B65" s="1618"/>
      <c r="C65" s="1618"/>
      <c r="D65" s="1618"/>
      <c r="E65" s="1618"/>
      <c r="F65" s="1618"/>
      <c r="G65" s="1618"/>
      <c r="H65" s="122"/>
      <c r="I65" s="623"/>
    </row>
    <row r="66" spans="1:9" s="68" customFormat="1" hidden="1" x14ac:dyDescent="0.2">
      <c r="A66" s="1618"/>
      <c r="B66" s="1618"/>
      <c r="C66" s="1618"/>
      <c r="D66" s="1618"/>
      <c r="E66" s="1618"/>
      <c r="F66" s="1618"/>
      <c r="G66" s="1618"/>
      <c r="H66" s="122"/>
      <c r="I66" s="623"/>
    </row>
    <row r="67" spans="1:9" s="68" customFormat="1" ht="14.25" hidden="1" customHeight="1" x14ac:dyDescent="0.2">
      <c r="A67" s="1643" t="s">
        <v>934</v>
      </c>
      <c r="B67" s="1643"/>
      <c r="C67" s="1643"/>
      <c r="D67" s="1643"/>
      <c r="E67" s="1643"/>
      <c r="F67" s="1643"/>
      <c r="G67" s="1643"/>
      <c r="H67" s="122"/>
      <c r="I67" s="623"/>
    </row>
    <row r="68" spans="1:9" s="68" customFormat="1" hidden="1" x14ac:dyDescent="0.2">
      <c r="A68" s="1643"/>
      <c r="B68" s="1643"/>
      <c r="C68" s="1643"/>
      <c r="D68" s="1643"/>
      <c r="E68" s="1643"/>
      <c r="F68" s="1643"/>
      <c r="G68" s="1643"/>
      <c r="H68" s="122"/>
      <c r="I68" s="623"/>
    </row>
    <row r="69" spans="1:9" s="68" customFormat="1" ht="14.25" hidden="1" customHeight="1" x14ac:dyDescent="0.2">
      <c r="A69" s="1618" t="s">
        <v>916</v>
      </c>
      <c r="B69" s="1618"/>
      <c r="C69" s="1618"/>
      <c r="D69" s="1618"/>
      <c r="E69" s="1618"/>
      <c r="F69" s="1618"/>
      <c r="G69" s="1618"/>
      <c r="H69" s="122"/>
      <c r="I69" s="623"/>
    </row>
    <row r="70" spans="1:9" s="68" customFormat="1" hidden="1" x14ac:dyDescent="0.2">
      <c r="A70" s="1618"/>
      <c r="B70" s="1618"/>
      <c r="C70" s="1618"/>
      <c r="D70" s="1618"/>
      <c r="E70" s="1618"/>
      <c r="F70" s="1618"/>
      <c r="G70" s="1618"/>
      <c r="H70" s="122"/>
      <c r="I70" s="623"/>
    </row>
    <row r="71" spans="1:9" s="68" customFormat="1" hidden="1" x14ac:dyDescent="0.2">
      <c r="A71" s="1618"/>
      <c r="B71" s="1618"/>
      <c r="C71" s="1618"/>
      <c r="D71" s="1618"/>
      <c r="E71" s="1618"/>
      <c r="F71" s="1618"/>
      <c r="G71" s="1618"/>
      <c r="H71" s="122"/>
      <c r="I71" s="623"/>
    </row>
    <row r="72" spans="1:9" s="68" customFormat="1" ht="15.75" thickTop="1" thickBot="1" x14ac:dyDescent="0.25">
      <c r="A72" s="1122"/>
      <c r="B72" s="1122"/>
      <c r="C72" s="1122"/>
      <c r="D72" s="1122"/>
      <c r="E72" s="1122"/>
      <c r="F72" s="1122"/>
      <c r="G72" s="1122"/>
      <c r="H72" s="122"/>
      <c r="I72" s="623"/>
    </row>
    <row r="73" spans="1:9" s="68" customFormat="1" ht="15.75" customHeight="1" thickTop="1" thickBot="1" x14ac:dyDescent="0.25">
      <c r="A73" s="1652" t="s">
        <v>804</v>
      </c>
      <c r="B73" s="1653"/>
      <c r="C73" s="1653"/>
      <c r="D73" s="1653"/>
      <c r="E73" s="1653"/>
      <c r="F73" s="1654"/>
      <c r="G73" s="1131" t="s">
        <v>121</v>
      </c>
      <c r="H73" s="122"/>
      <c r="I73" s="623"/>
    </row>
    <row r="74" spans="1:9" s="68" customFormat="1" ht="15.75" thickTop="1" thickBot="1" x14ac:dyDescent="0.25">
      <c r="A74" s="1121">
        <v>1</v>
      </c>
      <c r="B74" s="136" t="str">
        <f>A45</f>
        <v>Módulo 1 - Composição da Remuneração</v>
      </c>
      <c r="C74" s="285"/>
      <c r="D74" s="137"/>
      <c r="E74" s="137"/>
      <c r="F74" s="582"/>
      <c r="G74" s="127">
        <f>G53</f>
        <v>1985.14</v>
      </c>
      <c r="H74" s="122"/>
      <c r="I74" s="623"/>
    </row>
    <row r="75" spans="1:9" s="68" customFormat="1" ht="15.75" thickTop="1" thickBot="1" x14ac:dyDescent="0.25">
      <c r="A75" s="1121" t="s">
        <v>732</v>
      </c>
      <c r="B75" s="136" t="str">
        <f>A60</f>
        <v>Submódulo 2.1 - 13º (décimo terceiro) Salário, Férias e Adicional de Férias</v>
      </c>
      <c r="C75" s="285"/>
      <c r="D75" s="137"/>
      <c r="E75" s="137"/>
      <c r="F75" s="582"/>
      <c r="G75" s="127">
        <f>G64</f>
        <v>421.05</v>
      </c>
      <c r="H75" s="122"/>
      <c r="I75" s="122"/>
    </row>
    <row r="76" spans="1:9" s="68" customFormat="1" ht="15.75" thickTop="1" thickBot="1" x14ac:dyDescent="0.25">
      <c r="A76" s="1686" t="s">
        <v>805</v>
      </c>
      <c r="B76" s="1687"/>
      <c r="C76" s="1687"/>
      <c r="D76" s="1687"/>
      <c r="E76" s="1687"/>
      <c r="F76" s="1688"/>
      <c r="G76" s="133">
        <f>SUM(G74:G75)</f>
        <v>2406.19</v>
      </c>
      <c r="H76" s="122"/>
      <c r="I76" s="122"/>
    </row>
    <row r="77" spans="1:9" s="68" customFormat="1" ht="15" thickTop="1" x14ac:dyDescent="0.2">
      <c r="A77" s="1122"/>
      <c r="B77" s="1122"/>
      <c r="C77" s="1122"/>
      <c r="D77" s="1122"/>
      <c r="E77" s="1122"/>
      <c r="F77" s="1122"/>
      <c r="G77" s="1122"/>
      <c r="H77" s="122"/>
      <c r="I77" s="122"/>
    </row>
    <row r="78" spans="1:9" ht="15" thickBot="1" x14ac:dyDescent="0.25">
      <c r="A78" s="134" t="s">
        <v>738</v>
      </c>
      <c r="B78" s="135"/>
      <c r="C78" s="135"/>
      <c r="D78" s="135"/>
      <c r="E78" s="135"/>
      <c r="F78" s="135"/>
      <c r="G78" s="135"/>
      <c r="H78" s="111"/>
      <c r="I78" s="111"/>
    </row>
    <row r="79" spans="1:9" ht="15.75" thickTop="1" thickBot="1" x14ac:dyDescent="0.25">
      <c r="A79" s="1125" t="s">
        <v>731</v>
      </c>
      <c r="B79" s="1635" t="s">
        <v>745</v>
      </c>
      <c r="C79" s="1635"/>
      <c r="D79" s="1635"/>
      <c r="E79" s="1635"/>
      <c r="F79" s="1125" t="s">
        <v>746</v>
      </c>
      <c r="G79" s="1131" t="s">
        <v>121</v>
      </c>
      <c r="H79" s="111"/>
      <c r="I79" s="111"/>
    </row>
    <row r="80" spans="1:9" ht="15.75" thickTop="1" thickBot="1" x14ac:dyDescent="0.25">
      <c r="A80" s="1121" t="s">
        <v>1</v>
      </c>
      <c r="B80" s="136" t="str">
        <f>Dados!B98</f>
        <v>INSS</v>
      </c>
      <c r="C80" s="285"/>
      <c r="D80" s="137"/>
      <c r="E80" s="126"/>
      <c r="F80" s="138">
        <f>Dados!G98</f>
        <v>0.2</v>
      </c>
      <c r="G80" s="127">
        <f t="shared" ref="G80:G87" si="0">$G$76*F80</f>
        <v>481.24</v>
      </c>
      <c r="H80" s="111"/>
      <c r="I80" s="111"/>
    </row>
    <row r="81" spans="1:9" ht="15.75" thickTop="1" thickBot="1" x14ac:dyDescent="0.25">
      <c r="A81" s="1121" t="s">
        <v>2</v>
      </c>
      <c r="B81" s="136" t="str">
        <f>Dados!B99</f>
        <v>Salário Educação</v>
      </c>
      <c r="C81" s="285"/>
      <c r="D81" s="137"/>
      <c r="E81" s="126"/>
      <c r="F81" s="138">
        <f>Dados!G99</f>
        <v>2.5000000000000001E-2</v>
      </c>
      <c r="G81" s="127">
        <f t="shared" si="0"/>
        <v>60.15</v>
      </c>
      <c r="H81" s="111"/>
      <c r="I81" s="111"/>
    </row>
    <row r="82" spans="1:9" ht="15.75" thickTop="1" thickBot="1" x14ac:dyDescent="0.25">
      <c r="A82" s="1121" t="s">
        <v>4</v>
      </c>
      <c r="B82" s="136" t="str">
        <f>Dados!B100</f>
        <v>Seguro Acidente do Trabalho - SAT = RAT x FAP</v>
      </c>
      <c r="C82" s="285"/>
      <c r="D82" s="137"/>
      <c r="E82" s="126"/>
      <c r="F82" s="138">
        <f>Dados!G100</f>
        <v>1.2200000000000001E-2</v>
      </c>
      <c r="G82" s="127">
        <f t="shared" si="0"/>
        <v>29.36</v>
      </c>
      <c r="H82" s="111"/>
      <c r="I82" s="111"/>
    </row>
    <row r="83" spans="1:9" ht="15.75" thickTop="1" thickBot="1" x14ac:dyDescent="0.25">
      <c r="A83" s="1121" t="s">
        <v>5</v>
      </c>
      <c r="B83" s="136" t="str">
        <f>Dados!B101</f>
        <v>SESI ou SESC</v>
      </c>
      <c r="C83" s="285"/>
      <c r="D83" s="137"/>
      <c r="E83" s="126"/>
      <c r="F83" s="138">
        <f>Dados!G101</f>
        <v>1.4999999999999999E-2</v>
      </c>
      <c r="G83" s="127">
        <f t="shared" si="0"/>
        <v>36.090000000000003</v>
      </c>
      <c r="H83" s="111"/>
      <c r="I83" s="111"/>
    </row>
    <row r="84" spans="1:9" ht="15.75" thickTop="1" thickBot="1" x14ac:dyDescent="0.25">
      <c r="A84" s="1121" t="s">
        <v>6</v>
      </c>
      <c r="B84" s="136" t="str">
        <f>Dados!B102</f>
        <v>SENAI ou SENAC</v>
      </c>
      <c r="C84" s="285"/>
      <c r="D84" s="137"/>
      <c r="E84" s="126"/>
      <c r="F84" s="138">
        <f>Dados!G102</f>
        <v>0.01</v>
      </c>
      <c r="G84" s="127">
        <f t="shared" si="0"/>
        <v>24.06</v>
      </c>
      <c r="H84" s="111"/>
      <c r="I84" s="111"/>
    </row>
    <row r="85" spans="1:9" ht="15.75" thickTop="1" thickBot="1" x14ac:dyDescent="0.25">
      <c r="A85" s="1121" t="s">
        <v>7</v>
      </c>
      <c r="B85" s="136" t="str">
        <f>Dados!B103</f>
        <v>SEBRAE</v>
      </c>
      <c r="C85" s="285"/>
      <c r="D85" s="137"/>
      <c r="E85" s="126"/>
      <c r="F85" s="138">
        <f>Dados!G103</f>
        <v>6.0000000000000001E-3</v>
      </c>
      <c r="G85" s="127">
        <f t="shared" si="0"/>
        <v>14.44</v>
      </c>
      <c r="H85" s="111"/>
      <c r="I85" s="111"/>
    </row>
    <row r="86" spans="1:9" ht="15.75" thickTop="1" thickBot="1" x14ac:dyDescent="0.25">
      <c r="A86" s="1121" t="s">
        <v>8</v>
      </c>
      <c r="B86" s="136" t="str">
        <f>Dados!B104</f>
        <v>INCRA</v>
      </c>
      <c r="C86" s="285"/>
      <c r="D86" s="137"/>
      <c r="E86" s="126"/>
      <c r="F86" s="138">
        <f>Dados!G104</f>
        <v>2E-3</v>
      </c>
      <c r="G86" s="127">
        <f t="shared" si="0"/>
        <v>4.8099999999999996</v>
      </c>
      <c r="H86" s="111"/>
      <c r="I86" s="111"/>
    </row>
    <row r="87" spans="1:9" ht="15.75" thickTop="1" thickBot="1" x14ac:dyDescent="0.25">
      <c r="A87" s="1121" t="s">
        <v>9</v>
      </c>
      <c r="B87" s="136" t="str">
        <f>Dados!B105</f>
        <v>FGTS</v>
      </c>
      <c r="C87" s="285"/>
      <c r="D87" s="137"/>
      <c r="E87" s="126"/>
      <c r="F87" s="138">
        <f>Dados!G105</f>
        <v>0.08</v>
      </c>
      <c r="G87" s="127">
        <f t="shared" si="0"/>
        <v>192.5</v>
      </c>
      <c r="H87" s="111"/>
      <c r="I87" s="111"/>
    </row>
    <row r="88" spans="1:9" ht="15.75" customHeight="1" thickTop="1" thickBot="1" x14ac:dyDescent="0.25">
      <c r="A88" s="1644" t="s">
        <v>232</v>
      </c>
      <c r="B88" s="1645"/>
      <c r="C88" s="1645"/>
      <c r="D88" s="1645"/>
      <c r="E88" s="1646"/>
      <c r="F88" s="139">
        <f>SUM(F80:F87)</f>
        <v>0.35020000000000001</v>
      </c>
      <c r="G88" s="133">
        <f>SUM(G80:G87)</f>
        <v>842.65</v>
      </c>
      <c r="H88" s="111"/>
      <c r="I88" s="625"/>
    </row>
    <row r="89" spans="1:9" ht="15" hidden="1" customHeight="1" thickTop="1" x14ac:dyDescent="0.2">
      <c r="A89" s="1618" t="s">
        <v>740</v>
      </c>
      <c r="B89" s="1618"/>
      <c r="C89" s="1618"/>
      <c r="D89" s="1618"/>
      <c r="E89" s="1618"/>
      <c r="F89" s="1618"/>
      <c r="G89" s="1618"/>
      <c r="H89" s="111"/>
      <c r="I89" s="111"/>
    </row>
    <row r="90" spans="1:9" ht="33" hidden="1" customHeight="1" x14ac:dyDescent="0.2">
      <c r="A90" s="1618" t="s">
        <v>739</v>
      </c>
      <c r="B90" s="1618"/>
      <c r="C90" s="1618"/>
      <c r="D90" s="1618"/>
      <c r="E90" s="1618"/>
      <c r="F90" s="1618"/>
      <c r="G90" s="1618"/>
      <c r="H90" s="111"/>
      <c r="I90" s="111"/>
    </row>
    <row r="91" spans="1:9" hidden="1" x14ac:dyDescent="0.2">
      <c r="A91" s="577" t="s">
        <v>917</v>
      </c>
      <c r="B91" s="1124"/>
      <c r="C91" s="1124"/>
      <c r="D91" s="1124"/>
      <c r="E91" s="1124"/>
      <c r="F91" s="1124"/>
      <c r="G91" s="1124"/>
      <c r="H91" s="111"/>
      <c r="I91" s="111"/>
    </row>
    <row r="92" spans="1:9" hidden="1" x14ac:dyDescent="0.2">
      <c r="A92" s="577" t="s">
        <v>803</v>
      </c>
      <c r="B92" s="1124"/>
      <c r="C92" s="1124"/>
      <c r="D92" s="1124"/>
      <c r="E92" s="1124"/>
      <c r="F92" s="1124"/>
      <c r="G92" s="1124"/>
      <c r="H92" s="111"/>
      <c r="I92" s="111"/>
    </row>
    <row r="93" spans="1:9" ht="15.75" thickTop="1" x14ac:dyDescent="0.2">
      <c r="A93" s="578"/>
      <c r="B93" s="1124"/>
      <c r="C93" s="1124"/>
      <c r="D93" s="1124"/>
      <c r="E93" s="1124"/>
      <c r="F93" s="1124"/>
      <c r="G93" s="1124"/>
      <c r="H93" s="111"/>
      <c r="I93" s="111"/>
    </row>
    <row r="94" spans="1:9" ht="15" thickBot="1" x14ac:dyDescent="0.25">
      <c r="A94" s="576" t="s">
        <v>741</v>
      </c>
      <c r="B94" s="1124"/>
      <c r="C94" s="1124"/>
      <c r="D94" s="1124"/>
      <c r="E94" s="1124"/>
      <c r="F94" s="1124"/>
      <c r="G94" s="1124"/>
      <c r="H94" s="111"/>
      <c r="I94" s="111"/>
    </row>
    <row r="95" spans="1:9" ht="15.75" thickTop="1" thickBot="1" x14ac:dyDescent="0.25">
      <c r="A95" s="1125" t="s">
        <v>742</v>
      </c>
      <c r="B95" s="1652" t="s">
        <v>26</v>
      </c>
      <c r="C95" s="1653"/>
      <c r="D95" s="1653"/>
      <c r="E95" s="1653"/>
      <c r="F95" s="1125" t="s">
        <v>746</v>
      </c>
      <c r="G95" s="1127" t="s">
        <v>121</v>
      </c>
      <c r="H95" s="111"/>
      <c r="I95" s="111"/>
    </row>
    <row r="96" spans="1:9" ht="15.75" thickTop="1" thickBot="1" x14ac:dyDescent="0.25">
      <c r="A96" s="1631" t="s">
        <v>1</v>
      </c>
      <c r="B96" s="1132" t="str">
        <f>HLOOKUP($F$20,BENEFÍCIOS!$B$25:$O$38,5,FALSE)</f>
        <v>Auxílio Transporte - Cláusula 15ª da CCT</v>
      </c>
      <c r="C96" s="1133"/>
      <c r="D96" s="566"/>
      <c r="E96" s="938">
        <f>INDEX(Dados!$J$27:$M$31,MATCH($C$26,Dados!$J$27:$J$31,0),4)</f>
        <v>22</v>
      </c>
      <c r="F96" s="939">
        <f>Dados!J45</f>
        <v>9.64</v>
      </c>
      <c r="G96" s="299">
        <f>$E$96*F96*$F$14</f>
        <v>212.08</v>
      </c>
      <c r="H96" s="111"/>
      <c r="I96" s="111"/>
    </row>
    <row r="97" spans="1:9" ht="15.75" thickTop="1" thickBot="1" x14ac:dyDescent="0.25">
      <c r="A97" s="1631"/>
      <c r="B97" s="1132" t="str">
        <f>Dados!A46</f>
        <v>Desconto Legal sobre o salário</v>
      </c>
      <c r="C97" s="1133"/>
      <c r="D97" s="566"/>
      <c r="E97" s="940"/>
      <c r="F97" s="937">
        <f>Dados!J46</f>
        <v>0.06</v>
      </c>
      <c r="G97" s="495">
        <f>-MIN(G96,(F97*G47))</f>
        <v>-91.62</v>
      </c>
      <c r="H97" s="111"/>
      <c r="I97" s="111"/>
    </row>
    <row r="98" spans="1:9" ht="15.75" thickTop="1" thickBot="1" x14ac:dyDescent="0.25">
      <c r="A98" s="1675" t="s">
        <v>2</v>
      </c>
      <c r="B98" s="1132" t="str">
        <f>HLOOKUP($F$20,BENEFÍCIOS!$B$25:$O$38,2,FALSE)</f>
        <v>Auxílio Alimentação - Cláusula 14ª da CCT</v>
      </c>
      <c r="C98" s="1133"/>
      <c r="D98" s="566"/>
      <c r="E98" s="938">
        <f>INDEX(Dados!$J$27:$M$31,MATCH($C$26,Dados!$J$27:$J$31,0),4)</f>
        <v>22</v>
      </c>
      <c r="F98" s="939">
        <f>Dados!J48</f>
        <v>35</v>
      </c>
      <c r="G98" s="299">
        <f>(E98*F98)*$F$14</f>
        <v>770</v>
      </c>
      <c r="H98" s="111"/>
      <c r="I98" s="111"/>
    </row>
    <row r="99" spans="1:9" ht="15.75" hidden="1" thickTop="1" thickBot="1" x14ac:dyDescent="0.25">
      <c r="A99" s="1677"/>
      <c r="B99" s="1132" t="str">
        <f>HLOOKUP($F$20,BENEFÍCIOS!$B$25:$O$38,3,FALSE)</f>
        <v>Desconto do Auxílio Alimentação</v>
      </c>
      <c r="C99" s="132"/>
      <c r="D99" s="107"/>
      <c r="E99" s="296"/>
      <c r="F99" s="939">
        <f>Dados!J49</f>
        <v>0</v>
      </c>
      <c r="G99" s="300">
        <f>-F99*E98</f>
        <v>0</v>
      </c>
      <c r="H99" s="111"/>
      <c r="I99" s="111"/>
    </row>
    <row r="100" spans="1:9" ht="15.75" hidden="1" thickTop="1" thickBot="1" x14ac:dyDescent="0.25">
      <c r="A100" s="1121" t="s">
        <v>4</v>
      </c>
      <c r="B100" s="1132" t="str">
        <f>HLOOKUP($F$20,BENEFÍCIOS!$B$25:$O$38,4,FALSE)</f>
        <v>Auxílio Café da Manhã</v>
      </c>
      <c r="C100" s="132"/>
      <c r="D100" s="107"/>
      <c r="E100" s="296"/>
      <c r="F100" s="939">
        <f>Dados!J50</f>
        <v>0</v>
      </c>
      <c r="G100" s="300">
        <f t="shared" ref="G100:G109" si="1">F100*$F$14</f>
        <v>0</v>
      </c>
      <c r="H100" s="111"/>
      <c r="I100" s="111"/>
    </row>
    <row r="101" spans="1:9" ht="15.75" thickTop="1" thickBot="1" x14ac:dyDescent="0.25">
      <c r="A101" s="1678" t="s">
        <v>4</v>
      </c>
      <c r="B101" s="962" t="str">
        <f>HLOOKUP($F$20,BENEFÍCIOS!$B$25:$O$38,6,FALSE) &amp; " " &amp; "(Pagamento por ressarcimento)"</f>
        <v>Plano Ambulatorial - Cláusula 16ª da CCT (Pagamento por ressarcimento)</v>
      </c>
      <c r="C101" s="963"/>
      <c r="D101" s="964"/>
      <c r="E101" s="965"/>
      <c r="F101" s="966"/>
      <c r="G101" s="967">
        <f>F101*$F$14</f>
        <v>0</v>
      </c>
      <c r="H101" s="111"/>
      <c r="I101" s="111"/>
    </row>
    <row r="102" spans="1:9" ht="15.75" hidden="1" thickTop="1" thickBot="1" x14ac:dyDescent="0.25">
      <c r="A102" s="1679"/>
      <c r="B102" s="962" t="str">
        <f>HLOOKUP($F$20,BENEFÍCIOS!$B$25:$O$38,7,FALSE)</f>
        <v>Plano Ambulatorial - Contr. Empresa - Cláusula 16ª da CCT</v>
      </c>
      <c r="C102" s="963"/>
      <c r="D102" s="964"/>
      <c r="E102" s="965"/>
      <c r="F102" s="966">
        <f>Dados!J52</f>
        <v>0</v>
      </c>
      <c r="G102" s="967">
        <f>F102*$F$14</f>
        <v>0</v>
      </c>
      <c r="H102" s="111"/>
      <c r="I102" s="111"/>
    </row>
    <row r="103" spans="1:9" ht="15.75" hidden="1" thickTop="1" thickBot="1" x14ac:dyDescent="0.25">
      <c r="A103" s="1680"/>
      <c r="B103" s="962" t="str">
        <f>HLOOKUP($F$20,BENEFÍCIOS!$B$25:$O$38,8,FALSE)</f>
        <v>Plano Ambulatorial - Contr. Empregado - Cláusula 16ª da CCT</v>
      </c>
      <c r="C103" s="963"/>
      <c r="D103" s="964"/>
      <c r="E103" s="965"/>
      <c r="F103" s="966">
        <f>Dados!J53</f>
        <v>0</v>
      </c>
      <c r="G103" s="967">
        <f>-F103*$F$14</f>
        <v>0</v>
      </c>
      <c r="H103" s="111"/>
      <c r="I103" s="111"/>
    </row>
    <row r="104" spans="1:9" ht="15.75" thickTop="1" thickBot="1" x14ac:dyDescent="0.25">
      <c r="A104" s="1121" t="s">
        <v>5</v>
      </c>
      <c r="B104" s="1132" t="str">
        <f>HLOOKUP($F$20,BENEFÍCIOS!$B$25:$O$38,9,FALSE)</f>
        <v>Seguro de Vida e Assistência Funeral - Cláusula 18ª da CCT</v>
      </c>
      <c r="C104" s="132"/>
      <c r="D104" s="107"/>
      <c r="E104" s="296"/>
      <c r="F104" s="939">
        <f>Dados!J54</f>
        <v>2.2999999999999998</v>
      </c>
      <c r="G104" s="300">
        <f t="shared" si="1"/>
        <v>2.2999999999999998</v>
      </c>
      <c r="H104" s="111"/>
      <c r="I104" s="111"/>
    </row>
    <row r="105" spans="1:9" ht="15.75" thickTop="1" thickBot="1" x14ac:dyDescent="0.25">
      <c r="A105" s="1121" t="s">
        <v>6</v>
      </c>
      <c r="B105" s="1132" t="str">
        <f>HLOOKUP($F$20,BENEFÍCIOS!$B$25:$O$38,10,FALSE) &amp; " " &amp; "(Pagamento por ressarcimento)"</f>
        <v>Assistência Odontológica - Cláusula 17ª da CCT (Pagamento por ressarcimento)</v>
      </c>
      <c r="C105" s="132"/>
      <c r="D105" s="107"/>
      <c r="E105" s="296"/>
      <c r="F105" s="939"/>
      <c r="G105" s="300">
        <f t="shared" si="1"/>
        <v>0</v>
      </c>
      <c r="H105" s="111"/>
      <c r="I105" s="111"/>
    </row>
    <row r="106" spans="1:9" ht="15.75" hidden="1" thickTop="1" thickBot="1" x14ac:dyDescent="0.25">
      <c r="A106" s="1121" t="s">
        <v>8</v>
      </c>
      <c r="B106" s="1132" t="str">
        <f>HLOOKUP($F$20,BENEFÍCIOS!$B$25:$O$38,11,FALSE)</f>
        <v>Auxílio Lazer/Cultura</v>
      </c>
      <c r="C106" s="132"/>
      <c r="D106" s="107"/>
      <c r="E106" s="296"/>
      <c r="F106" s="939">
        <f>Dados!J56</f>
        <v>0</v>
      </c>
      <c r="G106" s="300">
        <f t="shared" si="1"/>
        <v>0</v>
      </c>
      <c r="H106" s="111"/>
      <c r="I106" s="111"/>
    </row>
    <row r="107" spans="1:9" ht="15.75" hidden="1" thickTop="1" thickBot="1" x14ac:dyDescent="0.25">
      <c r="A107" s="1121" t="s">
        <v>9</v>
      </c>
      <c r="B107" s="1132" t="str">
        <f>HLOOKUP($F$20,BENEFÍCIOS!$B$25:$O$38,12,FALSE)</f>
        <v>Treinamento/capacitação/reciclagem - Cláusula 30ª da CCT</v>
      </c>
      <c r="C107" s="132"/>
      <c r="D107" s="107"/>
      <c r="E107" s="296"/>
      <c r="F107" s="939">
        <f>Dados!J57</f>
        <v>0</v>
      </c>
      <c r="G107" s="300">
        <f t="shared" si="1"/>
        <v>0</v>
      </c>
      <c r="H107" s="111"/>
      <c r="I107" s="111"/>
    </row>
    <row r="108" spans="1:9" ht="15.75" hidden="1" thickTop="1" thickBot="1" x14ac:dyDescent="0.25">
      <c r="A108" s="1121" t="s">
        <v>160</v>
      </c>
      <c r="B108" s="1132" t="str">
        <f>HLOOKUP($F$20,BENEFÍCIOS!$B$25:$O$38,13,FALSE)</f>
        <v>Contribuição Assistencial Patronal - Cláusula 61ª da CCT</v>
      </c>
      <c r="C108" s="132"/>
      <c r="D108" s="107"/>
      <c r="E108" s="296"/>
      <c r="F108" s="939">
        <f>Dados!J58</f>
        <v>0</v>
      </c>
      <c r="G108" s="300">
        <f t="shared" si="1"/>
        <v>0</v>
      </c>
      <c r="H108" s="111"/>
      <c r="I108" s="111"/>
    </row>
    <row r="109" spans="1:9" ht="15.75" hidden="1" thickTop="1" thickBot="1" x14ac:dyDescent="0.25">
      <c r="A109" s="1121" t="s">
        <v>627</v>
      </c>
      <c r="B109" s="1132" t="str">
        <f>HLOOKUP($F$20,BENEFÍCIOS!$B$25:$O$38,14,FALSE)</f>
        <v>Auxílio Creche</v>
      </c>
      <c r="C109" s="132"/>
      <c r="D109" s="107"/>
      <c r="E109" s="296"/>
      <c r="F109" s="939">
        <f>Dados!J59</f>
        <v>0</v>
      </c>
      <c r="G109" s="300">
        <f t="shared" si="1"/>
        <v>0</v>
      </c>
      <c r="H109" s="111"/>
      <c r="I109" s="111"/>
    </row>
    <row r="110" spans="1:9" ht="15.75" thickTop="1" thickBot="1" x14ac:dyDescent="0.25">
      <c r="A110" s="1121" t="s">
        <v>7</v>
      </c>
      <c r="B110" s="125" t="s">
        <v>57</v>
      </c>
      <c r="C110" s="132"/>
      <c r="D110" s="107"/>
      <c r="E110" s="296"/>
      <c r="F110" s="939"/>
      <c r="G110" s="301"/>
      <c r="H110" s="111"/>
      <c r="I110" s="111"/>
    </row>
    <row r="111" spans="1:9" ht="18" customHeight="1" thickTop="1" thickBot="1" x14ac:dyDescent="0.25">
      <c r="A111" s="1686" t="s">
        <v>232</v>
      </c>
      <c r="B111" s="1687"/>
      <c r="C111" s="1687"/>
      <c r="D111" s="1687"/>
      <c r="E111" s="1687"/>
      <c r="F111" s="1688"/>
      <c r="G111" s="302">
        <f>SUM(G96,G97,G98,G99,G100,G101,G103,G104,G105,G106,G107,G108,G109,)</f>
        <v>892.76</v>
      </c>
      <c r="H111" s="624"/>
      <c r="I111" s="624"/>
    </row>
    <row r="112" spans="1:9" s="68" customFormat="1" ht="15" hidden="1" customHeight="1" thickTop="1" x14ac:dyDescent="0.2">
      <c r="A112" s="101" t="s">
        <v>744</v>
      </c>
      <c r="B112" s="99"/>
      <c r="C112" s="99"/>
      <c r="D112" s="99"/>
      <c r="E112" s="99"/>
      <c r="F112" s="120"/>
      <c r="G112" s="121"/>
      <c r="H112" s="122"/>
      <c r="I112" s="122"/>
    </row>
    <row r="113" spans="1:10" s="68" customFormat="1" hidden="1" x14ac:dyDescent="0.2">
      <c r="A113" s="1618" t="s">
        <v>743</v>
      </c>
      <c r="B113" s="1618"/>
      <c r="C113" s="1618"/>
      <c r="D113" s="1618"/>
      <c r="E113" s="1618"/>
      <c r="F113" s="1618"/>
      <c r="G113" s="1618"/>
      <c r="H113" s="122"/>
      <c r="I113" s="122"/>
    </row>
    <row r="114" spans="1:10" s="68" customFormat="1" hidden="1" x14ac:dyDescent="0.2">
      <c r="A114" s="1618"/>
      <c r="B114" s="1618"/>
      <c r="C114" s="1618"/>
      <c r="D114" s="1618"/>
      <c r="E114" s="1618"/>
      <c r="F114" s="1618"/>
      <c r="G114" s="1618"/>
      <c r="H114" s="122"/>
      <c r="I114" s="122"/>
    </row>
    <row r="115" spans="1:10" s="68" customFormat="1" ht="15" thickTop="1" x14ac:dyDescent="0.2">
      <c r="A115" s="98"/>
      <c r="B115" s="99"/>
      <c r="C115" s="99"/>
      <c r="D115" s="99"/>
      <c r="E115" s="99"/>
      <c r="F115" s="120"/>
      <c r="G115" s="121"/>
      <c r="H115" s="122"/>
      <c r="I115" s="122"/>
    </row>
    <row r="116" spans="1:10" s="68" customFormat="1" ht="15" thickBot="1" x14ac:dyDescent="0.25">
      <c r="A116" s="576" t="s">
        <v>748</v>
      </c>
      <c r="B116" s="99"/>
      <c r="C116" s="99"/>
      <c r="D116" s="99"/>
      <c r="E116" s="99"/>
      <c r="F116" s="120"/>
      <c r="G116" s="121"/>
      <c r="H116" s="122"/>
      <c r="I116" s="122"/>
    </row>
    <row r="117" spans="1:10" s="68" customFormat="1" ht="15.75" thickTop="1" thickBot="1" x14ac:dyDescent="0.25">
      <c r="A117" s="1131">
        <v>2</v>
      </c>
      <c r="B117" s="1672" t="s">
        <v>749</v>
      </c>
      <c r="C117" s="1673"/>
      <c r="D117" s="1673"/>
      <c r="E117" s="1673"/>
      <c r="F117" s="1674"/>
      <c r="G117" s="1131" t="s">
        <v>121</v>
      </c>
      <c r="H117" s="122"/>
      <c r="I117" s="122"/>
    </row>
    <row r="118" spans="1:10" s="68" customFormat="1" ht="15.75" thickTop="1" thickBot="1" x14ac:dyDescent="0.25">
      <c r="A118" s="112" t="s">
        <v>732</v>
      </c>
      <c r="B118" s="1132" t="str">
        <f>B61</f>
        <v>13º (décimo terceiro) Salário, Férias e Adicional de Férias</v>
      </c>
      <c r="C118" s="131"/>
      <c r="D118" s="131"/>
      <c r="E118" s="131"/>
      <c r="F118" s="288"/>
      <c r="G118" s="123">
        <f>G64</f>
        <v>421.05</v>
      </c>
      <c r="H118" s="122"/>
      <c r="I118" s="122"/>
    </row>
    <row r="119" spans="1:10" s="68" customFormat="1" ht="15.75" thickTop="1" thickBot="1" x14ac:dyDescent="0.25">
      <c r="A119" s="112" t="s">
        <v>731</v>
      </c>
      <c r="B119" s="1132" t="str">
        <f>B79</f>
        <v>GPS, FGTS e outras contribuições</v>
      </c>
      <c r="C119" s="131"/>
      <c r="D119" s="131"/>
      <c r="E119" s="131"/>
      <c r="F119" s="288"/>
      <c r="G119" s="123">
        <f>G88</f>
        <v>842.65</v>
      </c>
      <c r="H119" s="122"/>
      <c r="I119" s="122"/>
    </row>
    <row r="120" spans="1:10" s="68" customFormat="1" ht="15.75" thickTop="1" thickBot="1" x14ac:dyDescent="0.25">
      <c r="A120" s="112" t="s">
        <v>742</v>
      </c>
      <c r="B120" s="1132" t="str">
        <f>B95</f>
        <v>Benefícios Mensais e Diários</v>
      </c>
      <c r="C120" s="131"/>
      <c r="D120" s="131"/>
      <c r="E120" s="131"/>
      <c r="F120" s="288"/>
      <c r="G120" s="123">
        <f>G111</f>
        <v>892.76</v>
      </c>
      <c r="H120" s="122"/>
      <c r="I120" s="122"/>
    </row>
    <row r="121" spans="1:10" s="68" customFormat="1" ht="15.75" thickTop="1" thickBot="1" x14ac:dyDescent="0.25">
      <c r="A121" s="1644" t="s">
        <v>232</v>
      </c>
      <c r="B121" s="1645"/>
      <c r="C121" s="1645"/>
      <c r="D121" s="1645"/>
      <c r="E121" s="1645"/>
      <c r="F121" s="1646"/>
      <c r="G121" s="133">
        <f>SUM(G118:G120)</f>
        <v>2156.46</v>
      </c>
      <c r="H121" s="122"/>
      <c r="I121" s="622"/>
      <c r="J121" s="620"/>
    </row>
    <row r="122" spans="1:10" s="68" customFormat="1" ht="15" thickTop="1" x14ac:dyDescent="0.2">
      <c r="A122" s="101"/>
      <c r="B122" s="101"/>
      <c r="C122" s="101"/>
      <c r="D122" s="101"/>
      <c r="E122" s="101"/>
      <c r="F122" s="574"/>
      <c r="G122" s="575"/>
      <c r="H122" s="122"/>
      <c r="I122" s="122"/>
    </row>
    <row r="123" spans="1:10" s="68" customFormat="1" ht="15" thickBot="1" x14ac:dyDescent="0.25">
      <c r="A123" s="1629" t="s">
        <v>750</v>
      </c>
      <c r="B123" s="1629"/>
      <c r="C123" s="1629"/>
      <c r="D123" s="1629"/>
      <c r="E123" s="1629"/>
      <c r="F123" s="1629"/>
      <c r="G123" s="1629"/>
      <c r="H123" s="122"/>
      <c r="I123" s="122"/>
    </row>
    <row r="124" spans="1:10" s="68" customFormat="1" ht="15.75" thickTop="1" thickBot="1" x14ac:dyDescent="0.25">
      <c r="A124" s="1125">
        <v>3</v>
      </c>
      <c r="B124" s="1652" t="s">
        <v>99</v>
      </c>
      <c r="C124" s="1653"/>
      <c r="D124" s="1653"/>
      <c r="E124" s="1654"/>
      <c r="F124" s="1125" t="s">
        <v>746</v>
      </c>
      <c r="G124" s="1131" t="s">
        <v>121</v>
      </c>
      <c r="H124" s="122"/>
      <c r="I124" s="122"/>
    </row>
    <row r="125" spans="1:10" s="68" customFormat="1" ht="15.75" thickTop="1" thickBot="1" x14ac:dyDescent="0.25">
      <c r="A125" s="1121" t="s">
        <v>1</v>
      </c>
      <c r="B125" s="136" t="str">
        <f>Dados!B111</f>
        <v>Aviso Prévio Indenizado </v>
      </c>
      <c r="C125" s="285"/>
      <c r="D125" s="137"/>
      <c r="E125" s="126"/>
      <c r="F125" s="138">
        <f>Dados!G111</f>
        <v>2.5000000000000001E-3</v>
      </c>
      <c r="G125" s="127">
        <f>F125*$G$53</f>
        <v>4.96</v>
      </c>
      <c r="H125" s="122"/>
      <c r="I125" s="122"/>
    </row>
    <row r="126" spans="1:10" s="68" customFormat="1" ht="15.75" thickTop="1" thickBot="1" x14ac:dyDescent="0.25">
      <c r="A126" s="1121" t="s">
        <v>2</v>
      </c>
      <c r="B126" s="136" t="str">
        <f>Dados!B112</f>
        <v>Incidência do FGTS sobre aviso prévio indenizado</v>
      </c>
      <c r="C126" s="285"/>
      <c r="D126" s="137"/>
      <c r="E126" s="126"/>
      <c r="F126" s="138">
        <f>Dados!G112</f>
        <v>2.0000000000000001E-4</v>
      </c>
      <c r="G126" s="127">
        <f t="shared" ref="G126:G130" si="2">F126*$G$53</f>
        <v>0.4</v>
      </c>
      <c r="H126" s="122"/>
      <c r="I126" s="122"/>
    </row>
    <row r="127" spans="1:10" s="68" customFormat="1" ht="15.75" thickTop="1" thickBot="1" x14ac:dyDescent="0.25">
      <c r="A127" s="1121" t="s">
        <v>4</v>
      </c>
      <c r="B127" s="136" t="str">
        <f>Dados!B113</f>
        <v>Multa do FGTS e contribuição social sobre o Aviso Prévio Indenizado</v>
      </c>
      <c r="C127" s="285"/>
      <c r="D127" s="137"/>
      <c r="E127" s="126"/>
      <c r="F127" s="138">
        <f>Dados!G113</f>
        <v>0</v>
      </c>
      <c r="G127" s="127">
        <f t="shared" si="2"/>
        <v>0</v>
      </c>
      <c r="H127" s="122"/>
      <c r="I127" s="122"/>
    </row>
    <row r="128" spans="1:10" s="68" customFormat="1" ht="15.75" thickTop="1" thickBot="1" x14ac:dyDescent="0.25">
      <c r="A128" s="1121" t="s">
        <v>5</v>
      </c>
      <c r="B128" s="136" t="str">
        <f>Dados!B114</f>
        <v>Aviso Prévio Trabalhado</v>
      </c>
      <c r="C128" s="285"/>
      <c r="D128" s="137"/>
      <c r="E128" s="126"/>
      <c r="F128" s="138">
        <f>Dados!G114</f>
        <v>1.9400000000000001E-2</v>
      </c>
      <c r="G128" s="127">
        <f t="shared" si="2"/>
        <v>38.51</v>
      </c>
      <c r="H128" s="122"/>
      <c r="I128" s="122"/>
    </row>
    <row r="129" spans="1:13" s="68" customFormat="1" ht="15.75" thickTop="1" thickBot="1" x14ac:dyDescent="0.25">
      <c r="A129" s="1121" t="s">
        <v>6</v>
      </c>
      <c r="B129" s="136" t="str">
        <f>Dados!B115</f>
        <v>Incidência de GPS, FGTS e outras contribuições sobre o aviso prévio trabalhado</v>
      </c>
      <c r="C129" s="285"/>
      <c r="D129" s="137"/>
      <c r="E129" s="126"/>
      <c r="F129" s="138">
        <f>Dados!G115</f>
        <v>6.7999999999999996E-3</v>
      </c>
      <c r="G129" s="127">
        <f t="shared" si="2"/>
        <v>13.5</v>
      </c>
      <c r="H129" s="122"/>
      <c r="I129" s="122"/>
    </row>
    <row r="130" spans="1:13" s="68" customFormat="1" ht="15.75" thickTop="1" thickBot="1" x14ac:dyDescent="0.25">
      <c r="A130" s="1121" t="s">
        <v>7</v>
      </c>
      <c r="B130" s="136" t="str">
        <f>Dados!B116</f>
        <v>Multa do FGTS e contribuição social sobre o Aviso Prévio Trabalhado</v>
      </c>
      <c r="C130" s="285"/>
      <c r="D130" s="137"/>
      <c r="E130" s="126"/>
      <c r="F130" s="138">
        <f>Dados!G116</f>
        <v>1E-4</v>
      </c>
      <c r="G130" s="127">
        <f t="shared" si="2"/>
        <v>0.2</v>
      </c>
      <c r="H130" s="122"/>
      <c r="I130" s="122"/>
    </row>
    <row r="131" spans="1:13" s="68" customFormat="1" ht="15.75" thickTop="1" thickBot="1" x14ac:dyDescent="0.25">
      <c r="A131" s="1157" t="s">
        <v>7</v>
      </c>
      <c r="B131" s="136" t="str">
        <f>Dados!B117</f>
        <v>Multa do FGTS</v>
      </c>
      <c r="C131" s="285"/>
      <c r="D131" s="137"/>
      <c r="E131" s="126"/>
      <c r="F131" s="138">
        <f>Dados!G117</f>
        <v>3.49E-2</v>
      </c>
      <c r="G131" s="127">
        <f t="shared" ref="G131" si="3">F131*$G$53</f>
        <v>69.28</v>
      </c>
      <c r="H131" s="122"/>
      <c r="I131" s="122"/>
    </row>
    <row r="132" spans="1:13" s="68" customFormat="1" ht="15.75" thickTop="1" thickBot="1" x14ac:dyDescent="0.25">
      <c r="A132" s="1644" t="s">
        <v>232</v>
      </c>
      <c r="B132" s="1645"/>
      <c r="C132" s="1645"/>
      <c r="D132" s="1645"/>
      <c r="E132" s="1646"/>
      <c r="F132" s="139">
        <f>SUM(F125:F131)</f>
        <v>6.3899999999999998E-2</v>
      </c>
      <c r="G132" s="133">
        <f>SUM(G125:G131)</f>
        <v>126.85</v>
      </c>
      <c r="H132" s="122"/>
      <c r="I132" s="618"/>
    </row>
    <row r="133" spans="1:13" s="68" customFormat="1" ht="15" thickTop="1" x14ac:dyDescent="0.2">
      <c r="A133" s="129"/>
      <c r="B133" s="129"/>
      <c r="C133" s="129"/>
      <c r="D133" s="129"/>
      <c r="E133" s="129"/>
      <c r="F133" s="120"/>
      <c r="G133" s="140"/>
      <c r="H133" s="122"/>
      <c r="I133" s="122"/>
    </row>
    <row r="134" spans="1:13" s="68" customFormat="1" x14ac:dyDescent="0.2">
      <c r="A134" s="1629" t="s">
        <v>751</v>
      </c>
      <c r="B134" s="1629"/>
      <c r="C134" s="1629"/>
      <c r="D134" s="1629"/>
      <c r="E134" s="1629"/>
      <c r="F134" s="1629"/>
      <c r="G134" s="1629"/>
      <c r="H134" s="122"/>
      <c r="I134" s="122"/>
    </row>
    <row r="135" spans="1:13" s="68" customFormat="1" ht="14.25" hidden="1" customHeight="1" x14ac:dyDescent="0.2">
      <c r="A135" s="1618" t="s">
        <v>919</v>
      </c>
      <c r="B135" s="1618"/>
      <c r="C135" s="1618"/>
      <c r="D135" s="1618"/>
      <c r="E135" s="1618"/>
      <c r="F135" s="1618"/>
      <c r="G135" s="1618"/>
      <c r="H135" s="122"/>
      <c r="I135" s="122"/>
    </row>
    <row r="136" spans="1:13" s="68" customFormat="1" hidden="1" x14ac:dyDescent="0.2">
      <c r="A136" s="1618"/>
      <c r="B136" s="1618"/>
      <c r="C136" s="1618"/>
      <c r="D136" s="1618"/>
      <c r="E136" s="1618"/>
      <c r="F136" s="1618"/>
      <c r="G136" s="1618"/>
      <c r="H136" s="122"/>
      <c r="I136" s="122"/>
    </row>
    <row r="137" spans="1:13" s="68" customFormat="1" hidden="1" x14ac:dyDescent="0.2">
      <c r="A137" s="101" t="s">
        <v>935</v>
      </c>
      <c r="B137" s="1124"/>
      <c r="C137" s="1124"/>
      <c r="D137" s="1124"/>
      <c r="E137" s="1124"/>
      <c r="F137" s="1124"/>
      <c r="G137" s="1124"/>
      <c r="H137" s="122"/>
      <c r="I137" s="122"/>
    </row>
    <row r="138" spans="1:13" s="68" customFormat="1" ht="15" thickBot="1" x14ac:dyDescent="0.25">
      <c r="A138" s="576" t="s">
        <v>929</v>
      </c>
      <c r="B138" s="1124"/>
      <c r="C138" s="1124"/>
      <c r="D138" s="1124"/>
      <c r="E138" s="785"/>
      <c r="F138" s="1124"/>
      <c r="G138" s="1124"/>
      <c r="H138" s="762"/>
      <c r="I138" s="629"/>
      <c r="J138" s="620"/>
    </row>
    <row r="139" spans="1:13" s="68" customFormat="1" ht="15.75" thickTop="1" thickBot="1" x14ac:dyDescent="0.25">
      <c r="A139" s="1125" t="s">
        <v>48</v>
      </c>
      <c r="B139" s="1652" t="s">
        <v>930</v>
      </c>
      <c r="C139" s="1653"/>
      <c r="D139" s="1653"/>
      <c r="E139" s="1654"/>
      <c r="F139" s="1125" t="s">
        <v>746</v>
      </c>
      <c r="G139" s="1131" t="s">
        <v>121</v>
      </c>
      <c r="H139" s="763"/>
      <c r="I139" s="623"/>
      <c r="J139" s="626"/>
      <c r="K139" s="626"/>
      <c r="L139" s="621"/>
    </row>
    <row r="140" spans="1:13" s="68" customFormat="1" ht="15.75" thickTop="1" thickBot="1" x14ac:dyDescent="0.25">
      <c r="A140" s="1121" t="s">
        <v>1</v>
      </c>
      <c r="B140" s="136" t="str">
        <f>Dados!B122</f>
        <v>Substituto na cobertura de Férias</v>
      </c>
      <c r="C140" s="285"/>
      <c r="D140" s="137"/>
      <c r="E140" s="285"/>
      <c r="F140" s="138">
        <f>Dados!G122</f>
        <v>7.6E-3</v>
      </c>
      <c r="G140" s="127">
        <f>$G$53*F140</f>
        <v>15.09</v>
      </c>
      <c r="H140" s="764"/>
      <c r="I140" s="626"/>
      <c r="J140" s="626"/>
      <c r="K140" s="619"/>
      <c r="L140" s="619"/>
      <c r="M140" s="626"/>
    </row>
    <row r="141" spans="1:13" s="68" customFormat="1" ht="15.75" thickTop="1" thickBot="1" x14ac:dyDescent="0.25">
      <c r="A141" s="1121" t="s">
        <v>2</v>
      </c>
      <c r="B141" s="136" t="str">
        <f>Dados!B123</f>
        <v>Substituto na cobertura de Ausências Legais</v>
      </c>
      <c r="C141" s="285"/>
      <c r="D141" s="137"/>
      <c r="E141" s="285"/>
      <c r="F141" s="138">
        <f>Dados!G123</f>
        <v>1E-4</v>
      </c>
      <c r="G141" s="127">
        <f t="shared" ref="G141:G145" si="4">$G$53*F141</f>
        <v>0.2</v>
      </c>
      <c r="H141" s="765"/>
      <c r="K141" s="626"/>
      <c r="M141" s="626"/>
    </row>
    <row r="142" spans="1:13" s="68" customFormat="1" ht="15.75" thickTop="1" thickBot="1" x14ac:dyDescent="0.25">
      <c r="A142" s="1121" t="s">
        <v>4</v>
      </c>
      <c r="B142" s="136" t="str">
        <f>Dados!B124</f>
        <v>Substituto na cobertura de Licença-Paternidade</v>
      </c>
      <c r="C142" s="285"/>
      <c r="D142" s="137"/>
      <c r="E142" s="285"/>
      <c r="F142" s="138">
        <f>Dados!G124</f>
        <v>1E-4</v>
      </c>
      <c r="G142" s="127">
        <f t="shared" si="4"/>
        <v>0.2</v>
      </c>
      <c r="H142" s="764"/>
      <c r="J142" s="619"/>
      <c r="K142" s="626"/>
      <c r="M142" s="626"/>
    </row>
    <row r="143" spans="1:13" s="68" customFormat="1" ht="15.75" thickTop="1" thickBot="1" x14ac:dyDescent="0.25">
      <c r="A143" s="1121" t="s">
        <v>5</v>
      </c>
      <c r="B143" s="136" t="str">
        <f>Dados!B125</f>
        <v>Substituto na cobertura de Ausência por acidente de trabalho</v>
      </c>
      <c r="C143" s="285"/>
      <c r="D143" s="137"/>
      <c r="E143" s="285"/>
      <c r="F143" s="138">
        <f>Dados!G125</f>
        <v>1E-4</v>
      </c>
      <c r="G143" s="127">
        <f t="shared" si="4"/>
        <v>0.2</v>
      </c>
      <c r="H143" s="764"/>
      <c r="K143" s="626"/>
      <c r="M143" s="626"/>
    </row>
    <row r="144" spans="1:13" s="68" customFormat="1" ht="15.75" thickTop="1" thickBot="1" x14ac:dyDescent="0.25">
      <c r="A144" s="1121" t="s">
        <v>6</v>
      </c>
      <c r="B144" s="136" t="str">
        <f>Dados!B126</f>
        <v>Substituto na cobertura de Afastamento Maternidade</v>
      </c>
      <c r="C144" s="285"/>
      <c r="D144" s="137"/>
      <c r="E144" s="285"/>
      <c r="F144" s="138">
        <f>Dados!G126</f>
        <v>1E-4</v>
      </c>
      <c r="G144" s="127">
        <f t="shared" si="4"/>
        <v>0.2</v>
      </c>
      <c r="H144" s="764"/>
      <c r="K144" s="626"/>
      <c r="M144" s="626"/>
    </row>
    <row r="145" spans="1:13" s="68" customFormat="1" ht="15.75" thickTop="1" thickBot="1" x14ac:dyDescent="0.25">
      <c r="A145" s="1121" t="s">
        <v>7</v>
      </c>
      <c r="B145" s="136" t="str">
        <f>Dados!B127</f>
        <v>Substituto na cobertura de outras ausências (licença por doença)</v>
      </c>
      <c r="C145" s="285"/>
      <c r="D145" s="137"/>
      <c r="E145" s="285"/>
      <c r="F145" s="138">
        <f>Dados!G127</f>
        <v>0</v>
      </c>
      <c r="G145" s="127">
        <f t="shared" si="4"/>
        <v>0</v>
      </c>
      <c r="H145" s="764"/>
      <c r="K145" s="626"/>
      <c r="M145" s="627"/>
    </row>
    <row r="146" spans="1:13" s="68" customFormat="1" ht="15.75" customHeight="1" thickTop="1" thickBot="1" x14ac:dyDescent="0.25">
      <c r="A146" s="1644" t="s">
        <v>232</v>
      </c>
      <c r="B146" s="1645"/>
      <c r="C146" s="1645"/>
      <c r="D146" s="1645"/>
      <c r="E146" s="1646"/>
      <c r="F146" s="139">
        <f>SUM(F140:F145)</f>
        <v>8.0000000000000002E-3</v>
      </c>
      <c r="G146" s="128">
        <f>SUM(G140:G145)</f>
        <v>15.89</v>
      </c>
      <c r="H146" s="766"/>
      <c r="I146" s="619"/>
      <c r="J146" s="620"/>
      <c r="K146" s="619"/>
    </row>
    <row r="147" spans="1:13" s="68" customFormat="1" ht="15" hidden="1" customHeight="1" thickTop="1" x14ac:dyDescent="0.2">
      <c r="A147" s="1618" t="s">
        <v>936</v>
      </c>
      <c r="B147" s="1618"/>
      <c r="C147" s="1618"/>
      <c r="D147" s="1618"/>
      <c r="E147" s="1618"/>
      <c r="F147" s="1618"/>
      <c r="G147" s="1618"/>
      <c r="H147" s="122"/>
      <c r="I147" s="122"/>
    </row>
    <row r="148" spans="1:13" s="68" customFormat="1" hidden="1" x14ac:dyDescent="0.2">
      <c r="A148" s="1618"/>
      <c r="B148" s="1618"/>
      <c r="C148" s="1618"/>
      <c r="D148" s="1618"/>
      <c r="E148" s="1618"/>
      <c r="F148" s="1618"/>
      <c r="G148" s="1618"/>
      <c r="H148" s="122"/>
      <c r="I148" s="617"/>
      <c r="J148" s="617"/>
      <c r="K148" s="617"/>
    </row>
    <row r="149" spans="1:13" s="68" customFormat="1" ht="15" thickTop="1" x14ac:dyDescent="0.2">
      <c r="A149" s="1122"/>
      <c r="B149" s="1122"/>
      <c r="C149" s="1122"/>
      <c r="D149" s="1122"/>
      <c r="E149" s="1122"/>
      <c r="F149" s="1122"/>
      <c r="G149" s="1122"/>
      <c r="H149" s="122"/>
      <c r="I149" s="122"/>
    </row>
    <row r="150" spans="1:13" s="68" customFormat="1" ht="15" thickBot="1" x14ac:dyDescent="0.25">
      <c r="A150" s="210" t="s">
        <v>926</v>
      </c>
      <c r="B150" s="1124"/>
      <c r="C150" s="1124"/>
      <c r="D150" s="1124"/>
      <c r="E150" s="1124"/>
      <c r="F150" s="1124"/>
      <c r="G150" s="1124"/>
      <c r="H150" s="122"/>
      <c r="I150" s="619"/>
      <c r="J150" s="621"/>
      <c r="K150" s="621"/>
      <c r="L150" s="619"/>
      <c r="M150" s="621"/>
    </row>
    <row r="151" spans="1:13" s="68" customFormat="1" ht="15.75" thickTop="1" thickBot="1" x14ac:dyDescent="0.25">
      <c r="A151" s="1125" t="s">
        <v>53</v>
      </c>
      <c r="B151" s="1652" t="s">
        <v>927</v>
      </c>
      <c r="C151" s="1653"/>
      <c r="D151" s="1653"/>
      <c r="E151" s="1653"/>
      <c r="F151" s="1654"/>
      <c r="G151" s="1131" t="s">
        <v>121</v>
      </c>
      <c r="H151" s="122"/>
      <c r="I151" s="122"/>
      <c r="K151" s="621"/>
      <c r="L151" s="619"/>
      <c r="M151" s="626"/>
    </row>
    <row r="152" spans="1:13" s="68" customFormat="1" ht="17.25" thickTop="1" thickBot="1" x14ac:dyDescent="0.25">
      <c r="A152" s="1121" t="s">
        <v>1</v>
      </c>
      <c r="B152" s="1683" t="s">
        <v>928</v>
      </c>
      <c r="C152" s="1684"/>
      <c r="D152" s="1684"/>
      <c r="E152" s="1684"/>
      <c r="F152" s="1685"/>
      <c r="G152" s="127">
        <f>ROUND(IF(G52=0,H152,0),2)</f>
        <v>0</v>
      </c>
      <c r="H152" s="628"/>
      <c r="I152" s="122"/>
    </row>
    <row r="153" spans="1:13" s="68" customFormat="1" ht="15.75" customHeight="1" thickTop="1" thickBot="1" x14ac:dyDescent="0.25">
      <c r="A153" s="1644" t="s">
        <v>232</v>
      </c>
      <c r="B153" s="1645"/>
      <c r="C153" s="1645"/>
      <c r="D153" s="1645"/>
      <c r="E153" s="1645"/>
      <c r="F153" s="1646"/>
      <c r="G153" s="128">
        <f>SUM(G147:G152)</f>
        <v>0</v>
      </c>
      <c r="H153" s="122"/>
      <c r="I153" s="122"/>
    </row>
    <row r="154" spans="1:13" s="68" customFormat="1" ht="15" hidden="1" thickTop="1" x14ac:dyDescent="0.2">
      <c r="A154" s="1618" t="s">
        <v>752</v>
      </c>
      <c r="B154" s="1618"/>
      <c r="C154" s="1618"/>
      <c r="D154" s="1618"/>
      <c r="E154" s="1618"/>
      <c r="F154" s="1618"/>
      <c r="G154" s="1618"/>
      <c r="H154" s="122"/>
      <c r="I154" s="122"/>
    </row>
    <row r="155" spans="1:13" s="68" customFormat="1" ht="15.75" hidden="1" customHeight="1" x14ac:dyDescent="0.2">
      <c r="A155" s="1618"/>
      <c r="B155" s="1618"/>
      <c r="C155" s="1618"/>
      <c r="D155" s="1618"/>
      <c r="E155" s="1618"/>
      <c r="F155" s="1618"/>
      <c r="G155" s="1618"/>
      <c r="H155" s="122"/>
      <c r="I155" s="122"/>
    </row>
    <row r="156" spans="1:13" s="68" customFormat="1" ht="15" thickTop="1" x14ac:dyDescent="0.2">
      <c r="A156" s="101"/>
      <c r="B156" s="101"/>
      <c r="C156" s="101"/>
      <c r="D156" s="101"/>
      <c r="E156" s="101"/>
      <c r="F156" s="574"/>
      <c r="G156" s="575"/>
      <c r="H156" s="122"/>
      <c r="I156" s="122"/>
    </row>
    <row r="157" spans="1:13" s="68" customFormat="1" ht="15" thickBot="1" x14ac:dyDescent="0.25">
      <c r="A157" s="576" t="s">
        <v>754</v>
      </c>
      <c r="B157" s="99"/>
      <c r="C157" s="99"/>
      <c r="D157" s="99"/>
      <c r="E157" s="99"/>
      <c r="F157" s="120"/>
      <c r="G157" s="121"/>
      <c r="H157" s="122"/>
      <c r="I157" s="122"/>
    </row>
    <row r="158" spans="1:13" s="68" customFormat="1" ht="15.75" thickTop="1" thickBot="1" x14ac:dyDescent="0.25">
      <c r="A158" s="1131">
        <v>4</v>
      </c>
      <c r="B158" s="1672" t="s">
        <v>753</v>
      </c>
      <c r="C158" s="1673"/>
      <c r="D158" s="1673"/>
      <c r="E158" s="1673"/>
      <c r="F158" s="1674"/>
      <c r="G158" s="1131" t="s">
        <v>121</v>
      </c>
      <c r="H158" s="122"/>
      <c r="I158" s="122"/>
    </row>
    <row r="159" spans="1:13" s="68" customFormat="1" ht="15.75" thickTop="1" thickBot="1" x14ac:dyDescent="0.25">
      <c r="A159" s="112" t="s">
        <v>48</v>
      </c>
      <c r="B159" s="1132" t="str">
        <f>B139</f>
        <v>Substituto nas Ausências Legais</v>
      </c>
      <c r="C159" s="131"/>
      <c r="D159" s="131"/>
      <c r="E159" s="131"/>
      <c r="F159" s="288"/>
      <c r="G159" s="123">
        <f>G146</f>
        <v>15.89</v>
      </c>
      <c r="H159" s="122"/>
      <c r="I159" s="122"/>
    </row>
    <row r="160" spans="1:13" s="68" customFormat="1" ht="15.75" thickTop="1" thickBot="1" x14ac:dyDescent="0.25">
      <c r="A160" s="112" t="s">
        <v>53</v>
      </c>
      <c r="B160" s="1132" t="str">
        <f>B151</f>
        <v>Substituo na Intrajornada</v>
      </c>
      <c r="C160" s="131"/>
      <c r="D160" s="131"/>
      <c r="E160" s="131"/>
      <c r="F160" s="288"/>
      <c r="G160" s="123">
        <f>G153</f>
        <v>0</v>
      </c>
      <c r="H160" s="122"/>
      <c r="I160" s="122"/>
    </row>
    <row r="161" spans="1:9" s="68" customFormat="1" ht="15.75" thickTop="1" thickBot="1" x14ac:dyDescent="0.25">
      <c r="A161" s="1644" t="s">
        <v>232</v>
      </c>
      <c r="B161" s="1645"/>
      <c r="C161" s="1645"/>
      <c r="D161" s="1645"/>
      <c r="E161" s="1645"/>
      <c r="F161" s="1646"/>
      <c r="G161" s="133">
        <f>SUM(G159:G160)</f>
        <v>15.89</v>
      </c>
      <c r="H161" s="122"/>
      <c r="I161" s="122"/>
    </row>
    <row r="162" spans="1:9" s="68" customFormat="1" ht="15" thickTop="1" x14ac:dyDescent="0.2">
      <c r="A162" s="101"/>
      <c r="B162" s="101"/>
      <c r="C162" s="101"/>
      <c r="D162" s="101"/>
      <c r="E162" s="101"/>
      <c r="F162" s="574"/>
      <c r="G162" s="575"/>
      <c r="H162" s="122"/>
      <c r="I162" s="122"/>
    </row>
    <row r="163" spans="1:9" ht="15" thickBot="1" x14ac:dyDescent="0.25">
      <c r="A163" s="1629" t="s">
        <v>756</v>
      </c>
      <c r="B163" s="1629"/>
      <c r="C163" s="1629"/>
      <c r="D163" s="1629"/>
      <c r="E163" s="1629"/>
      <c r="F163" s="1629"/>
      <c r="G163" s="1629"/>
      <c r="H163" s="111"/>
      <c r="I163" s="111"/>
    </row>
    <row r="164" spans="1:9" ht="15.75" thickTop="1" thickBot="1" x14ac:dyDescent="0.25">
      <c r="A164" s="1131">
        <v>5</v>
      </c>
      <c r="B164" s="1672" t="s">
        <v>93</v>
      </c>
      <c r="C164" s="1673"/>
      <c r="D164" s="1673"/>
      <c r="E164" s="1673"/>
      <c r="F164" s="1674"/>
      <c r="G164" s="1131" t="s">
        <v>121</v>
      </c>
      <c r="H164" s="111"/>
      <c r="I164" s="111"/>
    </row>
    <row r="165" spans="1:9" ht="15.75" thickTop="1" thickBot="1" x14ac:dyDescent="0.25">
      <c r="A165" s="112" t="s">
        <v>1</v>
      </c>
      <c r="B165" s="130" t="str">
        <f>Dados!A63</f>
        <v>Uniformes</v>
      </c>
      <c r="C165" s="131"/>
      <c r="D165" s="131"/>
      <c r="E165" s="131"/>
      <c r="F165" s="769">
        <f>Dados!J65</f>
        <v>21.98</v>
      </c>
      <c r="G165" s="123">
        <f>F165*$F$14</f>
        <v>21.98</v>
      </c>
      <c r="H165" s="111"/>
      <c r="I165" s="111"/>
    </row>
    <row r="166" spans="1:9" ht="15.75" thickTop="1" thickBot="1" x14ac:dyDescent="0.25">
      <c r="A166" s="112" t="s">
        <v>2</v>
      </c>
      <c r="B166" s="130" t="str">
        <f>Dados!A71</f>
        <v>Materiais</v>
      </c>
      <c r="C166" s="131"/>
      <c r="D166" s="131"/>
      <c r="E166" s="131"/>
      <c r="F166" s="769">
        <f>Dados!J72</f>
        <v>37.15</v>
      </c>
      <c r="G166" s="123">
        <f t="shared" ref="G166:G167" si="5">F166*$F$14</f>
        <v>37.15</v>
      </c>
      <c r="H166" s="111"/>
      <c r="I166" s="111"/>
    </row>
    <row r="167" spans="1:9" ht="15.75" thickTop="1" thickBot="1" x14ac:dyDescent="0.25">
      <c r="A167" s="112" t="s">
        <v>4</v>
      </c>
      <c r="B167" s="1132" t="str">
        <f>Dados!A73</f>
        <v xml:space="preserve">Equipamentos </v>
      </c>
      <c r="C167" s="131"/>
      <c r="D167" s="131"/>
      <c r="E167" s="131"/>
      <c r="F167" s="769"/>
      <c r="G167" s="123">
        <f t="shared" si="5"/>
        <v>0</v>
      </c>
      <c r="H167" s="111"/>
      <c r="I167" s="111"/>
    </row>
    <row r="168" spans="1:9" ht="15.75" thickTop="1" thickBot="1" x14ac:dyDescent="0.25">
      <c r="A168" s="112" t="s">
        <v>5</v>
      </c>
      <c r="B168" s="1132" t="str">
        <f>Dados!A74</f>
        <v>Depreciação e manutenção dos equipamentos</v>
      </c>
      <c r="C168" s="131"/>
      <c r="D168" s="131"/>
      <c r="E168" s="131"/>
      <c r="F168" s="770">
        <f>Dados!I74</f>
        <v>0</v>
      </c>
      <c r="G168" s="123">
        <f>G167*F168</f>
        <v>0</v>
      </c>
      <c r="H168" s="111"/>
      <c r="I168" s="111"/>
    </row>
    <row r="169" spans="1:9" ht="15.75" thickTop="1" thickBot="1" x14ac:dyDescent="0.25">
      <c r="A169" s="112" t="s">
        <v>6</v>
      </c>
      <c r="B169" s="125" t="s">
        <v>57</v>
      </c>
      <c r="C169" s="132"/>
      <c r="D169" s="132"/>
      <c r="E169" s="285"/>
      <c r="F169" s="288"/>
      <c r="G169" s="124"/>
      <c r="H169" s="111"/>
      <c r="I169" s="111"/>
    </row>
    <row r="170" spans="1:9" ht="15.75" thickTop="1" thickBot="1" x14ac:dyDescent="0.25">
      <c r="A170" s="118"/>
      <c r="B170" s="1644" t="s">
        <v>232</v>
      </c>
      <c r="C170" s="1645"/>
      <c r="D170" s="1645"/>
      <c r="E170" s="1645"/>
      <c r="F170" s="1646"/>
      <c r="G170" s="133">
        <f>SUM(G165:G169)</f>
        <v>59.13</v>
      </c>
      <c r="H170" s="111"/>
      <c r="I170" s="111"/>
    </row>
    <row r="171" spans="1:9" s="68" customFormat="1" ht="15" hidden="1" thickTop="1" x14ac:dyDescent="0.2">
      <c r="A171" s="101" t="s">
        <v>757</v>
      </c>
      <c r="B171" s="99"/>
      <c r="C171" s="99"/>
      <c r="D171" s="99"/>
      <c r="E171" s="99"/>
      <c r="F171" s="120"/>
      <c r="G171" s="121"/>
      <c r="H171" s="122"/>
      <c r="I171" s="122"/>
    </row>
    <row r="172" spans="1:9" s="68" customFormat="1" ht="15" thickTop="1" x14ac:dyDescent="0.2">
      <c r="A172" s="98"/>
      <c r="B172" s="99"/>
      <c r="C172" s="99"/>
      <c r="D172" s="99"/>
      <c r="E172" s="99"/>
      <c r="F172" s="120"/>
      <c r="G172" s="121"/>
      <c r="H172" s="122"/>
      <c r="I172" s="122"/>
    </row>
    <row r="173" spans="1:9" ht="15" thickBot="1" x14ac:dyDescent="0.25">
      <c r="A173" s="1629" t="s">
        <v>760</v>
      </c>
      <c r="B173" s="1629"/>
      <c r="C173" s="1629"/>
      <c r="D173" s="1629"/>
      <c r="E173" s="1629"/>
      <c r="F173" s="1629"/>
      <c r="G173" s="1629"/>
      <c r="H173" s="111"/>
    </row>
    <row r="174" spans="1:9" ht="15.75" thickTop="1" thickBot="1" x14ac:dyDescent="0.25">
      <c r="A174" s="1125">
        <v>6</v>
      </c>
      <c r="B174" s="1657" t="s">
        <v>27</v>
      </c>
      <c r="C174" s="1657"/>
      <c r="D174" s="1657"/>
      <c r="E174" s="1657"/>
      <c r="F174" s="1125" t="s">
        <v>746</v>
      </c>
      <c r="G174" s="1131" t="s">
        <v>121</v>
      </c>
      <c r="H174" s="111"/>
      <c r="I174" s="111"/>
    </row>
    <row r="175" spans="1:9" ht="14.25" customHeight="1" thickTop="1" thickBot="1" x14ac:dyDescent="0.25">
      <c r="A175" s="1121" t="s">
        <v>1</v>
      </c>
      <c r="B175" s="141" t="s">
        <v>28</v>
      </c>
      <c r="C175" s="137"/>
      <c r="D175" s="137"/>
      <c r="E175" s="126"/>
      <c r="F175" s="138">
        <f>Dados!P77</f>
        <v>3.1600000000000003E-2</v>
      </c>
      <c r="G175" s="142">
        <f>$G$196*F175</f>
        <v>137.25</v>
      </c>
      <c r="H175" s="111"/>
      <c r="I175" s="111"/>
    </row>
    <row r="176" spans="1:9" ht="14.25" customHeight="1" thickTop="1" thickBot="1" x14ac:dyDescent="0.25">
      <c r="A176" s="1121" t="s">
        <v>2</v>
      </c>
      <c r="B176" s="141" t="s">
        <v>20</v>
      </c>
      <c r="C176" s="137"/>
      <c r="D176" s="137"/>
      <c r="E176" s="126"/>
      <c r="F176" s="138">
        <f>Dados!P78</f>
        <v>0.02</v>
      </c>
      <c r="G176" s="142">
        <f>($G$196+$G$175)*F176</f>
        <v>89.61</v>
      </c>
      <c r="H176" s="111"/>
      <c r="I176" s="111"/>
    </row>
    <row r="177" spans="1:9" ht="14.25" customHeight="1" thickTop="1" thickBot="1" x14ac:dyDescent="0.25">
      <c r="A177" s="1675" t="s">
        <v>4</v>
      </c>
      <c r="B177" s="141" t="s">
        <v>24</v>
      </c>
      <c r="C177" s="296"/>
      <c r="D177" s="137"/>
      <c r="E177" s="920"/>
      <c r="F177" s="921"/>
      <c r="G177" s="939">
        <f>SUM(G175:G176)</f>
        <v>226.86</v>
      </c>
      <c r="H177" s="111"/>
      <c r="I177" s="111"/>
    </row>
    <row r="178" spans="1:9" ht="14.25" customHeight="1" thickTop="1" thickBot="1" x14ac:dyDescent="0.25">
      <c r="A178" s="1676"/>
      <c r="B178" s="136" t="s">
        <v>103</v>
      </c>
      <c r="C178" s="285"/>
      <c r="D178" s="137"/>
      <c r="E178" s="920"/>
      <c r="F178" s="921"/>
      <c r="G178" s="919"/>
      <c r="H178" s="111"/>
      <c r="I178" s="111"/>
    </row>
    <row r="179" spans="1:9" ht="14.25" customHeight="1" thickTop="1" thickBot="1" x14ac:dyDescent="0.25">
      <c r="A179" s="1676"/>
      <c r="B179" s="136" t="s">
        <v>21</v>
      </c>
      <c r="C179" s="285"/>
      <c r="D179" s="137"/>
      <c r="F179" s="295">
        <f>Dados!F88</f>
        <v>1.17E-2</v>
      </c>
      <c r="G179" s="143">
        <f>(($G$196+$G$175+$G$176)/Dados!$H$88)*F179</f>
        <v>60.43</v>
      </c>
      <c r="H179" s="111"/>
      <c r="I179" s="111"/>
    </row>
    <row r="180" spans="1:9" ht="14.25" customHeight="1" thickTop="1" thickBot="1" x14ac:dyDescent="0.25">
      <c r="A180" s="1676"/>
      <c r="B180" s="136" t="s">
        <v>22</v>
      </c>
      <c r="C180" s="285"/>
      <c r="D180" s="137"/>
      <c r="E180" s="126"/>
      <c r="F180" s="295">
        <f>Dados!E88</f>
        <v>5.3499999999999999E-2</v>
      </c>
      <c r="G180" s="143">
        <f>(($G$196+$G$175+$G$176)/Dados!$H$88)*F180</f>
        <v>276.35000000000002</v>
      </c>
      <c r="H180" s="111"/>
      <c r="I180" s="111"/>
    </row>
    <row r="181" spans="1:9" ht="14.25" customHeight="1" thickTop="1" thickBot="1" x14ac:dyDescent="0.25">
      <c r="A181" s="1676"/>
      <c r="B181" s="136" t="s">
        <v>104</v>
      </c>
      <c r="C181" s="285"/>
      <c r="D181" s="137"/>
      <c r="E181" s="126"/>
      <c r="F181" s="138"/>
      <c r="G181" s="142"/>
      <c r="H181" s="111"/>
      <c r="I181" s="111"/>
    </row>
    <row r="182" spans="1:9" ht="14.25" customHeight="1" thickTop="1" thickBot="1" x14ac:dyDescent="0.25">
      <c r="A182" s="1676"/>
      <c r="B182" s="136" t="s">
        <v>29</v>
      </c>
      <c r="C182" s="285"/>
      <c r="D182" s="137"/>
      <c r="E182" s="126"/>
      <c r="F182" s="138"/>
      <c r="G182" s="143"/>
      <c r="H182" s="111"/>
      <c r="I182" s="111"/>
    </row>
    <row r="183" spans="1:9" ht="14.25" customHeight="1" thickTop="1" thickBot="1" x14ac:dyDescent="0.25">
      <c r="A183" s="1676"/>
      <c r="B183" s="136" t="s">
        <v>105</v>
      </c>
      <c r="C183" s="285"/>
      <c r="D183" s="137"/>
      <c r="E183" s="126"/>
      <c r="F183" s="138"/>
      <c r="G183" s="142"/>
      <c r="H183" s="111"/>
      <c r="I183" s="111"/>
    </row>
    <row r="184" spans="1:9" ht="14.25" customHeight="1" thickTop="1" thickBot="1" x14ac:dyDescent="0.25">
      <c r="A184" s="1677"/>
      <c r="B184" s="136" t="s">
        <v>23</v>
      </c>
      <c r="C184" s="285"/>
      <c r="D184" s="137"/>
      <c r="E184" s="126"/>
      <c r="F184" s="295">
        <f>Dados!C88</f>
        <v>0.05</v>
      </c>
      <c r="G184" s="143">
        <f>(($G$196+$G$175+$G$176)/Dados!$H$88)*F184</f>
        <v>258.27</v>
      </c>
      <c r="H184" s="111"/>
      <c r="I184" s="111"/>
    </row>
    <row r="185" spans="1:9" ht="18" customHeight="1" thickTop="1" thickBot="1" x14ac:dyDescent="0.25">
      <c r="A185" s="1644" t="s">
        <v>232</v>
      </c>
      <c r="B185" s="1645"/>
      <c r="C185" s="1645"/>
      <c r="D185" s="1645"/>
      <c r="E185" s="1646"/>
      <c r="F185" s="139">
        <f>SUM(F175:F184)</f>
        <v>0.1668</v>
      </c>
      <c r="G185" s="144">
        <f>G175+G179+G180+G184+G176</f>
        <v>821.91</v>
      </c>
      <c r="H185" s="111"/>
      <c r="I185" s="111"/>
    </row>
    <row r="186" spans="1:9" ht="15" hidden="1" thickTop="1" x14ac:dyDescent="0.2">
      <c r="A186" s="572" t="s">
        <v>759</v>
      </c>
      <c r="B186" s="145"/>
      <c r="C186" s="145"/>
      <c r="D186" s="145"/>
      <c r="E186" s="145"/>
      <c r="F186" s="145"/>
      <c r="G186" s="146"/>
      <c r="H186" s="111"/>
      <c r="I186" s="111"/>
    </row>
    <row r="187" spans="1:9" hidden="1" x14ac:dyDescent="0.2">
      <c r="A187" s="572" t="s">
        <v>758</v>
      </c>
      <c r="B187" s="145"/>
      <c r="C187" s="145"/>
      <c r="D187" s="145"/>
      <c r="E187" s="145"/>
      <c r="F187" s="145"/>
      <c r="G187" s="146"/>
      <c r="H187" s="111"/>
      <c r="I187" s="111"/>
    </row>
    <row r="188" spans="1:9" ht="15" thickTop="1" x14ac:dyDescent="0.2">
      <c r="A188" s="572"/>
      <c r="B188" s="145"/>
      <c r="C188" s="145"/>
      <c r="D188" s="145"/>
      <c r="E188" s="145"/>
      <c r="F188" s="145"/>
      <c r="G188" s="146"/>
      <c r="H188" s="111"/>
      <c r="I188" s="111"/>
    </row>
    <row r="189" spans="1:9" ht="15" thickBot="1" x14ac:dyDescent="0.25">
      <c r="A189" s="1124" t="s">
        <v>761</v>
      </c>
      <c r="B189" s="145"/>
      <c r="C189" s="145"/>
      <c r="D189" s="145"/>
      <c r="E189" s="145"/>
      <c r="F189" s="145"/>
      <c r="G189" s="146"/>
      <c r="H189" s="111"/>
      <c r="I189" s="111"/>
    </row>
    <row r="190" spans="1:9" ht="16.5" customHeight="1" thickTop="1" thickBot="1" x14ac:dyDescent="0.25">
      <c r="A190" s="1658" t="s">
        <v>718</v>
      </c>
      <c r="B190" s="1658"/>
      <c r="C190" s="1658"/>
      <c r="D190" s="1658"/>
      <c r="E190" s="1658"/>
      <c r="F190" s="1658"/>
      <c r="G190" s="1131" t="s">
        <v>121</v>
      </c>
      <c r="H190" s="111"/>
    </row>
    <row r="191" spans="1:9" ht="14.25" customHeight="1" thickTop="1" thickBot="1" x14ac:dyDescent="0.25">
      <c r="A191" s="1121" t="s">
        <v>1</v>
      </c>
      <c r="B191" s="1132" t="str">
        <f>A45</f>
        <v>Módulo 1 - Composição da Remuneração</v>
      </c>
      <c r="C191" s="1133"/>
      <c r="D191" s="566"/>
      <c r="E191" s="566"/>
      <c r="F191" s="147"/>
      <c r="G191" s="124">
        <f>G53</f>
        <v>1985.14</v>
      </c>
      <c r="H191" s="111"/>
    </row>
    <row r="192" spans="1:9" ht="14.25" customHeight="1" thickTop="1" thickBot="1" x14ac:dyDescent="0.25">
      <c r="A192" s="1121" t="s">
        <v>2</v>
      </c>
      <c r="B192" s="1132" t="str">
        <f>A58</f>
        <v>Módulo 2 - Encargos e Benefícios Anuais, Mensais e Diários</v>
      </c>
      <c r="C192" s="1133"/>
      <c r="D192" s="566"/>
      <c r="E192" s="566"/>
      <c r="F192" s="147"/>
      <c r="G192" s="124">
        <f>G121</f>
        <v>2156.46</v>
      </c>
      <c r="H192" s="111"/>
    </row>
    <row r="193" spans="1:8" ht="14.25" customHeight="1" thickTop="1" thickBot="1" x14ac:dyDescent="0.25">
      <c r="A193" s="1121" t="s">
        <v>4</v>
      </c>
      <c r="B193" s="1132" t="str">
        <f>A123</f>
        <v>Módulo 3 - Provisão para Rescisão</v>
      </c>
      <c r="C193" s="1133"/>
      <c r="D193" s="566"/>
      <c r="E193" s="566"/>
      <c r="F193" s="147"/>
      <c r="G193" s="124">
        <f>G132</f>
        <v>126.85</v>
      </c>
      <c r="H193" s="111"/>
    </row>
    <row r="194" spans="1:8" ht="14.25" customHeight="1" thickTop="1" thickBot="1" x14ac:dyDescent="0.25">
      <c r="A194" s="1121" t="s">
        <v>5</v>
      </c>
      <c r="B194" s="1132" t="str">
        <f>A134</f>
        <v>Módulo 4 - Custo de Reposição do Profissional</v>
      </c>
      <c r="C194" s="1133"/>
      <c r="D194" s="566"/>
      <c r="E194" s="566"/>
      <c r="F194" s="147"/>
      <c r="G194" s="124">
        <f>G161</f>
        <v>15.89</v>
      </c>
      <c r="H194" s="111"/>
    </row>
    <row r="195" spans="1:8" ht="15.75" hidden="1" thickTop="1" thickBot="1" x14ac:dyDescent="0.25">
      <c r="A195" s="583" t="s">
        <v>6</v>
      </c>
      <c r="B195" s="1132" t="str">
        <f>A163</f>
        <v>Módulo 5 - Insumos Diversos</v>
      </c>
      <c r="C195" s="579"/>
      <c r="D195" s="579"/>
      <c r="E195" s="579"/>
      <c r="F195" s="580"/>
      <c r="G195" s="584">
        <f>G170</f>
        <v>59.13</v>
      </c>
    </row>
    <row r="196" spans="1:8" ht="15.75" thickTop="1" thickBot="1" x14ac:dyDescent="0.25">
      <c r="A196" s="1644" t="s">
        <v>762</v>
      </c>
      <c r="B196" s="1645"/>
      <c r="C196" s="1645"/>
      <c r="D196" s="1645"/>
      <c r="E196" s="1645"/>
      <c r="F196" s="1646"/>
      <c r="G196" s="133">
        <f>SUM(G191:G195)</f>
        <v>4343.47</v>
      </c>
    </row>
    <row r="197" spans="1:8" ht="14.25" customHeight="1" thickTop="1" thickBot="1" x14ac:dyDescent="0.25">
      <c r="A197" s="1121" t="s">
        <v>7</v>
      </c>
      <c r="B197" s="1132" t="str">
        <f>A173</f>
        <v>Módulo 6 - Custos Indiretos, Tributos e Lucro</v>
      </c>
      <c r="C197" s="1133"/>
      <c r="D197" s="566"/>
      <c r="E197" s="566"/>
      <c r="F197" s="147"/>
      <c r="G197" s="124">
        <f>G185</f>
        <v>821.91</v>
      </c>
    </row>
    <row r="198" spans="1:8" ht="15.75" customHeight="1" thickTop="1" thickBot="1" x14ac:dyDescent="0.25">
      <c r="A198" s="1644" t="s">
        <v>687</v>
      </c>
      <c r="B198" s="1645"/>
      <c r="C198" s="1645"/>
      <c r="D198" s="1645"/>
      <c r="E198" s="1645"/>
      <c r="F198" s="1646"/>
      <c r="G198" s="133">
        <f>SUM(G196:G197)</f>
        <v>5165.38</v>
      </c>
    </row>
    <row r="199" spans="1:8" ht="15.75" thickTop="1" thickBot="1" x14ac:dyDescent="0.25">
      <c r="A199" s="1644" t="s">
        <v>1445</v>
      </c>
      <c r="B199" s="1645"/>
      <c r="C199" s="1645"/>
      <c r="D199" s="1645"/>
      <c r="E199" s="1645"/>
      <c r="F199" s="1646"/>
      <c r="G199" s="133">
        <f>Dados!J51+Dados!J55</f>
        <v>170.7</v>
      </c>
    </row>
    <row r="200" spans="1:8" ht="15.75" thickTop="1" thickBot="1" x14ac:dyDescent="0.25">
      <c r="A200" s="1644" t="s">
        <v>687</v>
      </c>
      <c r="B200" s="1645"/>
      <c r="C200" s="1645"/>
      <c r="D200" s="1645"/>
      <c r="E200" s="1645"/>
      <c r="F200" s="1646"/>
      <c r="G200" s="133">
        <f>G198+G199</f>
        <v>5336.08</v>
      </c>
    </row>
    <row r="201" spans="1:8" ht="15" thickTop="1" x14ac:dyDescent="0.2"/>
    <row r="202" spans="1:8" ht="15" hidden="1" thickBot="1" x14ac:dyDescent="0.25">
      <c r="A202" s="1124" t="s">
        <v>763</v>
      </c>
    </row>
    <row r="203" spans="1:8" ht="46.5" hidden="1" customHeight="1" thickTop="1" x14ac:dyDescent="0.2">
      <c r="A203" s="1650" t="s">
        <v>167</v>
      </c>
      <c r="B203" s="1651"/>
      <c r="C203" s="1130" t="s">
        <v>765</v>
      </c>
      <c r="D203" s="1130" t="s">
        <v>764</v>
      </c>
      <c r="E203" s="1130" t="s">
        <v>766</v>
      </c>
      <c r="F203" s="1126" t="s">
        <v>767</v>
      </c>
      <c r="G203" s="1126" t="s">
        <v>768</v>
      </c>
    </row>
    <row r="204" spans="1:8" ht="18" hidden="1" customHeight="1" thickBot="1" x14ac:dyDescent="0.25">
      <c r="A204" s="1659" t="s">
        <v>168</v>
      </c>
      <c r="B204" s="1660"/>
      <c r="C204" s="586" t="s">
        <v>169</v>
      </c>
      <c r="D204" s="586" t="s">
        <v>170</v>
      </c>
      <c r="E204" s="586" t="s">
        <v>171</v>
      </c>
      <c r="F204" s="587" t="s">
        <v>172</v>
      </c>
      <c r="G204" s="587" t="s">
        <v>173</v>
      </c>
    </row>
    <row r="205" spans="1:8" ht="49.5" hidden="1" customHeight="1" thickTop="1" thickBot="1" x14ac:dyDescent="0.25">
      <c r="A205" s="583" t="s">
        <v>160</v>
      </c>
      <c r="B205" s="1129" t="str">
        <f>F40</f>
        <v>Jauzeiro de segunda a sexta-feira - 44 horas semanais</v>
      </c>
      <c r="C205" s="274">
        <f>G198</f>
        <v>5165.38</v>
      </c>
      <c r="D205" s="275">
        <f>F26</f>
        <v>1</v>
      </c>
      <c r="E205" s="276">
        <f>C205*D205</f>
        <v>5165.38</v>
      </c>
      <c r="F205" s="277">
        <f>E26</f>
        <v>2</v>
      </c>
      <c r="G205" s="278">
        <f>E205*F205</f>
        <v>10330.76</v>
      </c>
    </row>
    <row r="206" spans="1:8" ht="15.75" hidden="1" thickTop="1" thickBot="1" x14ac:dyDescent="0.25">
      <c r="A206" s="1644" t="s">
        <v>769</v>
      </c>
      <c r="B206" s="1645"/>
      <c r="C206" s="1645"/>
      <c r="D206" s="1645"/>
      <c r="E206" s="1645"/>
      <c r="F206" s="1646"/>
      <c r="G206" s="133">
        <f>SUM(G205)</f>
        <v>10330.76</v>
      </c>
    </row>
    <row r="207" spans="1:8" ht="15" hidden="1" thickTop="1" x14ac:dyDescent="0.2">
      <c r="A207" s="247"/>
      <c r="B207" s="247"/>
      <c r="C207" s="247"/>
      <c r="D207" s="247"/>
      <c r="E207" s="247"/>
      <c r="F207" s="247"/>
      <c r="G207" s="247"/>
    </row>
    <row r="208" spans="1:8" ht="15" hidden="1" thickBot="1" x14ac:dyDescent="0.25">
      <c r="A208" s="1124" t="s">
        <v>770</v>
      </c>
      <c r="B208" s="247"/>
      <c r="C208" s="247"/>
      <c r="D208" s="247"/>
      <c r="E208" s="247"/>
      <c r="F208" s="247"/>
      <c r="G208" s="247"/>
    </row>
    <row r="209" spans="1:7" ht="15" hidden="1" customHeight="1" thickTop="1" thickBot="1" x14ac:dyDescent="0.25">
      <c r="A209" s="1128"/>
      <c r="B209" s="1656" t="s">
        <v>771</v>
      </c>
      <c r="C209" s="1656"/>
      <c r="D209" s="1656"/>
      <c r="E209" s="1656"/>
      <c r="F209" s="1656"/>
      <c r="G209" s="1656"/>
    </row>
    <row r="210" spans="1:7" ht="15.75" hidden="1" thickTop="1" thickBot="1" x14ac:dyDescent="0.25">
      <c r="A210" s="283"/>
      <c r="B210" s="1647" t="s">
        <v>772</v>
      </c>
      <c r="C210" s="1648"/>
      <c r="D210" s="1648"/>
      <c r="E210" s="1648"/>
      <c r="F210" s="1649"/>
      <c r="G210" s="283" t="s">
        <v>773</v>
      </c>
    </row>
    <row r="211" spans="1:7" ht="15.75" hidden="1" thickTop="1" thickBot="1" x14ac:dyDescent="0.25">
      <c r="A211" s="279" t="s">
        <v>1</v>
      </c>
      <c r="B211" s="287" t="s">
        <v>174</v>
      </c>
      <c r="C211" s="286"/>
      <c r="D211" s="284"/>
      <c r="E211" s="284"/>
      <c r="F211" s="284"/>
      <c r="G211" s="280">
        <f>G198</f>
        <v>5165.38</v>
      </c>
    </row>
    <row r="212" spans="1:7" ht="15.75" hidden="1" thickTop="1" thickBot="1" x14ac:dyDescent="0.25">
      <c r="A212" s="279" t="s">
        <v>2</v>
      </c>
      <c r="B212" s="287" t="s">
        <v>175</v>
      </c>
      <c r="C212" s="286"/>
      <c r="D212" s="284"/>
      <c r="E212" s="284"/>
      <c r="F212" s="284"/>
      <c r="G212" s="280">
        <f>G205</f>
        <v>10330.76</v>
      </c>
    </row>
    <row r="213" spans="1:7" ht="15.75" hidden="1" customHeight="1" thickTop="1" thickBot="1" x14ac:dyDescent="0.25">
      <c r="A213" s="279" t="s">
        <v>4</v>
      </c>
      <c r="B213" s="287" t="s">
        <v>914</v>
      </c>
      <c r="C213" s="286"/>
      <c r="D213" s="284"/>
      <c r="E213" s="284"/>
      <c r="F213" s="284"/>
      <c r="G213" s="280">
        <f>G212*$F$22</f>
        <v>123969.12</v>
      </c>
    </row>
    <row r="214" spans="1:7" ht="15" hidden="1" thickTop="1" x14ac:dyDescent="0.2">
      <c r="A214" s="68" t="s">
        <v>774</v>
      </c>
    </row>
    <row r="216" spans="1:7" hidden="1" x14ac:dyDescent="0.2"/>
    <row r="217" spans="1:7" hidden="1" x14ac:dyDescent="0.2">
      <c r="A217" s="1124" t="s">
        <v>775</v>
      </c>
    </row>
    <row r="218" spans="1:7" ht="15" hidden="1" thickBot="1" x14ac:dyDescent="0.25">
      <c r="A218" s="145"/>
      <c r="B218" s="585"/>
      <c r="C218" s="585"/>
      <c r="D218" s="585"/>
      <c r="E218" s="585"/>
      <c r="F218" s="585"/>
      <c r="G218" s="585"/>
    </row>
    <row r="219" spans="1:7" ht="15" hidden="1" customHeight="1" thickTop="1" x14ac:dyDescent="0.2">
      <c r="A219" s="1650" t="s">
        <v>776</v>
      </c>
      <c r="B219" s="1661"/>
      <c r="C219" s="1661"/>
      <c r="D219" s="1651"/>
      <c r="E219" s="1668" t="s">
        <v>778</v>
      </c>
      <c r="F219" s="1641" t="s">
        <v>779</v>
      </c>
      <c r="G219" s="1641" t="s">
        <v>54</v>
      </c>
    </row>
    <row r="220" spans="1:7" ht="15" hidden="1" thickBot="1" x14ac:dyDescent="0.25">
      <c r="A220" s="1662"/>
      <c r="B220" s="1663"/>
      <c r="C220" s="1663"/>
      <c r="D220" s="1664"/>
      <c r="E220" s="1669"/>
      <c r="F220" s="1642"/>
      <c r="G220" s="1642"/>
    </row>
    <row r="221" spans="1:7" ht="36" hidden="1" customHeight="1" thickTop="1" thickBot="1" x14ac:dyDescent="0.25">
      <c r="A221" s="588" t="str">
        <f>A205</f>
        <v>I</v>
      </c>
      <c r="B221" s="1665" t="str">
        <f>B205</f>
        <v>Jauzeiro de segunda a sexta-feira - 44 horas semanais</v>
      </c>
      <c r="C221" s="1666"/>
      <c r="D221" s="1667"/>
      <c r="E221" s="276">
        <f>E205</f>
        <v>5165.38</v>
      </c>
      <c r="F221" s="277">
        <f>F205</f>
        <v>2</v>
      </c>
      <c r="G221" s="278">
        <f>E221*F221</f>
        <v>10330.76</v>
      </c>
    </row>
    <row r="222" spans="1:7" ht="15.75" hidden="1" customHeight="1" thickTop="1" thickBot="1" x14ac:dyDescent="0.25">
      <c r="A222" s="1644" t="s">
        <v>47</v>
      </c>
      <c r="B222" s="1645"/>
      <c r="C222" s="1645"/>
      <c r="D222" s="1645"/>
      <c r="E222" s="1645"/>
      <c r="F222" s="1646"/>
      <c r="G222" s="133">
        <f>SUM(G221)</f>
        <v>10330.76</v>
      </c>
    </row>
    <row r="223" spans="1:7" hidden="1" x14ac:dyDescent="0.2">
      <c r="A223" s="68" t="s">
        <v>777</v>
      </c>
    </row>
  </sheetData>
  <mergeCells count="97">
    <mergeCell ref="A20:A21"/>
    <mergeCell ref="B20:E21"/>
    <mergeCell ref="F20:G20"/>
    <mergeCell ref="F21:G21"/>
    <mergeCell ref="A5:G5"/>
    <mergeCell ref="A6:G6"/>
    <mergeCell ref="A8:G8"/>
    <mergeCell ref="A9:G9"/>
    <mergeCell ref="A10:G10"/>
    <mergeCell ref="A13:B13"/>
    <mergeCell ref="C13:D13"/>
    <mergeCell ref="A14:B14"/>
    <mergeCell ref="C14:D14"/>
    <mergeCell ref="A17:G17"/>
    <mergeCell ref="F18:G18"/>
    <mergeCell ref="F19:G19"/>
    <mergeCell ref="B38:E38"/>
    <mergeCell ref="F38:G38"/>
    <mergeCell ref="F22:G22"/>
    <mergeCell ref="A24:G24"/>
    <mergeCell ref="A25:B25"/>
    <mergeCell ref="A26:B26"/>
    <mergeCell ref="A27:G28"/>
    <mergeCell ref="A29:G30"/>
    <mergeCell ref="A34:G34"/>
    <mergeCell ref="A35:G35"/>
    <mergeCell ref="A36:G36"/>
    <mergeCell ref="B37:E37"/>
    <mergeCell ref="F37:G37"/>
    <mergeCell ref="B39:E39"/>
    <mergeCell ref="F39:G39"/>
    <mergeCell ref="B40:E40"/>
    <mergeCell ref="F40:G40"/>
    <mergeCell ref="B41:E41"/>
    <mergeCell ref="F41:G41"/>
    <mergeCell ref="A73:F73"/>
    <mergeCell ref="B46:E46"/>
    <mergeCell ref="A53:F53"/>
    <mergeCell ref="A55:G56"/>
    <mergeCell ref="A58:G58"/>
    <mergeCell ref="A60:G60"/>
    <mergeCell ref="B61:E61"/>
    <mergeCell ref="B63:E63"/>
    <mergeCell ref="A64:E64"/>
    <mergeCell ref="A65:G66"/>
    <mergeCell ref="A67:G68"/>
    <mergeCell ref="A69:G71"/>
    <mergeCell ref="B117:F117"/>
    <mergeCell ref="A76:F76"/>
    <mergeCell ref="B79:E79"/>
    <mergeCell ref="A88:E88"/>
    <mergeCell ref="A89:G89"/>
    <mergeCell ref="A90:G90"/>
    <mergeCell ref="B95:E95"/>
    <mergeCell ref="A96:A97"/>
    <mergeCell ref="A98:A99"/>
    <mergeCell ref="A101:A103"/>
    <mergeCell ref="A111:F111"/>
    <mergeCell ref="A113:G114"/>
    <mergeCell ref="A153:F153"/>
    <mergeCell ref="A121:F121"/>
    <mergeCell ref="A123:G123"/>
    <mergeCell ref="B124:E124"/>
    <mergeCell ref="A132:E132"/>
    <mergeCell ref="A134:G134"/>
    <mergeCell ref="A135:G136"/>
    <mergeCell ref="B139:E139"/>
    <mergeCell ref="A146:E146"/>
    <mergeCell ref="A147:G148"/>
    <mergeCell ref="B151:F151"/>
    <mergeCell ref="B152:F152"/>
    <mergeCell ref="A196:F196"/>
    <mergeCell ref="A154:G155"/>
    <mergeCell ref="B158:F158"/>
    <mergeCell ref="A161:F161"/>
    <mergeCell ref="A163:G163"/>
    <mergeCell ref="B164:F164"/>
    <mergeCell ref="B170:F170"/>
    <mergeCell ref="A173:G173"/>
    <mergeCell ref="B174:E174"/>
    <mergeCell ref="A177:A184"/>
    <mergeCell ref="A185:E185"/>
    <mergeCell ref="A190:F190"/>
    <mergeCell ref="A222:F222"/>
    <mergeCell ref="A198:F198"/>
    <mergeCell ref="A203:B203"/>
    <mergeCell ref="A204:B204"/>
    <mergeCell ref="A206:F206"/>
    <mergeCell ref="B209:G209"/>
    <mergeCell ref="B210:F210"/>
    <mergeCell ref="A219:D220"/>
    <mergeCell ref="E219:E220"/>
    <mergeCell ref="F219:F220"/>
    <mergeCell ref="G219:G220"/>
    <mergeCell ref="B221:D221"/>
    <mergeCell ref="A199:F199"/>
    <mergeCell ref="A200:F200"/>
  </mergeCells>
  <dataValidations count="2">
    <dataValidation allowBlank="1" showInputMessage="1" showErrorMessage="1" errorTitle="Atenção" error="Os dias só poderão ser alterados nos Dados." promptTitle="Jornada de Trabalho" prompt="- Alterando a carga horária, automaticamente será alterado os dias trabalhados._x000a_" sqref="C26"/>
    <dataValidation allowBlank="1" showInputMessage="1" showErrorMessage="1" errorTitle="Atenção" error="Não esquecer de buscar os valores e alterar na coluna F - das linhas 50 a 60, em caso de mais de um Sindicato." promptTitle="Benefícios" prompt="- Em caso de mais de um Sindicato em &quot;Dados&quot;, não esquecer de buscar os valores e alterar na coluna F - das linhas 50 a 60." sqref="F96:F110"/>
  </dataValidations>
  <printOptions horizontalCentered="1"/>
  <pageMargins left="0.82677165354330717" right="0.55118110236220474" top="0.82677165354330717" bottom="0.43307086614173229" header="0.19685039370078741" footer="0.23622047244094491"/>
  <pageSetup paperSize="9" scale="61" fitToHeight="0" orientation="portrait" r:id="rId1"/>
  <headerFooter alignWithMargins="0"/>
  <rowBreaks count="1" manualBreakCount="1">
    <brk id="114" max="6" man="1"/>
  </rowBreaks>
</worksheet>
</file>

<file path=xl/worksheets/sheet1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25"/>
  <dimension ref="A1:M223"/>
  <sheetViews>
    <sheetView view="pageBreakPreview" topLeftCell="A162" zoomScale="90" zoomScaleNormal="100" zoomScaleSheetLayoutView="90" workbookViewId="0">
      <selection activeCell="C45" sqref="B45:K48"/>
    </sheetView>
  </sheetViews>
  <sheetFormatPr defaultRowHeight="14.25" x14ac:dyDescent="0.2"/>
  <cols>
    <col min="1" max="1" width="5.85546875" style="68" customWidth="1"/>
    <col min="2" max="2" width="29.42578125" style="68" customWidth="1"/>
    <col min="3" max="3" width="19.7109375" style="68" customWidth="1"/>
    <col min="4" max="4" width="17.140625" style="68" customWidth="1"/>
    <col min="5" max="5" width="18" style="68" customWidth="1"/>
    <col min="6" max="6" width="15.42578125" style="68" customWidth="1"/>
    <col min="7" max="7" width="18" style="97" bestFit="1" customWidth="1"/>
    <col min="8" max="8" width="17.28515625" style="69" bestFit="1" customWidth="1"/>
    <col min="9" max="9" width="15.28515625" style="69" bestFit="1" customWidth="1"/>
    <col min="10" max="11" width="13.42578125" style="69" bestFit="1" customWidth="1"/>
    <col min="12" max="12" width="11.5703125" style="69" bestFit="1" customWidth="1"/>
    <col min="13" max="13" width="12.5703125" style="69" bestFit="1" customWidth="1"/>
    <col min="14" max="16384" width="9.140625" style="69"/>
  </cols>
  <sheetData>
    <row r="1" spans="1:7" ht="11.25" hidden="1" customHeight="1" x14ac:dyDescent="0.2">
      <c r="A1" s="96" t="str">
        <f>Proposta!C83</f>
        <v>Razão Social: BRASFORT ADMINISTRAÇÃO E SERVIÇOS LTDA</v>
      </c>
    </row>
    <row r="2" spans="1:7" ht="11.25" hidden="1" customHeight="1" x14ac:dyDescent="0.2">
      <c r="A2" s="96" t="str">
        <f>Proposta!C84</f>
        <v>CNPJ: 36.770.857/0001-38</v>
      </c>
    </row>
    <row r="3" spans="1:7" hidden="1" x14ac:dyDescent="0.2">
      <c r="A3" s="97"/>
    </row>
    <row r="4" spans="1:7" hidden="1" x14ac:dyDescent="0.2">
      <c r="A4" s="97"/>
    </row>
    <row r="5" spans="1:7" hidden="1" x14ac:dyDescent="0.2">
      <c r="A5" s="1630" t="str">
        <f>Dados!H2</f>
        <v xml:space="preserve">REPACTUAÇÃO CONTRATUAL 20___ - </v>
      </c>
      <c r="B5" s="1630"/>
      <c r="C5" s="1630"/>
      <c r="D5" s="1630"/>
      <c r="E5" s="1630"/>
      <c r="F5" s="1630"/>
      <c r="G5" s="1630"/>
    </row>
    <row r="6" spans="1:7" hidden="1" x14ac:dyDescent="0.2">
      <c r="A6" s="1630" t="str">
        <f>Dados!A10</f>
        <v>CONTRATO Nº __________/201__ - CONTRATANTE - PRESTAÇÃO DE SERVIÇOS --------</v>
      </c>
      <c r="B6" s="1630"/>
      <c r="C6" s="1630"/>
      <c r="D6" s="1630"/>
      <c r="E6" s="1630"/>
      <c r="F6" s="1630"/>
      <c r="G6" s="1630"/>
    </row>
    <row r="7" spans="1:7" x14ac:dyDescent="0.2">
      <c r="A7" s="1123"/>
      <c r="B7" s="1123"/>
      <c r="C7" s="1123"/>
      <c r="D7" s="1123"/>
      <c r="E7" s="1123"/>
      <c r="F7" s="1123"/>
      <c r="G7" s="1123"/>
    </row>
    <row r="8" spans="1:7" ht="18" customHeight="1" x14ac:dyDescent="0.2">
      <c r="A8" s="1637"/>
      <c r="B8" s="1637"/>
      <c r="C8" s="1637"/>
      <c r="D8" s="1637"/>
      <c r="E8" s="1637"/>
      <c r="F8" s="1637"/>
      <c r="G8" s="1637"/>
    </row>
    <row r="9" spans="1:7" x14ac:dyDescent="0.2">
      <c r="A9" s="1637" t="str">
        <f>Dados!$A$11</f>
        <v>PLANILHA DE CUSTOS E FORMAÇÃO DE PREÇOS - CJF</v>
      </c>
      <c r="B9" s="1637"/>
      <c r="C9" s="1637"/>
      <c r="D9" s="1637"/>
      <c r="E9" s="1637"/>
      <c r="F9" s="1637"/>
      <c r="G9" s="1637"/>
    </row>
    <row r="10" spans="1:7" x14ac:dyDescent="0.2">
      <c r="A10" s="1637"/>
      <c r="B10" s="1637"/>
      <c r="C10" s="1637"/>
      <c r="D10" s="1637"/>
      <c r="E10" s="1637"/>
      <c r="F10" s="1637"/>
      <c r="G10" s="1637"/>
    </row>
    <row r="11" spans="1:7" x14ac:dyDescent="0.2">
      <c r="A11" s="98"/>
      <c r="B11" s="98"/>
      <c r="C11" s="98"/>
      <c r="D11" s="98"/>
      <c r="E11" s="98"/>
      <c r="F11" s="98"/>
      <c r="G11" s="98"/>
    </row>
    <row r="12" spans="1:7" ht="15" thickBot="1" x14ac:dyDescent="0.25">
      <c r="A12" s="99"/>
      <c r="B12" s="99"/>
      <c r="C12" s="99"/>
      <c r="D12" s="99"/>
      <c r="E12" s="99"/>
      <c r="F12" s="99"/>
      <c r="G12" s="99"/>
    </row>
    <row r="13" spans="1:7" ht="15.75" customHeight="1" thickTop="1" thickBot="1" x14ac:dyDescent="0.25">
      <c r="A13" s="1631" t="s">
        <v>117</v>
      </c>
      <c r="B13" s="1631"/>
      <c r="C13" s="1670" t="str">
        <f>Dados!$G$14</f>
        <v>0001561-97.2021.4.90.8000</v>
      </c>
      <c r="D13" s="1671"/>
      <c r="E13" s="102"/>
      <c r="F13" s="135"/>
      <c r="G13" s="100"/>
    </row>
    <row r="14" spans="1:7" ht="15.75" customHeight="1" thickTop="1" thickBot="1" x14ac:dyDescent="0.25">
      <c r="A14" s="1631" t="s">
        <v>116</v>
      </c>
      <c r="B14" s="1631"/>
      <c r="C14" s="1619" t="str">
        <f>"Pregão Eletrônico nº:" &amp; " " &amp; Dados!$G$22</f>
        <v>Pregão Eletrônico nº: PE 32/2021</v>
      </c>
      <c r="D14" s="1620"/>
      <c r="E14" s="102"/>
      <c r="F14" s="298">
        <v>1</v>
      </c>
      <c r="G14" s="100"/>
    </row>
    <row r="15" spans="1:7" ht="15.75" customHeight="1" thickTop="1" x14ac:dyDescent="0.2">
      <c r="A15" s="101" t="str">
        <f>"Dia:" &amp; " " &amp; TEXT(Dados!$G$15,"dd/mm/aaaa") &amp; " " &amp; "às" &amp; " " &amp; TEXT(Dados!$G$18,"hh:mm") &amp; " " &amp; "horas"</f>
        <v>Dia: 15/10/2021 às 10:00 horas</v>
      </c>
      <c r="B15" s="101"/>
      <c r="C15" s="101"/>
      <c r="D15" s="99"/>
      <c r="E15" s="102"/>
      <c r="F15" s="297"/>
      <c r="G15" s="104"/>
    </row>
    <row r="16" spans="1:7" ht="15.75" customHeight="1" x14ac:dyDescent="0.2">
      <c r="A16" s="101"/>
      <c r="B16" s="101"/>
      <c r="C16" s="101"/>
      <c r="D16" s="99"/>
      <c r="E16" s="102"/>
      <c r="F16" s="103"/>
      <c r="G16" s="104"/>
    </row>
    <row r="17" spans="1:7" ht="18" customHeight="1" thickBot="1" x14ac:dyDescent="0.25">
      <c r="A17" s="1638" t="s">
        <v>723</v>
      </c>
      <c r="B17" s="1638"/>
      <c r="C17" s="1638"/>
      <c r="D17" s="1638"/>
      <c r="E17" s="1638"/>
      <c r="F17" s="1638"/>
      <c r="G17" s="1638"/>
    </row>
    <row r="18" spans="1:7" ht="16.5" customHeight="1" thickTop="1" thickBot="1" x14ac:dyDescent="0.25">
      <c r="A18" s="1121" t="s">
        <v>1</v>
      </c>
      <c r="B18" s="1132" t="s">
        <v>119</v>
      </c>
      <c r="C18" s="1133"/>
      <c r="D18" s="566"/>
      <c r="E18" s="106"/>
      <c r="F18" s="1639" t="d">
        <f>Dados!G16</f>
        <v>2021-10-21</v>
      </c>
      <c r="G18" s="1640"/>
    </row>
    <row r="19" spans="1:7" ht="16.5" customHeight="1" thickTop="1" thickBot="1" x14ac:dyDescent="0.25">
      <c r="A19" s="1121" t="s">
        <v>2</v>
      </c>
      <c r="B19" s="565" t="s">
        <v>3</v>
      </c>
      <c r="C19" s="566"/>
      <c r="D19" s="566"/>
      <c r="E19" s="107"/>
      <c r="F19" s="1639" t="str">
        <f>Dados!G19</f>
        <v>Brasília - DF</v>
      </c>
      <c r="G19" s="1640"/>
    </row>
    <row r="20" spans="1:7" ht="15" thickTop="1" x14ac:dyDescent="0.2">
      <c r="A20" s="1675" t="s">
        <v>4</v>
      </c>
      <c r="B20" s="1621" t="s">
        <v>118</v>
      </c>
      <c r="C20" s="1622"/>
      <c r="D20" s="1622"/>
      <c r="E20" s="1623"/>
      <c r="F20" s="1681" t="str">
        <f>Dados!N102</f>
        <v>SIS/SEAC-DF</v>
      </c>
      <c r="G20" s="1681"/>
    </row>
    <row r="21" spans="1:7" ht="15" thickBot="1" x14ac:dyDescent="0.25">
      <c r="A21" s="1677"/>
      <c r="B21" s="1624"/>
      <c r="C21" s="1625"/>
      <c r="D21" s="1625"/>
      <c r="E21" s="1626"/>
      <c r="F21" s="1627" t="str">
        <f>VLOOKUP(F20,'CCT''S'!$A$7:$J$21,5,FALSE)</f>
        <v>2021/2021</v>
      </c>
      <c r="G21" s="1628"/>
    </row>
    <row r="22" spans="1:7" ht="16.5" customHeight="1" thickTop="1" thickBot="1" x14ac:dyDescent="0.25">
      <c r="A22" s="1121" t="s">
        <v>5</v>
      </c>
      <c r="B22" s="1132" t="s">
        <v>120</v>
      </c>
      <c r="C22" s="1133"/>
      <c r="D22" s="566"/>
      <c r="E22" s="107"/>
      <c r="F22" s="1640">
        <f>Dados!G26</f>
        <v>12</v>
      </c>
      <c r="G22" s="1640"/>
    </row>
    <row r="23" spans="1:7" ht="15" thickTop="1" x14ac:dyDescent="0.2">
      <c r="A23" s="98"/>
      <c r="B23" s="99"/>
      <c r="C23" s="99"/>
      <c r="D23" s="99"/>
      <c r="E23" s="99"/>
      <c r="F23" s="108"/>
      <c r="G23" s="109"/>
    </row>
    <row r="24" spans="1:7" ht="16.5" customHeight="1" thickBot="1" x14ac:dyDescent="0.25">
      <c r="A24" s="1638" t="s">
        <v>722</v>
      </c>
      <c r="B24" s="1638"/>
      <c r="C24" s="1638"/>
      <c r="D24" s="1638"/>
      <c r="E24" s="1638"/>
      <c r="F24" s="1638"/>
      <c r="G24" s="1638"/>
    </row>
    <row r="25" spans="1:7" ht="51" customHeight="1" thickTop="1" thickBot="1" x14ac:dyDescent="0.25">
      <c r="A25" s="1635" t="s">
        <v>89</v>
      </c>
      <c r="B25" s="1635"/>
      <c r="C25" s="1125" t="s">
        <v>194</v>
      </c>
      <c r="D25" s="1125" t="s">
        <v>115</v>
      </c>
      <c r="E25" s="1125" t="s">
        <v>73</v>
      </c>
      <c r="F25" s="1125" t="s">
        <v>195</v>
      </c>
      <c r="G25" s="1125" t="s">
        <v>86</v>
      </c>
    </row>
    <row r="26" spans="1:7" ht="33.75" customHeight="1" thickTop="1" thickBot="1" x14ac:dyDescent="0.25">
      <c r="A26" s="1631" t="str">
        <f>Dados!N92</f>
        <v>Técnico em secretariado</v>
      </c>
      <c r="B26" s="1631"/>
      <c r="C26" s="1121" t="str">
        <f>Dados!J30</f>
        <v>44 horas semanais - 5x2</v>
      </c>
      <c r="D26" s="1121" t="str">
        <f>Dados!G25</f>
        <v>Postos de Serviços</v>
      </c>
      <c r="E26" s="292">
        <f>Dados!R92</f>
        <v>7</v>
      </c>
      <c r="F26" s="292">
        <f>Dados!S92</f>
        <v>1</v>
      </c>
      <c r="G26" s="292">
        <f>E26*F26</f>
        <v>7</v>
      </c>
    </row>
    <row r="27" spans="1:7" ht="14.25" hidden="1" customHeight="1" thickTop="1" x14ac:dyDescent="0.2">
      <c r="A27" s="1634" t="s">
        <v>725</v>
      </c>
      <c r="B27" s="1634"/>
      <c r="C27" s="1634"/>
      <c r="D27" s="1634"/>
      <c r="E27" s="1634"/>
      <c r="F27" s="1634"/>
      <c r="G27" s="1634"/>
    </row>
    <row r="28" spans="1:7" ht="14.25" hidden="1" customHeight="1" x14ac:dyDescent="0.2">
      <c r="A28" s="1618"/>
      <c r="B28" s="1618"/>
      <c r="C28" s="1618"/>
      <c r="D28" s="1618"/>
      <c r="E28" s="1618"/>
      <c r="F28" s="1618"/>
      <c r="G28" s="1618"/>
    </row>
    <row r="29" spans="1:7" ht="14.25" hidden="1" customHeight="1" x14ac:dyDescent="0.2">
      <c r="A29" s="1618" t="s">
        <v>724</v>
      </c>
      <c r="B29" s="1618"/>
      <c r="C29" s="1618"/>
      <c r="D29" s="1618"/>
      <c r="E29" s="1618"/>
      <c r="F29" s="1618"/>
      <c r="G29" s="1618"/>
    </row>
    <row r="30" spans="1:7" ht="14.25" hidden="1" customHeight="1" x14ac:dyDescent="0.2">
      <c r="A30" s="1618"/>
      <c r="B30" s="1618"/>
      <c r="C30" s="1618"/>
      <c r="D30" s="1618"/>
      <c r="E30" s="1618"/>
      <c r="F30" s="1618"/>
      <c r="G30" s="1618"/>
    </row>
    <row r="31" spans="1:7" ht="14.25" customHeight="1" thickTop="1" x14ac:dyDescent="0.2">
      <c r="A31" s="101"/>
      <c r="B31" s="101"/>
      <c r="C31" s="101"/>
      <c r="D31" s="101"/>
      <c r="E31" s="101"/>
      <c r="F31" s="572"/>
      <c r="G31" s="573"/>
    </row>
    <row r="32" spans="1:7" ht="14.25" customHeight="1" x14ac:dyDescent="0.2">
      <c r="A32" s="1124" t="s">
        <v>719</v>
      </c>
      <c r="B32" s="98"/>
      <c r="C32" s="98"/>
      <c r="D32" s="98"/>
      <c r="E32" s="98"/>
      <c r="G32" s="110"/>
    </row>
    <row r="33" spans="1:9" ht="6.75" customHeight="1" x14ac:dyDescent="0.2">
      <c r="A33" s="98"/>
      <c r="B33" s="98"/>
      <c r="C33" s="98"/>
      <c r="D33" s="98"/>
      <c r="E33" s="98"/>
      <c r="G33" s="110"/>
    </row>
    <row r="34" spans="1:9" ht="14.25" customHeight="1" x14ac:dyDescent="0.2">
      <c r="A34" s="1632" t="s">
        <v>159</v>
      </c>
      <c r="B34" s="1632"/>
      <c r="C34" s="1632"/>
      <c r="D34" s="1632"/>
      <c r="E34" s="1632"/>
      <c r="F34" s="1632"/>
      <c r="G34" s="1632"/>
    </row>
    <row r="35" spans="1:9" ht="14.25" customHeight="1" thickBot="1" x14ac:dyDescent="0.25">
      <c r="A35" s="1636" t="s">
        <v>102</v>
      </c>
      <c r="B35" s="1636"/>
      <c r="C35" s="1636"/>
      <c r="D35" s="1636"/>
      <c r="E35" s="1636"/>
      <c r="F35" s="1636"/>
      <c r="G35" s="1636"/>
    </row>
    <row r="36" spans="1:9" ht="15" customHeight="1" thickTop="1" thickBot="1" x14ac:dyDescent="0.25">
      <c r="A36" s="1633" t="s">
        <v>88</v>
      </c>
      <c r="B36" s="1633"/>
      <c r="C36" s="1633"/>
      <c r="D36" s="1633"/>
      <c r="E36" s="1633"/>
      <c r="F36" s="1633"/>
      <c r="G36" s="1633"/>
    </row>
    <row r="37" spans="1:9" ht="15.75" thickTop="1" thickBot="1" x14ac:dyDescent="0.25">
      <c r="A37" s="1121">
        <v>1</v>
      </c>
      <c r="B37" s="1633" t="s">
        <v>89</v>
      </c>
      <c r="C37" s="1633"/>
      <c r="D37" s="1633"/>
      <c r="E37" s="1633"/>
      <c r="F37" s="1631" t="str">
        <f>A26</f>
        <v>Técnico em secretariado</v>
      </c>
      <c r="G37" s="1631"/>
    </row>
    <row r="38" spans="1:9" ht="15.75" thickTop="1" thickBot="1" x14ac:dyDescent="0.25">
      <c r="A38" s="1121">
        <v>2</v>
      </c>
      <c r="B38" s="1633" t="s">
        <v>720</v>
      </c>
      <c r="C38" s="1633"/>
      <c r="D38" s="1633"/>
      <c r="E38" s="1633"/>
      <c r="F38" s="1631" t="str">
        <f>Dados!O92</f>
        <v>3515-05</v>
      </c>
      <c r="G38" s="1631"/>
    </row>
    <row r="39" spans="1:9" ht="15.75" customHeight="1" thickTop="1" thickBot="1" x14ac:dyDescent="0.25">
      <c r="A39" s="1121">
        <v>3</v>
      </c>
      <c r="B39" s="1633" t="s">
        <v>90</v>
      </c>
      <c r="C39" s="1633"/>
      <c r="D39" s="1633"/>
      <c r="E39" s="1633"/>
      <c r="F39" s="1682">
        <f>Dados!U92</f>
        <v>3480.03</v>
      </c>
      <c r="G39" s="1682"/>
    </row>
    <row r="40" spans="1:9" ht="44.25" customHeight="1" thickTop="1" thickBot="1" x14ac:dyDescent="0.25">
      <c r="A40" s="1121">
        <v>4</v>
      </c>
      <c r="B40" s="1633" t="s">
        <v>10</v>
      </c>
      <c r="C40" s="1633"/>
      <c r="D40" s="1633"/>
      <c r="E40" s="1633"/>
      <c r="F40" s="1640" t="str">
        <f>Dados!P92</f>
        <v>Técnico em secretariado de segunda a sexta-feira - 44 horas semanais</v>
      </c>
      <c r="G40" s="1640"/>
    </row>
    <row r="41" spans="1:9" ht="14.25" customHeight="1" thickTop="1" thickBot="1" x14ac:dyDescent="0.25">
      <c r="A41" s="1121">
        <v>5</v>
      </c>
      <c r="B41" s="1633" t="s">
        <v>11</v>
      </c>
      <c r="C41" s="1633"/>
      <c r="D41" s="1633"/>
      <c r="E41" s="1633"/>
      <c r="F41" s="1689" t="d">
        <f>VLOOKUP(F20,'CCT''S'!$A$7:$J$21,6,FALSE)</f>
        <v>2021-01-01</v>
      </c>
      <c r="G41" s="1690"/>
    </row>
    <row r="42" spans="1:9" ht="14.25" hidden="1" customHeight="1" thickTop="1" x14ac:dyDescent="0.2">
      <c r="A42" s="101" t="s">
        <v>726</v>
      </c>
      <c r="B42" s="129"/>
      <c r="C42" s="129"/>
      <c r="D42" s="129"/>
      <c r="E42" s="129"/>
      <c r="F42" s="103"/>
      <c r="G42" s="103"/>
    </row>
    <row r="43" spans="1:9" ht="14.25" hidden="1" customHeight="1" x14ac:dyDescent="0.2">
      <c r="A43" s="101" t="s">
        <v>727</v>
      </c>
      <c r="B43" s="129"/>
      <c r="C43" s="129"/>
      <c r="D43" s="129"/>
      <c r="E43" s="129"/>
      <c r="F43" s="103"/>
      <c r="G43" s="103"/>
    </row>
    <row r="44" spans="1:9" ht="14.25" customHeight="1" thickTop="1" x14ac:dyDescent="0.2">
      <c r="A44" s="98"/>
      <c r="B44" s="129"/>
      <c r="C44" s="129"/>
      <c r="D44" s="129"/>
      <c r="E44" s="129"/>
      <c r="F44" s="103"/>
      <c r="G44" s="103"/>
    </row>
    <row r="45" spans="1:9" s="576" customFormat="1" ht="15" thickBot="1" x14ac:dyDescent="0.25">
      <c r="A45" s="576" t="s">
        <v>30</v>
      </c>
    </row>
    <row r="46" spans="1:9" ht="18" customHeight="1" thickTop="1" thickBot="1" x14ac:dyDescent="0.25">
      <c r="A46" s="1131">
        <v>1</v>
      </c>
      <c r="B46" s="1672" t="s">
        <v>91</v>
      </c>
      <c r="C46" s="1673"/>
      <c r="D46" s="1673"/>
      <c r="E46" s="1674"/>
      <c r="F46" s="1125" t="s">
        <v>746</v>
      </c>
      <c r="G46" s="1131" t="s">
        <v>121</v>
      </c>
      <c r="H46" s="111"/>
      <c r="I46" s="111"/>
    </row>
    <row r="47" spans="1:9" ht="15.75" thickTop="1" thickBot="1" x14ac:dyDescent="0.25">
      <c r="A47" s="112" t="s">
        <v>1</v>
      </c>
      <c r="B47" s="1132" t="s">
        <v>674</v>
      </c>
      <c r="C47" s="1133"/>
      <c r="D47" s="1133"/>
      <c r="E47" s="1134"/>
      <c r="F47" s="115"/>
      <c r="G47" s="116">
        <f>$F$39*F14</f>
        <v>3480.03</v>
      </c>
      <c r="H47" s="111"/>
      <c r="I47" s="111"/>
    </row>
    <row r="48" spans="1:9" ht="15.75" thickTop="1" thickBot="1" x14ac:dyDescent="0.25">
      <c r="A48" s="112" t="s">
        <v>2</v>
      </c>
      <c r="B48" s="1132" t="str">
        <f>Dados!A36</f>
        <v xml:space="preserve">Adicional de Periculosidade </v>
      </c>
      <c r="C48" s="1133"/>
      <c r="D48" s="1133"/>
      <c r="E48" s="1134"/>
      <c r="F48" s="369"/>
      <c r="G48" s="117"/>
      <c r="H48" s="111"/>
      <c r="I48" s="111"/>
    </row>
    <row r="49" spans="1:9" ht="15.75" thickTop="1" thickBot="1" x14ac:dyDescent="0.25">
      <c r="A49" s="112" t="s">
        <v>4</v>
      </c>
      <c r="B49" s="1132" t="s">
        <v>908</v>
      </c>
      <c r="C49" s="1133"/>
      <c r="D49" s="1133"/>
      <c r="E49" s="1134"/>
      <c r="F49" s="369"/>
      <c r="G49" s="117"/>
      <c r="H49" s="111"/>
      <c r="I49" s="111"/>
    </row>
    <row r="50" spans="1:9" ht="15.75" thickTop="1" thickBot="1" x14ac:dyDescent="0.25">
      <c r="A50" s="112" t="s">
        <v>5</v>
      </c>
      <c r="B50" s="1132" t="s">
        <v>12</v>
      </c>
      <c r="C50" s="1133"/>
      <c r="D50" s="1133"/>
      <c r="E50" s="1134"/>
      <c r="F50" s="369">
        <f>Dados!G39</f>
        <v>0.2</v>
      </c>
      <c r="G50" s="117"/>
      <c r="H50" s="111"/>
      <c r="I50" s="111"/>
    </row>
    <row r="51" spans="1:9" ht="15.75" thickTop="1" thickBot="1" x14ac:dyDescent="0.25">
      <c r="A51" s="112" t="s">
        <v>6</v>
      </c>
      <c r="B51" s="1132" t="s">
        <v>728</v>
      </c>
      <c r="C51" s="1133"/>
      <c r="D51" s="1133"/>
      <c r="E51" s="1134"/>
      <c r="F51" s="369"/>
      <c r="G51" s="117"/>
      <c r="H51" s="111"/>
      <c r="I51" s="111"/>
    </row>
    <row r="52" spans="1:9" ht="15.75" thickTop="1" thickBot="1" x14ac:dyDescent="0.25">
      <c r="A52" s="112" t="s">
        <v>7</v>
      </c>
      <c r="B52" s="1132" t="s">
        <v>57</v>
      </c>
      <c r="C52" s="1133"/>
      <c r="D52" s="1133"/>
      <c r="E52" s="1134"/>
      <c r="F52" s="369"/>
      <c r="G52" s="117"/>
      <c r="H52" s="111"/>
      <c r="I52" s="111"/>
    </row>
    <row r="53" spans="1:9" ht="16.5" customHeight="1" thickTop="1" thickBot="1" x14ac:dyDescent="0.25">
      <c r="A53" s="1644" t="s">
        <v>232</v>
      </c>
      <c r="B53" s="1645"/>
      <c r="C53" s="1645"/>
      <c r="D53" s="1645"/>
      <c r="E53" s="1645"/>
      <c r="F53" s="1646"/>
      <c r="G53" s="119">
        <f>SUM(G47:G52)</f>
        <v>3480.03</v>
      </c>
      <c r="H53" s="111"/>
      <c r="I53" s="111"/>
    </row>
    <row r="54" spans="1:9" s="68" customFormat="1" ht="15" hidden="1" thickTop="1" x14ac:dyDescent="0.2">
      <c r="A54" s="101" t="s">
        <v>729</v>
      </c>
      <c r="B54" s="101"/>
      <c r="C54" s="101"/>
      <c r="D54" s="101"/>
      <c r="E54" s="101"/>
      <c r="F54" s="574"/>
      <c r="G54" s="575"/>
      <c r="H54" s="122"/>
      <c r="I54" s="122"/>
    </row>
    <row r="55" spans="1:9" s="68" customFormat="1" ht="14.25" hidden="1" customHeight="1" x14ac:dyDescent="0.2">
      <c r="A55" s="1618" t="s">
        <v>958</v>
      </c>
      <c r="B55" s="1618"/>
      <c r="C55" s="1618"/>
      <c r="D55" s="1618"/>
      <c r="E55" s="1618"/>
      <c r="F55" s="1618"/>
      <c r="G55" s="1618"/>
      <c r="H55" s="122"/>
      <c r="I55" s="122"/>
    </row>
    <row r="56" spans="1:9" s="68" customFormat="1" hidden="1" x14ac:dyDescent="0.2">
      <c r="A56" s="1618"/>
      <c r="B56" s="1618"/>
      <c r="C56" s="1618"/>
      <c r="D56" s="1618"/>
      <c r="E56" s="1618"/>
      <c r="F56" s="1618"/>
      <c r="G56" s="1618"/>
      <c r="H56" s="122"/>
      <c r="I56" s="122"/>
    </row>
    <row r="57" spans="1:9" s="68" customFormat="1" ht="15" thickTop="1" x14ac:dyDescent="0.2">
      <c r="A57" s="101"/>
      <c r="B57" s="101"/>
      <c r="C57" s="101"/>
      <c r="D57" s="101"/>
      <c r="E57" s="101"/>
      <c r="F57" s="574"/>
      <c r="G57" s="575"/>
      <c r="H57" s="122"/>
      <c r="I57" s="122"/>
    </row>
    <row r="58" spans="1:9" s="68" customFormat="1" x14ac:dyDescent="0.2">
      <c r="A58" s="1629" t="s">
        <v>730</v>
      </c>
      <c r="B58" s="1629"/>
      <c r="C58" s="1629"/>
      <c r="D58" s="1629"/>
      <c r="E58" s="1629"/>
      <c r="F58" s="1629"/>
      <c r="G58" s="1629"/>
      <c r="H58" s="122"/>
      <c r="I58" s="122"/>
    </row>
    <row r="59" spans="1:9" s="68" customFormat="1" ht="5.25" customHeight="1" x14ac:dyDescent="0.2">
      <c r="A59" s="101"/>
      <c r="B59" s="101"/>
      <c r="C59" s="101"/>
      <c r="D59" s="101"/>
      <c r="E59" s="101"/>
      <c r="F59" s="574"/>
      <c r="G59" s="575"/>
      <c r="H59" s="122"/>
      <c r="I59" s="122"/>
    </row>
    <row r="60" spans="1:9" s="68" customFormat="1" ht="15" thickBot="1" x14ac:dyDescent="0.25">
      <c r="A60" s="1632" t="s">
        <v>737</v>
      </c>
      <c r="B60" s="1632"/>
      <c r="C60" s="1632"/>
      <c r="D60" s="1632"/>
      <c r="E60" s="1632"/>
      <c r="F60" s="1632"/>
      <c r="G60" s="1632"/>
      <c r="H60" s="122"/>
      <c r="I60" s="122"/>
    </row>
    <row r="61" spans="1:9" s="68" customFormat="1" ht="15.75" thickTop="1" thickBot="1" x14ac:dyDescent="0.25">
      <c r="A61" s="1125" t="s">
        <v>732</v>
      </c>
      <c r="B61" s="1635" t="s">
        <v>747</v>
      </c>
      <c r="C61" s="1635"/>
      <c r="D61" s="1635"/>
      <c r="E61" s="1635"/>
      <c r="F61" s="1125" t="s">
        <v>746</v>
      </c>
      <c r="G61" s="1131" t="s">
        <v>121</v>
      </c>
      <c r="H61" s="122"/>
      <c r="I61" s="122"/>
    </row>
    <row r="62" spans="1:9" s="68" customFormat="1" ht="15.75" thickTop="1" thickBot="1" x14ac:dyDescent="0.25">
      <c r="A62" s="1121" t="s">
        <v>1</v>
      </c>
      <c r="B62" s="136" t="str">
        <f>Dados!B92</f>
        <v xml:space="preserve">13º (décimo terceiro) salário  </v>
      </c>
      <c r="C62" s="285"/>
      <c r="D62" s="137"/>
      <c r="E62" s="126"/>
      <c r="F62" s="138">
        <f>Dados!G92</f>
        <v>9.0899999999999995E-2</v>
      </c>
      <c r="G62" s="127">
        <f>F62*$G$53</f>
        <v>316.33</v>
      </c>
      <c r="H62" s="122"/>
      <c r="I62" s="122"/>
    </row>
    <row r="63" spans="1:9" s="68" customFormat="1" ht="15.75" thickTop="1" thickBot="1" x14ac:dyDescent="0.25">
      <c r="A63" s="1121" t="s">
        <v>2</v>
      </c>
      <c r="B63" s="1655" t="str">
        <f>Dados!B93</f>
        <v xml:space="preserve"> Férias e Adicional de Férias</v>
      </c>
      <c r="C63" s="1655"/>
      <c r="D63" s="1655"/>
      <c r="E63" s="1655"/>
      <c r="F63" s="138">
        <f>Dados!G93</f>
        <v>0.1212</v>
      </c>
      <c r="G63" s="127">
        <f>F63*$G$53</f>
        <v>421.78</v>
      </c>
      <c r="H63" s="122"/>
      <c r="I63" s="122"/>
    </row>
    <row r="64" spans="1:9" s="68" customFormat="1" ht="18.75" customHeight="1" thickTop="1" thickBot="1" x14ac:dyDescent="0.25">
      <c r="A64" s="1644" t="s">
        <v>232</v>
      </c>
      <c r="B64" s="1645"/>
      <c r="C64" s="1645"/>
      <c r="D64" s="1645"/>
      <c r="E64" s="1646"/>
      <c r="F64" s="139">
        <f>SUM(F62:F63)</f>
        <v>0.21210000000000001</v>
      </c>
      <c r="G64" s="133">
        <f>SUM(G62:G63)</f>
        <v>738.11</v>
      </c>
      <c r="H64" s="122"/>
      <c r="I64" s="623"/>
    </row>
    <row r="65" spans="1:9" s="68" customFormat="1" ht="15" hidden="1" customHeight="1" thickTop="1" x14ac:dyDescent="0.2">
      <c r="A65" s="1618" t="s">
        <v>736</v>
      </c>
      <c r="B65" s="1618"/>
      <c r="C65" s="1618"/>
      <c r="D65" s="1618"/>
      <c r="E65" s="1618"/>
      <c r="F65" s="1618"/>
      <c r="G65" s="1618"/>
      <c r="H65" s="122"/>
      <c r="I65" s="623"/>
    </row>
    <row r="66" spans="1:9" s="68" customFormat="1" hidden="1" x14ac:dyDescent="0.2">
      <c r="A66" s="1618"/>
      <c r="B66" s="1618"/>
      <c r="C66" s="1618"/>
      <c r="D66" s="1618"/>
      <c r="E66" s="1618"/>
      <c r="F66" s="1618"/>
      <c r="G66" s="1618"/>
      <c r="H66" s="122"/>
      <c r="I66" s="623"/>
    </row>
    <row r="67" spans="1:9" s="68" customFormat="1" ht="14.25" hidden="1" customHeight="1" x14ac:dyDescent="0.2">
      <c r="A67" s="1643" t="s">
        <v>934</v>
      </c>
      <c r="B67" s="1643"/>
      <c r="C67" s="1643"/>
      <c r="D67" s="1643"/>
      <c r="E67" s="1643"/>
      <c r="F67" s="1643"/>
      <c r="G67" s="1643"/>
      <c r="H67" s="122"/>
      <c r="I67" s="623"/>
    </row>
    <row r="68" spans="1:9" s="68" customFormat="1" hidden="1" x14ac:dyDescent="0.2">
      <c r="A68" s="1643"/>
      <c r="B68" s="1643"/>
      <c r="C68" s="1643"/>
      <c r="D68" s="1643"/>
      <c r="E68" s="1643"/>
      <c r="F68" s="1643"/>
      <c r="G68" s="1643"/>
      <c r="H68" s="122"/>
      <c r="I68" s="623"/>
    </row>
    <row r="69" spans="1:9" s="68" customFormat="1" ht="14.25" hidden="1" customHeight="1" x14ac:dyDescent="0.2">
      <c r="A69" s="1618" t="s">
        <v>916</v>
      </c>
      <c r="B69" s="1618"/>
      <c r="C69" s="1618"/>
      <c r="D69" s="1618"/>
      <c r="E69" s="1618"/>
      <c r="F69" s="1618"/>
      <c r="G69" s="1618"/>
      <c r="H69" s="122"/>
      <c r="I69" s="623"/>
    </row>
    <row r="70" spans="1:9" s="68" customFormat="1" hidden="1" x14ac:dyDescent="0.2">
      <c r="A70" s="1618"/>
      <c r="B70" s="1618"/>
      <c r="C70" s="1618"/>
      <c r="D70" s="1618"/>
      <c r="E70" s="1618"/>
      <c r="F70" s="1618"/>
      <c r="G70" s="1618"/>
      <c r="H70" s="122"/>
      <c r="I70" s="623"/>
    </row>
    <row r="71" spans="1:9" s="68" customFormat="1" hidden="1" x14ac:dyDescent="0.2">
      <c r="A71" s="1618"/>
      <c r="B71" s="1618"/>
      <c r="C71" s="1618"/>
      <c r="D71" s="1618"/>
      <c r="E71" s="1618"/>
      <c r="F71" s="1618"/>
      <c r="G71" s="1618"/>
      <c r="H71" s="122"/>
      <c r="I71" s="623"/>
    </row>
    <row r="72" spans="1:9" s="68" customFormat="1" ht="15.75" thickTop="1" thickBot="1" x14ac:dyDescent="0.25">
      <c r="A72" s="1122"/>
      <c r="B72" s="1122"/>
      <c r="C72" s="1122"/>
      <c r="D72" s="1122"/>
      <c r="E72" s="1122"/>
      <c r="F72" s="1122"/>
      <c r="G72" s="1122"/>
      <c r="H72" s="122"/>
      <c r="I72" s="623"/>
    </row>
    <row r="73" spans="1:9" s="68" customFormat="1" ht="15.75" customHeight="1" thickTop="1" thickBot="1" x14ac:dyDescent="0.25">
      <c r="A73" s="1652" t="s">
        <v>804</v>
      </c>
      <c r="B73" s="1653"/>
      <c r="C73" s="1653"/>
      <c r="D73" s="1653"/>
      <c r="E73" s="1653"/>
      <c r="F73" s="1654"/>
      <c r="G73" s="1131" t="s">
        <v>121</v>
      </c>
      <c r="H73" s="122"/>
      <c r="I73" s="623"/>
    </row>
    <row r="74" spans="1:9" s="68" customFormat="1" ht="15.75" thickTop="1" thickBot="1" x14ac:dyDescent="0.25">
      <c r="A74" s="1121">
        <v>1</v>
      </c>
      <c r="B74" s="136" t="str">
        <f>A45</f>
        <v>Módulo 1 - Composição da Remuneração</v>
      </c>
      <c r="C74" s="285"/>
      <c r="D74" s="137"/>
      <c r="E74" s="137"/>
      <c r="F74" s="582"/>
      <c r="G74" s="127">
        <f>G53</f>
        <v>3480.03</v>
      </c>
      <c r="H74" s="122"/>
      <c r="I74" s="623"/>
    </row>
    <row r="75" spans="1:9" s="68" customFormat="1" ht="15.75" thickTop="1" thickBot="1" x14ac:dyDescent="0.25">
      <c r="A75" s="1121" t="s">
        <v>732</v>
      </c>
      <c r="B75" s="136" t="str">
        <f>A60</f>
        <v>Submódulo 2.1 - 13º (décimo terceiro) Salário, Férias e Adicional de Férias</v>
      </c>
      <c r="C75" s="285"/>
      <c r="D75" s="137"/>
      <c r="E75" s="137"/>
      <c r="F75" s="582"/>
      <c r="G75" s="127">
        <f>G64</f>
        <v>738.11</v>
      </c>
      <c r="H75" s="122"/>
      <c r="I75" s="122"/>
    </row>
    <row r="76" spans="1:9" s="68" customFormat="1" ht="15.75" thickTop="1" thickBot="1" x14ac:dyDescent="0.25">
      <c r="A76" s="1686" t="s">
        <v>805</v>
      </c>
      <c r="B76" s="1687"/>
      <c r="C76" s="1687"/>
      <c r="D76" s="1687"/>
      <c r="E76" s="1687"/>
      <c r="F76" s="1688"/>
      <c r="G76" s="133">
        <f>SUM(G74:G75)</f>
        <v>4218.1400000000003</v>
      </c>
      <c r="H76" s="122"/>
      <c r="I76" s="122"/>
    </row>
    <row r="77" spans="1:9" s="68" customFormat="1" ht="15" thickTop="1" x14ac:dyDescent="0.2">
      <c r="A77" s="1122"/>
      <c r="B77" s="1122"/>
      <c r="C77" s="1122"/>
      <c r="D77" s="1122"/>
      <c r="E77" s="1122"/>
      <c r="F77" s="1122"/>
      <c r="G77" s="1122"/>
      <c r="H77" s="122"/>
      <c r="I77" s="122"/>
    </row>
    <row r="78" spans="1:9" ht="15" thickBot="1" x14ac:dyDescent="0.25">
      <c r="A78" s="134" t="s">
        <v>738</v>
      </c>
      <c r="B78" s="135"/>
      <c r="C78" s="135"/>
      <c r="D78" s="135"/>
      <c r="E78" s="135"/>
      <c r="F78" s="135"/>
      <c r="G78" s="135"/>
      <c r="H78" s="111"/>
      <c r="I78" s="111"/>
    </row>
    <row r="79" spans="1:9" ht="15.75" thickTop="1" thickBot="1" x14ac:dyDescent="0.25">
      <c r="A79" s="1125" t="s">
        <v>731</v>
      </c>
      <c r="B79" s="1635" t="s">
        <v>745</v>
      </c>
      <c r="C79" s="1635"/>
      <c r="D79" s="1635"/>
      <c r="E79" s="1635"/>
      <c r="F79" s="1125" t="s">
        <v>746</v>
      </c>
      <c r="G79" s="1131" t="s">
        <v>121</v>
      </c>
      <c r="H79" s="111"/>
      <c r="I79" s="111"/>
    </row>
    <row r="80" spans="1:9" ht="15.75" thickTop="1" thickBot="1" x14ac:dyDescent="0.25">
      <c r="A80" s="1121" t="s">
        <v>1</v>
      </c>
      <c r="B80" s="136" t="str">
        <f>Dados!B98</f>
        <v>INSS</v>
      </c>
      <c r="C80" s="285"/>
      <c r="D80" s="137"/>
      <c r="E80" s="126"/>
      <c r="F80" s="138">
        <f>Dados!G98</f>
        <v>0.2</v>
      </c>
      <c r="G80" s="127">
        <f t="shared" ref="G80:G87" si="0">$G$76*F80</f>
        <v>843.63</v>
      </c>
      <c r="H80" s="111"/>
      <c r="I80" s="111"/>
    </row>
    <row r="81" spans="1:9" ht="15.75" thickTop="1" thickBot="1" x14ac:dyDescent="0.25">
      <c r="A81" s="1121" t="s">
        <v>2</v>
      </c>
      <c r="B81" s="136" t="str">
        <f>Dados!B99</f>
        <v>Salário Educação</v>
      </c>
      <c r="C81" s="285"/>
      <c r="D81" s="137"/>
      <c r="E81" s="126"/>
      <c r="F81" s="138">
        <f>Dados!G99</f>
        <v>2.5000000000000001E-2</v>
      </c>
      <c r="G81" s="127">
        <f t="shared" si="0"/>
        <v>105.45</v>
      </c>
      <c r="H81" s="111"/>
      <c r="I81" s="111"/>
    </row>
    <row r="82" spans="1:9" ht="15.75" thickTop="1" thickBot="1" x14ac:dyDescent="0.25">
      <c r="A82" s="1121" t="s">
        <v>4</v>
      </c>
      <c r="B82" s="136" t="str">
        <f>Dados!B100</f>
        <v>Seguro Acidente do Trabalho - SAT = RAT x FAP</v>
      </c>
      <c r="C82" s="285"/>
      <c r="D82" s="137"/>
      <c r="E82" s="126"/>
      <c r="F82" s="138">
        <f>Dados!G100</f>
        <v>1.2200000000000001E-2</v>
      </c>
      <c r="G82" s="127">
        <f t="shared" si="0"/>
        <v>51.46</v>
      </c>
      <c r="H82" s="111"/>
      <c r="I82" s="111"/>
    </row>
    <row r="83" spans="1:9" ht="15.75" thickTop="1" thickBot="1" x14ac:dyDescent="0.25">
      <c r="A83" s="1121" t="s">
        <v>5</v>
      </c>
      <c r="B83" s="136" t="str">
        <f>Dados!B101</f>
        <v>SESI ou SESC</v>
      </c>
      <c r="C83" s="285"/>
      <c r="D83" s="137"/>
      <c r="E83" s="126"/>
      <c r="F83" s="138">
        <f>Dados!G101</f>
        <v>1.4999999999999999E-2</v>
      </c>
      <c r="G83" s="127">
        <f t="shared" si="0"/>
        <v>63.27</v>
      </c>
      <c r="H83" s="111"/>
      <c r="I83" s="111"/>
    </row>
    <row r="84" spans="1:9" ht="15.75" thickTop="1" thickBot="1" x14ac:dyDescent="0.25">
      <c r="A84" s="1121" t="s">
        <v>6</v>
      </c>
      <c r="B84" s="136" t="str">
        <f>Dados!B102</f>
        <v>SENAI ou SENAC</v>
      </c>
      <c r="C84" s="285"/>
      <c r="D84" s="137"/>
      <c r="E84" s="126"/>
      <c r="F84" s="138">
        <f>Dados!G102</f>
        <v>0.01</v>
      </c>
      <c r="G84" s="127">
        <f t="shared" si="0"/>
        <v>42.18</v>
      </c>
      <c r="H84" s="111"/>
      <c r="I84" s="111"/>
    </row>
    <row r="85" spans="1:9" ht="15.75" thickTop="1" thickBot="1" x14ac:dyDescent="0.25">
      <c r="A85" s="1121" t="s">
        <v>7</v>
      </c>
      <c r="B85" s="136" t="str">
        <f>Dados!B103</f>
        <v>SEBRAE</v>
      </c>
      <c r="C85" s="285"/>
      <c r="D85" s="137"/>
      <c r="E85" s="126"/>
      <c r="F85" s="138">
        <f>Dados!G103</f>
        <v>6.0000000000000001E-3</v>
      </c>
      <c r="G85" s="127">
        <f t="shared" si="0"/>
        <v>25.31</v>
      </c>
      <c r="H85" s="111"/>
      <c r="I85" s="111"/>
    </row>
    <row r="86" spans="1:9" ht="15.75" thickTop="1" thickBot="1" x14ac:dyDescent="0.25">
      <c r="A86" s="1121" t="s">
        <v>8</v>
      </c>
      <c r="B86" s="136" t="str">
        <f>Dados!B104</f>
        <v>INCRA</v>
      </c>
      <c r="C86" s="285"/>
      <c r="D86" s="137"/>
      <c r="E86" s="126"/>
      <c r="F86" s="138">
        <f>Dados!G104</f>
        <v>2E-3</v>
      </c>
      <c r="G86" s="127">
        <f t="shared" si="0"/>
        <v>8.44</v>
      </c>
      <c r="H86" s="111"/>
      <c r="I86" s="111"/>
    </row>
    <row r="87" spans="1:9" ht="15.75" thickTop="1" thickBot="1" x14ac:dyDescent="0.25">
      <c r="A87" s="1121" t="s">
        <v>9</v>
      </c>
      <c r="B87" s="136" t="str">
        <f>Dados!B105</f>
        <v>FGTS</v>
      </c>
      <c r="C87" s="285"/>
      <c r="D87" s="137"/>
      <c r="E87" s="126"/>
      <c r="F87" s="138">
        <f>Dados!G105</f>
        <v>0.08</v>
      </c>
      <c r="G87" s="127">
        <f t="shared" si="0"/>
        <v>337.45</v>
      </c>
      <c r="H87" s="111"/>
      <c r="I87" s="111"/>
    </row>
    <row r="88" spans="1:9" ht="15.75" customHeight="1" thickTop="1" thickBot="1" x14ac:dyDescent="0.25">
      <c r="A88" s="1644" t="s">
        <v>232</v>
      </c>
      <c r="B88" s="1645"/>
      <c r="C88" s="1645"/>
      <c r="D88" s="1645"/>
      <c r="E88" s="1646"/>
      <c r="F88" s="139">
        <f>SUM(F80:F87)</f>
        <v>0.35020000000000001</v>
      </c>
      <c r="G88" s="133">
        <f>SUM(G80:G87)</f>
        <v>1477.19</v>
      </c>
      <c r="H88" s="111"/>
      <c r="I88" s="625"/>
    </row>
    <row r="89" spans="1:9" ht="15" hidden="1" customHeight="1" thickTop="1" x14ac:dyDescent="0.2">
      <c r="A89" s="1618" t="s">
        <v>740</v>
      </c>
      <c r="B89" s="1618"/>
      <c r="C89" s="1618"/>
      <c r="D89" s="1618"/>
      <c r="E89" s="1618"/>
      <c r="F89" s="1618"/>
      <c r="G89" s="1618"/>
      <c r="H89" s="111"/>
      <c r="I89" s="111"/>
    </row>
    <row r="90" spans="1:9" ht="33" hidden="1" customHeight="1" x14ac:dyDescent="0.2">
      <c r="A90" s="1618" t="s">
        <v>739</v>
      </c>
      <c r="B90" s="1618"/>
      <c r="C90" s="1618"/>
      <c r="D90" s="1618"/>
      <c r="E90" s="1618"/>
      <c r="F90" s="1618"/>
      <c r="G90" s="1618"/>
      <c r="H90" s="111"/>
      <c r="I90" s="111"/>
    </row>
    <row r="91" spans="1:9" hidden="1" x14ac:dyDescent="0.2">
      <c r="A91" s="577" t="s">
        <v>917</v>
      </c>
      <c r="B91" s="1124"/>
      <c r="C91" s="1124"/>
      <c r="D91" s="1124"/>
      <c r="E91" s="1124"/>
      <c r="F91" s="1124"/>
      <c r="G91" s="1124"/>
      <c r="H91" s="111"/>
      <c r="I91" s="111"/>
    </row>
    <row r="92" spans="1:9" hidden="1" x14ac:dyDescent="0.2">
      <c r="A92" s="577" t="s">
        <v>803</v>
      </c>
      <c r="B92" s="1124"/>
      <c r="C92" s="1124"/>
      <c r="D92" s="1124"/>
      <c r="E92" s="1124"/>
      <c r="F92" s="1124"/>
      <c r="G92" s="1124"/>
      <c r="H92" s="111"/>
      <c r="I92" s="111"/>
    </row>
    <row r="93" spans="1:9" ht="15.75" thickTop="1" x14ac:dyDescent="0.2">
      <c r="A93" s="578"/>
      <c r="B93" s="1124"/>
      <c r="C93" s="1124"/>
      <c r="D93" s="1124"/>
      <c r="E93" s="1124"/>
      <c r="F93" s="1124"/>
      <c r="G93" s="1124"/>
      <c r="H93" s="111"/>
      <c r="I93" s="111"/>
    </row>
    <row r="94" spans="1:9" ht="15" thickBot="1" x14ac:dyDescent="0.25">
      <c r="A94" s="576" t="s">
        <v>741</v>
      </c>
      <c r="B94" s="1124"/>
      <c r="C94" s="1124"/>
      <c r="D94" s="1124"/>
      <c r="E94" s="1124"/>
      <c r="F94" s="1124"/>
      <c r="G94" s="1124"/>
      <c r="H94" s="111"/>
      <c r="I94" s="111"/>
    </row>
    <row r="95" spans="1:9" ht="15.75" thickTop="1" thickBot="1" x14ac:dyDescent="0.25">
      <c r="A95" s="1125" t="s">
        <v>742</v>
      </c>
      <c r="B95" s="1652" t="s">
        <v>26</v>
      </c>
      <c r="C95" s="1653"/>
      <c r="D95" s="1653"/>
      <c r="E95" s="1653"/>
      <c r="F95" s="1125" t="s">
        <v>746</v>
      </c>
      <c r="G95" s="1127" t="s">
        <v>121</v>
      </c>
      <c r="H95" s="111"/>
      <c r="I95" s="111"/>
    </row>
    <row r="96" spans="1:9" ht="15.75" thickTop="1" thickBot="1" x14ac:dyDescent="0.25">
      <c r="A96" s="1631" t="s">
        <v>1</v>
      </c>
      <c r="B96" s="1132" t="str">
        <f>HLOOKUP($F$20,BENEFÍCIOS!$B$25:$O$38,5,FALSE)</f>
        <v>Auxílio Transporte - Cláusula 14ª da CCT</v>
      </c>
      <c r="C96" s="1133"/>
      <c r="D96" s="566"/>
      <c r="E96" s="938">
        <f>INDEX(Dados!$J$27:$M$31,MATCH($C$26,Dados!$J$27:$J$31,0),4)</f>
        <v>22</v>
      </c>
      <c r="F96" s="939">
        <v>0</v>
      </c>
      <c r="G96" s="299">
        <f>$E$96*F96*$F$14</f>
        <v>0</v>
      </c>
      <c r="H96" s="111"/>
      <c r="I96" s="111"/>
    </row>
    <row r="97" spans="1:9" ht="15.75" thickTop="1" thickBot="1" x14ac:dyDescent="0.25">
      <c r="A97" s="1631"/>
      <c r="B97" s="1132" t="str">
        <f>Dados!A46</f>
        <v>Desconto Legal sobre o salário</v>
      </c>
      <c r="C97" s="1133"/>
      <c r="D97" s="566"/>
      <c r="E97" s="940"/>
      <c r="F97" s="937">
        <f>Dados!J46</f>
        <v>0.06</v>
      </c>
      <c r="G97" s="495">
        <f>-MIN(G96,(F97*G47))</f>
        <v>0</v>
      </c>
      <c r="H97" s="111"/>
      <c r="I97" s="111"/>
    </row>
    <row r="98" spans="1:9" ht="15.75" thickTop="1" thickBot="1" x14ac:dyDescent="0.25">
      <c r="A98" s="1675" t="s">
        <v>2</v>
      </c>
      <c r="B98" s="1132" t="str">
        <f>HLOOKUP($F$20,BENEFÍCIOS!$B$25:$O$38,2,FALSE)</f>
        <v>Auxílio Alimentação - Cláusula 13ª da CCT</v>
      </c>
      <c r="C98" s="1133"/>
      <c r="D98" s="566"/>
      <c r="E98" s="938">
        <f>INDEX(Dados!$J$27:$M$31,MATCH($C$26,Dados!$J$27:$J$31,0),4)</f>
        <v>22</v>
      </c>
      <c r="F98" s="939">
        <f>Dados!K48</f>
        <v>35.31</v>
      </c>
      <c r="G98" s="299">
        <f>(E98*F98)*$F$14</f>
        <v>776.82</v>
      </c>
      <c r="H98" s="111"/>
      <c r="I98" s="111"/>
    </row>
    <row r="99" spans="1:9" ht="15.75" thickTop="1" thickBot="1" x14ac:dyDescent="0.25">
      <c r="A99" s="1677"/>
      <c r="B99" s="1132" t="str">
        <f>HLOOKUP($F$20,BENEFÍCIOS!$B$25:$O$38,3,FALSE)</f>
        <v>Desconto do Auxílio Alimentação - Cláusula 13ª § 5º da CCT</v>
      </c>
      <c r="C99" s="132"/>
      <c r="D99" s="107"/>
      <c r="E99" s="296"/>
      <c r="F99" s="939">
        <f>Dados!K49</f>
        <v>0.7</v>
      </c>
      <c r="G99" s="300">
        <f>-F99*E98</f>
        <v>-15.4</v>
      </c>
      <c r="H99" s="111"/>
      <c r="I99" s="111"/>
    </row>
    <row r="100" spans="1:9" ht="15.75" hidden="1" thickTop="1" thickBot="1" x14ac:dyDescent="0.25">
      <c r="A100" s="1121" t="s">
        <v>4</v>
      </c>
      <c r="B100" s="1132" t="str">
        <f>HLOOKUP($F$20,BENEFÍCIOS!$B$25:$O$38,4,FALSE)</f>
        <v>Auxílio Café da Manhã</v>
      </c>
      <c r="C100" s="132"/>
      <c r="D100" s="107"/>
      <c r="E100" s="296"/>
      <c r="F100" s="939">
        <f>Dados!K50</f>
        <v>0</v>
      </c>
      <c r="G100" s="300">
        <f t="shared" ref="G100:G109" si="1">F100*$F$14</f>
        <v>0</v>
      </c>
      <c r="H100" s="111"/>
      <c r="I100" s="111"/>
    </row>
    <row r="101" spans="1:9" ht="15.75" thickTop="1" thickBot="1" x14ac:dyDescent="0.25">
      <c r="A101" s="1678" t="s">
        <v>4</v>
      </c>
      <c r="B101" s="962" t="str">
        <f>HLOOKUP($F$20,BENEFÍCIOS!$B$25:$O$38,6,FALSE) &amp; " " &amp; "(Pagamento por ressarcimento)"</f>
        <v>Plano Ambulatorial - Cláusula 15ª da CCT (Pagamento por ressarcimento)</v>
      </c>
      <c r="C101" s="963"/>
      <c r="D101" s="964"/>
      <c r="E101" s="965"/>
      <c r="F101" s="939"/>
      <c r="G101" s="967">
        <f>F101*$F$14</f>
        <v>0</v>
      </c>
      <c r="H101" s="111"/>
      <c r="I101" s="111"/>
    </row>
    <row r="102" spans="1:9" ht="15.75" hidden="1" thickTop="1" thickBot="1" x14ac:dyDescent="0.25">
      <c r="A102" s="1679"/>
      <c r="B102" s="962" t="str">
        <f>HLOOKUP($F$20,BENEFÍCIOS!$B$25:$O$38,7,FALSE)</f>
        <v>Plano Ambulatorial - Contr. Empresa - Cláusula 15ª da CCT</v>
      </c>
      <c r="C102" s="963"/>
      <c r="D102" s="964"/>
      <c r="E102" s="965"/>
      <c r="F102" s="939">
        <f>Dados!K52</f>
        <v>0</v>
      </c>
      <c r="G102" s="967">
        <f>F102*$F$14</f>
        <v>0</v>
      </c>
      <c r="H102" s="111"/>
      <c r="I102" s="111"/>
    </row>
    <row r="103" spans="1:9" ht="15.75" hidden="1" thickTop="1" thickBot="1" x14ac:dyDescent="0.25">
      <c r="A103" s="1680"/>
      <c r="B103" s="962" t="str">
        <f>HLOOKUP($F$20,BENEFÍCIOS!$B$25:$O$38,8,FALSE)</f>
        <v>Plano Ambulatorial - Contr. Empregado - Cláusula 15ª da CCT</v>
      </c>
      <c r="C103" s="963"/>
      <c r="D103" s="964"/>
      <c r="E103" s="965"/>
      <c r="F103" s="939">
        <f>Dados!K53</f>
        <v>0</v>
      </c>
      <c r="G103" s="967">
        <f>-F103*$F$14</f>
        <v>0</v>
      </c>
      <c r="H103" s="111"/>
      <c r="I103" s="111"/>
    </row>
    <row r="104" spans="1:9" ht="15.75" thickTop="1" thickBot="1" x14ac:dyDescent="0.25">
      <c r="A104" s="1121" t="s">
        <v>5</v>
      </c>
      <c r="B104" s="1132" t="str">
        <f>HLOOKUP($F$20,BENEFÍCIOS!$B$25:$O$38,9,FALSE)</f>
        <v>Seguro de Vida e Assistência Funeral - Cláusula 16ª da CCT</v>
      </c>
      <c r="C104" s="132"/>
      <c r="D104" s="107"/>
      <c r="E104" s="296"/>
      <c r="F104" s="939">
        <f>Dados!K54</f>
        <v>2.5</v>
      </c>
      <c r="G104" s="300">
        <f t="shared" si="1"/>
        <v>2.5</v>
      </c>
      <c r="H104" s="111"/>
      <c r="I104" s="111"/>
    </row>
    <row r="105" spans="1:9" ht="15.75" thickTop="1" thickBot="1" x14ac:dyDescent="0.25">
      <c r="A105" s="1121" t="s">
        <v>6</v>
      </c>
      <c r="B105" s="1132" t="str">
        <f>HLOOKUP($F$20,BENEFÍCIOS!$B$25:$O$38,10,FALSE) &amp; " " &amp; "(Pagamento por ressarcimento)"</f>
        <v>Assistência Odontológica - Cláusula 19ª da CCT (Pagamento por ressarcimento)</v>
      </c>
      <c r="C105" s="132"/>
      <c r="D105" s="107"/>
      <c r="E105" s="296"/>
      <c r="F105" s="939"/>
      <c r="G105" s="300">
        <f t="shared" si="1"/>
        <v>0</v>
      </c>
      <c r="H105" s="111"/>
      <c r="I105" s="111"/>
    </row>
    <row r="106" spans="1:9" ht="15.75" hidden="1" thickTop="1" thickBot="1" x14ac:dyDescent="0.25">
      <c r="A106" s="1121" t="s">
        <v>8</v>
      </c>
      <c r="B106" s="1132" t="str">
        <f>HLOOKUP($F$20,BENEFÍCIOS!$B$25:$O$38,11,FALSE)</f>
        <v>Auxílio Lazer/Cultura</v>
      </c>
      <c r="C106" s="132"/>
      <c r="D106" s="107"/>
      <c r="E106" s="296"/>
      <c r="F106" s="939">
        <f>Dados!K56</f>
        <v>0</v>
      </c>
      <c r="G106" s="300">
        <f t="shared" si="1"/>
        <v>0</v>
      </c>
      <c r="H106" s="111"/>
      <c r="I106" s="111"/>
    </row>
    <row r="107" spans="1:9" ht="15.75" hidden="1" thickTop="1" thickBot="1" x14ac:dyDescent="0.25">
      <c r="A107" s="1121" t="s">
        <v>9</v>
      </c>
      <c r="B107" s="1132" t="str">
        <f>HLOOKUP($F$20,BENEFÍCIOS!$B$25:$O$38,12,FALSE)</f>
        <v>Treinamento/capacitação/reciclagem - Cláusula 32ª da CCT</v>
      </c>
      <c r="C107" s="132"/>
      <c r="D107" s="107"/>
      <c r="E107" s="296"/>
      <c r="F107" s="939">
        <f>Dados!K57</f>
        <v>0</v>
      </c>
      <c r="G107" s="300">
        <f t="shared" si="1"/>
        <v>0</v>
      </c>
      <c r="H107" s="111"/>
      <c r="I107" s="111"/>
    </row>
    <row r="108" spans="1:9" ht="15.75" hidden="1" thickTop="1" thickBot="1" x14ac:dyDescent="0.25">
      <c r="A108" s="1121" t="s">
        <v>160</v>
      </c>
      <c r="B108" s="1132" t="str">
        <f>HLOOKUP($F$20,BENEFÍCIOS!$B$25:$O$38,13,FALSE)</f>
        <v>Contribuição Assistencial Patronal - Cláusula 64ª da CCT</v>
      </c>
      <c r="C108" s="132"/>
      <c r="D108" s="107"/>
      <c r="E108" s="296"/>
      <c r="F108" s="939">
        <f>Dados!K58</f>
        <v>0</v>
      </c>
      <c r="G108" s="300">
        <f t="shared" si="1"/>
        <v>0</v>
      </c>
      <c r="H108" s="111"/>
      <c r="I108" s="111"/>
    </row>
    <row r="109" spans="1:9" ht="15.75" hidden="1" thickTop="1" thickBot="1" x14ac:dyDescent="0.25">
      <c r="A109" s="1121" t="s">
        <v>627</v>
      </c>
      <c r="B109" s="1132" t="str">
        <f>HLOOKUP($F$20,BENEFÍCIOS!$B$25:$O$38,14,FALSE)</f>
        <v>Auxílio Creche - Cláusula 17ª da CCT</v>
      </c>
      <c r="C109" s="132"/>
      <c r="D109" s="107"/>
      <c r="E109" s="296"/>
      <c r="F109" s="939">
        <f>Dados!J59</f>
        <v>0</v>
      </c>
      <c r="G109" s="300">
        <f t="shared" si="1"/>
        <v>0</v>
      </c>
      <c r="H109" s="111"/>
      <c r="I109" s="111"/>
    </row>
    <row r="110" spans="1:9" ht="15.75" thickTop="1" thickBot="1" x14ac:dyDescent="0.25">
      <c r="A110" s="1121" t="s">
        <v>7</v>
      </c>
      <c r="B110" s="125" t="s">
        <v>57</v>
      </c>
      <c r="C110" s="132"/>
      <c r="D110" s="107"/>
      <c r="E110" s="296"/>
      <c r="F110" s="939"/>
      <c r="G110" s="301"/>
      <c r="H110" s="111"/>
      <c r="I110" s="111"/>
    </row>
    <row r="111" spans="1:9" ht="18" customHeight="1" thickTop="1" thickBot="1" x14ac:dyDescent="0.25">
      <c r="A111" s="1686" t="s">
        <v>232</v>
      </c>
      <c r="B111" s="1687"/>
      <c r="C111" s="1687"/>
      <c r="D111" s="1687"/>
      <c r="E111" s="1687"/>
      <c r="F111" s="1688"/>
      <c r="G111" s="302">
        <f>SUM(G96,G97,G98,G99,G100,G101,G103,G104,G105,G106,G107,G108,G109,)</f>
        <v>763.92</v>
      </c>
      <c r="H111" s="624"/>
      <c r="I111" s="624"/>
    </row>
    <row r="112" spans="1:9" s="68" customFormat="1" ht="15" hidden="1" customHeight="1" thickTop="1" x14ac:dyDescent="0.2">
      <c r="A112" s="101" t="s">
        <v>744</v>
      </c>
      <c r="B112" s="99"/>
      <c r="C112" s="99"/>
      <c r="D112" s="99"/>
      <c r="E112" s="99"/>
      <c r="F112" s="120"/>
      <c r="G112" s="121"/>
      <c r="H112" s="122"/>
      <c r="I112" s="122"/>
    </row>
    <row r="113" spans="1:10" s="68" customFormat="1" hidden="1" x14ac:dyDescent="0.2">
      <c r="A113" s="1618" t="s">
        <v>743</v>
      </c>
      <c r="B113" s="1618"/>
      <c r="C113" s="1618"/>
      <c r="D113" s="1618"/>
      <c r="E113" s="1618"/>
      <c r="F113" s="1618"/>
      <c r="G113" s="1618"/>
      <c r="H113" s="122"/>
      <c r="I113" s="122"/>
    </row>
    <row r="114" spans="1:10" s="68" customFormat="1" hidden="1" x14ac:dyDescent="0.2">
      <c r="A114" s="1618"/>
      <c r="B114" s="1618"/>
      <c r="C114" s="1618"/>
      <c r="D114" s="1618"/>
      <c r="E114" s="1618"/>
      <c r="F114" s="1618"/>
      <c r="G114" s="1618"/>
      <c r="H114" s="122"/>
      <c r="I114" s="122"/>
    </row>
    <row r="115" spans="1:10" s="68" customFormat="1" ht="15" thickTop="1" x14ac:dyDescent="0.2">
      <c r="A115" s="98"/>
      <c r="B115" s="99"/>
      <c r="C115" s="99"/>
      <c r="D115" s="99"/>
      <c r="E115" s="99"/>
      <c r="F115" s="120"/>
      <c r="G115" s="121"/>
      <c r="H115" s="122"/>
      <c r="I115" s="122"/>
    </row>
    <row r="116" spans="1:10" s="68" customFormat="1" ht="15" thickBot="1" x14ac:dyDescent="0.25">
      <c r="A116" s="576" t="s">
        <v>748</v>
      </c>
      <c r="B116" s="99"/>
      <c r="C116" s="99"/>
      <c r="D116" s="99"/>
      <c r="E116" s="99"/>
      <c r="F116" s="120"/>
      <c r="G116" s="121"/>
      <c r="H116" s="122"/>
      <c r="I116" s="122"/>
    </row>
    <row r="117" spans="1:10" s="68" customFormat="1" ht="15.75" thickTop="1" thickBot="1" x14ac:dyDescent="0.25">
      <c r="A117" s="1131">
        <v>2</v>
      </c>
      <c r="B117" s="1672" t="s">
        <v>749</v>
      </c>
      <c r="C117" s="1673"/>
      <c r="D117" s="1673"/>
      <c r="E117" s="1673"/>
      <c r="F117" s="1674"/>
      <c r="G117" s="1131" t="s">
        <v>121</v>
      </c>
      <c r="H117" s="122"/>
      <c r="I117" s="122"/>
    </row>
    <row r="118" spans="1:10" s="68" customFormat="1" ht="15.75" thickTop="1" thickBot="1" x14ac:dyDescent="0.25">
      <c r="A118" s="112" t="s">
        <v>732</v>
      </c>
      <c r="B118" s="1132" t="str">
        <f>B61</f>
        <v>13º (décimo terceiro) Salário, Férias e Adicional de Férias</v>
      </c>
      <c r="C118" s="131"/>
      <c r="D118" s="131"/>
      <c r="E118" s="131"/>
      <c r="F118" s="288"/>
      <c r="G118" s="123">
        <f>G64</f>
        <v>738.11</v>
      </c>
      <c r="H118" s="122"/>
      <c r="I118" s="122"/>
    </row>
    <row r="119" spans="1:10" s="68" customFormat="1" ht="15.75" thickTop="1" thickBot="1" x14ac:dyDescent="0.25">
      <c r="A119" s="112" t="s">
        <v>731</v>
      </c>
      <c r="B119" s="1132" t="str">
        <f>B79</f>
        <v>GPS, FGTS e outras contribuições</v>
      </c>
      <c r="C119" s="131"/>
      <c r="D119" s="131"/>
      <c r="E119" s="131"/>
      <c r="F119" s="288"/>
      <c r="G119" s="123">
        <f>G88</f>
        <v>1477.19</v>
      </c>
      <c r="H119" s="122"/>
      <c r="I119" s="122"/>
    </row>
    <row r="120" spans="1:10" s="68" customFormat="1" ht="15.75" thickTop="1" thickBot="1" x14ac:dyDescent="0.25">
      <c r="A120" s="112" t="s">
        <v>742</v>
      </c>
      <c r="B120" s="1132" t="str">
        <f>B95</f>
        <v>Benefícios Mensais e Diários</v>
      </c>
      <c r="C120" s="131"/>
      <c r="D120" s="131"/>
      <c r="E120" s="131"/>
      <c r="F120" s="288"/>
      <c r="G120" s="123">
        <f>G111</f>
        <v>763.92</v>
      </c>
      <c r="H120" s="122"/>
      <c r="I120" s="122"/>
    </row>
    <row r="121" spans="1:10" s="68" customFormat="1" ht="15.75" thickTop="1" thickBot="1" x14ac:dyDescent="0.25">
      <c r="A121" s="1644" t="s">
        <v>232</v>
      </c>
      <c r="B121" s="1645"/>
      <c r="C121" s="1645"/>
      <c r="D121" s="1645"/>
      <c r="E121" s="1645"/>
      <c r="F121" s="1646"/>
      <c r="G121" s="133">
        <f>SUM(G118:G120)</f>
        <v>2979.22</v>
      </c>
      <c r="H121" s="122"/>
      <c r="I121" s="622"/>
      <c r="J121" s="620"/>
    </row>
    <row r="122" spans="1:10" s="68" customFormat="1" ht="15" thickTop="1" x14ac:dyDescent="0.2">
      <c r="A122" s="101"/>
      <c r="B122" s="101"/>
      <c r="C122" s="101"/>
      <c r="D122" s="101"/>
      <c r="E122" s="101"/>
      <c r="F122" s="574"/>
      <c r="G122" s="575"/>
      <c r="H122" s="122"/>
      <c r="I122" s="122"/>
    </row>
    <row r="123" spans="1:10" s="68" customFormat="1" ht="15" thickBot="1" x14ac:dyDescent="0.25">
      <c r="A123" s="1629" t="s">
        <v>750</v>
      </c>
      <c r="B123" s="1629"/>
      <c r="C123" s="1629"/>
      <c r="D123" s="1629"/>
      <c r="E123" s="1629"/>
      <c r="F123" s="1629"/>
      <c r="G123" s="1629"/>
      <c r="H123" s="122"/>
      <c r="I123" s="122"/>
    </row>
    <row r="124" spans="1:10" s="68" customFormat="1" ht="15.75" thickTop="1" thickBot="1" x14ac:dyDescent="0.25">
      <c r="A124" s="1125">
        <v>3</v>
      </c>
      <c r="B124" s="1652" t="s">
        <v>99</v>
      </c>
      <c r="C124" s="1653"/>
      <c r="D124" s="1653"/>
      <c r="E124" s="1654"/>
      <c r="F124" s="1125" t="s">
        <v>746</v>
      </c>
      <c r="G124" s="1131" t="s">
        <v>121</v>
      </c>
      <c r="H124" s="122"/>
      <c r="I124" s="122"/>
    </row>
    <row r="125" spans="1:10" s="68" customFormat="1" ht="15.75" thickTop="1" thickBot="1" x14ac:dyDescent="0.25">
      <c r="A125" s="1121" t="s">
        <v>1</v>
      </c>
      <c r="B125" s="136" t="str">
        <f>Dados!B111</f>
        <v>Aviso Prévio Indenizado </v>
      </c>
      <c r="C125" s="285"/>
      <c r="D125" s="137"/>
      <c r="E125" s="126"/>
      <c r="F125" s="138">
        <f>Dados!G111</f>
        <v>2.5000000000000001E-3</v>
      </c>
      <c r="G125" s="127">
        <f>F125*$G$53</f>
        <v>8.6999999999999993</v>
      </c>
      <c r="H125" s="122"/>
      <c r="I125" s="122"/>
    </row>
    <row r="126" spans="1:10" s="68" customFormat="1" ht="15.75" thickTop="1" thickBot="1" x14ac:dyDescent="0.25">
      <c r="A126" s="1121" t="s">
        <v>2</v>
      </c>
      <c r="B126" s="136" t="str">
        <f>Dados!B112</f>
        <v>Incidência do FGTS sobre aviso prévio indenizado</v>
      </c>
      <c r="C126" s="285"/>
      <c r="D126" s="137"/>
      <c r="E126" s="126"/>
      <c r="F126" s="138">
        <f>Dados!G112</f>
        <v>2.0000000000000001E-4</v>
      </c>
      <c r="G126" s="127">
        <f t="shared" ref="G126:G130" si="2">F126*$G$53</f>
        <v>0.7</v>
      </c>
      <c r="H126" s="122"/>
      <c r="I126" s="122"/>
    </row>
    <row r="127" spans="1:10" s="68" customFormat="1" ht="15.75" thickTop="1" thickBot="1" x14ac:dyDescent="0.25">
      <c r="A127" s="1121" t="s">
        <v>4</v>
      </c>
      <c r="B127" s="136" t="str">
        <f>Dados!B113</f>
        <v>Multa do FGTS e contribuição social sobre o Aviso Prévio Indenizado</v>
      </c>
      <c r="C127" s="285"/>
      <c r="D127" s="137"/>
      <c r="E127" s="126"/>
      <c r="F127" s="138">
        <f>Dados!G113</f>
        <v>0</v>
      </c>
      <c r="G127" s="127">
        <f t="shared" si="2"/>
        <v>0</v>
      </c>
      <c r="H127" s="122"/>
      <c r="I127" s="122"/>
    </row>
    <row r="128" spans="1:10" s="68" customFormat="1" ht="15.75" thickTop="1" thickBot="1" x14ac:dyDescent="0.25">
      <c r="A128" s="1121" t="s">
        <v>5</v>
      </c>
      <c r="B128" s="136" t="str">
        <f>Dados!B114</f>
        <v>Aviso Prévio Trabalhado</v>
      </c>
      <c r="C128" s="285"/>
      <c r="D128" s="137"/>
      <c r="E128" s="126"/>
      <c r="F128" s="138">
        <f>Dados!G114</f>
        <v>1.9400000000000001E-2</v>
      </c>
      <c r="G128" s="127">
        <f t="shared" si="2"/>
        <v>67.510000000000005</v>
      </c>
      <c r="H128" s="122"/>
      <c r="I128" s="122"/>
    </row>
    <row r="129" spans="1:13" s="68" customFormat="1" ht="15.75" thickTop="1" thickBot="1" x14ac:dyDescent="0.25">
      <c r="A129" s="1121" t="s">
        <v>6</v>
      </c>
      <c r="B129" s="136" t="str">
        <f>Dados!B115</f>
        <v>Incidência de GPS, FGTS e outras contribuições sobre o aviso prévio trabalhado</v>
      </c>
      <c r="C129" s="285"/>
      <c r="D129" s="137"/>
      <c r="E129" s="126"/>
      <c r="F129" s="138">
        <f>Dados!G115</f>
        <v>6.7999999999999996E-3</v>
      </c>
      <c r="G129" s="127">
        <f t="shared" si="2"/>
        <v>23.66</v>
      </c>
      <c r="H129" s="122"/>
      <c r="I129" s="122"/>
    </row>
    <row r="130" spans="1:13" s="68" customFormat="1" ht="15.75" thickTop="1" thickBot="1" x14ac:dyDescent="0.25">
      <c r="A130" s="1121" t="s">
        <v>7</v>
      </c>
      <c r="B130" s="136" t="str">
        <f>Dados!B116</f>
        <v>Multa do FGTS e contribuição social sobre o Aviso Prévio Trabalhado</v>
      </c>
      <c r="C130" s="285"/>
      <c r="D130" s="137"/>
      <c r="E130" s="126"/>
      <c r="F130" s="138">
        <f>Dados!G116</f>
        <v>1E-4</v>
      </c>
      <c r="G130" s="127">
        <f t="shared" si="2"/>
        <v>0.35</v>
      </c>
      <c r="H130" s="122"/>
      <c r="I130" s="122"/>
    </row>
    <row r="131" spans="1:13" s="68" customFormat="1" ht="15.75" thickTop="1" thickBot="1" x14ac:dyDescent="0.25">
      <c r="A131" s="1157" t="s">
        <v>7</v>
      </c>
      <c r="B131" s="136" t="str">
        <f>Dados!B117</f>
        <v>Multa do FGTS</v>
      </c>
      <c r="C131" s="285"/>
      <c r="D131" s="137"/>
      <c r="E131" s="126"/>
      <c r="F131" s="138">
        <f>Dados!G117</f>
        <v>3.49E-2</v>
      </c>
      <c r="G131" s="127">
        <f>F131*$G$53</f>
        <v>121.45</v>
      </c>
      <c r="H131" s="122"/>
      <c r="I131" s="122"/>
    </row>
    <row r="132" spans="1:13" s="68" customFormat="1" ht="15.75" thickTop="1" thickBot="1" x14ac:dyDescent="0.25">
      <c r="A132" s="1644" t="s">
        <v>232</v>
      </c>
      <c r="B132" s="1645"/>
      <c r="C132" s="1645"/>
      <c r="D132" s="1645"/>
      <c r="E132" s="1646"/>
      <c r="F132" s="139">
        <f>SUM(F125:F131)</f>
        <v>6.3899999999999998E-2</v>
      </c>
      <c r="G132" s="133">
        <f>SUM(G125:G131)</f>
        <v>222.37</v>
      </c>
      <c r="H132" s="122"/>
      <c r="I132" s="618"/>
    </row>
    <row r="133" spans="1:13" s="68" customFormat="1" ht="15" thickTop="1" x14ac:dyDescent="0.2">
      <c r="A133" s="129"/>
      <c r="B133" s="129"/>
      <c r="C133" s="129"/>
      <c r="D133" s="129"/>
      <c r="E133" s="129"/>
      <c r="F133" s="120"/>
      <c r="G133" s="140"/>
      <c r="H133" s="122"/>
      <c r="I133" s="122"/>
    </row>
    <row r="134" spans="1:13" s="68" customFormat="1" x14ac:dyDescent="0.2">
      <c r="A134" s="1629" t="s">
        <v>751</v>
      </c>
      <c r="B134" s="1629"/>
      <c r="C134" s="1629"/>
      <c r="D134" s="1629"/>
      <c r="E134" s="1629"/>
      <c r="F134" s="1629"/>
      <c r="G134" s="1629"/>
      <c r="H134" s="122"/>
      <c r="I134" s="122"/>
    </row>
    <row r="135" spans="1:13" s="68" customFormat="1" ht="14.25" hidden="1" customHeight="1" x14ac:dyDescent="0.2">
      <c r="A135" s="1618" t="s">
        <v>919</v>
      </c>
      <c r="B135" s="1618"/>
      <c r="C135" s="1618"/>
      <c r="D135" s="1618"/>
      <c r="E135" s="1618"/>
      <c r="F135" s="1618"/>
      <c r="G135" s="1618"/>
      <c r="H135" s="122"/>
      <c r="I135" s="122"/>
    </row>
    <row r="136" spans="1:13" s="68" customFormat="1" hidden="1" x14ac:dyDescent="0.2">
      <c r="A136" s="1618"/>
      <c r="B136" s="1618"/>
      <c r="C136" s="1618"/>
      <c r="D136" s="1618"/>
      <c r="E136" s="1618"/>
      <c r="F136" s="1618"/>
      <c r="G136" s="1618"/>
      <c r="H136" s="122"/>
      <c r="I136" s="122"/>
    </row>
    <row r="137" spans="1:13" s="68" customFormat="1" hidden="1" x14ac:dyDescent="0.2">
      <c r="A137" s="101" t="s">
        <v>935</v>
      </c>
      <c r="B137" s="1124"/>
      <c r="C137" s="1124"/>
      <c r="D137" s="1124"/>
      <c r="E137" s="1124"/>
      <c r="F137" s="1124"/>
      <c r="G137" s="1124"/>
      <c r="H137" s="122"/>
      <c r="I137" s="122"/>
    </row>
    <row r="138" spans="1:13" s="68" customFormat="1" ht="15" thickBot="1" x14ac:dyDescent="0.25">
      <c r="A138" s="576" t="s">
        <v>929</v>
      </c>
      <c r="B138" s="1124"/>
      <c r="C138" s="1124"/>
      <c r="D138" s="1124"/>
      <c r="E138" s="785"/>
      <c r="F138" s="1124"/>
      <c r="G138" s="1124"/>
      <c r="H138" s="762"/>
      <c r="I138" s="629"/>
      <c r="J138" s="620"/>
    </row>
    <row r="139" spans="1:13" s="68" customFormat="1" ht="15.75" thickTop="1" thickBot="1" x14ac:dyDescent="0.25">
      <c r="A139" s="1125" t="s">
        <v>48</v>
      </c>
      <c r="B139" s="1652" t="s">
        <v>930</v>
      </c>
      <c r="C139" s="1653"/>
      <c r="D139" s="1653"/>
      <c r="E139" s="1654"/>
      <c r="F139" s="1125" t="s">
        <v>746</v>
      </c>
      <c r="G139" s="1131" t="s">
        <v>121</v>
      </c>
      <c r="H139" s="763"/>
      <c r="I139" s="623"/>
      <c r="J139" s="626"/>
      <c r="K139" s="626"/>
      <c r="L139" s="621"/>
    </row>
    <row r="140" spans="1:13" s="68" customFormat="1" ht="15.75" thickTop="1" thickBot="1" x14ac:dyDescent="0.25">
      <c r="A140" s="1121" t="s">
        <v>1</v>
      </c>
      <c r="B140" s="136" t="str">
        <f>Dados!B122</f>
        <v>Substituto na cobertura de Férias</v>
      </c>
      <c r="C140" s="285"/>
      <c r="D140" s="137"/>
      <c r="E140" s="285"/>
      <c r="F140" s="138">
        <f>Dados!G122</f>
        <v>7.6E-3</v>
      </c>
      <c r="G140" s="127">
        <f>$G$53*F140</f>
        <v>26.45</v>
      </c>
      <c r="H140" s="764"/>
      <c r="I140" s="626"/>
      <c r="J140" s="626"/>
      <c r="K140" s="619"/>
      <c r="L140" s="619"/>
      <c r="M140" s="626"/>
    </row>
    <row r="141" spans="1:13" s="68" customFormat="1" ht="15.75" thickTop="1" thickBot="1" x14ac:dyDescent="0.25">
      <c r="A141" s="1121" t="s">
        <v>2</v>
      </c>
      <c r="B141" s="136" t="str">
        <f>Dados!B123</f>
        <v>Substituto na cobertura de Ausências Legais</v>
      </c>
      <c r="C141" s="285"/>
      <c r="D141" s="137"/>
      <c r="E141" s="285"/>
      <c r="F141" s="138">
        <f>Dados!G123</f>
        <v>1E-4</v>
      </c>
      <c r="G141" s="127">
        <f t="shared" ref="G141:G145" si="3">$G$53*F141</f>
        <v>0.35</v>
      </c>
      <c r="H141" s="765"/>
      <c r="K141" s="626"/>
      <c r="M141" s="626"/>
    </row>
    <row r="142" spans="1:13" s="68" customFormat="1" ht="15.75" thickTop="1" thickBot="1" x14ac:dyDescent="0.25">
      <c r="A142" s="1121" t="s">
        <v>4</v>
      </c>
      <c r="B142" s="136" t="str">
        <f>Dados!B124</f>
        <v>Substituto na cobertura de Licença-Paternidade</v>
      </c>
      <c r="C142" s="285"/>
      <c r="D142" s="137"/>
      <c r="E142" s="285"/>
      <c r="F142" s="138">
        <f>Dados!G124</f>
        <v>1E-4</v>
      </c>
      <c r="G142" s="127">
        <f t="shared" si="3"/>
        <v>0.35</v>
      </c>
      <c r="H142" s="764"/>
      <c r="J142" s="619"/>
      <c r="K142" s="626"/>
      <c r="M142" s="626"/>
    </row>
    <row r="143" spans="1:13" s="68" customFormat="1" ht="15.75" thickTop="1" thickBot="1" x14ac:dyDescent="0.25">
      <c r="A143" s="1121" t="s">
        <v>5</v>
      </c>
      <c r="B143" s="136" t="str">
        <f>Dados!B125</f>
        <v>Substituto na cobertura de Ausência por acidente de trabalho</v>
      </c>
      <c r="C143" s="285"/>
      <c r="D143" s="137"/>
      <c r="E143" s="285"/>
      <c r="F143" s="138">
        <f>Dados!G125</f>
        <v>1E-4</v>
      </c>
      <c r="G143" s="127">
        <f t="shared" si="3"/>
        <v>0.35</v>
      </c>
      <c r="H143" s="764"/>
      <c r="K143" s="626"/>
      <c r="M143" s="626"/>
    </row>
    <row r="144" spans="1:13" s="68" customFormat="1" ht="15.75" thickTop="1" thickBot="1" x14ac:dyDescent="0.25">
      <c r="A144" s="1121" t="s">
        <v>6</v>
      </c>
      <c r="B144" s="136" t="str">
        <f>Dados!B126</f>
        <v>Substituto na cobertura de Afastamento Maternidade</v>
      </c>
      <c r="C144" s="285"/>
      <c r="D144" s="137"/>
      <c r="E144" s="285"/>
      <c r="F144" s="138">
        <f>Dados!G126</f>
        <v>1E-4</v>
      </c>
      <c r="G144" s="127">
        <f t="shared" si="3"/>
        <v>0.35</v>
      </c>
      <c r="H144" s="764"/>
      <c r="K144" s="626"/>
      <c r="M144" s="626"/>
    </row>
    <row r="145" spans="1:13" s="68" customFormat="1" ht="15.75" thickTop="1" thickBot="1" x14ac:dyDescent="0.25">
      <c r="A145" s="1121" t="s">
        <v>7</v>
      </c>
      <c r="B145" s="136" t="str">
        <f>Dados!B127</f>
        <v>Substituto na cobertura de outras ausências (licença por doença)</v>
      </c>
      <c r="C145" s="285"/>
      <c r="D145" s="137"/>
      <c r="E145" s="285"/>
      <c r="F145" s="138">
        <f>Dados!G127</f>
        <v>0</v>
      </c>
      <c r="G145" s="127">
        <f t="shared" si="3"/>
        <v>0</v>
      </c>
      <c r="H145" s="764"/>
      <c r="K145" s="626"/>
      <c r="M145" s="627"/>
    </row>
    <row r="146" spans="1:13" s="68" customFormat="1" ht="15.75" customHeight="1" thickTop="1" thickBot="1" x14ac:dyDescent="0.25">
      <c r="A146" s="1644" t="s">
        <v>232</v>
      </c>
      <c r="B146" s="1645"/>
      <c r="C146" s="1645"/>
      <c r="D146" s="1645"/>
      <c r="E146" s="1646"/>
      <c r="F146" s="139">
        <f>SUM(F140:F145)</f>
        <v>8.0000000000000002E-3</v>
      </c>
      <c r="G146" s="128">
        <f>SUM(G140:G145)</f>
        <v>27.85</v>
      </c>
      <c r="H146" s="766"/>
      <c r="I146" s="619"/>
      <c r="J146" s="620"/>
      <c r="K146" s="619"/>
    </row>
    <row r="147" spans="1:13" s="68" customFormat="1" ht="15" hidden="1" customHeight="1" thickTop="1" x14ac:dyDescent="0.2">
      <c r="A147" s="1618" t="s">
        <v>936</v>
      </c>
      <c r="B147" s="1618"/>
      <c r="C147" s="1618"/>
      <c r="D147" s="1618"/>
      <c r="E147" s="1618"/>
      <c r="F147" s="1618"/>
      <c r="G147" s="1618"/>
      <c r="H147" s="122"/>
      <c r="I147" s="122"/>
    </row>
    <row r="148" spans="1:13" s="68" customFormat="1" hidden="1" x14ac:dyDescent="0.2">
      <c r="A148" s="1618"/>
      <c r="B148" s="1618"/>
      <c r="C148" s="1618"/>
      <c r="D148" s="1618"/>
      <c r="E148" s="1618"/>
      <c r="F148" s="1618"/>
      <c r="G148" s="1618"/>
      <c r="H148" s="122"/>
      <c r="I148" s="617"/>
      <c r="J148" s="617"/>
      <c r="K148" s="617"/>
    </row>
    <row r="149" spans="1:13" s="68" customFormat="1" ht="15" thickTop="1" x14ac:dyDescent="0.2">
      <c r="A149" s="1122"/>
      <c r="B149" s="1122"/>
      <c r="C149" s="1122"/>
      <c r="D149" s="1122"/>
      <c r="E149" s="1122"/>
      <c r="F149" s="1122"/>
      <c r="G149" s="1122"/>
      <c r="H149" s="122"/>
      <c r="I149" s="122"/>
    </row>
    <row r="150" spans="1:13" s="68" customFormat="1" ht="15" thickBot="1" x14ac:dyDescent="0.25">
      <c r="A150" s="210" t="s">
        <v>926</v>
      </c>
      <c r="B150" s="1124"/>
      <c r="C150" s="1124"/>
      <c r="D150" s="1124"/>
      <c r="E150" s="1124"/>
      <c r="F150" s="1124"/>
      <c r="G150" s="1124"/>
      <c r="H150" s="122"/>
      <c r="I150" s="619"/>
      <c r="J150" s="621"/>
      <c r="K150" s="621"/>
      <c r="L150" s="619"/>
      <c r="M150" s="621"/>
    </row>
    <row r="151" spans="1:13" s="68" customFormat="1" ht="15.75" thickTop="1" thickBot="1" x14ac:dyDescent="0.25">
      <c r="A151" s="1125" t="s">
        <v>53</v>
      </c>
      <c r="B151" s="1652" t="s">
        <v>927</v>
      </c>
      <c r="C151" s="1653"/>
      <c r="D151" s="1653"/>
      <c r="E151" s="1653"/>
      <c r="F151" s="1654"/>
      <c r="G151" s="1131" t="s">
        <v>121</v>
      </c>
      <c r="H151" s="122"/>
      <c r="I151" s="122"/>
      <c r="K151" s="621"/>
      <c r="L151" s="619"/>
      <c r="M151" s="626"/>
    </row>
    <row r="152" spans="1:13" s="68" customFormat="1" ht="17.25" thickTop="1" thickBot="1" x14ac:dyDescent="0.25">
      <c r="A152" s="1121" t="s">
        <v>1</v>
      </c>
      <c r="B152" s="1683" t="s">
        <v>928</v>
      </c>
      <c r="C152" s="1684"/>
      <c r="D152" s="1684"/>
      <c r="E152" s="1684"/>
      <c r="F152" s="1685"/>
      <c r="G152" s="127">
        <f>ROUND(IF(G52=0,H152,0),2)</f>
        <v>0</v>
      </c>
      <c r="H152" s="628"/>
      <c r="I152" s="122"/>
    </row>
    <row r="153" spans="1:13" s="68" customFormat="1" ht="15.75" customHeight="1" thickTop="1" thickBot="1" x14ac:dyDescent="0.25">
      <c r="A153" s="1644" t="s">
        <v>232</v>
      </c>
      <c r="B153" s="1645"/>
      <c r="C153" s="1645"/>
      <c r="D153" s="1645"/>
      <c r="E153" s="1645"/>
      <c r="F153" s="1646"/>
      <c r="G153" s="128">
        <f>SUM(G147:G152)</f>
        <v>0</v>
      </c>
      <c r="H153" s="122"/>
      <c r="I153" s="122"/>
    </row>
    <row r="154" spans="1:13" s="68" customFormat="1" ht="15" hidden="1" thickTop="1" x14ac:dyDescent="0.2">
      <c r="A154" s="1618" t="s">
        <v>752</v>
      </c>
      <c r="B154" s="1618"/>
      <c r="C154" s="1618"/>
      <c r="D154" s="1618"/>
      <c r="E154" s="1618"/>
      <c r="F154" s="1618"/>
      <c r="G154" s="1618"/>
      <c r="H154" s="122"/>
      <c r="I154" s="122"/>
    </row>
    <row r="155" spans="1:13" s="68" customFormat="1" ht="15.75" hidden="1" customHeight="1" x14ac:dyDescent="0.2">
      <c r="A155" s="1618"/>
      <c r="B155" s="1618"/>
      <c r="C155" s="1618"/>
      <c r="D155" s="1618"/>
      <c r="E155" s="1618"/>
      <c r="F155" s="1618"/>
      <c r="G155" s="1618"/>
      <c r="H155" s="122"/>
      <c r="I155" s="122"/>
    </row>
    <row r="156" spans="1:13" s="68" customFormat="1" ht="15" thickTop="1" x14ac:dyDescent="0.2">
      <c r="A156" s="101"/>
      <c r="B156" s="101"/>
      <c r="C156" s="101"/>
      <c r="D156" s="101"/>
      <c r="E156" s="101"/>
      <c r="F156" s="574"/>
      <c r="G156" s="575"/>
      <c r="H156" s="122"/>
      <c r="I156" s="122"/>
    </row>
    <row r="157" spans="1:13" s="68" customFormat="1" ht="15" thickBot="1" x14ac:dyDescent="0.25">
      <c r="A157" s="576" t="s">
        <v>754</v>
      </c>
      <c r="B157" s="99"/>
      <c r="C157" s="99"/>
      <c r="D157" s="99"/>
      <c r="E157" s="99"/>
      <c r="F157" s="120"/>
      <c r="G157" s="121"/>
      <c r="H157" s="122"/>
      <c r="I157" s="122"/>
    </row>
    <row r="158" spans="1:13" s="68" customFormat="1" ht="15.75" thickTop="1" thickBot="1" x14ac:dyDescent="0.25">
      <c r="A158" s="1131">
        <v>4</v>
      </c>
      <c r="B158" s="1672" t="s">
        <v>753</v>
      </c>
      <c r="C158" s="1673"/>
      <c r="D158" s="1673"/>
      <c r="E158" s="1673"/>
      <c r="F158" s="1674"/>
      <c r="G158" s="1131" t="s">
        <v>121</v>
      </c>
      <c r="H158" s="122"/>
      <c r="I158" s="122"/>
    </row>
    <row r="159" spans="1:13" s="68" customFormat="1" ht="15.75" thickTop="1" thickBot="1" x14ac:dyDescent="0.25">
      <c r="A159" s="112" t="s">
        <v>48</v>
      </c>
      <c r="B159" s="1132" t="str">
        <f>B139</f>
        <v>Substituto nas Ausências Legais</v>
      </c>
      <c r="C159" s="131"/>
      <c r="D159" s="131"/>
      <c r="E159" s="131"/>
      <c r="F159" s="288"/>
      <c r="G159" s="123">
        <f>G146</f>
        <v>27.85</v>
      </c>
      <c r="H159" s="122"/>
      <c r="I159" s="122"/>
    </row>
    <row r="160" spans="1:13" s="68" customFormat="1" ht="15.75" thickTop="1" thickBot="1" x14ac:dyDescent="0.25">
      <c r="A160" s="112" t="s">
        <v>53</v>
      </c>
      <c r="B160" s="1132" t="str">
        <f>B151</f>
        <v>Substituo na Intrajornada</v>
      </c>
      <c r="C160" s="131"/>
      <c r="D160" s="131"/>
      <c r="E160" s="131"/>
      <c r="F160" s="288"/>
      <c r="G160" s="123">
        <f>G153</f>
        <v>0</v>
      </c>
      <c r="H160" s="122"/>
      <c r="I160" s="122"/>
    </row>
    <row r="161" spans="1:9" s="68" customFormat="1" ht="15.75" thickTop="1" thickBot="1" x14ac:dyDescent="0.25">
      <c r="A161" s="1644" t="s">
        <v>232</v>
      </c>
      <c r="B161" s="1645"/>
      <c r="C161" s="1645"/>
      <c r="D161" s="1645"/>
      <c r="E161" s="1645"/>
      <c r="F161" s="1646"/>
      <c r="G161" s="133">
        <f>SUM(G159:G160)</f>
        <v>27.85</v>
      </c>
      <c r="H161" s="122"/>
      <c r="I161" s="122"/>
    </row>
    <row r="162" spans="1:9" s="68" customFormat="1" ht="15" thickTop="1" x14ac:dyDescent="0.2">
      <c r="A162" s="101"/>
      <c r="B162" s="101"/>
      <c r="C162" s="101"/>
      <c r="D162" s="101"/>
      <c r="E162" s="101"/>
      <c r="F162" s="574"/>
      <c r="G162" s="575"/>
      <c r="H162" s="122"/>
      <c r="I162" s="122"/>
    </row>
    <row r="163" spans="1:9" ht="15" thickBot="1" x14ac:dyDescent="0.25">
      <c r="A163" s="1629" t="s">
        <v>756</v>
      </c>
      <c r="B163" s="1629"/>
      <c r="C163" s="1629"/>
      <c r="D163" s="1629"/>
      <c r="E163" s="1629"/>
      <c r="F163" s="1629"/>
      <c r="G163" s="1629"/>
      <c r="H163" s="111"/>
      <c r="I163" s="111"/>
    </row>
    <row r="164" spans="1:9" ht="15.75" thickTop="1" thickBot="1" x14ac:dyDescent="0.25">
      <c r="A164" s="1131">
        <v>5</v>
      </c>
      <c r="B164" s="1672" t="s">
        <v>93</v>
      </c>
      <c r="C164" s="1673"/>
      <c r="D164" s="1673"/>
      <c r="E164" s="1673"/>
      <c r="F164" s="1674"/>
      <c r="G164" s="1131" t="s">
        <v>121</v>
      </c>
      <c r="H164" s="111"/>
      <c r="I164" s="111"/>
    </row>
    <row r="165" spans="1:9" ht="15.75" thickTop="1" thickBot="1" x14ac:dyDescent="0.25">
      <c r="A165" s="112" t="s">
        <v>1</v>
      </c>
      <c r="B165" s="130" t="str">
        <f>Dados!A63</f>
        <v>Uniformes</v>
      </c>
      <c r="C165" s="131"/>
      <c r="D165" s="131"/>
      <c r="E165" s="131"/>
      <c r="F165" s="769">
        <f>Dados!J69</f>
        <v>46.53</v>
      </c>
      <c r="G165" s="123">
        <f>F165*$F$14</f>
        <v>46.53</v>
      </c>
      <c r="H165" s="111"/>
      <c r="I165" s="111"/>
    </row>
    <row r="166" spans="1:9" ht="15.75" thickTop="1" thickBot="1" x14ac:dyDescent="0.25">
      <c r="A166" s="112" t="s">
        <v>2</v>
      </c>
      <c r="B166" s="130" t="str">
        <f>Dados!A71</f>
        <v>Materiais</v>
      </c>
      <c r="C166" s="131"/>
      <c r="D166" s="131"/>
      <c r="E166" s="131"/>
      <c r="F166" s="769"/>
      <c r="G166" s="123">
        <f t="shared" ref="G166:G167" si="4">F166*$F$14</f>
        <v>0</v>
      </c>
      <c r="H166" s="111"/>
      <c r="I166" s="111"/>
    </row>
    <row r="167" spans="1:9" ht="15.75" thickTop="1" thickBot="1" x14ac:dyDescent="0.25">
      <c r="A167" s="112" t="s">
        <v>4</v>
      </c>
      <c r="B167" s="1132" t="str">
        <f>Dados!A73</f>
        <v xml:space="preserve">Equipamentos </v>
      </c>
      <c r="C167" s="131"/>
      <c r="D167" s="131"/>
      <c r="E167" s="131"/>
      <c r="F167" s="769"/>
      <c r="G167" s="123">
        <f t="shared" si="4"/>
        <v>0</v>
      </c>
      <c r="H167" s="111"/>
      <c r="I167" s="111"/>
    </row>
    <row r="168" spans="1:9" ht="15.75" thickTop="1" thickBot="1" x14ac:dyDescent="0.25">
      <c r="A168" s="112" t="s">
        <v>5</v>
      </c>
      <c r="B168" s="1132" t="str">
        <f>Dados!A74</f>
        <v>Depreciação e manutenção dos equipamentos</v>
      </c>
      <c r="C168" s="131"/>
      <c r="D168" s="131"/>
      <c r="E168" s="131"/>
      <c r="F168" s="770">
        <f>Dados!I74</f>
        <v>0</v>
      </c>
      <c r="G168" s="123">
        <f>G167*F168</f>
        <v>0</v>
      </c>
      <c r="H168" s="111"/>
      <c r="I168" s="111"/>
    </row>
    <row r="169" spans="1:9" ht="15.75" thickTop="1" thickBot="1" x14ac:dyDescent="0.25">
      <c r="A169" s="112" t="s">
        <v>6</v>
      </c>
      <c r="B169" s="125" t="s">
        <v>57</v>
      </c>
      <c r="C169" s="132"/>
      <c r="D169" s="132"/>
      <c r="E169" s="285"/>
      <c r="F169" s="288"/>
      <c r="G169" s="124"/>
      <c r="H169" s="111"/>
      <c r="I169" s="111"/>
    </row>
    <row r="170" spans="1:9" ht="15.75" thickTop="1" thickBot="1" x14ac:dyDescent="0.25">
      <c r="A170" s="118"/>
      <c r="B170" s="1644" t="s">
        <v>232</v>
      </c>
      <c r="C170" s="1645"/>
      <c r="D170" s="1645"/>
      <c r="E170" s="1645"/>
      <c r="F170" s="1646"/>
      <c r="G170" s="133">
        <f>SUM(G165:G169)</f>
        <v>46.53</v>
      </c>
      <c r="H170" s="111"/>
      <c r="I170" s="111"/>
    </row>
    <row r="171" spans="1:9" s="68" customFormat="1" ht="15" hidden="1" thickTop="1" x14ac:dyDescent="0.2">
      <c r="A171" s="101" t="s">
        <v>757</v>
      </c>
      <c r="B171" s="99"/>
      <c r="C171" s="99"/>
      <c r="D171" s="99"/>
      <c r="E171" s="99"/>
      <c r="F171" s="120"/>
      <c r="G171" s="121"/>
      <c r="H171" s="122"/>
      <c r="I171" s="122"/>
    </row>
    <row r="172" spans="1:9" s="68" customFormat="1" ht="15" thickTop="1" x14ac:dyDescent="0.2">
      <c r="A172" s="98"/>
      <c r="B172" s="99"/>
      <c r="C172" s="99"/>
      <c r="D172" s="99"/>
      <c r="E172" s="99"/>
      <c r="F172" s="120"/>
      <c r="G172" s="121"/>
      <c r="H172" s="122"/>
      <c r="I172" s="122"/>
    </row>
    <row r="173" spans="1:9" ht="15" thickBot="1" x14ac:dyDescent="0.25">
      <c r="A173" s="1629" t="s">
        <v>760</v>
      </c>
      <c r="B173" s="1629"/>
      <c r="C173" s="1629"/>
      <c r="D173" s="1629"/>
      <c r="E173" s="1629"/>
      <c r="F173" s="1629"/>
      <c r="G173" s="1629"/>
      <c r="H173" s="111"/>
    </row>
    <row r="174" spans="1:9" ht="15.75" thickTop="1" thickBot="1" x14ac:dyDescent="0.25">
      <c r="A174" s="1125">
        <v>6</v>
      </c>
      <c r="B174" s="1657" t="s">
        <v>27</v>
      </c>
      <c r="C174" s="1657"/>
      <c r="D174" s="1657"/>
      <c r="E174" s="1657"/>
      <c r="F174" s="1125" t="s">
        <v>746</v>
      </c>
      <c r="G174" s="1131" t="s">
        <v>121</v>
      </c>
      <c r="H174" s="111"/>
      <c r="I174" s="111"/>
    </row>
    <row r="175" spans="1:9" ht="14.25" customHeight="1" thickTop="1" thickBot="1" x14ac:dyDescent="0.25">
      <c r="A175" s="1121" t="s">
        <v>1</v>
      </c>
      <c r="B175" s="141" t="s">
        <v>28</v>
      </c>
      <c r="C175" s="137"/>
      <c r="D175" s="137"/>
      <c r="E175" s="126"/>
      <c r="F175" s="138">
        <f>Dados!Q77</f>
        <v>0.01</v>
      </c>
      <c r="G175" s="142">
        <f>$G$196*F175</f>
        <v>67.56</v>
      </c>
      <c r="H175" s="111"/>
      <c r="I175" s="111"/>
    </row>
    <row r="176" spans="1:9" ht="14.25" customHeight="1" thickTop="1" thickBot="1" x14ac:dyDescent="0.25">
      <c r="A176" s="1121" t="s">
        <v>2</v>
      </c>
      <c r="B176" s="141" t="s">
        <v>20</v>
      </c>
      <c r="C176" s="137"/>
      <c r="D176" s="137"/>
      <c r="E176" s="126"/>
      <c r="F176" s="138">
        <f>Dados!Q78</f>
        <v>0.01</v>
      </c>
      <c r="G176" s="142">
        <f>($G$196+$G$175)*F176</f>
        <v>68.239999999999995</v>
      </c>
      <c r="H176" s="111"/>
      <c r="I176" s="111"/>
    </row>
    <row r="177" spans="1:9" ht="14.25" customHeight="1" thickTop="1" thickBot="1" x14ac:dyDescent="0.25">
      <c r="A177" s="1675" t="s">
        <v>4</v>
      </c>
      <c r="B177" s="141" t="s">
        <v>24</v>
      </c>
      <c r="C177" s="296"/>
      <c r="D177" s="137"/>
      <c r="E177" s="920"/>
      <c r="F177" s="921"/>
      <c r="G177" s="939">
        <f>SUM(G175:G176)</f>
        <v>135.80000000000001</v>
      </c>
      <c r="H177" s="111"/>
      <c r="I177" s="111"/>
    </row>
    <row r="178" spans="1:9" ht="14.25" customHeight="1" thickTop="1" thickBot="1" x14ac:dyDescent="0.25">
      <c r="A178" s="1676"/>
      <c r="B178" s="136" t="s">
        <v>103</v>
      </c>
      <c r="C178" s="285"/>
      <c r="D178" s="137"/>
      <c r="E178" s="920"/>
      <c r="F178" s="921"/>
      <c r="G178" s="919"/>
      <c r="H178" s="111"/>
      <c r="I178" s="111"/>
    </row>
    <row r="179" spans="1:9" ht="14.25" customHeight="1" thickTop="1" thickBot="1" x14ac:dyDescent="0.25">
      <c r="A179" s="1676"/>
      <c r="B179" s="136" t="s">
        <v>21</v>
      </c>
      <c r="C179" s="285"/>
      <c r="D179" s="137"/>
      <c r="F179" s="295">
        <f>Dados!F88</f>
        <v>1.17E-2</v>
      </c>
      <c r="G179" s="143">
        <f>(($G$196+$G$175+$G$176)/Dados!$H$88)*F179</f>
        <v>91.13</v>
      </c>
      <c r="H179" s="111"/>
      <c r="I179" s="111"/>
    </row>
    <row r="180" spans="1:9" ht="14.25" customHeight="1" thickTop="1" thickBot="1" x14ac:dyDescent="0.25">
      <c r="A180" s="1676"/>
      <c r="B180" s="136" t="s">
        <v>22</v>
      </c>
      <c r="C180" s="285"/>
      <c r="D180" s="137"/>
      <c r="E180" s="126"/>
      <c r="F180" s="295">
        <f>Dados!E88</f>
        <v>5.3499999999999999E-2</v>
      </c>
      <c r="G180" s="143">
        <f>(($G$196+$G$175+$G$176)/Dados!$H$88)*F180</f>
        <v>416.72</v>
      </c>
      <c r="H180" s="111"/>
      <c r="I180" s="111"/>
    </row>
    <row r="181" spans="1:9" ht="14.25" customHeight="1" thickTop="1" thickBot="1" x14ac:dyDescent="0.25">
      <c r="A181" s="1676"/>
      <c r="B181" s="136" t="s">
        <v>104</v>
      </c>
      <c r="C181" s="285"/>
      <c r="D181" s="137"/>
      <c r="E181" s="126"/>
      <c r="F181" s="138"/>
      <c r="G181" s="142"/>
      <c r="H181" s="111"/>
      <c r="I181" s="111"/>
    </row>
    <row r="182" spans="1:9" ht="14.25" customHeight="1" thickTop="1" thickBot="1" x14ac:dyDescent="0.25">
      <c r="A182" s="1676"/>
      <c r="B182" s="136" t="s">
        <v>29</v>
      </c>
      <c r="C182" s="285"/>
      <c r="D182" s="137"/>
      <c r="E182" s="126"/>
      <c r="F182" s="138"/>
      <c r="G182" s="143"/>
      <c r="H182" s="111"/>
      <c r="I182" s="111"/>
    </row>
    <row r="183" spans="1:9" ht="14.25" customHeight="1" thickTop="1" thickBot="1" x14ac:dyDescent="0.25">
      <c r="A183" s="1676"/>
      <c r="B183" s="136" t="s">
        <v>105</v>
      </c>
      <c r="C183" s="285"/>
      <c r="D183" s="137"/>
      <c r="E183" s="126"/>
      <c r="F183" s="138"/>
      <c r="G183" s="142"/>
      <c r="H183" s="111"/>
      <c r="I183" s="111"/>
    </row>
    <row r="184" spans="1:9" ht="14.25" customHeight="1" thickTop="1" thickBot="1" x14ac:dyDescent="0.25">
      <c r="A184" s="1677"/>
      <c r="B184" s="136" t="s">
        <v>23</v>
      </c>
      <c r="C184" s="285"/>
      <c r="D184" s="137"/>
      <c r="E184" s="126"/>
      <c r="F184" s="295">
        <f>Dados!C88</f>
        <v>0.05</v>
      </c>
      <c r="G184" s="143">
        <f>(($G$196+$G$175+$G$176)/Dados!$H$88)*F184</f>
        <v>389.46</v>
      </c>
      <c r="H184" s="111"/>
      <c r="I184" s="111"/>
    </row>
    <row r="185" spans="1:9" ht="18" customHeight="1" thickTop="1" thickBot="1" x14ac:dyDescent="0.25">
      <c r="A185" s="1644" t="s">
        <v>232</v>
      </c>
      <c r="B185" s="1645"/>
      <c r="C185" s="1645"/>
      <c r="D185" s="1645"/>
      <c r="E185" s="1646"/>
      <c r="F185" s="139">
        <f>SUM(F175:F184)</f>
        <v>0.13519999999999999</v>
      </c>
      <c r="G185" s="144">
        <f>G175+G179+G180+G184+G176</f>
        <v>1033.1099999999999</v>
      </c>
      <c r="H185" s="111"/>
      <c r="I185" s="111"/>
    </row>
    <row r="186" spans="1:9" ht="15" hidden="1" thickTop="1" x14ac:dyDescent="0.2">
      <c r="A186" s="572" t="s">
        <v>759</v>
      </c>
      <c r="B186" s="145"/>
      <c r="C186" s="145"/>
      <c r="D186" s="145"/>
      <c r="E186" s="145"/>
      <c r="F186" s="145"/>
      <c r="G186" s="146"/>
      <c r="H186" s="111"/>
      <c r="I186" s="111"/>
    </row>
    <row r="187" spans="1:9" hidden="1" x14ac:dyDescent="0.2">
      <c r="A187" s="572" t="s">
        <v>758</v>
      </c>
      <c r="B187" s="145"/>
      <c r="C187" s="145"/>
      <c r="D187" s="145"/>
      <c r="E187" s="145"/>
      <c r="F187" s="145"/>
      <c r="G187" s="146"/>
      <c r="H187" s="111"/>
      <c r="I187" s="111"/>
    </row>
    <row r="188" spans="1:9" ht="15" thickTop="1" x14ac:dyDescent="0.2">
      <c r="A188" s="572"/>
      <c r="B188" s="145"/>
      <c r="C188" s="145"/>
      <c r="D188" s="145"/>
      <c r="E188" s="145"/>
      <c r="F188" s="145"/>
      <c r="G188" s="146"/>
      <c r="H188" s="111"/>
      <c r="I188" s="111"/>
    </row>
    <row r="189" spans="1:9" ht="15" thickBot="1" x14ac:dyDescent="0.25">
      <c r="A189" s="1124" t="s">
        <v>761</v>
      </c>
      <c r="B189" s="145"/>
      <c r="C189" s="145"/>
      <c r="D189" s="145"/>
      <c r="E189" s="145"/>
      <c r="F189" s="145"/>
      <c r="G189" s="146"/>
      <c r="H189" s="111"/>
      <c r="I189" s="111"/>
    </row>
    <row r="190" spans="1:9" ht="16.5" customHeight="1" thickTop="1" thickBot="1" x14ac:dyDescent="0.25">
      <c r="A190" s="1658" t="s">
        <v>718</v>
      </c>
      <c r="B190" s="1658"/>
      <c r="C190" s="1658"/>
      <c r="D190" s="1658"/>
      <c r="E190" s="1658"/>
      <c r="F190" s="1658"/>
      <c r="G190" s="1131" t="s">
        <v>121</v>
      </c>
      <c r="H190" s="111"/>
    </row>
    <row r="191" spans="1:9" ht="14.25" customHeight="1" thickTop="1" thickBot="1" x14ac:dyDescent="0.25">
      <c r="A191" s="1121" t="s">
        <v>1</v>
      </c>
      <c r="B191" s="1132" t="str">
        <f>A45</f>
        <v>Módulo 1 - Composição da Remuneração</v>
      </c>
      <c r="C191" s="1133"/>
      <c r="D191" s="566"/>
      <c r="E191" s="566"/>
      <c r="F191" s="147"/>
      <c r="G191" s="124">
        <f>G53</f>
        <v>3480.03</v>
      </c>
      <c r="H191" s="111"/>
    </row>
    <row r="192" spans="1:9" ht="14.25" customHeight="1" thickTop="1" thickBot="1" x14ac:dyDescent="0.25">
      <c r="A192" s="1121" t="s">
        <v>2</v>
      </c>
      <c r="B192" s="1132" t="str">
        <f>A58</f>
        <v>Módulo 2 - Encargos e Benefícios Anuais, Mensais e Diários</v>
      </c>
      <c r="C192" s="1133"/>
      <c r="D192" s="566"/>
      <c r="E192" s="566"/>
      <c r="F192" s="147"/>
      <c r="G192" s="124">
        <f>G121</f>
        <v>2979.22</v>
      </c>
      <c r="H192" s="111"/>
    </row>
    <row r="193" spans="1:8" ht="14.25" customHeight="1" thickTop="1" thickBot="1" x14ac:dyDescent="0.25">
      <c r="A193" s="1121" t="s">
        <v>4</v>
      </c>
      <c r="B193" s="1132" t="str">
        <f>A123</f>
        <v>Módulo 3 - Provisão para Rescisão</v>
      </c>
      <c r="C193" s="1133"/>
      <c r="D193" s="566"/>
      <c r="E193" s="566"/>
      <c r="F193" s="147"/>
      <c r="G193" s="124">
        <f>G132</f>
        <v>222.37</v>
      </c>
      <c r="H193" s="111"/>
    </row>
    <row r="194" spans="1:8" ht="14.25" customHeight="1" thickTop="1" thickBot="1" x14ac:dyDescent="0.25">
      <c r="A194" s="1121" t="s">
        <v>5</v>
      </c>
      <c r="B194" s="1132" t="str">
        <f>A134</f>
        <v>Módulo 4 - Custo de Reposição do Profissional</v>
      </c>
      <c r="C194" s="1133"/>
      <c r="D194" s="566"/>
      <c r="E194" s="566"/>
      <c r="F194" s="147"/>
      <c r="G194" s="124">
        <f>G161</f>
        <v>27.85</v>
      </c>
      <c r="H194" s="111"/>
    </row>
    <row r="195" spans="1:8" ht="15.75" hidden="1" thickTop="1" thickBot="1" x14ac:dyDescent="0.25">
      <c r="A195" s="583" t="s">
        <v>6</v>
      </c>
      <c r="B195" s="1132" t="str">
        <f>A163</f>
        <v>Módulo 5 - Insumos Diversos</v>
      </c>
      <c r="C195" s="579"/>
      <c r="D195" s="579"/>
      <c r="E195" s="579"/>
      <c r="F195" s="580"/>
      <c r="G195" s="584">
        <f>G170</f>
        <v>46.53</v>
      </c>
    </row>
    <row r="196" spans="1:8" ht="15.75" thickTop="1" thickBot="1" x14ac:dyDescent="0.25">
      <c r="A196" s="1644" t="s">
        <v>762</v>
      </c>
      <c r="B196" s="1645"/>
      <c r="C196" s="1645"/>
      <c r="D196" s="1645"/>
      <c r="E196" s="1645"/>
      <c r="F196" s="1646"/>
      <c r="G196" s="133">
        <f>SUM(G191:G195)</f>
        <v>6756</v>
      </c>
    </row>
    <row r="197" spans="1:8" ht="14.25" customHeight="1" thickTop="1" thickBot="1" x14ac:dyDescent="0.25">
      <c r="A197" s="1121" t="s">
        <v>7</v>
      </c>
      <c r="B197" s="1132" t="str">
        <f>A173</f>
        <v>Módulo 6 - Custos Indiretos, Tributos e Lucro</v>
      </c>
      <c r="C197" s="1133"/>
      <c r="D197" s="566"/>
      <c r="E197" s="566"/>
      <c r="F197" s="147"/>
      <c r="G197" s="124">
        <f>G185</f>
        <v>1033.1099999999999</v>
      </c>
    </row>
    <row r="198" spans="1:8" ht="15.75" customHeight="1" thickTop="1" thickBot="1" x14ac:dyDescent="0.25">
      <c r="A198" s="1644" t="s">
        <v>687</v>
      </c>
      <c r="B198" s="1645"/>
      <c r="C198" s="1645"/>
      <c r="D198" s="1645"/>
      <c r="E198" s="1645"/>
      <c r="F198" s="1646"/>
      <c r="G198" s="133">
        <f>SUM(G196:G197)</f>
        <v>7789.11</v>
      </c>
    </row>
    <row r="199" spans="1:8" ht="15.75" thickTop="1" thickBot="1" x14ac:dyDescent="0.25">
      <c r="A199" s="1644" t="s">
        <v>1445</v>
      </c>
      <c r="B199" s="1645"/>
      <c r="C199" s="1645"/>
      <c r="D199" s="1645"/>
      <c r="E199" s="1645"/>
      <c r="F199" s="1646"/>
      <c r="G199" s="133">
        <f>Dados!K51+Dados!K55</f>
        <v>170.7</v>
      </c>
    </row>
    <row r="200" spans="1:8" ht="15.75" thickTop="1" thickBot="1" x14ac:dyDescent="0.25">
      <c r="A200" s="1644" t="s">
        <v>687</v>
      </c>
      <c r="B200" s="1645"/>
      <c r="C200" s="1645"/>
      <c r="D200" s="1645"/>
      <c r="E200" s="1645"/>
      <c r="F200" s="1646"/>
      <c r="G200" s="133">
        <f>G198+G199</f>
        <v>7959.81</v>
      </c>
    </row>
    <row r="201" spans="1:8" ht="15" thickTop="1" x14ac:dyDescent="0.2"/>
    <row r="202" spans="1:8" ht="15" hidden="1" thickBot="1" x14ac:dyDescent="0.25">
      <c r="A202" s="1124" t="s">
        <v>763</v>
      </c>
    </row>
    <row r="203" spans="1:8" ht="46.5" hidden="1" customHeight="1" thickTop="1" x14ac:dyDescent="0.2">
      <c r="A203" s="1650" t="s">
        <v>167</v>
      </c>
      <c r="B203" s="1651"/>
      <c r="C203" s="1130" t="s">
        <v>765</v>
      </c>
      <c r="D203" s="1130" t="s">
        <v>764</v>
      </c>
      <c r="E203" s="1130" t="s">
        <v>766</v>
      </c>
      <c r="F203" s="1126" t="s">
        <v>767</v>
      </c>
      <c r="G203" s="1126" t="s">
        <v>768</v>
      </c>
    </row>
    <row r="204" spans="1:8" ht="18" hidden="1" customHeight="1" thickBot="1" x14ac:dyDescent="0.25">
      <c r="A204" s="1659" t="s">
        <v>168</v>
      </c>
      <c r="B204" s="1660"/>
      <c r="C204" s="586" t="s">
        <v>169</v>
      </c>
      <c r="D204" s="586" t="s">
        <v>170</v>
      </c>
      <c r="E204" s="586" t="s">
        <v>171</v>
      </c>
      <c r="F204" s="587" t="s">
        <v>172</v>
      </c>
      <c r="G204" s="587" t="s">
        <v>173</v>
      </c>
    </row>
    <row r="205" spans="1:8" ht="49.5" hidden="1" customHeight="1" thickTop="1" thickBot="1" x14ac:dyDescent="0.25">
      <c r="A205" s="583" t="s">
        <v>160</v>
      </c>
      <c r="B205" s="1129" t="str">
        <f>F40</f>
        <v>Técnico em secretariado de segunda a sexta-feira - 44 horas semanais</v>
      </c>
      <c r="C205" s="274">
        <f>G198</f>
        <v>7789.11</v>
      </c>
      <c r="D205" s="275">
        <f>F26</f>
        <v>1</v>
      </c>
      <c r="E205" s="276">
        <f>C205*D205</f>
        <v>7789.11</v>
      </c>
      <c r="F205" s="277">
        <f>E26</f>
        <v>7</v>
      </c>
      <c r="G205" s="278">
        <f>E205*F205</f>
        <v>54523.77</v>
      </c>
    </row>
    <row r="206" spans="1:8" ht="15.75" hidden="1" thickTop="1" thickBot="1" x14ac:dyDescent="0.25">
      <c r="A206" s="1644" t="s">
        <v>769</v>
      </c>
      <c r="B206" s="1645"/>
      <c r="C206" s="1645"/>
      <c r="D206" s="1645"/>
      <c r="E206" s="1645"/>
      <c r="F206" s="1646"/>
      <c r="G206" s="133">
        <f>SUM(G205)</f>
        <v>54523.77</v>
      </c>
    </row>
    <row r="207" spans="1:8" ht="15" hidden="1" thickTop="1" x14ac:dyDescent="0.2">
      <c r="A207" s="247"/>
      <c r="B207" s="247"/>
      <c r="C207" s="247"/>
      <c r="D207" s="247"/>
      <c r="E207" s="247"/>
      <c r="F207" s="247"/>
      <c r="G207" s="247"/>
    </row>
    <row r="208" spans="1:8" ht="15" hidden="1" thickBot="1" x14ac:dyDescent="0.25">
      <c r="A208" s="1124" t="s">
        <v>770</v>
      </c>
      <c r="B208" s="247"/>
      <c r="C208" s="247"/>
      <c r="D208" s="247"/>
      <c r="E208" s="247"/>
      <c r="F208" s="247"/>
      <c r="G208" s="247"/>
    </row>
    <row r="209" spans="1:7" ht="15" hidden="1" customHeight="1" thickTop="1" thickBot="1" x14ac:dyDescent="0.25">
      <c r="A209" s="1128"/>
      <c r="B209" s="1656" t="s">
        <v>771</v>
      </c>
      <c r="C209" s="1656"/>
      <c r="D209" s="1656"/>
      <c r="E209" s="1656"/>
      <c r="F209" s="1656"/>
      <c r="G209" s="1656"/>
    </row>
    <row r="210" spans="1:7" ht="15.75" hidden="1" thickTop="1" thickBot="1" x14ac:dyDescent="0.25">
      <c r="A210" s="283"/>
      <c r="B210" s="1647" t="s">
        <v>772</v>
      </c>
      <c r="C210" s="1648"/>
      <c r="D210" s="1648"/>
      <c r="E210" s="1648"/>
      <c r="F210" s="1649"/>
      <c r="G210" s="283" t="s">
        <v>773</v>
      </c>
    </row>
    <row r="211" spans="1:7" ht="15.75" hidden="1" thickTop="1" thickBot="1" x14ac:dyDescent="0.25">
      <c r="A211" s="279" t="s">
        <v>1</v>
      </c>
      <c r="B211" s="287" t="s">
        <v>174</v>
      </c>
      <c r="C211" s="286"/>
      <c r="D211" s="284"/>
      <c r="E211" s="284"/>
      <c r="F211" s="284"/>
      <c r="G211" s="280">
        <f>G198</f>
        <v>7789.11</v>
      </c>
    </row>
    <row r="212" spans="1:7" ht="15.75" hidden="1" thickTop="1" thickBot="1" x14ac:dyDescent="0.25">
      <c r="A212" s="279" t="s">
        <v>2</v>
      </c>
      <c r="B212" s="287" t="s">
        <v>175</v>
      </c>
      <c r="C212" s="286"/>
      <c r="D212" s="284"/>
      <c r="E212" s="284"/>
      <c r="F212" s="284"/>
      <c r="G212" s="280">
        <f>G205</f>
        <v>54523.77</v>
      </c>
    </row>
    <row r="213" spans="1:7" ht="15.75" hidden="1" customHeight="1" thickTop="1" thickBot="1" x14ac:dyDescent="0.25">
      <c r="A213" s="279" t="s">
        <v>4</v>
      </c>
      <c r="B213" s="287" t="s">
        <v>914</v>
      </c>
      <c r="C213" s="286"/>
      <c r="D213" s="284"/>
      <c r="E213" s="284"/>
      <c r="F213" s="284"/>
      <c r="G213" s="280">
        <f>G212*$F$22</f>
        <v>654285.24</v>
      </c>
    </row>
    <row r="214" spans="1:7" ht="15" hidden="1" thickTop="1" x14ac:dyDescent="0.2">
      <c r="A214" s="68" t="s">
        <v>774</v>
      </c>
    </row>
    <row r="216" spans="1:7" hidden="1" x14ac:dyDescent="0.2"/>
    <row r="217" spans="1:7" hidden="1" x14ac:dyDescent="0.2">
      <c r="A217" s="1124" t="s">
        <v>775</v>
      </c>
    </row>
    <row r="218" spans="1:7" ht="15" hidden="1" thickBot="1" x14ac:dyDescent="0.25">
      <c r="A218" s="145"/>
      <c r="B218" s="585"/>
      <c r="C218" s="585"/>
      <c r="D218" s="585"/>
      <c r="E218" s="585"/>
      <c r="F218" s="585"/>
      <c r="G218" s="585"/>
    </row>
    <row r="219" spans="1:7" ht="15" hidden="1" customHeight="1" thickTop="1" x14ac:dyDescent="0.2">
      <c r="A219" s="1650" t="s">
        <v>776</v>
      </c>
      <c r="B219" s="1661"/>
      <c r="C219" s="1661"/>
      <c r="D219" s="1651"/>
      <c r="E219" s="1668" t="s">
        <v>778</v>
      </c>
      <c r="F219" s="1641" t="s">
        <v>779</v>
      </c>
      <c r="G219" s="1641" t="s">
        <v>54</v>
      </c>
    </row>
    <row r="220" spans="1:7" ht="15" hidden="1" thickBot="1" x14ac:dyDescent="0.25">
      <c r="A220" s="1662"/>
      <c r="B220" s="1663"/>
      <c r="C220" s="1663"/>
      <c r="D220" s="1664"/>
      <c r="E220" s="1669"/>
      <c r="F220" s="1642"/>
      <c r="G220" s="1642"/>
    </row>
    <row r="221" spans="1:7" ht="36" hidden="1" customHeight="1" thickTop="1" thickBot="1" x14ac:dyDescent="0.25">
      <c r="A221" s="588" t="str">
        <f>A205</f>
        <v>I</v>
      </c>
      <c r="B221" s="1665" t="str">
        <f>B205</f>
        <v>Técnico em secretariado de segunda a sexta-feira - 44 horas semanais</v>
      </c>
      <c r="C221" s="1666"/>
      <c r="D221" s="1667"/>
      <c r="E221" s="276">
        <f>E205</f>
        <v>7789.11</v>
      </c>
      <c r="F221" s="277">
        <f>F205</f>
        <v>7</v>
      </c>
      <c r="G221" s="278">
        <f>E221*F221</f>
        <v>54523.77</v>
      </c>
    </row>
    <row r="222" spans="1:7" ht="15.75" hidden="1" customHeight="1" thickTop="1" thickBot="1" x14ac:dyDescent="0.25">
      <c r="A222" s="1644" t="s">
        <v>47</v>
      </c>
      <c r="B222" s="1645"/>
      <c r="C222" s="1645"/>
      <c r="D222" s="1645"/>
      <c r="E222" s="1645"/>
      <c r="F222" s="1646"/>
      <c r="G222" s="133">
        <f>SUM(G221)</f>
        <v>54523.77</v>
      </c>
    </row>
    <row r="223" spans="1:7" hidden="1" x14ac:dyDescent="0.2">
      <c r="A223" s="68" t="s">
        <v>777</v>
      </c>
    </row>
  </sheetData>
  <mergeCells count="97">
    <mergeCell ref="A20:A21"/>
    <mergeCell ref="B20:E21"/>
    <mergeCell ref="F20:G20"/>
    <mergeCell ref="F21:G21"/>
    <mergeCell ref="A5:G5"/>
    <mergeCell ref="A6:G6"/>
    <mergeCell ref="A8:G8"/>
    <mergeCell ref="A9:G9"/>
    <mergeCell ref="A10:G10"/>
    <mergeCell ref="A13:B13"/>
    <mergeCell ref="C13:D13"/>
    <mergeCell ref="A14:B14"/>
    <mergeCell ref="C14:D14"/>
    <mergeCell ref="A17:G17"/>
    <mergeCell ref="F18:G18"/>
    <mergeCell ref="F19:G19"/>
    <mergeCell ref="B38:E38"/>
    <mergeCell ref="F38:G38"/>
    <mergeCell ref="F22:G22"/>
    <mergeCell ref="A24:G24"/>
    <mergeCell ref="A25:B25"/>
    <mergeCell ref="A26:B26"/>
    <mergeCell ref="A27:G28"/>
    <mergeCell ref="A29:G30"/>
    <mergeCell ref="A34:G34"/>
    <mergeCell ref="A35:G35"/>
    <mergeCell ref="A36:G36"/>
    <mergeCell ref="B37:E37"/>
    <mergeCell ref="F37:G37"/>
    <mergeCell ref="B39:E39"/>
    <mergeCell ref="F39:G39"/>
    <mergeCell ref="B40:E40"/>
    <mergeCell ref="F40:G40"/>
    <mergeCell ref="B41:E41"/>
    <mergeCell ref="F41:G41"/>
    <mergeCell ref="A73:F73"/>
    <mergeCell ref="B46:E46"/>
    <mergeCell ref="A53:F53"/>
    <mergeCell ref="A55:G56"/>
    <mergeCell ref="A58:G58"/>
    <mergeCell ref="A60:G60"/>
    <mergeCell ref="B61:E61"/>
    <mergeCell ref="B63:E63"/>
    <mergeCell ref="A64:E64"/>
    <mergeCell ref="A65:G66"/>
    <mergeCell ref="A67:G68"/>
    <mergeCell ref="A69:G71"/>
    <mergeCell ref="B117:F117"/>
    <mergeCell ref="A76:F76"/>
    <mergeCell ref="B79:E79"/>
    <mergeCell ref="A88:E88"/>
    <mergeCell ref="A89:G89"/>
    <mergeCell ref="A90:G90"/>
    <mergeCell ref="B95:E95"/>
    <mergeCell ref="A96:A97"/>
    <mergeCell ref="A98:A99"/>
    <mergeCell ref="A101:A103"/>
    <mergeCell ref="A111:F111"/>
    <mergeCell ref="A113:G114"/>
    <mergeCell ref="A153:F153"/>
    <mergeCell ref="A121:F121"/>
    <mergeCell ref="A123:G123"/>
    <mergeCell ref="B124:E124"/>
    <mergeCell ref="A132:E132"/>
    <mergeCell ref="A134:G134"/>
    <mergeCell ref="A135:G136"/>
    <mergeCell ref="B139:E139"/>
    <mergeCell ref="A146:E146"/>
    <mergeCell ref="A147:G148"/>
    <mergeCell ref="B151:F151"/>
    <mergeCell ref="B152:F152"/>
    <mergeCell ref="A196:F196"/>
    <mergeCell ref="A154:G155"/>
    <mergeCell ref="B158:F158"/>
    <mergeCell ref="A161:F161"/>
    <mergeCell ref="A163:G163"/>
    <mergeCell ref="B164:F164"/>
    <mergeCell ref="B170:F170"/>
    <mergeCell ref="A173:G173"/>
    <mergeCell ref="B174:E174"/>
    <mergeCell ref="A177:A184"/>
    <mergeCell ref="A185:E185"/>
    <mergeCell ref="A190:F190"/>
    <mergeCell ref="A222:F222"/>
    <mergeCell ref="A198:F198"/>
    <mergeCell ref="A203:B203"/>
    <mergeCell ref="A204:B204"/>
    <mergeCell ref="A206:F206"/>
    <mergeCell ref="B209:G209"/>
    <mergeCell ref="B210:F210"/>
    <mergeCell ref="A219:D220"/>
    <mergeCell ref="E219:E220"/>
    <mergeCell ref="F219:F220"/>
    <mergeCell ref="G219:G220"/>
    <mergeCell ref="B221:D221"/>
    <mergeCell ref="A199:F199"/>
    <mergeCell ref="A200:F200"/>
  </mergeCells>
  <dataValidations count="2">
    <dataValidation allowBlank="1" showInputMessage="1" showErrorMessage="1" errorTitle="Atenção" error="Não esquecer de buscar os valores e alterar na coluna F - das linhas 50 a 60, em caso de mais de um Sindicato." promptTitle="Benefícios" prompt="- Em caso de mais de um Sindicato em &quot;Dados&quot;, não esquecer de buscar os valores e alterar na coluna F - das linhas 50 a 60." sqref="F96:F110"/>
    <dataValidation allowBlank="1" showInputMessage="1" showErrorMessage="1" errorTitle="Atenção" error="Os dias só poderão ser alterados nos Dados." promptTitle="Jornada de Trabalho" prompt="- Alterando a carga horária, automaticamente será alterado os dias trabalhados._x000a_" sqref="C26"/>
  </dataValidations>
  <printOptions horizontalCentered="1"/>
  <pageMargins left="0.82677165354330717" right="0.55118110236220474" top="0.82677165354330717" bottom="0.43307086614173229" header="0.19685039370078741" footer="0.23622047244094491"/>
  <pageSetup paperSize="9" scale="60" fitToHeight="0" orientation="portrait" r:id="rId1"/>
  <headerFooter alignWithMargins="0"/>
  <rowBreaks count="1" manualBreakCount="1">
    <brk id="114" max="6" man="1"/>
  </rowBreaks>
  <ignoredErrors>
    <ignoredError sqref="G96:G98" unlockedFormula="1"/>
  </ignoredErrors>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5">
    <tabColor rgb="FFFF0000"/>
  </sheetPr>
  <dimension ref="A1:A289"/>
  <sheetViews>
    <sheetView view="pageBreakPreview" topLeftCell="A179" zoomScale="130" zoomScaleNormal="100" zoomScaleSheetLayoutView="130" workbookViewId="0">
      <selection activeCell="K8" sqref="K8:K21"/>
    </sheetView>
  </sheetViews>
  <sheetFormatPr defaultRowHeight="12.75" x14ac:dyDescent="0.2"/>
  <cols>
    <col min="1" max="1" width="61.5703125" style="412" bestFit="1" customWidth="1"/>
    <col min="2" max="2" width="10" style="383" bestFit="1" customWidth="1"/>
    <col min="3" max="16384" width="9.140625" style="383"/>
  </cols>
  <sheetData>
    <row r="1" spans="1:1" x14ac:dyDescent="0.2">
      <c r="A1" s="412" t="s">
        <v>0</v>
      </c>
    </row>
    <row r="2" spans="1:1" x14ac:dyDescent="0.2">
      <c r="A2" s="915" t="s">
        <v>524</v>
      </c>
    </row>
    <row r="3" spans="1:1" x14ac:dyDescent="0.2">
      <c r="A3" s="863" t="s">
        <v>264</v>
      </c>
    </row>
    <row r="4" spans="1:1" x14ac:dyDescent="0.2">
      <c r="A4" s="863" t="s">
        <v>1212</v>
      </c>
    </row>
    <row r="5" spans="1:1" x14ac:dyDescent="0.2">
      <c r="A5" s="863" t="s">
        <v>266</v>
      </c>
    </row>
    <row r="6" spans="1:1" x14ac:dyDescent="0.2">
      <c r="A6" s="863" t="s">
        <v>267</v>
      </c>
    </row>
    <row r="7" spans="1:1" x14ac:dyDescent="0.2">
      <c r="A7" s="863" t="s">
        <v>268</v>
      </c>
    </row>
    <row r="8" spans="1:1" x14ac:dyDescent="0.2">
      <c r="A8" s="863" t="s">
        <v>269</v>
      </c>
    </row>
    <row r="9" spans="1:1" x14ac:dyDescent="0.2">
      <c r="A9" s="270" t="s">
        <v>270</v>
      </c>
    </row>
    <row r="10" spans="1:1" x14ac:dyDescent="0.2">
      <c r="A10" s="270" t="s">
        <v>271</v>
      </c>
    </row>
    <row r="11" spans="1:1" x14ac:dyDescent="0.2">
      <c r="A11" s="270" t="s">
        <v>457</v>
      </c>
    </row>
    <row r="12" spans="1:1" x14ac:dyDescent="0.2">
      <c r="A12" s="403" t="s">
        <v>1253</v>
      </c>
    </row>
    <row r="13" spans="1:1" x14ac:dyDescent="0.2">
      <c r="A13" s="270" t="s">
        <v>1254</v>
      </c>
    </row>
    <row r="14" spans="1:1" x14ac:dyDescent="0.2">
      <c r="A14" s="270" t="s">
        <v>662</v>
      </c>
    </row>
    <row r="15" spans="1:1" x14ac:dyDescent="0.2">
      <c r="A15" s="270" t="s">
        <v>272</v>
      </c>
    </row>
    <row r="16" spans="1:1" x14ac:dyDescent="0.2">
      <c r="A16" s="270" t="s">
        <v>458</v>
      </c>
    </row>
    <row r="17" spans="1:1" x14ac:dyDescent="0.2">
      <c r="A17" s="270" t="s">
        <v>273</v>
      </c>
    </row>
    <row r="18" spans="1:1" x14ac:dyDescent="0.2">
      <c r="A18" s="403" t="s">
        <v>525</v>
      </c>
    </row>
    <row r="19" spans="1:1" x14ac:dyDescent="0.2">
      <c r="A19" s="915" t="s">
        <v>1060</v>
      </c>
    </row>
    <row r="20" spans="1:1" x14ac:dyDescent="0.2">
      <c r="A20" s="270" t="s">
        <v>459</v>
      </c>
    </row>
    <row r="21" spans="1:1" x14ac:dyDescent="0.2">
      <c r="A21" s="270" t="s">
        <v>1082</v>
      </c>
    </row>
    <row r="22" spans="1:1" x14ac:dyDescent="0.2">
      <c r="A22" s="270" t="s">
        <v>1245</v>
      </c>
    </row>
    <row r="23" spans="1:1" x14ac:dyDescent="0.2">
      <c r="A23" s="403" t="s">
        <v>460</v>
      </c>
    </row>
    <row r="24" spans="1:1" x14ac:dyDescent="0.2">
      <c r="A24" s="270" t="s">
        <v>274</v>
      </c>
    </row>
    <row r="25" spans="1:1" x14ac:dyDescent="0.2">
      <c r="A25" s="270" t="s">
        <v>1255</v>
      </c>
    </row>
    <row r="26" spans="1:1" x14ac:dyDescent="0.2">
      <c r="A26" s="270" t="s">
        <v>1268</v>
      </c>
    </row>
    <row r="27" spans="1:1" x14ac:dyDescent="0.2">
      <c r="A27" s="270" t="s">
        <v>275</v>
      </c>
    </row>
    <row r="28" spans="1:1" x14ac:dyDescent="0.2">
      <c r="A28" s="270" t="s">
        <v>461</v>
      </c>
    </row>
    <row r="29" spans="1:1" x14ac:dyDescent="0.2">
      <c r="A29" s="403" t="s">
        <v>1213</v>
      </c>
    </row>
    <row r="30" spans="1:1" x14ac:dyDescent="0.2">
      <c r="A30" s="270" t="s">
        <v>276</v>
      </c>
    </row>
    <row r="31" spans="1:1" x14ac:dyDescent="0.2">
      <c r="A31" s="270" t="s">
        <v>641</v>
      </c>
    </row>
    <row r="32" spans="1:1" x14ac:dyDescent="0.2">
      <c r="A32" s="270" t="s">
        <v>527</v>
      </c>
    </row>
    <row r="33" spans="1:1" x14ac:dyDescent="0.2">
      <c r="A33" s="915" t="s">
        <v>528</v>
      </c>
    </row>
    <row r="34" spans="1:1" x14ac:dyDescent="0.2">
      <c r="A34" s="270" t="s">
        <v>526</v>
      </c>
    </row>
    <row r="35" spans="1:1" x14ac:dyDescent="0.2">
      <c r="A35" s="270" t="s">
        <v>1061</v>
      </c>
    </row>
    <row r="36" spans="1:1" x14ac:dyDescent="0.2">
      <c r="A36" s="270" t="s">
        <v>277</v>
      </c>
    </row>
    <row r="37" spans="1:1" x14ac:dyDescent="0.2">
      <c r="A37" s="403" t="s">
        <v>529</v>
      </c>
    </row>
    <row r="38" spans="1:1" x14ac:dyDescent="0.2">
      <c r="A38" s="270" t="s">
        <v>530</v>
      </c>
    </row>
    <row r="39" spans="1:1" x14ac:dyDescent="0.2">
      <c r="A39" s="270" t="s">
        <v>256</v>
      </c>
    </row>
    <row r="40" spans="1:1" x14ac:dyDescent="0.2">
      <c r="A40" s="270" t="s">
        <v>642</v>
      </c>
    </row>
    <row r="41" spans="1:1" x14ac:dyDescent="0.2">
      <c r="A41" s="403" t="s">
        <v>531</v>
      </c>
    </row>
    <row r="42" spans="1:1" x14ac:dyDescent="0.2">
      <c r="A42" s="270" t="s">
        <v>661</v>
      </c>
    </row>
    <row r="43" spans="1:1" x14ac:dyDescent="0.2">
      <c r="A43" s="270" t="s">
        <v>1263</v>
      </c>
    </row>
    <row r="44" spans="1:1" x14ac:dyDescent="0.2">
      <c r="A44" s="270" t="s">
        <v>1275</v>
      </c>
    </row>
    <row r="45" spans="1:1" x14ac:dyDescent="0.2">
      <c r="A45" s="270" t="s">
        <v>532</v>
      </c>
    </row>
    <row r="46" spans="1:1" x14ac:dyDescent="0.2">
      <c r="A46" s="270" t="s">
        <v>876</v>
      </c>
    </row>
    <row r="47" spans="1:1" x14ac:dyDescent="0.2">
      <c r="A47" s="403" t="s">
        <v>671</v>
      </c>
    </row>
    <row r="48" spans="1:1" x14ac:dyDescent="0.2">
      <c r="A48" s="270" t="s">
        <v>877</v>
      </c>
    </row>
    <row r="49" spans="1:1" x14ac:dyDescent="0.2">
      <c r="A49" s="915" t="s">
        <v>875</v>
      </c>
    </row>
    <row r="50" spans="1:1" x14ac:dyDescent="0.2">
      <c r="A50" s="915" t="s">
        <v>670</v>
      </c>
    </row>
    <row r="51" spans="1:1" x14ac:dyDescent="0.2">
      <c r="A51" s="915" t="s">
        <v>669</v>
      </c>
    </row>
    <row r="52" spans="1:1" x14ac:dyDescent="0.2">
      <c r="A52" s="915" t="s">
        <v>878</v>
      </c>
    </row>
    <row r="53" spans="1:1" x14ac:dyDescent="0.2">
      <c r="A53" s="863" t="s">
        <v>278</v>
      </c>
    </row>
    <row r="54" spans="1:1" x14ac:dyDescent="0.2">
      <c r="A54" s="863" t="s">
        <v>279</v>
      </c>
    </row>
    <row r="55" spans="1:1" x14ac:dyDescent="0.2">
      <c r="A55" s="915" t="s">
        <v>449</v>
      </c>
    </row>
    <row r="56" spans="1:1" x14ac:dyDescent="0.2">
      <c r="A56" s="863" t="s">
        <v>280</v>
      </c>
    </row>
    <row r="57" spans="1:1" x14ac:dyDescent="0.2">
      <c r="A57" s="977" t="s">
        <v>1165</v>
      </c>
    </row>
    <row r="58" spans="1:1" x14ac:dyDescent="0.2">
      <c r="A58" s="863" t="s">
        <v>281</v>
      </c>
    </row>
    <row r="59" spans="1:1" x14ac:dyDescent="0.2">
      <c r="A59" s="863" t="s">
        <v>282</v>
      </c>
    </row>
    <row r="60" spans="1:1" x14ac:dyDescent="0.2">
      <c r="A60" s="863" t="s">
        <v>283</v>
      </c>
    </row>
    <row r="61" spans="1:1" x14ac:dyDescent="0.2">
      <c r="A61" s="863" t="s">
        <v>284</v>
      </c>
    </row>
    <row r="62" spans="1:1" x14ac:dyDescent="0.2">
      <c r="A62" s="863" t="s">
        <v>285</v>
      </c>
    </row>
    <row r="63" spans="1:1" x14ac:dyDescent="0.2">
      <c r="A63" s="863" t="s">
        <v>286</v>
      </c>
    </row>
    <row r="64" spans="1:1" x14ac:dyDescent="0.2">
      <c r="A64" s="915" t="s">
        <v>533</v>
      </c>
    </row>
    <row r="65" spans="1:1" x14ac:dyDescent="0.2">
      <c r="A65" s="915" t="s">
        <v>640</v>
      </c>
    </row>
    <row r="66" spans="1:1" x14ac:dyDescent="0.2">
      <c r="A66" s="976" t="s">
        <v>1083</v>
      </c>
    </row>
    <row r="67" spans="1:1" x14ac:dyDescent="0.2">
      <c r="A67" s="976" t="s">
        <v>1084</v>
      </c>
    </row>
    <row r="68" spans="1:1" x14ac:dyDescent="0.2">
      <c r="A68" s="976" t="s">
        <v>1085</v>
      </c>
    </row>
    <row r="69" spans="1:1" x14ac:dyDescent="0.2">
      <c r="A69" s="915" t="s">
        <v>534</v>
      </c>
    </row>
    <row r="70" spans="1:1" x14ac:dyDescent="0.2">
      <c r="A70" s="915" t="s">
        <v>462</v>
      </c>
    </row>
    <row r="71" spans="1:1" x14ac:dyDescent="0.2">
      <c r="A71" s="915" t="s">
        <v>463</v>
      </c>
    </row>
    <row r="72" spans="1:1" x14ac:dyDescent="0.2">
      <c r="A72" s="863" t="s">
        <v>287</v>
      </c>
    </row>
    <row r="73" spans="1:1" x14ac:dyDescent="0.2">
      <c r="A73" s="915" t="s">
        <v>535</v>
      </c>
    </row>
    <row r="74" spans="1:1" x14ac:dyDescent="0.2">
      <c r="A74" s="863" t="s">
        <v>288</v>
      </c>
    </row>
    <row r="75" spans="1:1" x14ac:dyDescent="0.2">
      <c r="A75" s="863" t="s">
        <v>289</v>
      </c>
    </row>
    <row r="76" spans="1:1" x14ac:dyDescent="0.2">
      <c r="A76" s="863" t="s">
        <v>290</v>
      </c>
    </row>
    <row r="77" spans="1:1" x14ac:dyDescent="0.2">
      <c r="A77" s="915" t="s">
        <v>450</v>
      </c>
    </row>
    <row r="78" spans="1:1" x14ac:dyDescent="0.2">
      <c r="A78" s="915" t="s">
        <v>1188</v>
      </c>
    </row>
    <row r="79" spans="1:1" x14ac:dyDescent="0.2">
      <c r="A79" s="915" t="s">
        <v>536</v>
      </c>
    </row>
    <row r="80" spans="1:1" x14ac:dyDescent="0.2">
      <c r="A80" s="863" t="s">
        <v>1178</v>
      </c>
    </row>
    <row r="81" spans="1:1" x14ac:dyDescent="0.2">
      <c r="A81" s="915" t="s">
        <v>464</v>
      </c>
    </row>
    <row r="82" spans="1:1" x14ac:dyDescent="0.2">
      <c r="A82" s="915" t="s">
        <v>465</v>
      </c>
    </row>
    <row r="83" spans="1:1" x14ac:dyDescent="0.2">
      <c r="A83" s="915" t="s">
        <v>466</v>
      </c>
    </row>
    <row r="84" spans="1:1" x14ac:dyDescent="0.2">
      <c r="A84" s="915" t="s">
        <v>467</v>
      </c>
    </row>
    <row r="85" spans="1:1" x14ac:dyDescent="0.2">
      <c r="A85" s="915" t="s">
        <v>468</v>
      </c>
    </row>
    <row r="86" spans="1:1" x14ac:dyDescent="0.2">
      <c r="A86" s="915" t="s">
        <v>469</v>
      </c>
    </row>
    <row r="87" spans="1:1" x14ac:dyDescent="0.2">
      <c r="A87" s="915" t="s">
        <v>470</v>
      </c>
    </row>
    <row r="88" spans="1:1" x14ac:dyDescent="0.2">
      <c r="A88" s="915" t="s">
        <v>494</v>
      </c>
    </row>
    <row r="89" spans="1:1" x14ac:dyDescent="0.2">
      <c r="A89" s="915" t="s">
        <v>494</v>
      </c>
    </row>
    <row r="90" spans="1:1" x14ac:dyDescent="0.2">
      <c r="A90" s="915" t="s">
        <v>537</v>
      </c>
    </row>
    <row r="91" spans="1:1" x14ac:dyDescent="0.2">
      <c r="A91" s="915" t="s">
        <v>1062</v>
      </c>
    </row>
    <row r="92" spans="1:1" x14ac:dyDescent="0.2">
      <c r="A92" s="976" t="s">
        <v>1086</v>
      </c>
    </row>
    <row r="93" spans="1:1" x14ac:dyDescent="0.2">
      <c r="A93" s="915" t="s">
        <v>471</v>
      </c>
    </row>
    <row r="94" spans="1:1" x14ac:dyDescent="0.2">
      <c r="A94" s="403" t="s">
        <v>538</v>
      </c>
    </row>
    <row r="95" spans="1:1" x14ac:dyDescent="0.2">
      <c r="A95" s="863" t="s">
        <v>291</v>
      </c>
    </row>
    <row r="96" spans="1:1" x14ac:dyDescent="0.2">
      <c r="A96" s="863" t="s">
        <v>292</v>
      </c>
    </row>
    <row r="97" spans="1:1" x14ac:dyDescent="0.2">
      <c r="A97" s="915" t="s">
        <v>539</v>
      </c>
    </row>
    <row r="98" spans="1:1" ht="12.75" customHeight="1" x14ac:dyDescent="0.2">
      <c r="A98" s="863" t="s">
        <v>293</v>
      </c>
    </row>
    <row r="99" spans="1:1" ht="12.75" customHeight="1" x14ac:dyDescent="0.2">
      <c r="A99" s="863" t="s">
        <v>294</v>
      </c>
    </row>
    <row r="100" spans="1:1" ht="12.75" customHeight="1" x14ac:dyDescent="0.2">
      <c r="A100" s="915" t="s">
        <v>472</v>
      </c>
    </row>
    <row r="101" spans="1:1" ht="12.75" customHeight="1" x14ac:dyDescent="0.2">
      <c r="A101" s="863" t="s">
        <v>295</v>
      </c>
    </row>
    <row r="102" spans="1:1" ht="12.75" customHeight="1" x14ac:dyDescent="0.2">
      <c r="A102" s="863" t="s">
        <v>296</v>
      </c>
    </row>
    <row r="103" spans="1:1" ht="12.75" customHeight="1" x14ac:dyDescent="0.2">
      <c r="A103" s="1066" t="s">
        <v>1179</v>
      </c>
    </row>
    <row r="104" spans="1:1" ht="12.75" customHeight="1" x14ac:dyDescent="0.2">
      <c r="A104" s="978" t="s">
        <v>1180</v>
      </c>
    </row>
    <row r="105" spans="1:1" ht="12.75" customHeight="1" x14ac:dyDescent="0.2">
      <c r="A105" s="978" t="s">
        <v>1181</v>
      </c>
    </row>
    <row r="106" spans="1:1" ht="12.75" customHeight="1" x14ac:dyDescent="0.2">
      <c r="A106" s="863" t="s">
        <v>297</v>
      </c>
    </row>
    <row r="107" spans="1:1" ht="12.75" customHeight="1" x14ac:dyDescent="0.2">
      <c r="A107" s="863" t="s">
        <v>298</v>
      </c>
    </row>
    <row r="108" spans="1:1" ht="12.75" customHeight="1" x14ac:dyDescent="0.2">
      <c r="A108" s="863" t="s">
        <v>299</v>
      </c>
    </row>
    <row r="109" spans="1:1" ht="12.75" customHeight="1" x14ac:dyDescent="0.2">
      <c r="A109" s="915" t="s">
        <v>451</v>
      </c>
    </row>
    <row r="110" spans="1:1" ht="12.75" customHeight="1" x14ac:dyDescent="0.2">
      <c r="A110" s="915" t="s">
        <v>540</v>
      </c>
    </row>
    <row r="111" spans="1:1" ht="12.75" customHeight="1" x14ac:dyDescent="0.2">
      <c r="A111" s="915" t="s">
        <v>541</v>
      </c>
    </row>
    <row r="112" spans="1:1" ht="12.75" customHeight="1" x14ac:dyDescent="0.2">
      <c r="A112" s="863" t="s">
        <v>300</v>
      </c>
    </row>
    <row r="113" spans="1:1" ht="12.75" customHeight="1" x14ac:dyDescent="0.2">
      <c r="A113" s="863" t="s">
        <v>301</v>
      </c>
    </row>
    <row r="114" spans="1:1" ht="12.75" customHeight="1" x14ac:dyDescent="0.2">
      <c r="A114" s="863" t="s">
        <v>302</v>
      </c>
    </row>
    <row r="115" spans="1:1" ht="12.75" customHeight="1" x14ac:dyDescent="0.2">
      <c r="A115" s="863" t="s">
        <v>303</v>
      </c>
    </row>
    <row r="116" spans="1:1" ht="12.75" customHeight="1" x14ac:dyDescent="0.2">
      <c r="A116" s="915" t="s">
        <v>1063</v>
      </c>
    </row>
    <row r="117" spans="1:1" ht="12.75" customHeight="1" x14ac:dyDescent="0.2">
      <c r="A117" s="915" t="s">
        <v>542</v>
      </c>
    </row>
    <row r="118" spans="1:1" ht="12.75" customHeight="1" x14ac:dyDescent="0.2">
      <c r="A118" s="915" t="s">
        <v>543</v>
      </c>
    </row>
    <row r="119" spans="1:1" ht="12.75" customHeight="1" x14ac:dyDescent="0.2">
      <c r="A119" s="915" t="s">
        <v>586</v>
      </c>
    </row>
    <row r="120" spans="1:1" ht="12.75" customHeight="1" x14ac:dyDescent="0.2">
      <c r="A120" s="915" t="s">
        <v>544</v>
      </c>
    </row>
    <row r="121" spans="1:1" ht="12.75" customHeight="1" x14ac:dyDescent="0.2">
      <c r="A121" s="915" t="s">
        <v>452</v>
      </c>
    </row>
    <row r="122" spans="1:1" ht="12.75" customHeight="1" x14ac:dyDescent="0.2">
      <c r="A122" s="915" t="s">
        <v>545</v>
      </c>
    </row>
    <row r="123" spans="1:1" ht="12.75" customHeight="1" x14ac:dyDescent="0.2">
      <c r="A123" s="915" t="s">
        <v>546</v>
      </c>
    </row>
    <row r="124" spans="1:1" ht="12.75" customHeight="1" x14ac:dyDescent="0.2">
      <c r="A124" s="915" t="s">
        <v>547</v>
      </c>
    </row>
    <row r="125" spans="1:1" ht="12.75" customHeight="1" x14ac:dyDescent="0.2">
      <c r="A125" s="915" t="s">
        <v>548</v>
      </c>
    </row>
    <row r="126" spans="1:1" ht="12.75" customHeight="1" x14ac:dyDescent="0.2">
      <c r="A126" s="915" t="s">
        <v>549</v>
      </c>
    </row>
    <row r="127" spans="1:1" ht="12.75" customHeight="1" x14ac:dyDescent="0.2">
      <c r="A127" s="915" t="s">
        <v>550</v>
      </c>
    </row>
    <row r="128" spans="1:1" ht="12.75" customHeight="1" x14ac:dyDescent="0.2">
      <c r="A128" s="915" t="s">
        <v>551</v>
      </c>
    </row>
    <row r="129" spans="1:1" ht="12.75" customHeight="1" x14ac:dyDescent="0.2">
      <c r="A129" s="915" t="s">
        <v>1064</v>
      </c>
    </row>
    <row r="130" spans="1:1" ht="12.75" customHeight="1" x14ac:dyDescent="0.2">
      <c r="A130" s="863" t="s">
        <v>304</v>
      </c>
    </row>
    <row r="131" spans="1:1" ht="12.75" customHeight="1" x14ac:dyDescent="0.2">
      <c r="A131" s="863" t="s">
        <v>305</v>
      </c>
    </row>
    <row r="132" spans="1:1" ht="12.75" customHeight="1" x14ac:dyDescent="0.2">
      <c r="A132" s="863" t="s">
        <v>437</v>
      </c>
    </row>
    <row r="133" spans="1:1" ht="12.75" customHeight="1" x14ac:dyDescent="0.2">
      <c r="A133" s="863" t="s">
        <v>438</v>
      </c>
    </row>
    <row r="134" spans="1:1" ht="12.75" customHeight="1" x14ac:dyDescent="0.2">
      <c r="A134" s="863" t="s">
        <v>306</v>
      </c>
    </row>
    <row r="135" spans="1:1" ht="12.75" customHeight="1" x14ac:dyDescent="0.2">
      <c r="A135" s="863" t="s">
        <v>307</v>
      </c>
    </row>
    <row r="136" spans="1:1" ht="12.75" customHeight="1" x14ac:dyDescent="0.2">
      <c r="A136" s="863" t="s">
        <v>308</v>
      </c>
    </row>
    <row r="137" spans="1:1" ht="12.75" customHeight="1" x14ac:dyDescent="0.2">
      <c r="A137" s="915" t="s">
        <v>552</v>
      </c>
    </row>
    <row r="138" spans="1:1" ht="12.75" customHeight="1" x14ac:dyDescent="0.2">
      <c r="A138" s="915" t="s">
        <v>553</v>
      </c>
    </row>
    <row r="139" spans="1:1" ht="12.75" customHeight="1" x14ac:dyDescent="0.2">
      <c r="A139" s="915" t="s">
        <v>473</v>
      </c>
    </row>
    <row r="140" spans="1:1" ht="12.75" customHeight="1" x14ac:dyDescent="0.2">
      <c r="A140" s="915" t="s">
        <v>474</v>
      </c>
    </row>
    <row r="141" spans="1:1" ht="12.75" customHeight="1" x14ac:dyDescent="0.2">
      <c r="A141" s="915" t="s">
        <v>475</v>
      </c>
    </row>
    <row r="142" spans="1:1" ht="12.75" customHeight="1" x14ac:dyDescent="0.2">
      <c r="A142" s="915" t="s">
        <v>476</v>
      </c>
    </row>
    <row r="143" spans="1:1" ht="12.75" customHeight="1" x14ac:dyDescent="0.2">
      <c r="A143" s="915" t="s">
        <v>477</v>
      </c>
    </row>
    <row r="144" spans="1:1" ht="12.75" customHeight="1" x14ac:dyDescent="0.2">
      <c r="A144" s="915" t="s">
        <v>478</v>
      </c>
    </row>
    <row r="145" spans="1:1" ht="12.75" customHeight="1" x14ac:dyDescent="0.2">
      <c r="A145" s="915" t="s">
        <v>479</v>
      </c>
    </row>
    <row r="146" spans="1:1" ht="12.75" customHeight="1" x14ac:dyDescent="0.2">
      <c r="A146" s="863" t="s">
        <v>309</v>
      </c>
    </row>
    <row r="147" spans="1:1" ht="12.75" customHeight="1" x14ac:dyDescent="0.2">
      <c r="A147" s="863" t="s">
        <v>310</v>
      </c>
    </row>
    <row r="148" spans="1:1" ht="12.75" customHeight="1" x14ac:dyDescent="0.2">
      <c r="A148" s="863" t="s">
        <v>311</v>
      </c>
    </row>
    <row r="149" spans="1:1" ht="12.75" customHeight="1" x14ac:dyDescent="0.2">
      <c r="A149" s="915" t="s">
        <v>453</v>
      </c>
    </row>
    <row r="150" spans="1:1" ht="12.75" customHeight="1" x14ac:dyDescent="0.2">
      <c r="A150" s="863" t="s">
        <v>312</v>
      </c>
    </row>
    <row r="151" spans="1:1" ht="12.75" customHeight="1" x14ac:dyDescent="0.2">
      <c r="A151" s="863" t="s">
        <v>313</v>
      </c>
    </row>
    <row r="152" spans="1:1" ht="12.75" customHeight="1" x14ac:dyDescent="0.2">
      <c r="A152" s="270" t="s">
        <v>314</v>
      </c>
    </row>
    <row r="153" spans="1:1" ht="12.75" customHeight="1" x14ac:dyDescent="0.2">
      <c r="A153" s="270" t="s">
        <v>554</v>
      </c>
    </row>
    <row r="154" spans="1:1" ht="12.75" customHeight="1" x14ac:dyDescent="0.2">
      <c r="A154" s="270" t="s">
        <v>587</v>
      </c>
    </row>
    <row r="155" spans="1:1" ht="12.75" customHeight="1" x14ac:dyDescent="0.2">
      <c r="A155" s="403" t="s">
        <v>315</v>
      </c>
    </row>
    <row r="156" spans="1:1" ht="12.75" customHeight="1" x14ac:dyDescent="0.2">
      <c r="A156" s="270" t="s">
        <v>1065</v>
      </c>
    </row>
    <row r="157" spans="1:1" ht="12.75" customHeight="1" x14ac:dyDescent="0.2">
      <c r="A157" s="270" t="s">
        <v>1264</v>
      </c>
    </row>
    <row r="158" spans="1:1" ht="12.75" customHeight="1" x14ac:dyDescent="0.2">
      <c r="A158" s="270" t="s">
        <v>1276</v>
      </c>
    </row>
    <row r="159" spans="1:1" ht="12.75" customHeight="1" x14ac:dyDescent="0.2">
      <c r="A159" s="270" t="s">
        <v>1266</v>
      </c>
    </row>
    <row r="160" spans="1:1" ht="12.75" customHeight="1" x14ac:dyDescent="0.2">
      <c r="A160" s="270" t="s">
        <v>1278</v>
      </c>
    </row>
    <row r="161" spans="1:1" ht="12.75" customHeight="1" x14ac:dyDescent="0.2">
      <c r="A161" s="403" t="s">
        <v>1265</v>
      </c>
    </row>
    <row r="162" spans="1:1" ht="12.75" customHeight="1" x14ac:dyDescent="0.2">
      <c r="A162" s="270" t="s">
        <v>1277</v>
      </c>
    </row>
    <row r="163" spans="1:1" ht="12.75" customHeight="1" x14ac:dyDescent="0.2">
      <c r="A163" s="270" t="s">
        <v>1267</v>
      </c>
    </row>
    <row r="164" spans="1:1" ht="12.75" customHeight="1" x14ac:dyDescent="0.2">
      <c r="A164" s="270" t="s">
        <v>1279</v>
      </c>
    </row>
    <row r="165" spans="1:1" ht="12.75" customHeight="1" x14ac:dyDescent="0.2">
      <c r="A165" s="270" t="s">
        <v>427</v>
      </c>
    </row>
    <row r="166" spans="1:1" ht="12.75" customHeight="1" x14ac:dyDescent="0.2">
      <c r="A166" s="270" t="s">
        <v>316</v>
      </c>
    </row>
    <row r="167" spans="1:1" ht="12.75" customHeight="1" x14ac:dyDescent="0.2">
      <c r="A167" s="915" t="s">
        <v>555</v>
      </c>
    </row>
    <row r="168" spans="1:1" ht="12.75" customHeight="1" x14ac:dyDescent="0.2">
      <c r="A168" s="915" t="s">
        <v>639</v>
      </c>
    </row>
    <row r="169" spans="1:1" ht="12.75" customHeight="1" x14ac:dyDescent="0.2">
      <c r="A169" s="863" t="s">
        <v>426</v>
      </c>
    </row>
    <row r="170" spans="1:1" ht="12.75" customHeight="1" x14ac:dyDescent="0.2">
      <c r="A170" s="388" t="s">
        <v>423</v>
      </c>
    </row>
    <row r="171" spans="1:1" ht="12.75" customHeight="1" x14ac:dyDescent="0.2">
      <c r="A171" s="863" t="s">
        <v>424</v>
      </c>
    </row>
    <row r="172" spans="1:1" ht="12.75" customHeight="1" x14ac:dyDescent="0.2">
      <c r="A172" s="270" t="s">
        <v>425</v>
      </c>
    </row>
    <row r="173" spans="1:1" ht="12.75" customHeight="1" x14ac:dyDescent="0.2">
      <c r="A173" s="270" t="s">
        <v>317</v>
      </c>
    </row>
    <row r="174" spans="1:1" ht="12.75" customHeight="1" x14ac:dyDescent="0.2">
      <c r="A174" s="270" t="s">
        <v>588</v>
      </c>
    </row>
    <row r="175" spans="1:1" ht="12.75" customHeight="1" x14ac:dyDescent="0.2">
      <c r="A175" s="403" t="s">
        <v>1257</v>
      </c>
    </row>
    <row r="176" spans="1:1" ht="12.75" customHeight="1" x14ac:dyDescent="0.2">
      <c r="A176" s="270" t="s">
        <v>1280</v>
      </c>
    </row>
    <row r="177" spans="1:1" ht="12.75" customHeight="1" x14ac:dyDescent="0.2">
      <c r="A177" s="270" t="s">
        <v>1262</v>
      </c>
    </row>
    <row r="178" spans="1:1" ht="12.75" customHeight="1" x14ac:dyDescent="0.2">
      <c r="A178" s="270" t="s">
        <v>1274</v>
      </c>
    </row>
    <row r="179" spans="1:1" ht="12.75" customHeight="1" x14ac:dyDescent="0.2">
      <c r="A179" s="270" t="s">
        <v>556</v>
      </c>
    </row>
    <row r="180" spans="1:1" ht="12.75" customHeight="1" x14ac:dyDescent="0.2">
      <c r="A180" s="270" t="s">
        <v>484</v>
      </c>
    </row>
    <row r="181" spans="1:1" ht="12.75" customHeight="1" x14ac:dyDescent="0.2">
      <c r="A181" s="403" t="s">
        <v>318</v>
      </c>
    </row>
    <row r="182" spans="1:1" ht="12.75" customHeight="1" x14ac:dyDescent="0.2">
      <c r="A182" s="863" t="s">
        <v>319</v>
      </c>
    </row>
    <row r="183" spans="1:1" ht="12.75" customHeight="1" x14ac:dyDescent="0.2">
      <c r="A183" s="915" t="s">
        <v>486</v>
      </c>
    </row>
    <row r="184" spans="1:1" ht="12.75" customHeight="1" x14ac:dyDescent="0.2">
      <c r="A184" s="977" t="s">
        <v>1167</v>
      </c>
    </row>
    <row r="185" spans="1:1" ht="12.75" customHeight="1" x14ac:dyDescent="0.2">
      <c r="A185" s="915" t="s">
        <v>487</v>
      </c>
    </row>
    <row r="186" spans="1:1" ht="12.75" customHeight="1" x14ac:dyDescent="0.2">
      <c r="A186" s="915" t="s">
        <v>488</v>
      </c>
    </row>
    <row r="187" spans="1:1" ht="12.75" customHeight="1" x14ac:dyDescent="0.2">
      <c r="A187" s="915" t="s">
        <v>489</v>
      </c>
    </row>
    <row r="188" spans="1:1" ht="12.75" customHeight="1" x14ac:dyDescent="0.2">
      <c r="A188" s="863" t="s">
        <v>320</v>
      </c>
    </row>
    <row r="189" spans="1:1" ht="12.75" customHeight="1" x14ac:dyDescent="0.2">
      <c r="A189" s="915" t="s">
        <v>1066</v>
      </c>
    </row>
    <row r="190" spans="1:1" ht="12.75" customHeight="1" x14ac:dyDescent="0.2">
      <c r="A190" s="915" t="s">
        <v>481</v>
      </c>
    </row>
    <row r="191" spans="1:1" ht="12.75" customHeight="1" x14ac:dyDescent="0.2">
      <c r="A191" s="915" t="s">
        <v>557</v>
      </c>
    </row>
    <row r="192" spans="1:1" ht="12.75" customHeight="1" x14ac:dyDescent="0.2">
      <c r="A192" s="915" t="s">
        <v>558</v>
      </c>
    </row>
    <row r="193" spans="1:1" ht="12.75" customHeight="1" x14ac:dyDescent="0.2">
      <c r="A193" s="915" t="s">
        <v>559</v>
      </c>
    </row>
    <row r="194" spans="1:1" ht="12.75" customHeight="1" x14ac:dyDescent="0.2">
      <c r="A194" s="915" t="s">
        <v>490</v>
      </c>
    </row>
    <row r="195" spans="1:1" ht="12.75" customHeight="1" x14ac:dyDescent="0.2">
      <c r="A195" s="863" t="s">
        <v>321</v>
      </c>
    </row>
    <row r="196" spans="1:1" ht="12.75" customHeight="1" x14ac:dyDescent="0.2">
      <c r="A196" s="976" t="s">
        <v>1087</v>
      </c>
    </row>
    <row r="197" spans="1:1" ht="12.75" customHeight="1" x14ac:dyDescent="0.2">
      <c r="A197" s="915" t="s">
        <v>491</v>
      </c>
    </row>
    <row r="198" spans="1:1" ht="12.75" customHeight="1" x14ac:dyDescent="0.2">
      <c r="A198" s="915" t="s">
        <v>560</v>
      </c>
    </row>
    <row r="199" spans="1:1" ht="12.75" customHeight="1" x14ac:dyDescent="0.2">
      <c r="A199" s="270" t="s">
        <v>485</v>
      </c>
    </row>
    <row r="200" spans="1:1" ht="12.75" customHeight="1" x14ac:dyDescent="0.2">
      <c r="A200" s="270" t="s">
        <v>322</v>
      </c>
    </row>
    <row r="201" spans="1:1" ht="12.75" customHeight="1" x14ac:dyDescent="0.2">
      <c r="A201" s="270" t="s">
        <v>561</v>
      </c>
    </row>
    <row r="202" spans="1:1" ht="12.75" customHeight="1" x14ac:dyDescent="0.2">
      <c r="A202" s="403" t="s">
        <v>562</v>
      </c>
    </row>
    <row r="203" spans="1:1" ht="12.75" customHeight="1" x14ac:dyDescent="0.2">
      <c r="A203" s="270" t="s">
        <v>1256</v>
      </c>
    </row>
    <row r="204" spans="1:1" ht="12.75" customHeight="1" x14ac:dyDescent="0.2">
      <c r="A204" s="270" t="s">
        <v>1269</v>
      </c>
    </row>
    <row r="205" spans="1:1" ht="12.75" customHeight="1" x14ac:dyDescent="0.2">
      <c r="A205" s="270" t="s">
        <v>1261</v>
      </c>
    </row>
    <row r="206" spans="1:1" ht="12.75" customHeight="1" x14ac:dyDescent="0.2">
      <c r="A206" s="270" t="s">
        <v>1273</v>
      </c>
    </row>
    <row r="207" spans="1:1" ht="12.75" customHeight="1" x14ac:dyDescent="0.2">
      <c r="A207" s="270" t="s">
        <v>483</v>
      </c>
    </row>
    <row r="208" spans="1:1" ht="12.75" customHeight="1" x14ac:dyDescent="0.2">
      <c r="A208" s="403" t="s">
        <v>482</v>
      </c>
    </row>
    <row r="209" spans="1:1" ht="12.75" customHeight="1" x14ac:dyDescent="0.2">
      <c r="A209" s="270" t="s">
        <v>323</v>
      </c>
    </row>
    <row r="210" spans="1:1" ht="12.75" customHeight="1" x14ac:dyDescent="0.2">
      <c r="A210" s="863" t="s">
        <v>324</v>
      </c>
    </row>
    <row r="211" spans="1:1" ht="12.75" customHeight="1" x14ac:dyDescent="0.2">
      <c r="A211" s="915" t="s">
        <v>480</v>
      </c>
    </row>
    <row r="212" spans="1:1" ht="12.75" customHeight="1" x14ac:dyDescent="0.2">
      <c r="A212" s="915" t="s">
        <v>492</v>
      </c>
    </row>
    <row r="213" spans="1:1" ht="12.75" customHeight="1" x14ac:dyDescent="0.2">
      <c r="A213" s="915" t="s">
        <v>563</v>
      </c>
    </row>
    <row r="214" spans="1:1" ht="12.75" customHeight="1" x14ac:dyDescent="0.2">
      <c r="A214" s="977" t="s">
        <v>1164</v>
      </c>
    </row>
    <row r="215" spans="1:1" ht="12.75" customHeight="1" x14ac:dyDescent="0.2">
      <c r="A215" s="863" t="s">
        <v>325</v>
      </c>
    </row>
    <row r="216" spans="1:1" ht="12.75" customHeight="1" x14ac:dyDescent="0.2">
      <c r="A216" s="863" t="s">
        <v>326</v>
      </c>
    </row>
    <row r="217" spans="1:1" ht="12.75" customHeight="1" x14ac:dyDescent="0.2">
      <c r="A217" s="863" t="s">
        <v>327</v>
      </c>
    </row>
    <row r="218" spans="1:1" ht="12.75" customHeight="1" x14ac:dyDescent="0.2">
      <c r="A218" s="863" t="s">
        <v>328</v>
      </c>
    </row>
    <row r="219" spans="1:1" ht="12.75" customHeight="1" x14ac:dyDescent="0.2">
      <c r="A219" s="863" t="s">
        <v>329</v>
      </c>
    </row>
    <row r="220" spans="1:1" ht="12.75" customHeight="1" x14ac:dyDescent="0.2">
      <c r="A220" s="915" t="s">
        <v>564</v>
      </c>
    </row>
    <row r="221" spans="1:1" ht="12.75" customHeight="1" x14ac:dyDescent="0.2">
      <c r="A221" s="977" t="s">
        <v>1166</v>
      </c>
    </row>
    <row r="222" spans="1:1" ht="12.75" customHeight="1" x14ac:dyDescent="0.2">
      <c r="A222" s="976" t="s">
        <v>1088</v>
      </c>
    </row>
    <row r="223" spans="1:1" ht="12.75" customHeight="1" x14ac:dyDescent="0.2">
      <c r="A223" s="915" t="s">
        <v>493</v>
      </c>
    </row>
    <row r="224" spans="1:1" ht="12.75" customHeight="1" x14ac:dyDescent="0.2">
      <c r="A224" s="915" t="s">
        <v>659</v>
      </c>
    </row>
    <row r="225" spans="1:1" ht="12.75" customHeight="1" x14ac:dyDescent="0.2">
      <c r="A225" s="915" t="s">
        <v>658</v>
      </c>
    </row>
    <row r="226" spans="1:1" ht="12.75" customHeight="1" x14ac:dyDescent="0.2">
      <c r="A226" s="915" t="s">
        <v>660</v>
      </c>
    </row>
    <row r="227" spans="1:1" ht="12.75" customHeight="1" x14ac:dyDescent="0.2">
      <c r="A227" s="863" t="s">
        <v>439</v>
      </c>
    </row>
    <row r="228" spans="1:1" ht="12.75" customHeight="1" x14ac:dyDescent="0.2">
      <c r="A228" s="863" t="s">
        <v>330</v>
      </c>
    </row>
    <row r="229" spans="1:1" ht="12.75" customHeight="1" x14ac:dyDescent="0.2">
      <c r="A229" s="1065" t="s">
        <v>1059</v>
      </c>
    </row>
    <row r="230" spans="1:1" ht="12.75" customHeight="1" x14ac:dyDescent="0.2">
      <c r="A230" s="915" t="s">
        <v>565</v>
      </c>
    </row>
    <row r="231" spans="1:1" ht="12.75" customHeight="1" x14ac:dyDescent="0.2">
      <c r="A231" s="915" t="s">
        <v>495</v>
      </c>
    </row>
    <row r="232" spans="1:1" ht="12.75" customHeight="1" x14ac:dyDescent="0.2">
      <c r="A232" s="863" t="s">
        <v>331</v>
      </c>
    </row>
    <row r="233" spans="1:1" ht="12.75" customHeight="1" x14ac:dyDescent="0.2">
      <c r="A233" s="1064" t="s">
        <v>1246</v>
      </c>
    </row>
    <row r="234" spans="1:1" ht="12.75" customHeight="1" x14ac:dyDescent="0.2">
      <c r="A234" s="863" t="s">
        <v>419</v>
      </c>
    </row>
    <row r="235" spans="1:1" ht="12.75" customHeight="1" x14ac:dyDescent="0.2">
      <c r="A235" s="863" t="s">
        <v>420</v>
      </c>
    </row>
    <row r="236" spans="1:1" ht="12.75" customHeight="1" x14ac:dyDescent="0.2">
      <c r="A236" s="863" t="s">
        <v>1182</v>
      </c>
    </row>
    <row r="237" spans="1:1" ht="12.75" customHeight="1" x14ac:dyDescent="0.2">
      <c r="A237" s="915" t="s">
        <v>566</v>
      </c>
    </row>
    <row r="238" spans="1:1" ht="12.75" customHeight="1" x14ac:dyDescent="0.2">
      <c r="A238" s="863" t="s">
        <v>332</v>
      </c>
    </row>
    <row r="239" spans="1:1" ht="12.75" customHeight="1" x14ac:dyDescent="0.2">
      <c r="A239" s="863" t="s">
        <v>333</v>
      </c>
    </row>
    <row r="240" spans="1:1" ht="12.75" customHeight="1" x14ac:dyDescent="0.2">
      <c r="A240" s="915" t="s">
        <v>584</v>
      </c>
    </row>
    <row r="241" spans="1:1" ht="12.75" customHeight="1" x14ac:dyDescent="0.2">
      <c r="A241" s="915" t="s">
        <v>663</v>
      </c>
    </row>
    <row r="242" spans="1:1" ht="12.75" customHeight="1" x14ac:dyDescent="0.2">
      <c r="A242" s="915" t="s">
        <v>454</v>
      </c>
    </row>
    <row r="243" spans="1:1" ht="12.75" customHeight="1" x14ac:dyDescent="0.2">
      <c r="A243" s="270" t="s">
        <v>334</v>
      </c>
    </row>
    <row r="244" spans="1:1" ht="12.75" customHeight="1" x14ac:dyDescent="0.2">
      <c r="A244" s="270" t="s">
        <v>1183</v>
      </c>
    </row>
    <row r="245" spans="1:1" x14ac:dyDescent="0.2">
      <c r="A245" s="270" t="s">
        <v>1281</v>
      </c>
    </row>
    <row r="246" spans="1:1" x14ac:dyDescent="0.2">
      <c r="A246" s="403" t="s">
        <v>1251</v>
      </c>
    </row>
    <row r="247" spans="1:1" x14ac:dyDescent="0.2">
      <c r="A247" s="270" t="s">
        <v>1067</v>
      </c>
    </row>
    <row r="248" spans="1:1" x14ac:dyDescent="0.2">
      <c r="A248" s="270" t="s">
        <v>496</v>
      </c>
    </row>
    <row r="249" spans="1:1" x14ac:dyDescent="0.2">
      <c r="A249" s="270" t="s">
        <v>1252</v>
      </c>
    </row>
    <row r="250" spans="1:1" x14ac:dyDescent="0.2">
      <c r="A250" s="270" t="s">
        <v>429</v>
      </c>
    </row>
    <row r="251" spans="1:1" x14ac:dyDescent="0.2">
      <c r="A251" s="270" t="s">
        <v>497</v>
      </c>
    </row>
    <row r="252" spans="1:1" x14ac:dyDescent="0.2">
      <c r="A252" s="403" t="s">
        <v>428</v>
      </c>
    </row>
    <row r="253" spans="1:1" x14ac:dyDescent="0.2">
      <c r="A253" s="270" t="s">
        <v>1184</v>
      </c>
    </row>
    <row r="254" spans="1:1" x14ac:dyDescent="0.2">
      <c r="A254" s="863" t="s">
        <v>998</v>
      </c>
    </row>
    <row r="255" spans="1:1" x14ac:dyDescent="0.2">
      <c r="A255" s="915" t="s">
        <v>501</v>
      </c>
    </row>
    <row r="256" spans="1:1" x14ac:dyDescent="0.2">
      <c r="A256" s="915" t="s">
        <v>498</v>
      </c>
    </row>
    <row r="257" spans="1:1" x14ac:dyDescent="0.2">
      <c r="A257" s="390" t="s">
        <v>499</v>
      </c>
    </row>
    <row r="258" spans="1:1" x14ac:dyDescent="0.2">
      <c r="A258" s="1074" t="s">
        <v>1089</v>
      </c>
    </row>
    <row r="259" spans="1:1" x14ac:dyDescent="0.2">
      <c r="A259" s="403" t="s">
        <v>502</v>
      </c>
    </row>
    <row r="260" spans="1:1" x14ac:dyDescent="0.2">
      <c r="A260" s="403" t="s">
        <v>567</v>
      </c>
    </row>
    <row r="261" spans="1:1" x14ac:dyDescent="0.2">
      <c r="A261" s="979" t="s">
        <v>1157</v>
      </c>
    </row>
    <row r="262" spans="1:1" x14ac:dyDescent="0.2">
      <c r="A262" s="1073" t="s">
        <v>1158</v>
      </c>
    </row>
    <row r="263" spans="1:1" x14ac:dyDescent="0.2">
      <c r="A263" s="1073" t="s">
        <v>1159</v>
      </c>
    </row>
    <row r="264" spans="1:1" x14ac:dyDescent="0.2">
      <c r="A264" s="403" t="s">
        <v>500</v>
      </c>
    </row>
    <row r="265" spans="1:1" x14ac:dyDescent="0.2">
      <c r="A265" s="1073" t="s">
        <v>1160</v>
      </c>
    </row>
    <row r="266" spans="1:1" x14ac:dyDescent="0.2">
      <c r="A266" s="1073" t="s">
        <v>1161</v>
      </c>
    </row>
    <row r="267" spans="1:1" x14ac:dyDescent="0.2">
      <c r="A267" s="1073" t="s">
        <v>1162</v>
      </c>
    </row>
    <row r="268" spans="1:1" x14ac:dyDescent="0.2">
      <c r="A268" s="270" t="s">
        <v>418</v>
      </c>
    </row>
    <row r="269" spans="1:1" x14ac:dyDescent="0.2">
      <c r="A269" s="1073" t="s">
        <v>1163</v>
      </c>
    </row>
    <row r="270" spans="1:1" x14ac:dyDescent="0.2">
      <c r="A270" s="403" t="s">
        <v>503</v>
      </c>
    </row>
    <row r="271" spans="1:1" s="503" customFormat="1" x14ac:dyDescent="0.2">
      <c r="A271" s="270" t="s">
        <v>1258</v>
      </c>
    </row>
    <row r="272" spans="1:1" s="503" customFormat="1" x14ac:dyDescent="0.2">
      <c r="A272" s="270" t="s">
        <v>1270</v>
      </c>
    </row>
    <row r="273" spans="1:1" s="503" customFormat="1" x14ac:dyDescent="0.2">
      <c r="A273" s="270" t="s">
        <v>1260</v>
      </c>
    </row>
    <row r="274" spans="1:1" s="503" customFormat="1" x14ac:dyDescent="0.2">
      <c r="A274" s="270" t="s">
        <v>1272</v>
      </c>
    </row>
    <row r="275" spans="1:1" s="503" customFormat="1" x14ac:dyDescent="0.2">
      <c r="A275" s="270" t="s">
        <v>1259</v>
      </c>
    </row>
    <row r="276" spans="1:1" s="503" customFormat="1" x14ac:dyDescent="0.2">
      <c r="A276" s="270" t="s">
        <v>1271</v>
      </c>
    </row>
    <row r="277" spans="1:1" x14ac:dyDescent="0.2">
      <c r="A277" s="403" t="s">
        <v>568</v>
      </c>
    </row>
    <row r="278" spans="1:1" x14ac:dyDescent="0.2">
      <c r="A278" s="270" t="s">
        <v>335</v>
      </c>
    </row>
    <row r="279" spans="1:1" x14ac:dyDescent="0.2">
      <c r="A279" s="270" t="s">
        <v>336</v>
      </c>
    </row>
    <row r="280" spans="1:1" x14ac:dyDescent="0.2">
      <c r="A280" s="270" t="s">
        <v>819</v>
      </c>
    </row>
    <row r="281" spans="1:1" x14ac:dyDescent="0.2">
      <c r="A281" s="270" t="s">
        <v>337</v>
      </c>
    </row>
    <row r="282" spans="1:1" x14ac:dyDescent="0.2">
      <c r="A282" s="403" t="s">
        <v>569</v>
      </c>
    </row>
    <row r="283" spans="1:1" x14ac:dyDescent="0.2">
      <c r="A283" s="270" t="s">
        <v>338</v>
      </c>
    </row>
    <row r="284" spans="1:1" x14ac:dyDescent="0.2">
      <c r="A284" s="270" t="s">
        <v>1185</v>
      </c>
    </row>
    <row r="285" spans="1:1" x14ac:dyDescent="0.2">
      <c r="A285" s="270" t="s">
        <v>1186</v>
      </c>
    </row>
    <row r="286" spans="1:1" x14ac:dyDescent="0.2">
      <c r="A286" s="270" t="s">
        <v>1187</v>
      </c>
    </row>
    <row r="287" spans="1:1" x14ac:dyDescent="0.2">
      <c r="A287" s="1063" t="s">
        <v>1247</v>
      </c>
    </row>
    <row r="288" spans="1:1" x14ac:dyDescent="0.2">
      <c r="A288" s="270" t="s">
        <v>339</v>
      </c>
    </row>
    <row r="289" spans="1:1" x14ac:dyDescent="0.2">
      <c r="A289" s="399"/>
    </row>
  </sheetData>
  <sortState ref="A3:A289">
    <sortCondition ref="A2"/>
  </sortState>
  <dataValidations count="1">
    <dataValidation type="list" allowBlank="1" showInputMessage="1" showErrorMessage="1" sqref="A168">
      <formula1>$A$2:$A$248</formula1>
    </dataValidation>
  </dataValidation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2">
    <tabColor rgb="FF92D050"/>
    <pageSetUpPr fitToPage="1"/>
  </sheetPr>
  <dimension ref="A1:G88"/>
  <sheetViews>
    <sheetView view="pageBreakPreview" topLeftCell="A18" zoomScale="90" zoomScaleNormal="100" zoomScaleSheetLayoutView="90" workbookViewId="0">
      <selection activeCell="C45" sqref="B45:K48"/>
    </sheetView>
  </sheetViews>
  <sheetFormatPr defaultRowHeight="14.25" x14ac:dyDescent="0.2"/>
  <cols>
    <col min="1" max="1" width="6" style="724" customWidth="1"/>
    <col min="2" max="2" width="12.28515625" style="724" customWidth="1"/>
    <col min="3" max="3" width="40.85546875" style="724" customWidth="1"/>
    <col min="4" max="4" width="22.28515625" style="724" customWidth="1"/>
    <col min="5" max="5" width="18.85546875" style="724" customWidth="1"/>
    <col min="6" max="6" width="22.28515625" style="724" customWidth="1"/>
    <col min="7" max="7" width="25.140625" style="724" customWidth="1"/>
    <col min="8" max="16384" width="9.140625" style="724"/>
  </cols>
  <sheetData>
    <row r="1" spans="1:7" hidden="1" x14ac:dyDescent="0.2"/>
    <row r="2" spans="1:7" x14ac:dyDescent="0.2">
      <c r="A2" s="1708" t="str">
        <f>Dados!A5</f>
        <v>CONSELHO DA JUSTIÇA FEDERAL – CJF</v>
      </c>
      <c r="B2" s="1708"/>
      <c r="C2" s="1708"/>
      <c r="D2" s="1708"/>
      <c r="E2" s="1708"/>
      <c r="F2" s="1708"/>
      <c r="G2" s="1708"/>
    </row>
    <row r="3" spans="1:7" x14ac:dyDescent="0.2">
      <c r="A3" s="1708" t="str">
        <f>Dados!A9</f>
        <v>PREGÃO ELETRÔNICO Nº32/2021-CJF</v>
      </c>
      <c r="B3" s="1708"/>
      <c r="C3" s="1708"/>
      <c r="D3" s="1708"/>
      <c r="E3" s="1708"/>
      <c r="F3" s="1708"/>
      <c r="G3" s="1708"/>
    </row>
    <row r="4" spans="1:7" hidden="1" x14ac:dyDescent="0.2">
      <c r="A4" s="1713" t="str">
        <f>Dados!A10</f>
        <v>CONTRATO Nº __________/201__ - CONTRATANTE - PRESTAÇÃO DE SERVIÇOS --------</v>
      </c>
      <c r="B4" s="1713"/>
      <c r="C4" s="1713"/>
      <c r="D4" s="1713"/>
      <c r="E4" s="1713"/>
      <c r="F4" s="1713"/>
      <c r="G4" s="1713"/>
    </row>
    <row r="5" spans="1:7" hidden="1" x14ac:dyDescent="0.2">
      <c r="A5" s="1713" t="str">
        <f>Dados!H2</f>
        <v xml:space="preserve">REPACTUAÇÃO CONTRATUAL 20___ - </v>
      </c>
      <c r="B5" s="1713"/>
      <c r="C5" s="1713"/>
      <c r="D5" s="1713"/>
      <c r="E5" s="1713"/>
      <c r="F5" s="1713"/>
      <c r="G5" s="1713"/>
    </row>
    <row r="6" spans="1:7" ht="15" customHeight="1" x14ac:dyDescent="0.2">
      <c r="A6" s="725"/>
      <c r="B6" s="725"/>
      <c r="C6" s="725"/>
    </row>
    <row r="7" spans="1:7" x14ac:dyDescent="0.2">
      <c r="A7" s="725"/>
      <c r="B7" s="725"/>
      <c r="C7" s="725"/>
    </row>
    <row r="8" spans="1:7" ht="14.25" customHeight="1" x14ac:dyDescent="0.2">
      <c r="A8" s="1714" t="s">
        <v>939</v>
      </c>
      <c r="B8" s="1714"/>
      <c r="C8" s="1714"/>
      <c r="D8" s="1714"/>
      <c r="E8" s="1714"/>
      <c r="F8" s="1714"/>
      <c r="G8" s="1714"/>
    </row>
    <row r="10" spans="1:7" x14ac:dyDescent="0.2">
      <c r="A10" s="1705" t="str">
        <f>HLOOKUP(Dados!$J$47,BENEFÍCIOS!$B$25:$O$38,4,FALSE)</f>
        <v>Auxílio Café da Manhã</v>
      </c>
      <c r="B10" s="1705"/>
      <c r="C10" s="1705"/>
      <c r="D10" s="1705"/>
      <c r="E10" s="1705"/>
      <c r="F10" s="1705"/>
      <c r="G10" s="1705"/>
    </row>
    <row r="11" spans="1:7" ht="45" customHeight="1" x14ac:dyDescent="0.2">
      <c r="A11" s="1" t="s">
        <v>72</v>
      </c>
      <c r="B11" s="1712" t="s">
        <v>196</v>
      </c>
      <c r="C11" s="1712"/>
      <c r="D11" s="1" t="s">
        <v>133</v>
      </c>
      <c r="E11" s="1" t="s">
        <v>107</v>
      </c>
      <c r="F11" s="1" t="s">
        <v>114</v>
      </c>
      <c r="G11" s="1" t="s">
        <v>108</v>
      </c>
    </row>
    <row r="12" spans="1:7" x14ac:dyDescent="0.2">
      <c r="A12" s="1006">
        <v>1</v>
      </c>
      <c r="B12" s="1707" t="str">
        <f>Dados!J30</f>
        <v>44 horas semanais - 5x2</v>
      </c>
      <c r="C12" s="1707"/>
      <c r="D12" s="2">
        <f>INDEX(Dados!$J$27:$M$31,MATCH(B12,Dados!$J$27:$J$31,0),4)</f>
        <v>22</v>
      </c>
      <c r="E12" s="3">
        <f>Dados!I45</f>
        <v>4.82</v>
      </c>
      <c r="F12" s="4">
        <f>E12*2</f>
        <v>9.64</v>
      </c>
      <c r="G12" s="4">
        <f>F12*D12</f>
        <v>212.08</v>
      </c>
    </row>
    <row r="13" spans="1:7" hidden="1" x14ac:dyDescent="0.2">
      <c r="A13" s="1709"/>
      <c r="B13" s="1710"/>
      <c r="C13" s="1710"/>
      <c r="D13" s="1710"/>
      <c r="E13" s="1710"/>
      <c r="F13" s="1710"/>
      <c r="G13" s="1711"/>
    </row>
    <row r="14" spans="1:7" x14ac:dyDescent="0.2">
      <c r="A14" s="1717"/>
      <c r="B14" s="1717"/>
      <c r="C14" s="1717"/>
      <c r="D14" s="1717"/>
      <c r="E14" s="1717"/>
      <c r="F14" s="1717"/>
      <c r="G14" s="1717"/>
    </row>
    <row r="15" spans="1:7" ht="15" customHeight="1" x14ac:dyDescent="0.2">
      <c r="A15" s="1705" t="s">
        <v>109</v>
      </c>
      <c r="B15" s="1705"/>
      <c r="C15" s="1705"/>
      <c r="D15" s="1705"/>
      <c r="E15" s="1705"/>
      <c r="F15" s="1705"/>
      <c r="G15" s="1705"/>
    </row>
    <row r="16" spans="1:7" ht="42.75" x14ac:dyDescent="0.2">
      <c r="A16" s="1" t="s">
        <v>72</v>
      </c>
      <c r="B16" s="1712" t="s">
        <v>110</v>
      </c>
      <c r="C16" s="1712"/>
      <c r="D16" s="519" t="s">
        <v>124</v>
      </c>
      <c r="E16" s="519" t="s">
        <v>688</v>
      </c>
      <c r="F16" s="519" t="s">
        <v>689</v>
      </c>
      <c r="G16" s="519" t="s">
        <v>690</v>
      </c>
    </row>
    <row r="17" spans="1:7" ht="33" hidden="1" customHeight="1" x14ac:dyDescent="0.2">
      <c r="A17" s="1006">
        <v>1</v>
      </c>
      <c r="B17" s="1707" t="str">
        <f>Dados!P84</f>
        <v>Encarregado de segunda a sexta-feira - 44 horas semanais</v>
      </c>
      <c r="C17" s="1707"/>
      <c r="D17" s="5">
        <f>Dados!U84</f>
        <v>3714.11</v>
      </c>
      <c r="E17" s="6">
        <f t="shared" ref="E17:E25" si="0">$G$12</f>
        <v>212.08</v>
      </c>
      <c r="F17" s="5">
        <f>D17*Dados!$J$46</f>
        <v>222.85</v>
      </c>
      <c r="G17" s="5">
        <f>E17-F17</f>
        <v>-10.77</v>
      </c>
    </row>
    <row r="18" spans="1:7" ht="33" customHeight="1" x14ac:dyDescent="0.2">
      <c r="A18" s="1148">
        <v>1</v>
      </c>
      <c r="B18" s="1707" t="str">
        <f>Dados!P85</f>
        <v>Servente de segunda a sexta-feira - 44 horas semanais</v>
      </c>
      <c r="C18" s="1707"/>
      <c r="D18" s="5">
        <f>Dados!U85</f>
        <v>1287.96</v>
      </c>
      <c r="E18" s="6">
        <f t="shared" si="0"/>
        <v>212.08</v>
      </c>
      <c r="F18" s="5">
        <f>D18*Dados!$J$46</f>
        <v>77.28</v>
      </c>
      <c r="G18" s="5">
        <f t="shared" ref="G18:G25" si="1">E18-F18</f>
        <v>134.80000000000001</v>
      </c>
    </row>
    <row r="19" spans="1:7" ht="33" customHeight="1" x14ac:dyDescent="0.2">
      <c r="A19" s="1148">
        <v>2</v>
      </c>
      <c r="B19" s="1707" t="str">
        <f>Dados!P86</f>
        <v>Mensageiro de segunda a sexta-feira - 44 horas semanais</v>
      </c>
      <c r="C19" s="1707"/>
      <c r="D19" s="5">
        <f>Dados!U86</f>
        <v>1287.96</v>
      </c>
      <c r="E19" s="6">
        <f t="shared" si="0"/>
        <v>212.08</v>
      </c>
      <c r="F19" s="5">
        <f>D19*Dados!$J$46</f>
        <v>77.28</v>
      </c>
      <c r="G19" s="5">
        <f t="shared" si="1"/>
        <v>134.80000000000001</v>
      </c>
    </row>
    <row r="20" spans="1:7" ht="33" customHeight="1" x14ac:dyDescent="0.2">
      <c r="A20" s="1148">
        <v>3</v>
      </c>
      <c r="B20" s="1707" t="str">
        <f>Dados!P87</f>
        <v>Operador de Máquina Reprográfica de segunda a sexta-feira - 44 horas semanais</v>
      </c>
      <c r="C20" s="1707"/>
      <c r="D20" s="5">
        <f>Dados!U87</f>
        <v>1287.96</v>
      </c>
      <c r="E20" s="6">
        <f t="shared" si="0"/>
        <v>212.08</v>
      </c>
      <c r="F20" s="5">
        <f>D20*Dados!$J$46</f>
        <v>77.28</v>
      </c>
      <c r="G20" s="5">
        <f t="shared" si="1"/>
        <v>134.80000000000001</v>
      </c>
    </row>
    <row r="21" spans="1:7" ht="33" customHeight="1" x14ac:dyDescent="0.2">
      <c r="A21" s="1148">
        <v>4</v>
      </c>
      <c r="B21" s="1707" t="str">
        <f>Dados!P88</f>
        <v>Garçom de segunda a sexta-feira - 44 horas semanais</v>
      </c>
      <c r="C21" s="1707"/>
      <c r="D21" s="5">
        <f>Dados!U88</f>
        <v>2492.25</v>
      </c>
      <c r="E21" s="6">
        <f t="shared" si="0"/>
        <v>212.08</v>
      </c>
      <c r="F21" s="5">
        <f>D21*Dados!$J$46</f>
        <v>149.54</v>
      </c>
      <c r="G21" s="5">
        <f t="shared" si="1"/>
        <v>62.54</v>
      </c>
    </row>
    <row r="22" spans="1:7" ht="33" customHeight="1" x14ac:dyDescent="0.2">
      <c r="A22" s="1148">
        <v>5</v>
      </c>
      <c r="B22" s="1707" t="str">
        <f>Dados!P89</f>
        <v>Copeira de segunda a sexta-feira - 44 horas semanais</v>
      </c>
      <c r="C22" s="1707"/>
      <c r="D22" s="5">
        <f>Dados!U89</f>
        <v>1739.15</v>
      </c>
      <c r="E22" s="6">
        <f t="shared" si="0"/>
        <v>212.08</v>
      </c>
      <c r="F22" s="5">
        <f>D22*Dados!$J$46</f>
        <v>104.35</v>
      </c>
      <c r="G22" s="5">
        <f t="shared" si="1"/>
        <v>107.73</v>
      </c>
    </row>
    <row r="23" spans="1:7" ht="33" hidden="1" customHeight="1" x14ac:dyDescent="0.2">
      <c r="A23" s="1148">
        <v>7</v>
      </c>
      <c r="B23" s="1707" t="str">
        <f>Dados!P90</f>
        <v>Recepcionista de segunda a sexta-feira - 44 horas semanais</v>
      </c>
      <c r="C23" s="1707"/>
      <c r="D23" s="5">
        <f>Dados!U90</f>
        <v>2473.75</v>
      </c>
      <c r="E23" s="6"/>
      <c r="F23" s="5">
        <f>D23*Dados!$J$46</f>
        <v>148.43</v>
      </c>
      <c r="G23" s="5">
        <f t="shared" si="1"/>
        <v>-148.43</v>
      </c>
    </row>
    <row r="24" spans="1:7" ht="33" customHeight="1" x14ac:dyDescent="0.2">
      <c r="A24" s="1148">
        <v>6</v>
      </c>
      <c r="B24" s="1707" t="str">
        <f>Dados!P91</f>
        <v>Jauzeiro de segunda a sexta-feira - 44 horas semanais</v>
      </c>
      <c r="C24" s="1707"/>
      <c r="D24" s="5">
        <f>Dados!U91</f>
        <v>1527.03</v>
      </c>
      <c r="E24" s="6">
        <f t="shared" si="0"/>
        <v>212.08</v>
      </c>
      <c r="F24" s="5">
        <f>D24*Dados!$J$46</f>
        <v>91.62</v>
      </c>
      <c r="G24" s="5">
        <f t="shared" si="1"/>
        <v>120.46</v>
      </c>
    </row>
    <row r="25" spans="1:7" ht="33" hidden="1" customHeight="1" x14ac:dyDescent="0.2">
      <c r="A25" s="1148">
        <v>9</v>
      </c>
      <c r="B25" s="1707" t="str">
        <f>Dados!P92</f>
        <v>Técnico em secretariado de segunda a sexta-feira - 44 horas semanais</v>
      </c>
      <c r="C25" s="1707"/>
      <c r="D25" s="5">
        <f>Dados!U92</f>
        <v>3480.03</v>
      </c>
      <c r="E25" s="6">
        <f t="shared" si="0"/>
        <v>212.08</v>
      </c>
      <c r="F25" s="5">
        <f>D25*Dados!$J$46</f>
        <v>208.8</v>
      </c>
      <c r="G25" s="5">
        <f t="shared" si="1"/>
        <v>3.28</v>
      </c>
    </row>
    <row r="26" spans="1:7" x14ac:dyDescent="0.2">
      <c r="A26" s="1715" t="s">
        <v>1472</v>
      </c>
      <c r="B26" s="1715"/>
      <c r="C26" s="1715"/>
      <c r="D26" s="1715"/>
      <c r="E26" s="1715"/>
      <c r="F26" s="1715"/>
      <c r="G26" s="1715"/>
    </row>
    <row r="27" spans="1:7" x14ac:dyDescent="0.2">
      <c r="A27" s="1716"/>
      <c r="B27" s="1716"/>
      <c r="C27" s="1716"/>
      <c r="D27" s="1716"/>
      <c r="E27" s="1716"/>
      <c r="F27" s="1716"/>
      <c r="G27" s="1716"/>
    </row>
    <row r="28" spans="1:7" x14ac:dyDescent="0.2">
      <c r="A28" s="1716"/>
      <c r="B28" s="1716"/>
      <c r="C28" s="1716"/>
      <c r="D28" s="1716"/>
      <c r="E28" s="1716"/>
      <c r="F28" s="1716"/>
      <c r="G28" s="1716"/>
    </row>
    <row r="29" spans="1:7" x14ac:dyDescent="0.2">
      <c r="A29" s="1716"/>
      <c r="B29" s="1716"/>
      <c r="C29" s="1716"/>
      <c r="D29" s="1716"/>
      <c r="E29" s="1716"/>
      <c r="F29" s="1716"/>
      <c r="G29" s="1716"/>
    </row>
    <row r="30" spans="1:7" ht="14.25" customHeight="1" x14ac:dyDescent="0.2">
      <c r="A30" s="1248" t="s">
        <v>1473</v>
      </c>
      <c r="B30" s="1249"/>
      <c r="C30" s="1249"/>
      <c r="D30" s="1249"/>
      <c r="E30" s="1249"/>
      <c r="F30" s="1249"/>
      <c r="G30" s="1249"/>
    </row>
    <row r="31" spans="1:7" x14ac:dyDescent="0.2">
      <c r="A31" s="1250" t="str">
        <f>"-  Quantitativo de" &amp; " " &amp; TEXT(Dados!P12,"00%") &amp; " " &amp; "de empregados utilizam transporte, cujo valor da passagem praticado é de R$ 5,50;"</f>
        <v>-  Quantitativo de 60% de empregados utilizam transporte, cujo valor da passagem praticado é de R$ 5,50;</v>
      </c>
      <c r="B31" s="1249"/>
      <c r="C31" s="1249"/>
      <c r="D31" s="1249"/>
      <c r="E31" s="1249"/>
      <c r="F31" s="1249"/>
      <c r="G31" s="1249"/>
    </row>
    <row r="32" spans="1:7" x14ac:dyDescent="0.2">
      <c r="A32" s="1250" t="str">
        <f>"-  Quantitativo de" &amp; " " &amp; TEXT(Dados!P13,"00%") &amp; " " &amp; "de empregados utilizam transporte, cujo valor da passagem praticado, em média, é de R$ 5,50;"</f>
        <v>-  Quantitativo de 05% de empregados utilizam transporte, cujo valor da passagem praticado, em média, é de R$ 5,50;</v>
      </c>
      <c r="B32" s="1249"/>
      <c r="C32" s="1249"/>
      <c r="D32" s="1249"/>
      <c r="E32" s="1249"/>
      <c r="F32" s="1249"/>
      <c r="G32" s="1249"/>
    </row>
    <row r="33" spans="1:7" ht="14.25" customHeight="1" x14ac:dyDescent="0.2">
      <c r="A33" s="1718" t="str">
        <f>"-  Quantitativo de" &amp; " " &amp; TEXT(Dados!P14,"00%") &amp; " " &amp; "de empregados utilizam transporte nas cidades com as linhas classificadas como Metropolitana 2 (M-2), Metropolitana 3 (M-3) e Urbana 2 (U-2), cujo valor da passagem praticado é de R$ 3,80;"</f>
        <v>-  Quantitativo de 21% de empregados utilizam transporte nas cidades com as linhas classificadas como Metropolitana 2 (M-2), Metropolitana 3 (M-3) e Urbana 2 (U-2), cujo valor da passagem praticado é de R$ 3,80;</v>
      </c>
      <c r="B33" s="1718"/>
      <c r="C33" s="1718"/>
      <c r="D33" s="1718"/>
      <c r="E33" s="1718"/>
      <c r="F33" s="1718"/>
      <c r="G33" s="1718"/>
    </row>
    <row r="34" spans="1:7" ht="14.25" customHeight="1" x14ac:dyDescent="0.2">
      <c r="A34" s="1718"/>
      <c r="B34" s="1718"/>
      <c r="C34" s="1718"/>
      <c r="D34" s="1718"/>
      <c r="E34" s="1718"/>
      <c r="F34" s="1718"/>
      <c r="G34" s="1718"/>
    </row>
    <row r="35" spans="1:7" x14ac:dyDescent="0.2">
      <c r="A35" s="1718" t="str">
        <f>"-  Quantitativo de" &amp; " " &amp; TEXT(Dados!P15,"00%") &amp; " " &amp; "de empregados utilizam transporte com as linhas classificadas como Urbana 1 (U-1) e Urbana 3 (U-3), cujo valor da passagem praticado é de R$ 2,70;"</f>
        <v>-  Quantitativo de 14% de empregados utilizam transporte com as linhas classificadas como Urbana 1 (U-1) e Urbana 3 (U-3), cujo valor da passagem praticado é de R$ 2,70;</v>
      </c>
      <c r="B35" s="1718"/>
      <c r="C35" s="1718"/>
      <c r="D35" s="1718"/>
      <c r="E35" s="1718"/>
      <c r="F35" s="1718"/>
      <c r="G35" s="1718"/>
    </row>
    <row r="36" spans="1:7" ht="14.25" customHeight="1" x14ac:dyDescent="0.2">
      <c r="A36" s="1718"/>
      <c r="B36" s="1718"/>
      <c r="C36" s="1718"/>
      <c r="D36" s="1718"/>
      <c r="E36" s="1718"/>
      <c r="F36" s="1718"/>
      <c r="G36" s="1718"/>
    </row>
    <row r="37" spans="1:7" x14ac:dyDescent="0.2">
      <c r="A37" s="1248" t="str">
        <f>"Fórmula de cálculo do valor unitário: (R$ 5,50 x" &amp; " " &amp; TEXT(Dados!P12,"00%") &amp; "" &amp; ") + (R$ 6,93 x" &amp; " " &amp; TEXT(Dados!P13,"00%") &amp; "" &amp; ") + (R$ 3,80 x" &amp; " " &amp; TEXT(Dados!P14,"00%") &amp; "" &amp; ") + (R$ 2,70 x" &amp; " " &amp; TEXT(Dados!P15,"00%") &amp; "" &amp; ") =" &amp; " " &amp; TEXT(Dados!I45,"R$ ##,00")</f>
        <v>Fórmula de cálculo do valor unitário: (R$ 5,50 x 60%) + (R$ 6,93 x 05%) + (R$ 3,80 x 21%) + (R$ 2,70 x 14%) = R$ 4,82</v>
      </c>
      <c r="B37" s="1251"/>
      <c r="C37" s="1251"/>
      <c r="D37" s="1251"/>
      <c r="E37" s="1251"/>
      <c r="F37" s="1251"/>
      <c r="G37" s="1251"/>
    </row>
    <row r="38" spans="1:7" ht="9.75" customHeight="1" x14ac:dyDescent="0.2">
      <c r="A38" s="713"/>
      <c r="B38" s="713"/>
      <c r="C38" s="713"/>
      <c r="D38" s="713"/>
      <c r="E38" s="713"/>
      <c r="F38" s="713"/>
      <c r="G38" s="713"/>
    </row>
    <row r="39" spans="1:7" ht="11.25" customHeight="1" x14ac:dyDescent="0.2">
      <c r="A39" s="713"/>
      <c r="B39" s="713"/>
      <c r="C39" s="713"/>
      <c r="D39" s="713"/>
      <c r="E39" s="713"/>
      <c r="F39" s="713"/>
      <c r="G39" s="713"/>
    </row>
    <row r="40" spans="1:7" x14ac:dyDescent="0.2">
      <c r="A40" s="1706" t="s">
        <v>578</v>
      </c>
      <c r="B40" s="1706"/>
      <c r="C40" s="474" t="str">
        <f>Dados!N101</f>
        <v>SINDISERVIÇOS/SEAC-DF</v>
      </c>
      <c r="D40" s="713"/>
      <c r="E40" s="713"/>
      <c r="F40" s="713"/>
      <c r="G40" s="713"/>
    </row>
    <row r="41" spans="1:7" x14ac:dyDescent="0.2">
      <c r="A41" s="1706" t="s">
        <v>579</v>
      </c>
      <c r="B41" s="1706"/>
      <c r="C41" s="475" t="str">
        <f>Dados!Q101</f>
        <v>01/01/2021 a 31/12/2021</v>
      </c>
      <c r="D41" s="713"/>
      <c r="E41" s="713"/>
      <c r="F41" s="713"/>
      <c r="G41" s="713"/>
    </row>
    <row r="42" spans="1:7" ht="17.25" customHeight="1" x14ac:dyDescent="0.2">
      <c r="A42" s="1705" t="str">
        <f>HLOOKUP(Dados!$J$47,BENEFÍCIOS!$B$25:$O$38,2,FALSE)</f>
        <v>Auxílio Alimentação - Cláusula 14ª da CCT</v>
      </c>
      <c r="B42" s="1705"/>
      <c r="C42" s="1705"/>
      <c r="D42" s="1705"/>
      <c r="E42" s="1705"/>
      <c r="F42" s="1705"/>
      <c r="G42" s="1705"/>
    </row>
    <row r="43" spans="1:7" ht="46.5" customHeight="1" x14ac:dyDescent="0.2">
      <c r="A43" s="1005" t="s">
        <v>72</v>
      </c>
      <c r="B43" s="1705" t="s">
        <v>100</v>
      </c>
      <c r="C43" s="1705"/>
      <c r="D43" s="1705"/>
      <c r="E43" s="1" t="s">
        <v>577</v>
      </c>
      <c r="F43" s="1" t="s">
        <v>111</v>
      </c>
      <c r="G43" s="1" t="s">
        <v>112</v>
      </c>
    </row>
    <row r="44" spans="1:7" x14ac:dyDescent="0.2">
      <c r="A44" s="1006">
        <v>1</v>
      </c>
      <c r="B44" s="1707" t="str">
        <f>Dados!J30</f>
        <v>44 horas semanais - 5x2</v>
      </c>
      <c r="C44" s="1707"/>
      <c r="D44" s="1707"/>
      <c r="E44" s="2">
        <f>INDEX(Dados!$J$27:$M$31,MATCH(B44,Dados!$J$27:$J$31,0),4)</f>
        <v>22</v>
      </c>
      <c r="F44" s="518">
        <f>HLOOKUP($C$40,BENEFÍCIOS!$B$8:$O$21,2,FALSE)</f>
        <v>35</v>
      </c>
      <c r="G44" s="4">
        <f>F44*E44</f>
        <v>770</v>
      </c>
    </row>
    <row r="45" spans="1:7" ht="6.75" hidden="1" customHeight="1" x14ac:dyDescent="0.2">
      <c r="A45" s="9"/>
      <c r="B45" s="10"/>
      <c r="C45" s="10"/>
      <c r="D45" s="11"/>
      <c r="E45" s="12"/>
      <c r="F45" s="13"/>
      <c r="G45" s="10"/>
    </row>
    <row r="46" spans="1:7" hidden="1" x14ac:dyDescent="0.2">
      <c r="A46" s="1703" t="s">
        <v>1004</v>
      </c>
      <c r="B46" s="1703"/>
      <c r="C46" s="1703"/>
      <c r="D46" s="1703"/>
      <c r="E46" s="1703"/>
      <c r="F46" s="1703"/>
      <c r="G46" s="1703"/>
    </row>
    <row r="47" spans="1:7" ht="42.75" hidden="1" x14ac:dyDescent="0.2">
      <c r="A47" s="1004" t="s">
        <v>72</v>
      </c>
      <c r="B47" s="1703" t="s">
        <v>100</v>
      </c>
      <c r="C47" s="1703"/>
      <c r="D47" s="1703"/>
      <c r="E47" s="814" t="s">
        <v>577</v>
      </c>
      <c r="F47" s="814" t="s">
        <v>111</v>
      </c>
      <c r="G47" s="814" t="s">
        <v>1005</v>
      </c>
    </row>
    <row r="48" spans="1:7" hidden="1" x14ac:dyDescent="0.2">
      <c r="A48" s="815">
        <v>1</v>
      </c>
      <c r="B48" s="1704" t="str">
        <f>HLOOKUP($C$40,BENEFÍCIOS!$B$25:$F$38,3,FALSE)</f>
        <v>Desconto do Auxílio Alimentação</v>
      </c>
      <c r="C48" s="1704"/>
      <c r="D48" s="1704"/>
      <c r="E48" s="816">
        <f>INDEX(Dados!$J$27:$M$31,MATCH($B$44,Dados!$J$27:$J$31,0),4)</f>
        <v>22</v>
      </c>
      <c r="F48" s="518">
        <f>HLOOKUP($C$40,BENEFÍCIOS!$B$8:$F$20,3,FALSE)</f>
        <v>0</v>
      </c>
      <c r="G48" s="817">
        <f>-F48*E48</f>
        <v>0</v>
      </c>
    </row>
    <row r="49" spans="1:7" ht="9" customHeight="1" x14ac:dyDescent="0.2">
      <c r="A49" s="9"/>
      <c r="B49" s="10"/>
      <c r="C49" s="10"/>
      <c r="D49" s="11"/>
      <c r="E49" s="12"/>
      <c r="F49" s="13"/>
      <c r="G49" s="10"/>
    </row>
    <row r="50" spans="1:7" ht="9.75" customHeight="1" x14ac:dyDescent="0.2">
      <c r="A50" s="9"/>
      <c r="B50" s="10"/>
      <c r="C50" s="10"/>
      <c r="D50" s="11"/>
      <c r="E50" s="12"/>
      <c r="F50" s="13"/>
      <c r="G50" s="10"/>
    </row>
    <row r="51" spans="1:7" x14ac:dyDescent="0.2">
      <c r="A51" s="1705" t="s">
        <v>938</v>
      </c>
      <c r="B51" s="1705"/>
      <c r="C51" s="1705"/>
      <c r="D51" s="1705"/>
      <c r="E51" s="1705"/>
      <c r="F51" s="377"/>
      <c r="G51" s="377"/>
    </row>
    <row r="52" spans="1:7" ht="21" customHeight="1" x14ac:dyDescent="0.2">
      <c r="A52" s="712" t="s">
        <v>72</v>
      </c>
      <c r="B52" s="1705" t="s">
        <v>258</v>
      </c>
      <c r="C52" s="1705"/>
      <c r="D52" s="1705"/>
      <c r="E52" s="712" t="s">
        <v>79</v>
      </c>
      <c r="F52" s="377"/>
      <c r="G52" s="377"/>
    </row>
    <row r="53" spans="1:7" ht="15" hidden="1" customHeight="1" x14ac:dyDescent="0.2">
      <c r="A53" s="714">
        <v>1</v>
      </c>
      <c r="B53" s="379" t="str">
        <f>HLOOKUP($C$40,BENEFÍCIOS!$B$25:$O$38,4,FALSE)</f>
        <v>Auxílio Café da Manhã</v>
      </c>
      <c r="C53" s="473"/>
      <c r="D53" s="726"/>
      <c r="E53" s="961">
        <f>HLOOKUP($C$40,BENEFÍCIOS!$B$8:$O$21,4,FALSE)</f>
        <v>0</v>
      </c>
      <c r="F53" s="378"/>
      <c r="G53" s="378"/>
    </row>
    <row r="54" spans="1:7" ht="15" customHeight="1" x14ac:dyDescent="0.2">
      <c r="A54" s="1700">
        <v>1</v>
      </c>
      <c r="B54" s="379" t="str">
        <f>HLOOKUP($C$40,BENEFÍCIOS!$B$25:$O$38,6,FALSE) &amp;" "&amp; "*"</f>
        <v>Plano Ambulatorial - Cláusula 16ª da CCT *</v>
      </c>
      <c r="C54" s="473"/>
      <c r="D54" s="726"/>
      <c r="E54" s="961">
        <f>HLOOKUP($C$40,BENEFÍCIOS!$B$8:$O$21,6,FALSE)</f>
        <v>160.07</v>
      </c>
      <c r="F54" s="378"/>
      <c r="G54" s="378"/>
    </row>
    <row r="55" spans="1:7" ht="15" hidden="1" customHeight="1" x14ac:dyDescent="0.2">
      <c r="A55" s="1701"/>
      <c r="B55" s="379" t="str">
        <f>HLOOKUP($C$40,BENEFÍCIOS!$B$25:$O$38,7,FALSE)</f>
        <v>Plano Ambulatorial - Contr. Empresa - Cláusula 16ª da CCT</v>
      </c>
      <c r="C55" s="473"/>
      <c r="D55" s="726"/>
      <c r="E55" s="961">
        <f>HLOOKUP($C$40,BENEFÍCIOS!$B$8:$O$21,7,FALSE)</f>
        <v>0</v>
      </c>
      <c r="F55" s="378"/>
      <c r="G55" s="378"/>
    </row>
    <row r="56" spans="1:7" ht="15" hidden="1" customHeight="1" x14ac:dyDescent="0.2">
      <c r="A56" s="1702"/>
      <c r="B56" s="379" t="str">
        <f>HLOOKUP($C$40,BENEFÍCIOS!$B$25:$O$38,8,FALSE)</f>
        <v>Plano Ambulatorial - Contr. Empregado - Cláusula 16ª da CCT</v>
      </c>
      <c r="C56" s="473"/>
      <c r="D56" s="726"/>
      <c r="E56" s="961">
        <f>HLOOKUP($C$40,BENEFÍCIOS!$B$8:$O$21,8,FALSE)</f>
        <v>0</v>
      </c>
      <c r="F56" s="378"/>
      <c r="G56" s="378"/>
    </row>
    <row r="57" spans="1:7" ht="15" customHeight="1" x14ac:dyDescent="0.2">
      <c r="A57" s="957">
        <v>2</v>
      </c>
      <c r="B57" s="379" t="str">
        <f>HLOOKUP($C$40,BENEFÍCIOS!$B$25:$O$38,9,FALSE)</f>
        <v>Seguro de Vida e Assistência Funeral - Cláusula 18ª da CCT</v>
      </c>
      <c r="C57" s="473"/>
      <c r="D57" s="726"/>
      <c r="E57" s="961">
        <f>HLOOKUP($C$40,BENEFÍCIOS!$B$8:$O$21,9,FALSE)</f>
        <v>2.2999999999999998</v>
      </c>
      <c r="F57" s="378"/>
      <c r="G57" s="378"/>
    </row>
    <row r="58" spans="1:7" ht="15" customHeight="1" x14ac:dyDescent="0.2">
      <c r="A58" s="957">
        <v>3</v>
      </c>
      <c r="B58" s="379" t="str">
        <f>HLOOKUP($C$40,BENEFÍCIOS!$B$25:$O$38,10,FALSE)&amp;" "&amp; "*"</f>
        <v>Assistência Odontológica - Cláusula 17ª da CCT *</v>
      </c>
      <c r="C58" s="473"/>
      <c r="D58" s="726"/>
      <c r="E58" s="961">
        <f>HLOOKUP($C$40,BENEFÍCIOS!$B$8:$O$21,10,FALSE)</f>
        <v>10.63</v>
      </c>
      <c r="F58" s="378"/>
      <c r="G58" s="378"/>
    </row>
    <row r="59" spans="1:7" ht="15" hidden="1" customHeight="1" x14ac:dyDescent="0.2">
      <c r="A59" s="957">
        <v>5</v>
      </c>
      <c r="B59" s="379" t="str">
        <f>HLOOKUP($C$40,BENEFÍCIOS!$B$25:$O$38,11,FALSE)</f>
        <v>Auxílio Lazer/Cultura</v>
      </c>
      <c r="C59" s="473"/>
      <c r="D59" s="726"/>
      <c r="E59" s="961">
        <f>HLOOKUP($C$40,BENEFÍCIOS!$B$8:$O$21,11,FALSE)</f>
        <v>0</v>
      </c>
      <c r="F59" s="378"/>
      <c r="G59" s="378"/>
    </row>
    <row r="60" spans="1:7" hidden="1" x14ac:dyDescent="0.2">
      <c r="A60" s="957">
        <v>6</v>
      </c>
      <c r="B60" s="379" t="str">
        <f>HLOOKUP($C$40,BENEFÍCIOS!$B$25:$O$38,12,FALSE)</f>
        <v>Treinamento/capacitação/reciclagem - Cláusula 30ª da CCT</v>
      </c>
      <c r="C60" s="473"/>
      <c r="D60" s="726"/>
      <c r="E60" s="961">
        <f>HLOOKUP($C$40,BENEFÍCIOS!$B$8:$O$21,12,FALSE)</f>
        <v>0</v>
      </c>
    </row>
    <row r="61" spans="1:7" hidden="1" x14ac:dyDescent="0.2">
      <c r="A61" s="957">
        <v>4</v>
      </c>
      <c r="B61" s="379" t="str">
        <f>HLOOKUP($C$40,BENEFÍCIOS!$B$25:$O$38,13,FALSE)</f>
        <v>Contribuição Assistencial Patronal - Cláusula 61ª da CCT</v>
      </c>
      <c r="C61" s="473"/>
      <c r="D61" s="726"/>
      <c r="E61" s="961">
        <f>HLOOKUP($C$40,BENEFÍCIOS!$B$8:$O$21,13,FALSE)*50%/12</f>
        <v>0.5</v>
      </c>
    </row>
    <row r="62" spans="1:7" hidden="1" x14ac:dyDescent="0.2">
      <c r="A62" s="957">
        <v>8</v>
      </c>
      <c r="B62" s="379" t="str">
        <f>HLOOKUP($C$40,BENEFÍCIOS!$B$25:$O$38,14,FALSE)</f>
        <v>Auxílio Creche</v>
      </c>
      <c r="C62" s="473"/>
      <c r="D62" s="726"/>
      <c r="E62" s="961">
        <f>HLOOKUP($C$40,BENEFÍCIOS!$B$8:$O$21,14,FALSE)</f>
        <v>0</v>
      </c>
    </row>
    <row r="63" spans="1:7" x14ac:dyDescent="0.2">
      <c r="B63" s="1252" t="s">
        <v>1466</v>
      </c>
    </row>
    <row r="64" spans="1:7" ht="8.25" customHeight="1" x14ac:dyDescent="0.2"/>
    <row r="65" spans="1:7" x14ac:dyDescent="0.2">
      <c r="A65" s="1706" t="s">
        <v>578</v>
      </c>
      <c r="B65" s="1706"/>
      <c r="C65" s="474" t="str">
        <f>Dados!N102</f>
        <v>SIS/SEAC-DF</v>
      </c>
      <c r="D65" s="1147"/>
      <c r="E65" s="1147"/>
      <c r="F65" s="1147"/>
      <c r="G65" s="1147"/>
    </row>
    <row r="66" spans="1:7" x14ac:dyDescent="0.2">
      <c r="A66" s="1706" t="s">
        <v>579</v>
      </c>
      <c r="B66" s="1706"/>
      <c r="C66" s="475" t="str">
        <f>Dados!Q102</f>
        <v>01/01/2021 a 31/12/2021</v>
      </c>
      <c r="D66" s="1147"/>
      <c r="E66" s="1147"/>
      <c r="F66" s="1147"/>
      <c r="G66" s="1147"/>
    </row>
    <row r="67" spans="1:7" ht="17.25" customHeight="1" x14ac:dyDescent="0.2">
      <c r="A67" s="1705" t="str">
        <f>HLOOKUP(Dados!$J$47,BENEFÍCIOS!$B$25:$O$38,2,FALSE)</f>
        <v>Auxílio Alimentação - Cláusula 14ª da CCT</v>
      </c>
      <c r="B67" s="1705"/>
      <c r="C67" s="1705"/>
      <c r="D67" s="1705"/>
      <c r="E67" s="1705"/>
      <c r="F67" s="1705"/>
      <c r="G67" s="1705"/>
    </row>
    <row r="68" spans="1:7" ht="46.5" customHeight="1" x14ac:dyDescent="0.2">
      <c r="A68" s="1145" t="s">
        <v>72</v>
      </c>
      <c r="B68" s="1705" t="s">
        <v>100</v>
      </c>
      <c r="C68" s="1705"/>
      <c r="D68" s="1705"/>
      <c r="E68" s="1146" t="s">
        <v>577</v>
      </c>
      <c r="F68" s="1146" t="s">
        <v>111</v>
      </c>
      <c r="G68" s="1146" t="s">
        <v>112</v>
      </c>
    </row>
    <row r="69" spans="1:7" x14ac:dyDescent="0.2">
      <c r="A69" s="1148">
        <v>1</v>
      </c>
      <c r="B69" s="1707" t="str">
        <f>Dados!J30</f>
        <v>44 horas semanais - 5x2</v>
      </c>
      <c r="C69" s="1707"/>
      <c r="D69" s="1707"/>
      <c r="E69" s="2">
        <f>INDEX(Dados!$J$27:$M$31,MATCH(B69,Dados!$J$27:$J$31,0),4)</f>
        <v>22</v>
      </c>
      <c r="F69" s="518">
        <f>HLOOKUP($C$65,BENEFÍCIOS!$B$8:$O$21,2,FALSE)</f>
        <v>35.31</v>
      </c>
      <c r="G69" s="4">
        <f>F69*E69</f>
        <v>776.82</v>
      </c>
    </row>
    <row r="70" spans="1:7" ht="6.75" customHeight="1" x14ac:dyDescent="0.2">
      <c r="A70" s="9"/>
      <c r="B70" s="10"/>
      <c r="C70" s="10"/>
      <c r="D70" s="11"/>
      <c r="E70" s="12"/>
      <c r="F70" s="13"/>
      <c r="G70" s="10"/>
    </row>
    <row r="71" spans="1:7" x14ac:dyDescent="0.2">
      <c r="A71" s="1703" t="s">
        <v>1004</v>
      </c>
      <c r="B71" s="1703"/>
      <c r="C71" s="1703"/>
      <c r="D71" s="1703"/>
      <c r="E71" s="1703"/>
      <c r="F71" s="1703"/>
      <c r="G71" s="1703"/>
    </row>
    <row r="72" spans="1:7" ht="42.75" x14ac:dyDescent="0.2">
      <c r="A72" s="1149" t="s">
        <v>72</v>
      </c>
      <c r="B72" s="1703" t="s">
        <v>100</v>
      </c>
      <c r="C72" s="1703"/>
      <c r="D72" s="1703"/>
      <c r="E72" s="814" t="s">
        <v>577</v>
      </c>
      <c r="F72" s="814" t="s">
        <v>111</v>
      </c>
      <c r="G72" s="814" t="s">
        <v>1005</v>
      </c>
    </row>
    <row r="73" spans="1:7" x14ac:dyDescent="0.2">
      <c r="A73" s="815">
        <v>1</v>
      </c>
      <c r="B73" s="1704" t="str">
        <f>HLOOKUP($C$40,BENEFÍCIOS!$B$25:$F$38,3,FALSE)</f>
        <v>Desconto do Auxílio Alimentação</v>
      </c>
      <c r="C73" s="1704"/>
      <c r="D73" s="1704"/>
      <c r="E73" s="816">
        <f>INDEX(Dados!$J$27:$M$31,MATCH($B$44,Dados!$J$27:$J$31,0),4)</f>
        <v>22</v>
      </c>
      <c r="F73" s="518">
        <f>HLOOKUP(C65,BENEFÍCIOS!$B$8:$F$20,3,FALSE)</f>
        <v>0.7</v>
      </c>
      <c r="G73" s="817">
        <f>-F73*E73</f>
        <v>-15.4</v>
      </c>
    </row>
    <row r="74" spans="1:7" ht="7.5" customHeight="1" x14ac:dyDescent="0.2">
      <c r="A74" s="9"/>
      <c r="B74" s="10"/>
      <c r="C74" s="10"/>
      <c r="D74" s="11"/>
      <c r="E74" s="12"/>
      <c r="F74" s="13"/>
      <c r="G74" s="10"/>
    </row>
    <row r="75" spans="1:7" ht="8.25" customHeight="1" x14ac:dyDescent="0.2">
      <c r="A75" s="9"/>
      <c r="B75" s="10"/>
      <c r="C75" s="10"/>
      <c r="D75" s="11"/>
      <c r="E75" s="12"/>
      <c r="F75" s="13"/>
      <c r="G75" s="10"/>
    </row>
    <row r="76" spans="1:7" x14ac:dyDescent="0.2">
      <c r="A76" s="1705" t="s">
        <v>938</v>
      </c>
      <c r="B76" s="1705"/>
      <c r="C76" s="1705"/>
      <c r="D76" s="1705"/>
      <c r="E76" s="1705"/>
      <c r="F76" s="377"/>
      <c r="G76" s="377"/>
    </row>
    <row r="77" spans="1:7" ht="21" customHeight="1" x14ac:dyDescent="0.2">
      <c r="A77" s="1145" t="s">
        <v>72</v>
      </c>
      <c r="B77" s="1705" t="s">
        <v>258</v>
      </c>
      <c r="C77" s="1705"/>
      <c r="D77" s="1705"/>
      <c r="E77" s="1145" t="s">
        <v>79</v>
      </c>
      <c r="F77" s="377"/>
      <c r="G77" s="377"/>
    </row>
    <row r="78" spans="1:7" ht="15" hidden="1" customHeight="1" x14ac:dyDescent="0.2">
      <c r="A78" s="1148">
        <v>1</v>
      </c>
      <c r="B78" s="379" t="str">
        <f>HLOOKUP($C$40,BENEFÍCIOS!$B$25:$O$38,4,FALSE)</f>
        <v>Auxílio Café da Manhã</v>
      </c>
      <c r="C78" s="473"/>
      <c r="D78" s="726"/>
      <c r="E78" s="961">
        <f>HLOOKUP($C$40,BENEFÍCIOS!$B$8:$O$21,4,FALSE)</f>
        <v>0</v>
      </c>
      <c r="F78" s="378"/>
      <c r="G78" s="378"/>
    </row>
    <row r="79" spans="1:7" ht="15" customHeight="1" x14ac:dyDescent="0.2">
      <c r="A79" s="1700">
        <v>1</v>
      </c>
      <c r="B79" s="379" t="str">
        <f>HLOOKUP($C$40,BENEFÍCIOS!$B$25:$O$38,6,FALSE)&amp;" "&amp; "*"</f>
        <v>Plano Ambulatorial - Cláusula 16ª da CCT *</v>
      </c>
      <c r="C79" s="473"/>
      <c r="D79" s="726"/>
      <c r="E79" s="961">
        <f>HLOOKUP($C$65,BENEFÍCIOS!$B$8:$O$21,6,FALSE)</f>
        <v>160.07</v>
      </c>
      <c r="F79" s="378"/>
      <c r="G79" s="378"/>
    </row>
    <row r="80" spans="1:7" ht="15" hidden="1" customHeight="1" x14ac:dyDescent="0.2">
      <c r="A80" s="1701"/>
      <c r="B80" s="379" t="str">
        <f>HLOOKUP($C$40,BENEFÍCIOS!$B$25:$O$38,7,FALSE)</f>
        <v>Plano Ambulatorial - Contr. Empresa - Cláusula 16ª da CCT</v>
      </c>
      <c r="C80" s="473"/>
      <c r="D80" s="726"/>
      <c r="E80" s="961">
        <f>HLOOKUP($C$40,BENEFÍCIOS!$B$8:$O$21,7,FALSE)</f>
        <v>0</v>
      </c>
      <c r="F80" s="378"/>
      <c r="G80" s="378"/>
    </row>
    <row r="81" spans="1:7" ht="15" hidden="1" customHeight="1" x14ac:dyDescent="0.2">
      <c r="A81" s="1702"/>
      <c r="B81" s="379" t="str">
        <f>HLOOKUP($C$40,BENEFÍCIOS!$B$25:$O$38,8,FALSE)</f>
        <v>Plano Ambulatorial - Contr. Empregado - Cláusula 16ª da CCT</v>
      </c>
      <c r="C81" s="473"/>
      <c r="D81" s="726"/>
      <c r="E81" s="961">
        <f>HLOOKUP($C$40,BENEFÍCIOS!$B$8:$O$21,8,FALSE)</f>
        <v>0</v>
      </c>
      <c r="F81" s="378"/>
      <c r="G81" s="378"/>
    </row>
    <row r="82" spans="1:7" ht="15" customHeight="1" x14ac:dyDescent="0.2">
      <c r="A82" s="1148">
        <v>2</v>
      </c>
      <c r="B82" s="379" t="str">
        <f>HLOOKUP($C$40,BENEFÍCIOS!$B$25:$O$38,9,FALSE)</f>
        <v>Seguro de Vida e Assistência Funeral - Cláusula 18ª da CCT</v>
      </c>
      <c r="C82" s="473"/>
      <c r="D82" s="726"/>
      <c r="E82" s="961">
        <f>HLOOKUP($C$65,BENEFÍCIOS!$B$8:$O$21,9,FALSE)</f>
        <v>2.5</v>
      </c>
      <c r="F82" s="378"/>
      <c r="G82" s="378"/>
    </row>
    <row r="83" spans="1:7" ht="15" customHeight="1" x14ac:dyDescent="0.2">
      <c r="A83" s="1148">
        <v>3</v>
      </c>
      <c r="B83" s="379" t="str">
        <f>HLOOKUP($C$40,BENEFÍCIOS!$B$25:$O$38,10,FALSE)&amp;" "&amp; "*"</f>
        <v>Assistência Odontológica - Cláusula 17ª da CCT *</v>
      </c>
      <c r="C83" s="473"/>
      <c r="D83" s="726"/>
      <c r="E83" s="961">
        <f>HLOOKUP($C$65,BENEFÍCIOS!$B$8:$O$21,10,FALSE)</f>
        <v>10.63</v>
      </c>
      <c r="F83" s="378"/>
      <c r="G83" s="378"/>
    </row>
    <row r="84" spans="1:7" ht="15" hidden="1" customHeight="1" x14ac:dyDescent="0.2">
      <c r="A84" s="1148">
        <v>5</v>
      </c>
      <c r="B84" s="379" t="str">
        <f>HLOOKUP($C$40,BENEFÍCIOS!$B$25:$O$38,11,FALSE)</f>
        <v>Auxílio Lazer/Cultura</v>
      </c>
      <c r="C84" s="473"/>
      <c r="D84" s="726"/>
      <c r="E84" s="961">
        <f>HLOOKUP($C$40,BENEFÍCIOS!$B$8:$O$21,11,FALSE)</f>
        <v>0</v>
      </c>
      <c r="F84" s="378"/>
      <c r="G84" s="378"/>
    </row>
    <row r="85" spans="1:7" hidden="1" x14ac:dyDescent="0.2">
      <c r="A85" s="1148">
        <v>6</v>
      </c>
      <c r="B85" s="379" t="str">
        <f>HLOOKUP($C$40,BENEFÍCIOS!$B$25:$O$38,12,FALSE)</f>
        <v>Treinamento/capacitação/reciclagem - Cláusula 30ª da CCT</v>
      </c>
      <c r="C85" s="473"/>
      <c r="D85" s="726"/>
      <c r="E85" s="961">
        <f>HLOOKUP($C$40,BENEFÍCIOS!$B$8:$O$21,12,FALSE)</f>
        <v>0</v>
      </c>
    </row>
    <row r="86" spans="1:7" hidden="1" x14ac:dyDescent="0.2">
      <c r="A86" s="1148">
        <v>4</v>
      </c>
      <c r="B86" s="379" t="str">
        <f>HLOOKUP($C$40,BENEFÍCIOS!$B$25:$O$38,13,FALSE)</f>
        <v>Contribuição Assistencial Patronal - Cláusula 61ª da CCT</v>
      </c>
      <c r="C86" s="473"/>
      <c r="D86" s="726"/>
      <c r="E86" s="961">
        <f>HLOOKUP($C$65,BENEFÍCIOS!$B$8:$O$21,13,FALSE)*50%/12</f>
        <v>0.5</v>
      </c>
    </row>
    <row r="87" spans="1:7" hidden="1" x14ac:dyDescent="0.2">
      <c r="A87" s="1148">
        <v>8</v>
      </c>
      <c r="B87" s="379" t="str">
        <f>HLOOKUP($C$40,BENEFÍCIOS!$B$25:$O$38,14,FALSE)</f>
        <v>Auxílio Creche</v>
      </c>
      <c r="C87" s="473"/>
      <c r="D87" s="726"/>
      <c r="E87" s="961">
        <f>HLOOKUP($C$40,BENEFÍCIOS!$B$8:$O$21,14,FALSE)</f>
        <v>0</v>
      </c>
    </row>
    <row r="88" spans="1:7" x14ac:dyDescent="0.2">
      <c r="B88" s="1252" t="s">
        <v>1466</v>
      </c>
    </row>
  </sheetData>
  <sheetProtection selectLockedCells="1" selectUnlockedCells="1"/>
  <mergeCells count="46">
    <mergeCell ref="A33:G34"/>
    <mergeCell ref="A35:G36"/>
    <mergeCell ref="A54:A56"/>
    <mergeCell ref="A46:G46"/>
    <mergeCell ref="B47:D47"/>
    <mergeCell ref="B48:D48"/>
    <mergeCell ref="B44:D44"/>
    <mergeCell ref="A40:B40"/>
    <mergeCell ref="A41:B41"/>
    <mergeCell ref="B52:D52"/>
    <mergeCell ref="A51:E51"/>
    <mergeCell ref="A42:G42"/>
    <mergeCell ref="B43:D43"/>
    <mergeCell ref="A26:G29"/>
    <mergeCell ref="A14:G14"/>
    <mergeCell ref="A15:G15"/>
    <mergeCell ref="B16:C16"/>
    <mergeCell ref="B17:C17"/>
    <mergeCell ref="B18:C18"/>
    <mergeCell ref="B19:C19"/>
    <mergeCell ref="B20:C20"/>
    <mergeCell ref="B21:C21"/>
    <mergeCell ref="B22:C22"/>
    <mergeCell ref="B23:C23"/>
    <mergeCell ref="B24:C24"/>
    <mergeCell ref="B25:C25"/>
    <mergeCell ref="A2:G2"/>
    <mergeCell ref="A3:G3"/>
    <mergeCell ref="A10:G10"/>
    <mergeCell ref="A13:G13"/>
    <mergeCell ref="B12:C12"/>
    <mergeCell ref="B11:C11"/>
    <mergeCell ref="A4:G4"/>
    <mergeCell ref="A5:G5"/>
    <mergeCell ref="A8:G8"/>
    <mergeCell ref="A65:B65"/>
    <mergeCell ref="A66:B66"/>
    <mergeCell ref="A67:G67"/>
    <mergeCell ref="B68:D68"/>
    <mergeCell ref="B69:D69"/>
    <mergeCell ref="A79:A81"/>
    <mergeCell ref="A71:G71"/>
    <mergeCell ref="B72:D72"/>
    <mergeCell ref="B73:D73"/>
    <mergeCell ref="A76:E76"/>
    <mergeCell ref="B77:D77"/>
  </mergeCells>
  <dataValidations count="4">
    <dataValidation allowBlank="1" showInputMessage="1" showErrorMessage="1" errorTitle="Atenção" error="Não alterar manualmente" promptTitle="Quantidade de Dias" prompt="- Não alterar manualmente. Para alterar os dias, ir na Coluna &quot;B&quot;, Linha &quot;11&quot; e mudar a jornada de trabalho" sqref="D12"/>
    <dataValidation allowBlank="1" showInputMessage="1" showErrorMessage="1" errorTitle="Atenção" error="- Não alterar manualmente" promptTitle="Quantidade de dias" prompt="- Não alterar manualmente. Para alterar os dias, ir na Coluna &quot;B&quot;, Linha &quot;42&quot; e mudar a jornada de trabalho" sqref="E44 E48 E69 E73"/>
    <dataValidation allowBlank="1" showInputMessage="1" showErrorMessage="1" errorTitle="Atenção" error="Não alterar manualmente" promptTitle="Valores Unitários" prompt="Não alterar manualmente. Os valores serão automaticamente alterados assim que escolher o Sindicato." sqref="E53:E62 E78:E87"/>
    <dataValidation allowBlank="1" showInputMessage="1" showErrorMessage="1" errorTitle="Atenção" error="- Não alterar manualmente." promptTitle="Descrição/Fundamento" prompt="Não alterar manualmente. As Cláusulas serão automaticamente alteradas assim que escolher o Sindicato." sqref="B53:B62 B78:B87"/>
  </dataValidations>
  <printOptions horizontalCentered="1"/>
  <pageMargins left="0.23622047244094491" right="0.55118110236220474" top="1.1200000000000001" bottom="0.43307086614173229" header="0.19685039370078741" footer="0.23622047244094491"/>
  <pageSetup paperSize="9" scale="65" fitToHeight="0" orientation="portrait" horizontalDpi="4294967294" r:id="rId1"/>
  <headerFooter alignWithMargins="0"/>
</worksheet>
</file>

<file path=xl/worksheets/sheet2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7">
    <tabColor rgb="FF92D050"/>
  </sheetPr>
  <dimension ref="A1:I57"/>
  <sheetViews>
    <sheetView view="pageBreakPreview" topLeftCell="A33" zoomScale="90" zoomScaleNormal="100" zoomScaleSheetLayoutView="90" workbookViewId="0">
      <selection activeCell="C45" sqref="B45:K48"/>
    </sheetView>
  </sheetViews>
  <sheetFormatPr defaultRowHeight="16.5" customHeight="1" x14ac:dyDescent="0.2"/>
  <cols>
    <col min="1" max="1" width="7.140625" style="14" customWidth="1"/>
    <col min="2" max="2" width="50.140625" style="15" customWidth="1"/>
    <col min="3" max="3" width="12.140625" style="15" customWidth="1"/>
    <col min="4" max="4" width="41.28515625" style="14" customWidth="1"/>
    <col min="5" max="5" width="59.42578125" style="15" customWidth="1"/>
    <col min="6" max="16384" width="9.140625" style="16"/>
  </cols>
  <sheetData>
    <row r="1" spans="1:9" ht="14.25" hidden="1" x14ac:dyDescent="0.2"/>
    <row r="2" spans="1:9" ht="14.25" x14ac:dyDescent="0.2">
      <c r="A2" s="1720" t="str">
        <f>Dados!A5</f>
        <v>CONSELHO DA JUSTIÇA FEDERAL – CJF</v>
      </c>
      <c r="B2" s="1720"/>
      <c r="C2" s="1720"/>
      <c r="D2" s="1720"/>
      <c r="E2" s="1720"/>
    </row>
    <row r="3" spans="1:9" s="7" customFormat="1" ht="14.25" x14ac:dyDescent="0.2">
      <c r="A3" s="1720" t="str">
        <f>Dados!A9</f>
        <v>PREGÃO ELETRÔNICO Nº32/2021-CJF</v>
      </c>
      <c r="B3" s="1720"/>
      <c r="C3" s="1720"/>
      <c r="D3" s="1720"/>
      <c r="E3" s="1720"/>
    </row>
    <row r="4" spans="1:9" s="7" customFormat="1" ht="14.25" hidden="1" x14ac:dyDescent="0.2">
      <c r="A4" s="1721" t="str">
        <f>Dados!A10</f>
        <v>CONTRATO Nº __________/201__ - CONTRATANTE - PRESTAÇÃO DE SERVIÇOS --------</v>
      </c>
      <c r="B4" s="1721"/>
      <c r="C4" s="1721"/>
      <c r="D4" s="1721"/>
      <c r="E4" s="1721"/>
    </row>
    <row r="5" spans="1:9" s="7" customFormat="1" ht="14.25" hidden="1" x14ac:dyDescent="0.2">
      <c r="A5" s="1721" t="str">
        <f>Dados!H2</f>
        <v xml:space="preserve">REPACTUAÇÃO CONTRATUAL 20___ - </v>
      </c>
      <c r="B5" s="1721"/>
      <c r="C5" s="1721"/>
      <c r="D5" s="1721"/>
      <c r="E5" s="1721"/>
    </row>
    <row r="6" spans="1:9" s="7" customFormat="1" ht="14.25" x14ac:dyDescent="0.2">
      <c r="A6" s="17"/>
      <c r="B6" s="17"/>
      <c r="C6" s="17"/>
      <c r="D6" s="17"/>
      <c r="E6" s="17"/>
    </row>
    <row r="7" spans="1:9" s="7" customFormat="1" ht="14.25" x14ac:dyDescent="0.2">
      <c r="A7" s="17"/>
      <c r="B7" s="17"/>
      <c r="C7" s="17"/>
      <c r="D7" s="17"/>
      <c r="E7" s="17"/>
    </row>
    <row r="8" spans="1:9" s="7" customFormat="1" ht="14.25" x14ac:dyDescent="0.2">
      <c r="A8" s="1714" t="s">
        <v>702</v>
      </c>
      <c r="B8" s="1714"/>
      <c r="C8" s="1714"/>
      <c r="D8" s="1714"/>
      <c r="E8" s="1714"/>
      <c r="F8" s="18"/>
      <c r="G8" s="18"/>
      <c r="H8" s="18"/>
      <c r="I8" s="18"/>
    </row>
    <row r="9" spans="1:9" ht="16.5" customHeight="1" x14ac:dyDescent="0.2">
      <c r="C9" s="361">
        <f>Dados!G91</f>
        <v>0.63419999999999999</v>
      </c>
    </row>
    <row r="10" spans="1:9" ht="19.5" customHeight="1" x14ac:dyDescent="0.2">
      <c r="A10" s="715" t="str">
        <f>Dados!A91</f>
        <v>2.1</v>
      </c>
      <c r="B10" s="593" t="str">
        <f>Dados!B91</f>
        <v>13º SALÁRIO, FÉRIAS E ADICIONAL DE FÉRIAS</v>
      </c>
      <c r="C10" s="589" t="s">
        <v>13</v>
      </c>
      <c r="D10" s="590" t="s">
        <v>94</v>
      </c>
      <c r="E10" s="590" t="s">
        <v>95</v>
      </c>
    </row>
    <row r="11" spans="1:9" ht="42.75" x14ac:dyDescent="0.2">
      <c r="A11" s="19" t="s">
        <v>1</v>
      </c>
      <c r="B11" s="23" t="str">
        <f>Dados!B92</f>
        <v xml:space="preserve">13º (décimo terceiro) salário  </v>
      </c>
      <c r="C11" s="843">
        <f>Dados!G92</f>
        <v>9.0899999999999995E-2</v>
      </c>
      <c r="D11" s="351" t="str">
        <f>HLOOKUP($C$9,ENCARGOS!$M$13:$U$45,3,FALSE)</f>
        <v xml:space="preserve">[(1 ÷ 11) x 100] </v>
      </c>
      <c r="E11" s="1220" t="s">
        <v>1453</v>
      </c>
    </row>
    <row r="12" spans="1:9" ht="42.75" x14ac:dyDescent="0.2">
      <c r="A12" s="19" t="s">
        <v>2</v>
      </c>
      <c r="B12" s="24" t="str">
        <f>Dados!B93</f>
        <v xml:space="preserve"> Férias e Adicional de Férias</v>
      </c>
      <c r="C12" s="843">
        <f>Dados!G93</f>
        <v>0.1212</v>
      </c>
      <c r="D12" s="362" t="str">
        <f>HLOOKUP($C$9,ENCARGOS!$M$13:$U$45,4,FALSE)</f>
        <v>Provisionamento da Conta Vinculada</v>
      </c>
      <c r="E12" s="1220" t="s">
        <v>1454</v>
      </c>
    </row>
    <row r="13" spans="1:9" ht="16.5" customHeight="1" x14ac:dyDescent="0.2">
      <c r="A13" s="1719" t="s">
        <v>47</v>
      </c>
      <c r="B13" s="1719"/>
      <c r="C13" s="844">
        <f>SUM(C11:C12)</f>
        <v>0.21210000000000001</v>
      </c>
      <c r="D13" s="352" t="s">
        <v>96</v>
      </c>
      <c r="E13" s="359" t="s">
        <v>96</v>
      </c>
    </row>
    <row r="14" spans="1:9" ht="16.5" customHeight="1" x14ac:dyDescent="0.2">
      <c r="A14" s="592" t="s">
        <v>755</v>
      </c>
      <c r="B14" s="21"/>
      <c r="C14" s="22"/>
      <c r="D14" s="353"/>
      <c r="E14" s="354"/>
      <c r="G14" s="16" t="s">
        <v>0</v>
      </c>
    </row>
    <row r="15" spans="1:9" ht="16.5" customHeight="1" x14ac:dyDescent="0.2">
      <c r="A15" s="21"/>
      <c r="B15" s="21"/>
      <c r="C15" s="22"/>
      <c r="D15" s="353"/>
      <c r="E15" s="354"/>
    </row>
    <row r="16" spans="1:9" ht="16.5" customHeight="1" x14ac:dyDescent="0.2">
      <c r="A16" s="21"/>
      <c r="B16" s="21"/>
      <c r="C16" s="22"/>
      <c r="D16" s="353"/>
      <c r="E16" s="354"/>
    </row>
    <row r="17" spans="1:7" ht="42.75" x14ac:dyDescent="0.2">
      <c r="A17" s="716" t="str">
        <f>Dados!A97</f>
        <v>2.2</v>
      </c>
      <c r="B17" s="594" t="str">
        <f>Dados!B97</f>
        <v>ENCARGOS PREVIDENCIÁRIOS (GPS), FUNDO DE GARANTIA POR TEMPO DE SERVIÇO (FGTS) E OUTRAS CONTRIBUIÇÕES</v>
      </c>
      <c r="C17" s="589" t="s">
        <v>13</v>
      </c>
      <c r="D17" s="589" t="s">
        <v>94</v>
      </c>
      <c r="E17" s="589" t="s">
        <v>95</v>
      </c>
    </row>
    <row r="18" spans="1:7" ht="16.5" customHeight="1" x14ac:dyDescent="0.2">
      <c r="A18" s="19" t="s">
        <v>1</v>
      </c>
      <c r="B18" s="20" t="str">
        <f>Dados!B98</f>
        <v>INSS</v>
      </c>
      <c r="C18" s="843">
        <f>Dados!G98</f>
        <v>0.2</v>
      </c>
      <c r="D18" s="352" t="s">
        <v>96</v>
      </c>
      <c r="E18" s="358" t="s">
        <v>204</v>
      </c>
    </row>
    <row r="19" spans="1:7" ht="14.25" x14ac:dyDescent="0.2">
      <c r="A19" s="19" t="s">
        <v>2</v>
      </c>
      <c r="B19" s="20" t="str">
        <f>Dados!B99</f>
        <v>Salário Educação</v>
      </c>
      <c r="C19" s="843">
        <f>Dados!G99</f>
        <v>2.5000000000000001E-2</v>
      </c>
      <c r="D19" s="352" t="s">
        <v>96</v>
      </c>
      <c r="E19" s="358" t="s">
        <v>1455</v>
      </c>
    </row>
    <row r="20" spans="1:7" ht="42.75" x14ac:dyDescent="0.2">
      <c r="A20" s="19" t="s">
        <v>4</v>
      </c>
      <c r="B20" s="20" t="str">
        <f>Dados!B100</f>
        <v>Seguro Acidente do Trabalho - SAT = RAT x FAP</v>
      </c>
      <c r="C20" s="843">
        <f>Dados!G100</f>
        <v>1.2200000000000001E-2</v>
      </c>
      <c r="D20" s="351" t="str">
        <f>HLOOKUP($C$9,ENCARGOS!$M$13:$U$45,9,FALSE)</f>
        <v>RAT x FAP</v>
      </c>
      <c r="E20" s="358" t="s">
        <v>212</v>
      </c>
    </row>
    <row r="21" spans="1:7" ht="16.5" customHeight="1" x14ac:dyDescent="0.2">
      <c r="A21" s="19" t="s">
        <v>5</v>
      </c>
      <c r="B21" s="20" t="str">
        <f>Dados!B101</f>
        <v>SESI ou SESC</v>
      </c>
      <c r="C21" s="843">
        <f>Dados!G101</f>
        <v>1.4999999999999999E-2</v>
      </c>
      <c r="D21" s="352" t="s">
        <v>96</v>
      </c>
      <c r="E21" s="358" t="s">
        <v>1456</v>
      </c>
    </row>
    <row r="22" spans="1:7" ht="14.25" x14ac:dyDescent="0.2">
      <c r="A22" s="19" t="s">
        <v>6</v>
      </c>
      <c r="B22" s="20" t="str">
        <f>Dados!B102</f>
        <v>SENAI ou SENAC</v>
      </c>
      <c r="C22" s="843">
        <f>Dados!G102</f>
        <v>0.01</v>
      </c>
      <c r="D22" s="352" t="s">
        <v>96</v>
      </c>
      <c r="E22" s="358" t="s">
        <v>206</v>
      </c>
    </row>
    <row r="23" spans="1:7" ht="16.5" customHeight="1" x14ac:dyDescent="0.2">
      <c r="A23" s="19" t="s">
        <v>7</v>
      </c>
      <c r="B23" s="20" t="str">
        <f>Dados!B103</f>
        <v>SEBRAE</v>
      </c>
      <c r="C23" s="843">
        <f>Dados!G103</f>
        <v>6.0000000000000001E-3</v>
      </c>
      <c r="D23" s="352" t="s">
        <v>96</v>
      </c>
      <c r="E23" s="358" t="s">
        <v>1457</v>
      </c>
    </row>
    <row r="24" spans="1:7" ht="16.5" customHeight="1" x14ac:dyDescent="0.2">
      <c r="A24" s="19" t="s">
        <v>8</v>
      </c>
      <c r="B24" s="20" t="str">
        <f>Dados!B104</f>
        <v>INCRA</v>
      </c>
      <c r="C24" s="843">
        <f>Dados!G104</f>
        <v>2E-3</v>
      </c>
      <c r="D24" s="352" t="s">
        <v>96</v>
      </c>
      <c r="E24" s="358" t="s">
        <v>207</v>
      </c>
    </row>
    <row r="25" spans="1:7" ht="16.5" customHeight="1" x14ac:dyDescent="0.2">
      <c r="A25" s="19" t="s">
        <v>9</v>
      </c>
      <c r="B25" s="20" t="str">
        <f>Dados!B105</f>
        <v>FGTS</v>
      </c>
      <c r="C25" s="843">
        <f>Dados!G105</f>
        <v>0.08</v>
      </c>
      <c r="D25" s="352" t="s">
        <v>96</v>
      </c>
      <c r="E25" s="358" t="s">
        <v>210</v>
      </c>
    </row>
    <row r="26" spans="1:7" ht="16.5" customHeight="1" x14ac:dyDescent="0.2">
      <c r="A26" s="1719" t="s">
        <v>47</v>
      </c>
      <c r="B26" s="1719"/>
      <c r="C26" s="844">
        <f>SUM(C18:C25)</f>
        <v>0.35020000000000001</v>
      </c>
      <c r="D26" s="352" t="s">
        <v>96</v>
      </c>
      <c r="E26" s="359" t="s">
        <v>96</v>
      </c>
    </row>
    <row r="27" spans="1:7" ht="16.5" customHeight="1" x14ac:dyDescent="0.2">
      <c r="A27" s="1726" t="s">
        <v>809</v>
      </c>
      <c r="B27" s="1726"/>
      <c r="C27" s="1726"/>
      <c r="D27" s="1726"/>
      <c r="E27" s="1726"/>
    </row>
    <row r="28" spans="1:7" ht="16.5" customHeight="1" x14ac:dyDescent="0.2">
      <c r="A28" s="21"/>
      <c r="B28" s="21"/>
      <c r="C28" s="22"/>
      <c r="D28" s="353"/>
      <c r="E28" s="354"/>
    </row>
    <row r="29" spans="1:7" ht="16.5" customHeight="1" x14ac:dyDescent="0.2">
      <c r="A29" s="21"/>
      <c r="B29" s="21"/>
      <c r="C29" s="22"/>
      <c r="D29" s="353"/>
      <c r="E29" s="354"/>
    </row>
    <row r="30" spans="1:7" ht="16.5" customHeight="1" x14ac:dyDescent="0.2">
      <c r="A30" s="889" t="str">
        <f>Dados!A110</f>
        <v>3.</v>
      </c>
      <c r="B30" s="593" t="str">
        <f>Dados!B110</f>
        <v>PROVISÕES PARA RESCISÃO</v>
      </c>
      <c r="C30" s="589" t="s">
        <v>13</v>
      </c>
      <c r="D30" s="590" t="s">
        <v>94</v>
      </c>
      <c r="E30" s="590" t="s">
        <v>95</v>
      </c>
      <c r="G30" s="25"/>
    </row>
    <row r="31" spans="1:7" ht="42.75" x14ac:dyDescent="0.2">
      <c r="A31" s="26" t="s">
        <v>1</v>
      </c>
      <c r="B31" s="27" t="str">
        <f>Dados!B111</f>
        <v>Aviso Prévio Indenizado </v>
      </c>
      <c r="C31" s="845">
        <f>Dados!G111</f>
        <v>2.5000000000000001E-3</v>
      </c>
      <c r="D31" s="362" t="str">
        <f>HLOOKUP($C$9,ENCARGOS!$M$13:$U$45,17,FALSE)</f>
        <v>[(1÷12) x 0,03] x 100</v>
      </c>
      <c r="E31" s="1220" t="s">
        <v>1458</v>
      </c>
    </row>
    <row r="32" spans="1:7" ht="14.25" x14ac:dyDescent="0.2">
      <c r="A32" s="26" t="s">
        <v>2</v>
      </c>
      <c r="B32" s="27" t="str">
        <f>Dados!B112</f>
        <v>Incidência do FGTS sobre aviso prévio indenizado</v>
      </c>
      <c r="C32" s="845">
        <f>Dados!G112</f>
        <v>2.0000000000000001E-4</v>
      </c>
      <c r="D32" s="362" t="str">
        <f>HLOOKUP($C$9,ENCARGOS!$M$13:$U$45,18,FALSE)</f>
        <v>( 0,08 x 0,0025 ) x 100</v>
      </c>
      <c r="E32" s="1221" t="s">
        <v>1305</v>
      </c>
    </row>
    <row r="33" spans="1:7" ht="28.5" x14ac:dyDescent="0.2">
      <c r="A33" s="26" t="s">
        <v>4</v>
      </c>
      <c r="B33" s="27" t="str">
        <f>Dados!B113</f>
        <v>Multa do FGTS e contribuição social sobre o Aviso Prévio Indenizado</v>
      </c>
      <c r="C33" s="1156">
        <f>Dados!G113</f>
        <v>9.9999999999999995E-7</v>
      </c>
      <c r="D33" s="362" t="str">
        <f>HLOOKUP($C$9,ENCARGOS!$M$13:$U$45,19,FALSE)</f>
        <v>((0,25% + (40% x 0,25%)) 8% x 0,25%</v>
      </c>
      <c r="E33" s="1222" t="s">
        <v>75</v>
      </c>
    </row>
    <row r="34" spans="1:7" ht="14.25" x14ac:dyDescent="0.2">
      <c r="A34" s="26" t="s">
        <v>5</v>
      </c>
      <c r="B34" s="27" t="str">
        <f>Dados!B114</f>
        <v>Aviso Prévio Trabalhado</v>
      </c>
      <c r="C34" s="845">
        <f>Dados!G114</f>
        <v>1.9400000000000001E-2</v>
      </c>
      <c r="D34" s="362" t="str">
        <f>HLOOKUP($C$9,ENCARGOS!$M$13:$U$45,20,FALSE)</f>
        <v xml:space="preserve">{[(7 ÷ 30)] ÷ 12} x 0,05 x 100 </v>
      </c>
      <c r="E34" s="1220" t="s">
        <v>1459</v>
      </c>
    </row>
    <row r="35" spans="1:7" ht="28.5" x14ac:dyDescent="0.2">
      <c r="A35" s="26" t="s">
        <v>6</v>
      </c>
      <c r="B35" s="27" t="str">
        <f>Dados!B115</f>
        <v>Incidência de GPS, FGTS e outras contribuições sobre o aviso prévio trabalhado</v>
      </c>
      <c r="C35" s="845">
        <f>Dados!G115</f>
        <v>6.7999999999999996E-3</v>
      </c>
      <c r="D35" s="362" t="str">
        <f>HLOOKUP($C$9,ENCARGOS!$M$13:$U$45,21,FALSE)</f>
        <v>( 0,3502 x 0,0194 ) x 100</v>
      </c>
      <c r="E35" s="1221" t="s">
        <v>1307</v>
      </c>
    </row>
    <row r="36" spans="1:7" ht="28.5" x14ac:dyDescent="0.2">
      <c r="A36" s="26" t="s">
        <v>7</v>
      </c>
      <c r="B36" s="27" t="str">
        <f>Dados!B116</f>
        <v>Multa do FGTS e contribuição social sobre o Aviso Prévio Trabalhado</v>
      </c>
      <c r="C36" s="845">
        <f>Dados!G116</f>
        <v>1E-4</v>
      </c>
      <c r="D36" s="362" t="str">
        <f>HLOOKUP($C$9,ENCARGOS!$M$13:$U$45,22,FALSE)</f>
        <v>((1,94% + (40% x 1,94%)) 8% x 1,94%</v>
      </c>
      <c r="E36" s="1222" t="s">
        <v>75</v>
      </c>
    </row>
    <row r="37" spans="1:7" ht="28.5" x14ac:dyDescent="0.2">
      <c r="A37" s="1155" t="s">
        <v>8</v>
      </c>
      <c r="B37" s="27" t="str">
        <f>Dados!B117</f>
        <v>Multa do FGTS</v>
      </c>
      <c r="C37" s="845">
        <f>Dados!G117</f>
        <v>3.49E-2</v>
      </c>
      <c r="D37" s="362" t="str">
        <f>HLOOKUP($C$9,ENCARGOS!$M$13:$U$45,22,FALSE)</f>
        <v>((1,94% + (40% x 1,94%)) 8% x 1,94%</v>
      </c>
      <c r="E37" s="1220" t="s">
        <v>1460</v>
      </c>
    </row>
    <row r="38" spans="1:7" ht="16.5" customHeight="1" x14ac:dyDescent="0.2">
      <c r="A38" s="1724" t="s">
        <v>47</v>
      </c>
      <c r="B38" s="1725"/>
      <c r="C38" s="846">
        <f>SUM(C31:C37)</f>
        <v>6.3899999999999998E-2</v>
      </c>
      <c r="D38" s="352" t="s">
        <v>96</v>
      </c>
      <c r="E38" s="359" t="s">
        <v>96</v>
      </c>
    </row>
    <row r="39" spans="1:7" s="15" customFormat="1" ht="14.25" customHeight="1" x14ac:dyDescent="0.2">
      <c r="A39" s="1726" t="s">
        <v>1151</v>
      </c>
      <c r="B39" s="1726"/>
      <c r="C39" s="1726"/>
      <c r="D39" s="1726"/>
      <c r="E39" s="1726"/>
    </row>
    <row r="40" spans="1:7" s="15" customFormat="1" ht="14.25" customHeight="1" x14ac:dyDescent="0.2">
      <c r="A40" s="1727"/>
      <c r="B40" s="1727"/>
      <c r="C40" s="1727"/>
      <c r="D40" s="1727"/>
      <c r="E40" s="1727"/>
    </row>
    <row r="41" spans="1:7" s="15" customFormat="1" ht="11.25" customHeight="1" x14ac:dyDescent="0.2">
      <c r="A41" s="1727"/>
      <c r="B41" s="1727"/>
      <c r="C41" s="1727"/>
      <c r="D41" s="1727"/>
      <c r="E41" s="1727"/>
    </row>
    <row r="42" spans="1:7" s="15" customFormat="1" ht="11.25" customHeight="1" x14ac:dyDescent="0.2">
      <c r="A42" s="1727"/>
      <c r="B42" s="1727"/>
      <c r="C42" s="1727"/>
      <c r="D42" s="1727"/>
      <c r="E42" s="1727"/>
    </row>
    <row r="43" spans="1:7" ht="11.25" customHeight="1" x14ac:dyDescent="0.2">
      <c r="A43" s="1727"/>
      <c r="B43" s="1727"/>
      <c r="C43" s="1727"/>
      <c r="D43" s="1727"/>
      <c r="E43" s="1727"/>
    </row>
    <row r="44" spans="1:7" ht="14.25" x14ac:dyDescent="0.2">
      <c r="A44" s="592" t="s">
        <v>755</v>
      </c>
      <c r="B44" s="591"/>
      <c r="C44" s="591"/>
      <c r="D44" s="591"/>
      <c r="E44" s="591"/>
    </row>
    <row r="45" spans="1:7" ht="14.25" x14ac:dyDescent="0.2">
      <c r="A45" s="592"/>
      <c r="B45" s="591"/>
      <c r="C45" s="591"/>
      <c r="D45" s="591"/>
      <c r="E45" s="591"/>
    </row>
    <row r="46" spans="1:7" ht="14.25" x14ac:dyDescent="0.2">
      <c r="A46" s="21"/>
      <c r="B46" s="21"/>
      <c r="C46" s="22"/>
      <c r="D46" s="353"/>
      <c r="E46" s="354"/>
    </row>
    <row r="47" spans="1:7" ht="16.5" customHeight="1" x14ac:dyDescent="0.2">
      <c r="A47" s="715" t="str">
        <f>Dados!A121</f>
        <v>4.1</v>
      </c>
      <c r="B47" s="595" t="str">
        <f>Dados!B121</f>
        <v>SUBSTITUTO NAS AUSÊNCIAS LEGAIS</v>
      </c>
      <c r="C47" s="589" t="s">
        <v>13</v>
      </c>
      <c r="D47" s="590" t="s">
        <v>94</v>
      </c>
      <c r="E47" s="590" t="s">
        <v>95</v>
      </c>
    </row>
    <row r="48" spans="1:7" ht="14.25" x14ac:dyDescent="0.2">
      <c r="A48" s="26" t="s">
        <v>1</v>
      </c>
      <c r="B48" s="789" t="str">
        <f>Dados!B122</f>
        <v>Substituto na cobertura de Férias</v>
      </c>
      <c r="C48" s="847">
        <f>Dados!G122</f>
        <v>7.6E-3</v>
      </c>
      <c r="D48" s="351" t="str">
        <f>HLOOKUP($C$9,ENCARGOS!$M$13:$U$45,26,FALSE)</f>
        <v>Em atendimento ao Edital.</v>
      </c>
      <c r="E48" s="360" t="s">
        <v>784</v>
      </c>
      <c r="G48" s="25"/>
    </row>
    <row r="49" spans="1:5" ht="28.5" x14ac:dyDescent="0.2">
      <c r="A49" s="26" t="s">
        <v>2</v>
      </c>
      <c r="B49" s="789" t="str">
        <f>Dados!B123</f>
        <v>Substituto na cobertura de Ausências Legais</v>
      </c>
      <c r="C49" s="847">
        <f>Dados!G123</f>
        <v>1E-4</v>
      </c>
      <c r="D49" s="351" t="str">
        <f>HLOOKUP($C$9,ENCARGOS!$M$13:$U$45,27,FALSE)</f>
        <v>{[(5÷30)÷12] x 0,01} x 100</v>
      </c>
      <c r="E49" s="360" t="s">
        <v>1461</v>
      </c>
    </row>
    <row r="50" spans="1:5" ht="42.75" x14ac:dyDescent="0.2">
      <c r="A50" s="26" t="s">
        <v>4</v>
      </c>
      <c r="B50" s="789" t="str">
        <f>Dados!B124</f>
        <v>Substituto na cobertura de Licença-Paternidade</v>
      </c>
      <c r="C50" s="847">
        <f>Dados!G124</f>
        <v>1E-4</v>
      </c>
      <c r="D50" s="351" t="str">
        <f>HLOOKUP($C$9,ENCARGOS!$M$13:$U$45,28,FALSE)</f>
        <v>{[(5÷30)÷12] x 0,01} x 100</v>
      </c>
      <c r="E50" s="360" t="s">
        <v>1462</v>
      </c>
    </row>
    <row r="51" spans="1:5" ht="42.75" x14ac:dyDescent="0.2">
      <c r="A51" s="26" t="s">
        <v>5</v>
      </c>
      <c r="B51" s="789" t="str">
        <f>Dados!B125</f>
        <v>Substituto na cobertura de Ausência por acidente de trabalho</v>
      </c>
      <c r="C51" s="847">
        <f>Dados!G125</f>
        <v>1E-4</v>
      </c>
      <c r="D51" s="351" t="str">
        <f>HLOOKUP($C$9,ENCARGOS!$M$13:$U$45,29,FALSE)</f>
        <v>{[(15÷30)÷12] x 0,003} x 100</v>
      </c>
      <c r="E51" s="360" t="s">
        <v>1463</v>
      </c>
    </row>
    <row r="52" spans="1:5" ht="42.75" x14ac:dyDescent="0.2">
      <c r="A52" s="26" t="s">
        <v>6</v>
      </c>
      <c r="B52" s="789" t="str">
        <f>Dados!B126</f>
        <v>Substituto na cobertura de Afastamento Maternidade</v>
      </c>
      <c r="C52" s="847">
        <f>Dados!G126</f>
        <v>1E-4</v>
      </c>
      <c r="D52" s="362" t="str">
        <f>HLOOKUP($C$9,ENCARGOS!$M$13:$U$45,30,FALSE)</f>
        <v>{(8,33% x 4) + (12,12% x 4)} ÷12 x 0,001 x 100</v>
      </c>
      <c r="E52" s="1220" t="s">
        <v>1464</v>
      </c>
    </row>
    <row r="53" spans="1:5" ht="28.5" x14ac:dyDescent="0.2">
      <c r="A53" s="26" t="s">
        <v>7</v>
      </c>
      <c r="B53" s="789" t="str">
        <f>Dados!B127</f>
        <v>Substituto na cobertura de outras ausências (licença por doença)</v>
      </c>
      <c r="C53" s="847">
        <f>Dados!G127</f>
        <v>0</v>
      </c>
      <c r="D53" s="352" t="s">
        <v>96</v>
      </c>
      <c r="E53" s="352" t="s">
        <v>96</v>
      </c>
    </row>
    <row r="54" spans="1:5" ht="16.5" customHeight="1" x14ac:dyDescent="0.2">
      <c r="A54" s="1723" t="s">
        <v>54</v>
      </c>
      <c r="B54" s="1723"/>
      <c r="C54" s="28">
        <f>SUM(C48:C53)</f>
        <v>8.0000000000000002E-3</v>
      </c>
      <c r="D54" s="352" t="s">
        <v>96</v>
      </c>
      <c r="E54" s="352" t="s">
        <v>96</v>
      </c>
    </row>
    <row r="55" spans="1:5" ht="16.5" customHeight="1" x14ac:dyDescent="0.2">
      <c r="A55" s="616" t="s">
        <v>952</v>
      </c>
      <c r="B55" s="16"/>
      <c r="C55" s="16"/>
      <c r="D55" s="16"/>
      <c r="E55" s="16"/>
    </row>
    <row r="56" spans="1:5" ht="14.25" x14ac:dyDescent="0.2"/>
    <row r="57" spans="1:5" ht="18.75" hidden="1" customHeight="1" x14ac:dyDescent="0.2">
      <c r="A57" s="1722" t="s">
        <v>58</v>
      </c>
      <c r="B57" s="1722"/>
      <c r="C57" s="28">
        <f>C26+C13+C38+C54</f>
        <v>0.63419999999999999</v>
      </c>
      <c r="D57" s="352" t="s">
        <v>96</v>
      </c>
      <c r="E57" s="352" t="s">
        <v>96</v>
      </c>
    </row>
  </sheetData>
  <mergeCells count="12">
    <mergeCell ref="A57:B57"/>
    <mergeCell ref="A54:B54"/>
    <mergeCell ref="A38:B38"/>
    <mergeCell ref="A39:E43"/>
    <mergeCell ref="A27:E27"/>
    <mergeCell ref="A13:B13"/>
    <mergeCell ref="A2:E2"/>
    <mergeCell ref="A3:E3"/>
    <mergeCell ref="A8:E8"/>
    <mergeCell ref="A26:B26"/>
    <mergeCell ref="A4:E4"/>
    <mergeCell ref="A5:E5"/>
  </mergeCells>
  <dataValidations xWindow="808" yWindow="702" count="1">
    <dataValidation allowBlank="1" showInputMessage="1" showErrorMessage="1" errorTitle="Atenção" error="- Não alterar manualmente." promptTitle="Encagos Sociais e Trabalhistas" prompt="- Não alterar manualmente. Os percentuais e as memórias de cálculos serão automaticamente alterados assim que escolher os Encargos nos &quot;Dados&quot;." sqref="B18:E26 A55 A57:E57 A10:E16 A18:A27 A28:E54"/>
  </dataValidations>
  <printOptions horizontalCentered="1"/>
  <pageMargins left="0.24" right="0.55118110236220474" top="1.54" bottom="0.43307086614173229" header="0.18" footer="0.23622047244094491"/>
  <pageSetup paperSize="9" scale="57" fitToHeight="0" orientation="portrait" r:id="rId1"/>
  <headerFooter alignWithMargins="0"/>
</worksheet>
</file>

<file path=xl/worksheets/sheet2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0">
    <tabColor rgb="FF92D050"/>
    <pageSetUpPr fitToPage="1"/>
  </sheetPr>
  <dimension ref="A2:G22"/>
  <sheetViews>
    <sheetView view="pageBreakPreview" zoomScale="90" zoomScaleNormal="130" zoomScaleSheetLayoutView="90" workbookViewId="0">
      <selection activeCell="C45" sqref="B45:K48"/>
    </sheetView>
  </sheetViews>
  <sheetFormatPr defaultRowHeight="14.25" x14ac:dyDescent="0.2"/>
  <cols>
    <col min="1" max="1" width="5.28515625" style="727" customWidth="1"/>
    <col min="2" max="2" width="17.85546875" style="727" customWidth="1"/>
    <col min="3" max="3" width="12.28515625" style="727" customWidth="1"/>
    <col min="4" max="4" width="58.42578125" style="727" customWidth="1"/>
    <col min="5" max="5" width="53" style="727" customWidth="1"/>
    <col min="6" max="257" width="9.140625" style="727"/>
    <col min="258" max="258" width="27.140625" style="727" customWidth="1"/>
    <col min="259" max="259" width="35.85546875" style="727" customWidth="1"/>
    <col min="260" max="260" width="43.42578125" style="727" customWidth="1"/>
    <col min="261" max="261" width="52.28515625" style="727" customWidth="1"/>
    <col min="262" max="513" width="9.140625" style="727"/>
    <col min="514" max="514" width="27.140625" style="727" customWidth="1"/>
    <col min="515" max="515" width="35.85546875" style="727" customWidth="1"/>
    <col min="516" max="516" width="43.42578125" style="727" customWidth="1"/>
    <col min="517" max="517" width="52.28515625" style="727" customWidth="1"/>
    <col min="518" max="769" width="9.140625" style="727"/>
    <col min="770" max="770" width="27.140625" style="727" customWidth="1"/>
    <col min="771" max="771" width="35.85546875" style="727" customWidth="1"/>
    <col min="772" max="772" width="43.42578125" style="727" customWidth="1"/>
    <col min="773" max="773" width="52.28515625" style="727" customWidth="1"/>
    <col min="774" max="1025" width="9.140625" style="727"/>
    <col min="1026" max="1026" width="27.140625" style="727" customWidth="1"/>
    <col min="1027" max="1027" width="35.85546875" style="727" customWidth="1"/>
    <col min="1028" max="1028" width="43.42578125" style="727" customWidth="1"/>
    <col min="1029" max="1029" width="52.28515625" style="727" customWidth="1"/>
    <col min="1030" max="1281" width="9.140625" style="727"/>
    <col min="1282" max="1282" width="27.140625" style="727" customWidth="1"/>
    <col min="1283" max="1283" width="35.85546875" style="727" customWidth="1"/>
    <col min="1284" max="1284" width="43.42578125" style="727" customWidth="1"/>
    <col min="1285" max="1285" width="52.28515625" style="727" customWidth="1"/>
    <col min="1286" max="1537" width="9.140625" style="727"/>
    <col min="1538" max="1538" width="27.140625" style="727" customWidth="1"/>
    <col min="1539" max="1539" width="35.85546875" style="727" customWidth="1"/>
    <col min="1540" max="1540" width="43.42578125" style="727" customWidth="1"/>
    <col min="1541" max="1541" width="52.28515625" style="727" customWidth="1"/>
    <col min="1542" max="1793" width="9.140625" style="727"/>
    <col min="1794" max="1794" width="27.140625" style="727" customWidth="1"/>
    <col min="1795" max="1795" width="35.85546875" style="727" customWidth="1"/>
    <col min="1796" max="1796" width="43.42578125" style="727" customWidth="1"/>
    <col min="1797" max="1797" width="52.28515625" style="727" customWidth="1"/>
    <col min="1798" max="2049" width="9.140625" style="727"/>
    <col min="2050" max="2050" width="27.140625" style="727" customWidth="1"/>
    <col min="2051" max="2051" width="35.85546875" style="727" customWidth="1"/>
    <col min="2052" max="2052" width="43.42578125" style="727" customWidth="1"/>
    <col min="2053" max="2053" width="52.28515625" style="727" customWidth="1"/>
    <col min="2054" max="2305" width="9.140625" style="727"/>
    <col min="2306" max="2306" width="27.140625" style="727" customWidth="1"/>
    <col min="2307" max="2307" width="35.85546875" style="727" customWidth="1"/>
    <col min="2308" max="2308" width="43.42578125" style="727" customWidth="1"/>
    <col min="2309" max="2309" width="52.28515625" style="727" customWidth="1"/>
    <col min="2310" max="2561" width="9.140625" style="727"/>
    <col min="2562" max="2562" width="27.140625" style="727" customWidth="1"/>
    <col min="2563" max="2563" width="35.85546875" style="727" customWidth="1"/>
    <col min="2564" max="2564" width="43.42578125" style="727" customWidth="1"/>
    <col min="2565" max="2565" width="52.28515625" style="727" customWidth="1"/>
    <col min="2566" max="2817" width="9.140625" style="727"/>
    <col min="2818" max="2818" width="27.140625" style="727" customWidth="1"/>
    <col min="2819" max="2819" width="35.85546875" style="727" customWidth="1"/>
    <col min="2820" max="2820" width="43.42578125" style="727" customWidth="1"/>
    <col min="2821" max="2821" width="52.28515625" style="727" customWidth="1"/>
    <col min="2822" max="3073" width="9.140625" style="727"/>
    <col min="3074" max="3074" width="27.140625" style="727" customWidth="1"/>
    <col min="3075" max="3075" width="35.85546875" style="727" customWidth="1"/>
    <col min="3076" max="3076" width="43.42578125" style="727" customWidth="1"/>
    <col min="3077" max="3077" width="52.28515625" style="727" customWidth="1"/>
    <col min="3078" max="3329" width="9.140625" style="727"/>
    <col min="3330" max="3330" width="27.140625" style="727" customWidth="1"/>
    <col min="3331" max="3331" width="35.85546875" style="727" customWidth="1"/>
    <col min="3332" max="3332" width="43.42578125" style="727" customWidth="1"/>
    <col min="3333" max="3333" width="52.28515625" style="727" customWidth="1"/>
    <col min="3334" max="3585" width="9.140625" style="727"/>
    <col min="3586" max="3586" width="27.140625" style="727" customWidth="1"/>
    <col min="3587" max="3587" width="35.85546875" style="727" customWidth="1"/>
    <col min="3588" max="3588" width="43.42578125" style="727" customWidth="1"/>
    <col min="3589" max="3589" width="52.28515625" style="727" customWidth="1"/>
    <col min="3590" max="3841" width="9.140625" style="727"/>
    <col min="3842" max="3842" width="27.140625" style="727" customWidth="1"/>
    <col min="3843" max="3843" width="35.85546875" style="727" customWidth="1"/>
    <col min="3844" max="3844" width="43.42578125" style="727" customWidth="1"/>
    <col min="3845" max="3845" width="52.28515625" style="727" customWidth="1"/>
    <col min="3846" max="4097" width="9.140625" style="727"/>
    <col min="4098" max="4098" width="27.140625" style="727" customWidth="1"/>
    <col min="4099" max="4099" width="35.85546875" style="727" customWidth="1"/>
    <col min="4100" max="4100" width="43.42578125" style="727" customWidth="1"/>
    <col min="4101" max="4101" width="52.28515625" style="727" customWidth="1"/>
    <col min="4102" max="4353" width="9.140625" style="727"/>
    <col min="4354" max="4354" width="27.140625" style="727" customWidth="1"/>
    <col min="4355" max="4355" width="35.85546875" style="727" customWidth="1"/>
    <col min="4356" max="4356" width="43.42578125" style="727" customWidth="1"/>
    <col min="4357" max="4357" width="52.28515625" style="727" customWidth="1"/>
    <col min="4358" max="4609" width="9.140625" style="727"/>
    <col min="4610" max="4610" width="27.140625" style="727" customWidth="1"/>
    <col min="4611" max="4611" width="35.85546875" style="727" customWidth="1"/>
    <col min="4612" max="4612" width="43.42578125" style="727" customWidth="1"/>
    <col min="4613" max="4613" width="52.28515625" style="727" customWidth="1"/>
    <col min="4614" max="4865" width="9.140625" style="727"/>
    <col min="4866" max="4866" width="27.140625" style="727" customWidth="1"/>
    <col min="4867" max="4867" width="35.85546875" style="727" customWidth="1"/>
    <col min="4868" max="4868" width="43.42578125" style="727" customWidth="1"/>
    <col min="4869" max="4869" width="52.28515625" style="727" customWidth="1"/>
    <col min="4870" max="5121" width="9.140625" style="727"/>
    <col min="5122" max="5122" width="27.140625" style="727" customWidth="1"/>
    <col min="5123" max="5123" width="35.85546875" style="727" customWidth="1"/>
    <col min="5124" max="5124" width="43.42578125" style="727" customWidth="1"/>
    <col min="5125" max="5125" width="52.28515625" style="727" customWidth="1"/>
    <col min="5126" max="5377" width="9.140625" style="727"/>
    <col min="5378" max="5378" width="27.140625" style="727" customWidth="1"/>
    <col min="5379" max="5379" width="35.85546875" style="727" customWidth="1"/>
    <col min="5380" max="5380" width="43.42578125" style="727" customWidth="1"/>
    <col min="5381" max="5381" width="52.28515625" style="727" customWidth="1"/>
    <col min="5382" max="5633" width="9.140625" style="727"/>
    <col min="5634" max="5634" width="27.140625" style="727" customWidth="1"/>
    <col min="5635" max="5635" width="35.85546875" style="727" customWidth="1"/>
    <col min="5636" max="5636" width="43.42578125" style="727" customWidth="1"/>
    <col min="5637" max="5637" width="52.28515625" style="727" customWidth="1"/>
    <col min="5638" max="5889" width="9.140625" style="727"/>
    <col min="5890" max="5890" width="27.140625" style="727" customWidth="1"/>
    <col min="5891" max="5891" width="35.85546875" style="727" customWidth="1"/>
    <col min="5892" max="5892" width="43.42578125" style="727" customWidth="1"/>
    <col min="5893" max="5893" width="52.28515625" style="727" customWidth="1"/>
    <col min="5894" max="6145" width="9.140625" style="727"/>
    <col min="6146" max="6146" width="27.140625" style="727" customWidth="1"/>
    <col min="6147" max="6147" width="35.85546875" style="727" customWidth="1"/>
    <col min="6148" max="6148" width="43.42578125" style="727" customWidth="1"/>
    <col min="6149" max="6149" width="52.28515625" style="727" customWidth="1"/>
    <col min="6150" max="6401" width="9.140625" style="727"/>
    <col min="6402" max="6402" width="27.140625" style="727" customWidth="1"/>
    <col min="6403" max="6403" width="35.85546875" style="727" customWidth="1"/>
    <col min="6404" max="6404" width="43.42578125" style="727" customWidth="1"/>
    <col min="6405" max="6405" width="52.28515625" style="727" customWidth="1"/>
    <col min="6406" max="6657" width="9.140625" style="727"/>
    <col min="6658" max="6658" width="27.140625" style="727" customWidth="1"/>
    <col min="6659" max="6659" width="35.85546875" style="727" customWidth="1"/>
    <col min="6660" max="6660" width="43.42578125" style="727" customWidth="1"/>
    <col min="6661" max="6661" width="52.28515625" style="727" customWidth="1"/>
    <col min="6662" max="6913" width="9.140625" style="727"/>
    <col min="6914" max="6914" width="27.140625" style="727" customWidth="1"/>
    <col min="6915" max="6915" width="35.85546875" style="727" customWidth="1"/>
    <col min="6916" max="6916" width="43.42578125" style="727" customWidth="1"/>
    <col min="6917" max="6917" width="52.28515625" style="727" customWidth="1"/>
    <col min="6918" max="7169" width="9.140625" style="727"/>
    <col min="7170" max="7170" width="27.140625" style="727" customWidth="1"/>
    <col min="7171" max="7171" width="35.85546875" style="727" customWidth="1"/>
    <col min="7172" max="7172" width="43.42578125" style="727" customWidth="1"/>
    <col min="7173" max="7173" width="52.28515625" style="727" customWidth="1"/>
    <col min="7174" max="7425" width="9.140625" style="727"/>
    <col min="7426" max="7426" width="27.140625" style="727" customWidth="1"/>
    <col min="7427" max="7427" width="35.85546875" style="727" customWidth="1"/>
    <col min="7428" max="7428" width="43.42578125" style="727" customWidth="1"/>
    <col min="7429" max="7429" width="52.28515625" style="727" customWidth="1"/>
    <col min="7430" max="7681" width="9.140625" style="727"/>
    <col min="7682" max="7682" width="27.140625" style="727" customWidth="1"/>
    <col min="7683" max="7683" width="35.85546875" style="727" customWidth="1"/>
    <col min="7684" max="7684" width="43.42578125" style="727" customWidth="1"/>
    <col min="7685" max="7685" width="52.28515625" style="727" customWidth="1"/>
    <col min="7686" max="7937" width="9.140625" style="727"/>
    <col min="7938" max="7938" width="27.140625" style="727" customWidth="1"/>
    <col min="7939" max="7939" width="35.85546875" style="727" customWidth="1"/>
    <col min="7940" max="7940" width="43.42578125" style="727" customWidth="1"/>
    <col min="7941" max="7941" width="52.28515625" style="727" customWidth="1"/>
    <col min="7942" max="8193" width="9.140625" style="727"/>
    <col min="8194" max="8194" width="27.140625" style="727" customWidth="1"/>
    <col min="8195" max="8195" width="35.85546875" style="727" customWidth="1"/>
    <col min="8196" max="8196" width="43.42578125" style="727" customWidth="1"/>
    <col min="8197" max="8197" width="52.28515625" style="727" customWidth="1"/>
    <col min="8198" max="8449" width="9.140625" style="727"/>
    <col min="8450" max="8450" width="27.140625" style="727" customWidth="1"/>
    <col min="8451" max="8451" width="35.85546875" style="727" customWidth="1"/>
    <col min="8452" max="8452" width="43.42578125" style="727" customWidth="1"/>
    <col min="8453" max="8453" width="52.28515625" style="727" customWidth="1"/>
    <col min="8454" max="8705" width="9.140625" style="727"/>
    <col min="8706" max="8706" width="27.140625" style="727" customWidth="1"/>
    <col min="8707" max="8707" width="35.85546875" style="727" customWidth="1"/>
    <col min="8708" max="8708" width="43.42578125" style="727" customWidth="1"/>
    <col min="8709" max="8709" width="52.28515625" style="727" customWidth="1"/>
    <col min="8710" max="8961" width="9.140625" style="727"/>
    <col min="8962" max="8962" width="27.140625" style="727" customWidth="1"/>
    <col min="8963" max="8963" width="35.85546875" style="727" customWidth="1"/>
    <col min="8964" max="8964" width="43.42578125" style="727" customWidth="1"/>
    <col min="8965" max="8965" width="52.28515625" style="727" customWidth="1"/>
    <col min="8966" max="9217" width="9.140625" style="727"/>
    <col min="9218" max="9218" width="27.140625" style="727" customWidth="1"/>
    <col min="9219" max="9219" width="35.85546875" style="727" customWidth="1"/>
    <col min="9220" max="9220" width="43.42578125" style="727" customWidth="1"/>
    <col min="9221" max="9221" width="52.28515625" style="727" customWidth="1"/>
    <col min="9222" max="9473" width="9.140625" style="727"/>
    <col min="9474" max="9474" width="27.140625" style="727" customWidth="1"/>
    <col min="9475" max="9475" width="35.85546875" style="727" customWidth="1"/>
    <col min="9476" max="9476" width="43.42578125" style="727" customWidth="1"/>
    <col min="9477" max="9477" width="52.28515625" style="727" customWidth="1"/>
    <col min="9478" max="9729" width="9.140625" style="727"/>
    <col min="9730" max="9730" width="27.140625" style="727" customWidth="1"/>
    <col min="9731" max="9731" width="35.85546875" style="727" customWidth="1"/>
    <col min="9732" max="9732" width="43.42578125" style="727" customWidth="1"/>
    <col min="9733" max="9733" width="52.28515625" style="727" customWidth="1"/>
    <col min="9734" max="9985" width="9.140625" style="727"/>
    <col min="9986" max="9986" width="27.140625" style="727" customWidth="1"/>
    <col min="9987" max="9987" width="35.85546875" style="727" customWidth="1"/>
    <col min="9988" max="9988" width="43.42578125" style="727" customWidth="1"/>
    <col min="9989" max="9989" width="52.28515625" style="727" customWidth="1"/>
    <col min="9990" max="10241" width="9.140625" style="727"/>
    <col min="10242" max="10242" width="27.140625" style="727" customWidth="1"/>
    <col min="10243" max="10243" width="35.85546875" style="727" customWidth="1"/>
    <col min="10244" max="10244" width="43.42578125" style="727" customWidth="1"/>
    <col min="10245" max="10245" width="52.28515625" style="727" customWidth="1"/>
    <col min="10246" max="10497" width="9.140625" style="727"/>
    <col min="10498" max="10498" width="27.140625" style="727" customWidth="1"/>
    <col min="10499" max="10499" width="35.85546875" style="727" customWidth="1"/>
    <col min="10500" max="10500" width="43.42578125" style="727" customWidth="1"/>
    <col min="10501" max="10501" width="52.28515625" style="727" customWidth="1"/>
    <col min="10502" max="10753" width="9.140625" style="727"/>
    <col min="10754" max="10754" width="27.140625" style="727" customWidth="1"/>
    <col min="10755" max="10755" width="35.85546875" style="727" customWidth="1"/>
    <col min="10756" max="10756" width="43.42578125" style="727" customWidth="1"/>
    <col min="10757" max="10757" width="52.28515625" style="727" customWidth="1"/>
    <col min="10758" max="11009" width="9.140625" style="727"/>
    <col min="11010" max="11010" width="27.140625" style="727" customWidth="1"/>
    <col min="11011" max="11011" width="35.85546875" style="727" customWidth="1"/>
    <col min="11012" max="11012" width="43.42578125" style="727" customWidth="1"/>
    <col min="11013" max="11013" width="52.28515625" style="727" customWidth="1"/>
    <col min="11014" max="11265" width="9.140625" style="727"/>
    <col min="11266" max="11266" width="27.140625" style="727" customWidth="1"/>
    <col min="11267" max="11267" width="35.85546875" style="727" customWidth="1"/>
    <col min="11268" max="11268" width="43.42578125" style="727" customWidth="1"/>
    <col min="11269" max="11269" width="52.28515625" style="727" customWidth="1"/>
    <col min="11270" max="11521" width="9.140625" style="727"/>
    <col min="11522" max="11522" width="27.140625" style="727" customWidth="1"/>
    <col min="11523" max="11523" width="35.85546875" style="727" customWidth="1"/>
    <col min="11524" max="11524" width="43.42578125" style="727" customWidth="1"/>
    <col min="11525" max="11525" width="52.28515625" style="727" customWidth="1"/>
    <col min="11526" max="11777" width="9.140625" style="727"/>
    <col min="11778" max="11778" width="27.140625" style="727" customWidth="1"/>
    <col min="11779" max="11779" width="35.85546875" style="727" customWidth="1"/>
    <col min="11780" max="11780" width="43.42578125" style="727" customWidth="1"/>
    <col min="11781" max="11781" width="52.28515625" style="727" customWidth="1"/>
    <col min="11782" max="12033" width="9.140625" style="727"/>
    <col min="12034" max="12034" width="27.140625" style="727" customWidth="1"/>
    <col min="12035" max="12035" width="35.85546875" style="727" customWidth="1"/>
    <col min="12036" max="12036" width="43.42578125" style="727" customWidth="1"/>
    <col min="12037" max="12037" width="52.28515625" style="727" customWidth="1"/>
    <col min="12038" max="12289" width="9.140625" style="727"/>
    <col min="12290" max="12290" width="27.140625" style="727" customWidth="1"/>
    <col min="12291" max="12291" width="35.85546875" style="727" customWidth="1"/>
    <col min="12292" max="12292" width="43.42578125" style="727" customWidth="1"/>
    <col min="12293" max="12293" width="52.28515625" style="727" customWidth="1"/>
    <col min="12294" max="12545" width="9.140625" style="727"/>
    <col min="12546" max="12546" width="27.140625" style="727" customWidth="1"/>
    <col min="12547" max="12547" width="35.85546875" style="727" customWidth="1"/>
    <col min="12548" max="12548" width="43.42578125" style="727" customWidth="1"/>
    <col min="12549" max="12549" width="52.28515625" style="727" customWidth="1"/>
    <col min="12550" max="12801" width="9.140625" style="727"/>
    <col min="12802" max="12802" width="27.140625" style="727" customWidth="1"/>
    <col min="12803" max="12803" width="35.85546875" style="727" customWidth="1"/>
    <col min="12804" max="12804" width="43.42578125" style="727" customWidth="1"/>
    <col min="12805" max="12805" width="52.28515625" style="727" customWidth="1"/>
    <col min="12806" max="13057" width="9.140625" style="727"/>
    <col min="13058" max="13058" width="27.140625" style="727" customWidth="1"/>
    <col min="13059" max="13059" width="35.85546875" style="727" customWidth="1"/>
    <col min="13060" max="13060" width="43.42578125" style="727" customWidth="1"/>
    <col min="13061" max="13061" width="52.28515625" style="727" customWidth="1"/>
    <col min="13062" max="13313" width="9.140625" style="727"/>
    <col min="13314" max="13314" width="27.140625" style="727" customWidth="1"/>
    <col min="13315" max="13315" width="35.85546875" style="727" customWidth="1"/>
    <col min="13316" max="13316" width="43.42578125" style="727" customWidth="1"/>
    <col min="13317" max="13317" width="52.28515625" style="727" customWidth="1"/>
    <col min="13318" max="13569" width="9.140625" style="727"/>
    <col min="13570" max="13570" width="27.140625" style="727" customWidth="1"/>
    <col min="13571" max="13571" width="35.85546875" style="727" customWidth="1"/>
    <col min="13572" max="13572" width="43.42578125" style="727" customWidth="1"/>
    <col min="13573" max="13573" width="52.28515625" style="727" customWidth="1"/>
    <col min="13574" max="13825" width="9.140625" style="727"/>
    <col min="13826" max="13826" width="27.140625" style="727" customWidth="1"/>
    <col min="13827" max="13827" width="35.85546875" style="727" customWidth="1"/>
    <col min="13828" max="13828" width="43.42578125" style="727" customWidth="1"/>
    <col min="13829" max="13829" width="52.28515625" style="727" customWidth="1"/>
    <col min="13830" max="14081" width="9.140625" style="727"/>
    <col min="14082" max="14082" width="27.140625" style="727" customWidth="1"/>
    <col min="14083" max="14083" width="35.85546875" style="727" customWidth="1"/>
    <col min="14084" max="14084" width="43.42578125" style="727" customWidth="1"/>
    <col min="14085" max="14085" width="52.28515625" style="727" customWidth="1"/>
    <col min="14086" max="14337" width="9.140625" style="727"/>
    <col min="14338" max="14338" width="27.140625" style="727" customWidth="1"/>
    <col min="14339" max="14339" width="35.85546875" style="727" customWidth="1"/>
    <col min="14340" max="14340" width="43.42578125" style="727" customWidth="1"/>
    <col min="14341" max="14341" width="52.28515625" style="727" customWidth="1"/>
    <col min="14342" max="14593" width="9.140625" style="727"/>
    <col min="14594" max="14594" width="27.140625" style="727" customWidth="1"/>
    <col min="14595" max="14595" width="35.85546875" style="727" customWidth="1"/>
    <col min="14596" max="14596" width="43.42578125" style="727" customWidth="1"/>
    <col min="14597" max="14597" width="52.28515625" style="727" customWidth="1"/>
    <col min="14598" max="14849" width="9.140625" style="727"/>
    <col min="14850" max="14850" width="27.140625" style="727" customWidth="1"/>
    <col min="14851" max="14851" width="35.85546875" style="727" customWidth="1"/>
    <col min="14852" max="14852" width="43.42578125" style="727" customWidth="1"/>
    <col min="14853" max="14853" width="52.28515625" style="727" customWidth="1"/>
    <col min="14854" max="15105" width="9.140625" style="727"/>
    <col min="15106" max="15106" width="27.140625" style="727" customWidth="1"/>
    <col min="15107" max="15107" width="35.85546875" style="727" customWidth="1"/>
    <col min="15108" max="15108" width="43.42578125" style="727" customWidth="1"/>
    <col min="15109" max="15109" width="52.28515625" style="727" customWidth="1"/>
    <col min="15110" max="15361" width="9.140625" style="727"/>
    <col min="15362" max="15362" width="27.140625" style="727" customWidth="1"/>
    <col min="15363" max="15363" width="35.85546875" style="727" customWidth="1"/>
    <col min="15364" max="15364" width="43.42578125" style="727" customWidth="1"/>
    <col min="15365" max="15365" width="52.28515625" style="727" customWidth="1"/>
    <col min="15366" max="15617" width="9.140625" style="727"/>
    <col min="15618" max="15618" width="27.140625" style="727" customWidth="1"/>
    <col min="15619" max="15619" width="35.85546875" style="727" customWidth="1"/>
    <col min="15620" max="15620" width="43.42578125" style="727" customWidth="1"/>
    <col min="15621" max="15621" width="52.28515625" style="727" customWidth="1"/>
    <col min="15622" max="15873" width="9.140625" style="727"/>
    <col min="15874" max="15874" width="27.140625" style="727" customWidth="1"/>
    <col min="15875" max="15875" width="35.85546875" style="727" customWidth="1"/>
    <col min="15876" max="15876" width="43.42578125" style="727" customWidth="1"/>
    <col min="15877" max="15877" width="52.28515625" style="727" customWidth="1"/>
    <col min="15878" max="16129" width="9.140625" style="727"/>
    <col min="16130" max="16130" width="27.140625" style="727" customWidth="1"/>
    <col min="16131" max="16131" width="35.85546875" style="727" customWidth="1"/>
    <col min="16132" max="16132" width="43.42578125" style="727" customWidth="1"/>
    <col min="16133" max="16133" width="52.28515625" style="727" customWidth="1"/>
    <col min="16134" max="16384" width="9.140625" style="727"/>
  </cols>
  <sheetData>
    <row r="2" spans="1:7" x14ac:dyDescent="0.2">
      <c r="A2" s="1729" t="str">
        <f>Dados!A5</f>
        <v>CONSELHO DA JUSTIÇA FEDERAL – CJF</v>
      </c>
      <c r="B2" s="1729"/>
      <c r="C2" s="1729"/>
      <c r="D2" s="1729"/>
      <c r="E2" s="1729"/>
    </row>
    <row r="3" spans="1:7" x14ac:dyDescent="0.2">
      <c r="A3" s="1729" t="str">
        <f>Dados!A9</f>
        <v>PREGÃO ELETRÔNICO Nº32/2021-CJF</v>
      </c>
      <c r="B3" s="1729"/>
      <c r="C3" s="1729"/>
      <c r="D3" s="1729"/>
      <c r="E3" s="1729"/>
    </row>
    <row r="4" spans="1:7" hidden="1" x14ac:dyDescent="0.2">
      <c r="A4" s="1734" t="str">
        <f>Dados!A10</f>
        <v>CONTRATO Nº __________/201__ - CONTRATANTE - PRESTAÇÃO DE SERVIÇOS --------</v>
      </c>
      <c r="B4" s="1734"/>
      <c r="C4" s="1734"/>
      <c r="D4" s="1734"/>
      <c r="E4" s="1734"/>
    </row>
    <row r="5" spans="1:7" hidden="1" x14ac:dyDescent="0.2">
      <c r="A5" s="1734" t="str">
        <f>Dados!H2</f>
        <v xml:space="preserve">REPACTUAÇÃO CONTRATUAL 20___ - </v>
      </c>
      <c r="B5" s="1734"/>
      <c r="C5" s="1734"/>
      <c r="D5" s="1734"/>
      <c r="E5" s="1734"/>
    </row>
    <row r="6" spans="1:7" x14ac:dyDescent="0.2">
      <c r="A6" s="649"/>
      <c r="B6" s="661"/>
      <c r="C6" s="661"/>
      <c r="D6" s="521"/>
      <c r="E6" s="661"/>
    </row>
    <row r="7" spans="1:7" x14ac:dyDescent="0.2">
      <c r="A7" s="649"/>
      <c r="B7" s="661"/>
      <c r="C7" s="661"/>
      <c r="D7" s="521"/>
      <c r="E7" s="661"/>
      <c r="G7" s="727" t="s">
        <v>0</v>
      </c>
    </row>
    <row r="8" spans="1:7" x14ac:dyDescent="0.2">
      <c r="A8" s="1730" t="s">
        <v>945</v>
      </c>
      <c r="B8" s="1730"/>
      <c r="C8" s="1730"/>
      <c r="D8" s="1730"/>
      <c r="E8" s="1730"/>
    </row>
    <row r="9" spans="1:7" x14ac:dyDescent="0.2">
      <c r="A9" s="649"/>
      <c r="B9" s="718"/>
      <c r="C9" s="718"/>
      <c r="D9" s="718"/>
      <c r="E9" s="718"/>
    </row>
    <row r="10" spans="1:7" x14ac:dyDescent="0.2">
      <c r="A10" s="522"/>
      <c r="B10" s="523" t="s">
        <v>72</v>
      </c>
      <c r="C10" s="524" t="s">
        <v>13</v>
      </c>
      <c r="D10" s="523" t="s">
        <v>94</v>
      </c>
      <c r="E10" s="524" t="s">
        <v>95</v>
      </c>
    </row>
    <row r="11" spans="1:7" ht="78.75" customHeight="1" x14ac:dyDescent="0.2">
      <c r="A11" s="525" t="s">
        <v>1</v>
      </c>
      <c r="B11" s="526" t="s">
        <v>692</v>
      </c>
      <c r="C11" s="527">
        <f>Dados!I77</f>
        <v>0.01</v>
      </c>
      <c r="D11" s="528" t="s">
        <v>944</v>
      </c>
      <c r="E11" s="529" t="s">
        <v>693</v>
      </c>
    </row>
    <row r="12" spans="1:7" ht="85.5" x14ac:dyDescent="0.2">
      <c r="A12" s="525" t="s">
        <v>2</v>
      </c>
      <c r="B12" s="526" t="s">
        <v>20</v>
      </c>
      <c r="C12" s="527">
        <f>Dados!I78</f>
        <v>0.01</v>
      </c>
      <c r="D12" s="529" t="s">
        <v>943</v>
      </c>
      <c r="E12" s="529" t="s">
        <v>699</v>
      </c>
    </row>
    <row r="13" spans="1:7" ht="57.75" x14ac:dyDescent="0.2">
      <c r="A13" s="525" t="s">
        <v>4</v>
      </c>
      <c r="B13" s="526" t="s">
        <v>24</v>
      </c>
      <c r="C13" s="531"/>
      <c r="D13" s="529" t="s">
        <v>942</v>
      </c>
      <c r="E13" s="530" t="s">
        <v>694</v>
      </c>
    </row>
    <row r="14" spans="1:7" x14ac:dyDescent="0.2">
      <c r="A14" s="1735" t="s">
        <v>940</v>
      </c>
      <c r="B14" s="1731" t="s">
        <v>695</v>
      </c>
      <c r="C14" s="1732"/>
      <c r="D14" s="1732"/>
      <c r="E14" s="1733"/>
    </row>
    <row r="15" spans="1:7" ht="28.5" x14ac:dyDescent="0.2">
      <c r="A15" s="1736"/>
      <c r="B15" s="526" t="s">
        <v>22</v>
      </c>
      <c r="C15" s="527">
        <f>Dados!E88</f>
        <v>5.3499999999999999E-2</v>
      </c>
      <c r="D15" s="1227" t="s">
        <v>696</v>
      </c>
      <c r="E15" s="529" t="s">
        <v>715</v>
      </c>
    </row>
    <row r="16" spans="1:7" ht="28.5" x14ac:dyDescent="0.2">
      <c r="A16" s="1737"/>
      <c r="B16" s="526" t="s">
        <v>21</v>
      </c>
      <c r="C16" s="527">
        <f>Dados!F88</f>
        <v>1.17E-2</v>
      </c>
      <c r="D16" s="1227" t="s">
        <v>696</v>
      </c>
      <c r="E16" s="529" t="s">
        <v>714</v>
      </c>
    </row>
    <row r="17" spans="1:5" x14ac:dyDescent="0.2">
      <c r="A17" s="1735" t="s">
        <v>941</v>
      </c>
      <c r="B17" s="1731" t="s">
        <v>697</v>
      </c>
      <c r="C17" s="1732"/>
      <c r="D17" s="1732"/>
      <c r="E17" s="1733"/>
    </row>
    <row r="18" spans="1:5" x14ac:dyDescent="0.2">
      <c r="A18" s="1737"/>
      <c r="B18" s="526" t="s">
        <v>698</v>
      </c>
      <c r="C18" s="527">
        <f>Dados!C88</f>
        <v>0.05</v>
      </c>
      <c r="D18" s="531"/>
      <c r="E18" s="531"/>
    </row>
    <row r="19" spans="1:5" x14ac:dyDescent="0.2">
      <c r="A19" s="661"/>
      <c r="B19" s="532"/>
      <c r="C19" s="532"/>
      <c r="D19" s="533"/>
      <c r="E19" s="534"/>
    </row>
    <row r="20" spans="1:5" x14ac:dyDescent="0.2">
      <c r="A20" s="728" t="s">
        <v>700</v>
      </c>
      <c r="B20" s="535"/>
      <c r="C20" s="535"/>
      <c r="D20" s="536"/>
      <c r="E20" s="537"/>
    </row>
    <row r="21" spans="1:5" x14ac:dyDescent="0.2">
      <c r="A21" s="1728" t="s">
        <v>701</v>
      </c>
      <c r="B21" s="1728"/>
      <c r="C21" s="1728"/>
      <c r="D21" s="1728"/>
      <c r="E21" s="1728"/>
    </row>
    <row r="22" spans="1:5" x14ac:dyDescent="0.2">
      <c r="A22" s="1728"/>
      <c r="B22" s="1728"/>
      <c r="C22" s="1728"/>
      <c r="D22" s="1728"/>
      <c r="E22" s="1728"/>
    </row>
  </sheetData>
  <mergeCells count="10">
    <mergeCell ref="A21:E22"/>
    <mergeCell ref="A2:E2"/>
    <mergeCell ref="A3:E3"/>
    <mergeCell ref="A8:E8"/>
    <mergeCell ref="B14:E14"/>
    <mergeCell ref="B17:E17"/>
    <mergeCell ref="A4:E4"/>
    <mergeCell ref="A5:E5"/>
    <mergeCell ref="A14:A16"/>
    <mergeCell ref="A17:A18"/>
  </mergeCells>
  <dataValidations count="1">
    <dataValidation allowBlank="1" showInputMessage="1" showErrorMessage="1" errorTitle="Alerta" error="Re-exibir no caso de SPED/DACON. As informações estão ocultas nas Coluna &quot;A&quot; Linhas &quot;21-22&quot; e Coluna &quot;D&quot; Linhas &quot;13-14&quot;." promptTitle="PIS e COFINS" prompt="Re-exibir no caso de SPED/DACON. As informações estão ocultas nas Coluna &quot;A&quot; Linhas &quot;21-22&quot; e Coluna &quot;D&quot; Linhas &quot;13-14&quot;." sqref="D15:D16 A21:E22"/>
  </dataValidations>
  <printOptions horizontalCentered="1"/>
  <pageMargins left="0.24" right="0.55118110236220474" top="1.65" bottom="0.43307086614173229" header="0.18" footer="0.23622047244094491"/>
  <pageSetup paperSize="9" scale="66" fitToHeight="0" orientation="portrait" horizontalDpi="1200" verticalDpi="1200" r:id="rId1"/>
  <headerFooter alignWithMargins="0"/>
</worksheet>
</file>

<file path=xl/worksheets/sheet2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ilha15">
    <tabColor rgb="FF00B050"/>
    <pageSetUpPr fitToPage="1"/>
  </sheetPr>
  <dimension ref="A2:H57"/>
  <sheetViews>
    <sheetView view="pageBreakPreview" zoomScaleNormal="100" zoomScaleSheetLayoutView="100" workbookViewId="0">
      <selection activeCell="K103" sqref="K103"/>
    </sheetView>
  </sheetViews>
  <sheetFormatPr defaultRowHeight="14.25" x14ac:dyDescent="0.2"/>
  <cols>
    <col min="1" max="1" width="18.7109375" style="650" customWidth="1"/>
    <col min="2" max="2" width="49.7109375" style="650" customWidth="1"/>
    <col min="3" max="3" width="14.140625" style="650" customWidth="1"/>
    <col min="4" max="4" width="17.7109375" style="650" customWidth="1"/>
    <col min="5" max="5" width="13.5703125" style="650" customWidth="1"/>
    <col min="6" max="7" width="15.85546875" style="649" bestFit="1" customWidth="1"/>
    <col min="8" max="8" width="13.28515625" style="649" customWidth="1"/>
    <col min="9" max="253" width="9.140625" style="649"/>
    <col min="254" max="254" width="20" style="649" customWidth="1"/>
    <col min="255" max="255" width="15.5703125" style="649" customWidth="1"/>
    <col min="256" max="256" width="13.42578125" style="649" customWidth="1"/>
    <col min="257" max="257" width="15.42578125" style="649" customWidth="1"/>
    <col min="258" max="258" width="5.7109375" style="649" customWidth="1"/>
    <col min="259" max="259" width="16.5703125" style="649" customWidth="1"/>
    <col min="260" max="260" width="16.28515625" style="649" customWidth="1"/>
    <col min="261" max="261" width="15" style="649" customWidth="1"/>
    <col min="262" max="263" width="15.85546875" style="649" bestFit="1" customWidth="1"/>
    <col min="264" max="264" width="13.28515625" style="649" customWidth="1"/>
    <col min="265" max="509" width="9.140625" style="649"/>
    <col min="510" max="510" width="20" style="649" customWidth="1"/>
    <col min="511" max="511" width="15.5703125" style="649" customWidth="1"/>
    <col min="512" max="512" width="13.42578125" style="649" customWidth="1"/>
    <col min="513" max="513" width="15.42578125" style="649" customWidth="1"/>
    <col min="514" max="514" width="5.7109375" style="649" customWidth="1"/>
    <col min="515" max="515" width="16.5703125" style="649" customWidth="1"/>
    <col min="516" max="516" width="16.28515625" style="649" customWidth="1"/>
    <col min="517" max="517" width="15" style="649" customWidth="1"/>
    <col min="518" max="519" width="15.85546875" style="649" bestFit="1" customWidth="1"/>
    <col min="520" max="520" width="13.28515625" style="649" customWidth="1"/>
    <col min="521" max="765" width="9.140625" style="649"/>
    <col min="766" max="766" width="20" style="649" customWidth="1"/>
    <col min="767" max="767" width="15.5703125" style="649" customWidth="1"/>
    <col min="768" max="768" width="13.42578125" style="649" customWidth="1"/>
    <col min="769" max="769" width="15.42578125" style="649" customWidth="1"/>
    <col min="770" max="770" width="5.7109375" style="649" customWidth="1"/>
    <col min="771" max="771" width="16.5703125" style="649" customWidth="1"/>
    <col min="772" max="772" width="16.28515625" style="649" customWidth="1"/>
    <col min="773" max="773" width="15" style="649" customWidth="1"/>
    <col min="774" max="775" width="15.85546875" style="649" bestFit="1" customWidth="1"/>
    <col min="776" max="776" width="13.28515625" style="649" customWidth="1"/>
    <col min="777" max="1021" width="9.140625" style="649"/>
    <col min="1022" max="1022" width="20" style="649" customWidth="1"/>
    <col min="1023" max="1023" width="15.5703125" style="649" customWidth="1"/>
    <col min="1024" max="1024" width="13.42578125" style="649" customWidth="1"/>
    <col min="1025" max="1025" width="15.42578125" style="649" customWidth="1"/>
    <col min="1026" max="1026" width="5.7109375" style="649" customWidth="1"/>
    <col min="1027" max="1027" width="16.5703125" style="649" customWidth="1"/>
    <col min="1028" max="1028" width="16.28515625" style="649" customWidth="1"/>
    <col min="1029" max="1029" width="15" style="649" customWidth="1"/>
    <col min="1030" max="1031" width="15.85546875" style="649" bestFit="1" customWidth="1"/>
    <col min="1032" max="1032" width="13.28515625" style="649" customWidth="1"/>
    <col min="1033" max="1277" width="9.140625" style="649"/>
    <col min="1278" max="1278" width="20" style="649" customWidth="1"/>
    <col min="1279" max="1279" width="15.5703125" style="649" customWidth="1"/>
    <col min="1280" max="1280" width="13.42578125" style="649" customWidth="1"/>
    <col min="1281" max="1281" width="15.42578125" style="649" customWidth="1"/>
    <col min="1282" max="1282" width="5.7109375" style="649" customWidth="1"/>
    <col min="1283" max="1283" width="16.5703125" style="649" customWidth="1"/>
    <col min="1284" max="1284" width="16.28515625" style="649" customWidth="1"/>
    <col min="1285" max="1285" width="15" style="649" customWidth="1"/>
    <col min="1286" max="1287" width="15.85546875" style="649" bestFit="1" customWidth="1"/>
    <col min="1288" max="1288" width="13.28515625" style="649" customWidth="1"/>
    <col min="1289" max="1533" width="9.140625" style="649"/>
    <col min="1534" max="1534" width="20" style="649" customWidth="1"/>
    <col min="1535" max="1535" width="15.5703125" style="649" customWidth="1"/>
    <col min="1536" max="1536" width="13.42578125" style="649" customWidth="1"/>
    <col min="1537" max="1537" width="15.42578125" style="649" customWidth="1"/>
    <col min="1538" max="1538" width="5.7109375" style="649" customWidth="1"/>
    <col min="1539" max="1539" width="16.5703125" style="649" customWidth="1"/>
    <col min="1540" max="1540" width="16.28515625" style="649" customWidth="1"/>
    <col min="1541" max="1541" width="15" style="649" customWidth="1"/>
    <col min="1542" max="1543" width="15.85546875" style="649" bestFit="1" customWidth="1"/>
    <col min="1544" max="1544" width="13.28515625" style="649" customWidth="1"/>
    <col min="1545" max="1789" width="9.140625" style="649"/>
    <col min="1790" max="1790" width="20" style="649" customWidth="1"/>
    <col min="1791" max="1791" width="15.5703125" style="649" customWidth="1"/>
    <col min="1792" max="1792" width="13.42578125" style="649" customWidth="1"/>
    <col min="1793" max="1793" width="15.42578125" style="649" customWidth="1"/>
    <col min="1794" max="1794" width="5.7109375" style="649" customWidth="1"/>
    <col min="1795" max="1795" width="16.5703125" style="649" customWidth="1"/>
    <col min="1796" max="1796" width="16.28515625" style="649" customWidth="1"/>
    <col min="1797" max="1797" width="15" style="649" customWidth="1"/>
    <col min="1798" max="1799" width="15.85546875" style="649" bestFit="1" customWidth="1"/>
    <col min="1800" max="1800" width="13.28515625" style="649" customWidth="1"/>
    <col min="1801" max="2045" width="9.140625" style="649"/>
    <col min="2046" max="2046" width="20" style="649" customWidth="1"/>
    <col min="2047" max="2047" width="15.5703125" style="649" customWidth="1"/>
    <col min="2048" max="2048" width="13.42578125" style="649" customWidth="1"/>
    <col min="2049" max="2049" width="15.42578125" style="649" customWidth="1"/>
    <col min="2050" max="2050" width="5.7109375" style="649" customWidth="1"/>
    <col min="2051" max="2051" width="16.5703125" style="649" customWidth="1"/>
    <col min="2052" max="2052" width="16.28515625" style="649" customWidth="1"/>
    <col min="2053" max="2053" width="15" style="649" customWidth="1"/>
    <col min="2054" max="2055" width="15.85546875" style="649" bestFit="1" customWidth="1"/>
    <col min="2056" max="2056" width="13.28515625" style="649" customWidth="1"/>
    <col min="2057" max="2301" width="9.140625" style="649"/>
    <col min="2302" max="2302" width="20" style="649" customWidth="1"/>
    <col min="2303" max="2303" width="15.5703125" style="649" customWidth="1"/>
    <col min="2304" max="2304" width="13.42578125" style="649" customWidth="1"/>
    <col min="2305" max="2305" width="15.42578125" style="649" customWidth="1"/>
    <col min="2306" max="2306" width="5.7109375" style="649" customWidth="1"/>
    <col min="2307" max="2307" width="16.5703125" style="649" customWidth="1"/>
    <col min="2308" max="2308" width="16.28515625" style="649" customWidth="1"/>
    <col min="2309" max="2309" width="15" style="649" customWidth="1"/>
    <col min="2310" max="2311" width="15.85546875" style="649" bestFit="1" customWidth="1"/>
    <col min="2312" max="2312" width="13.28515625" style="649" customWidth="1"/>
    <col min="2313" max="2557" width="9.140625" style="649"/>
    <col min="2558" max="2558" width="20" style="649" customWidth="1"/>
    <col min="2559" max="2559" width="15.5703125" style="649" customWidth="1"/>
    <col min="2560" max="2560" width="13.42578125" style="649" customWidth="1"/>
    <col min="2561" max="2561" width="15.42578125" style="649" customWidth="1"/>
    <col min="2562" max="2562" width="5.7109375" style="649" customWidth="1"/>
    <col min="2563" max="2563" width="16.5703125" style="649" customWidth="1"/>
    <col min="2564" max="2564" width="16.28515625" style="649" customWidth="1"/>
    <col min="2565" max="2565" width="15" style="649" customWidth="1"/>
    <col min="2566" max="2567" width="15.85546875" style="649" bestFit="1" customWidth="1"/>
    <col min="2568" max="2568" width="13.28515625" style="649" customWidth="1"/>
    <col min="2569" max="2813" width="9.140625" style="649"/>
    <col min="2814" max="2814" width="20" style="649" customWidth="1"/>
    <col min="2815" max="2815" width="15.5703125" style="649" customWidth="1"/>
    <col min="2816" max="2816" width="13.42578125" style="649" customWidth="1"/>
    <col min="2817" max="2817" width="15.42578125" style="649" customWidth="1"/>
    <col min="2818" max="2818" width="5.7109375" style="649" customWidth="1"/>
    <col min="2819" max="2819" width="16.5703125" style="649" customWidth="1"/>
    <col min="2820" max="2820" width="16.28515625" style="649" customWidth="1"/>
    <col min="2821" max="2821" width="15" style="649" customWidth="1"/>
    <col min="2822" max="2823" width="15.85546875" style="649" bestFit="1" customWidth="1"/>
    <col min="2824" max="2824" width="13.28515625" style="649" customWidth="1"/>
    <col min="2825" max="3069" width="9.140625" style="649"/>
    <col min="3070" max="3070" width="20" style="649" customWidth="1"/>
    <col min="3071" max="3071" width="15.5703125" style="649" customWidth="1"/>
    <col min="3072" max="3072" width="13.42578125" style="649" customWidth="1"/>
    <col min="3073" max="3073" width="15.42578125" style="649" customWidth="1"/>
    <col min="3074" max="3074" width="5.7109375" style="649" customWidth="1"/>
    <col min="3075" max="3075" width="16.5703125" style="649" customWidth="1"/>
    <col min="3076" max="3076" width="16.28515625" style="649" customWidth="1"/>
    <col min="3077" max="3077" width="15" style="649" customWidth="1"/>
    <col min="3078" max="3079" width="15.85546875" style="649" bestFit="1" customWidth="1"/>
    <col min="3080" max="3080" width="13.28515625" style="649" customWidth="1"/>
    <col min="3081" max="3325" width="9.140625" style="649"/>
    <col min="3326" max="3326" width="20" style="649" customWidth="1"/>
    <col min="3327" max="3327" width="15.5703125" style="649" customWidth="1"/>
    <col min="3328" max="3328" width="13.42578125" style="649" customWidth="1"/>
    <col min="3329" max="3329" width="15.42578125" style="649" customWidth="1"/>
    <col min="3330" max="3330" width="5.7109375" style="649" customWidth="1"/>
    <col min="3331" max="3331" width="16.5703125" style="649" customWidth="1"/>
    <col min="3332" max="3332" width="16.28515625" style="649" customWidth="1"/>
    <col min="3333" max="3333" width="15" style="649" customWidth="1"/>
    <col min="3334" max="3335" width="15.85546875" style="649" bestFit="1" customWidth="1"/>
    <col min="3336" max="3336" width="13.28515625" style="649" customWidth="1"/>
    <col min="3337" max="3581" width="9.140625" style="649"/>
    <col min="3582" max="3582" width="20" style="649" customWidth="1"/>
    <col min="3583" max="3583" width="15.5703125" style="649" customWidth="1"/>
    <col min="3584" max="3584" width="13.42578125" style="649" customWidth="1"/>
    <col min="3585" max="3585" width="15.42578125" style="649" customWidth="1"/>
    <col min="3586" max="3586" width="5.7109375" style="649" customWidth="1"/>
    <col min="3587" max="3587" width="16.5703125" style="649" customWidth="1"/>
    <col min="3588" max="3588" width="16.28515625" style="649" customWidth="1"/>
    <col min="3589" max="3589" width="15" style="649" customWidth="1"/>
    <col min="3590" max="3591" width="15.85546875" style="649" bestFit="1" customWidth="1"/>
    <col min="3592" max="3592" width="13.28515625" style="649" customWidth="1"/>
    <col min="3593" max="3837" width="9.140625" style="649"/>
    <col min="3838" max="3838" width="20" style="649" customWidth="1"/>
    <col min="3839" max="3839" width="15.5703125" style="649" customWidth="1"/>
    <col min="3840" max="3840" width="13.42578125" style="649" customWidth="1"/>
    <col min="3841" max="3841" width="15.42578125" style="649" customWidth="1"/>
    <col min="3842" max="3842" width="5.7109375" style="649" customWidth="1"/>
    <col min="3843" max="3843" width="16.5703125" style="649" customWidth="1"/>
    <col min="3844" max="3844" width="16.28515625" style="649" customWidth="1"/>
    <col min="3845" max="3845" width="15" style="649" customWidth="1"/>
    <col min="3846" max="3847" width="15.85546875" style="649" bestFit="1" customWidth="1"/>
    <col min="3848" max="3848" width="13.28515625" style="649" customWidth="1"/>
    <col min="3849" max="4093" width="9.140625" style="649"/>
    <col min="4094" max="4094" width="20" style="649" customWidth="1"/>
    <col min="4095" max="4095" width="15.5703125" style="649" customWidth="1"/>
    <col min="4096" max="4096" width="13.42578125" style="649" customWidth="1"/>
    <col min="4097" max="4097" width="15.42578125" style="649" customWidth="1"/>
    <col min="4098" max="4098" width="5.7109375" style="649" customWidth="1"/>
    <col min="4099" max="4099" width="16.5703125" style="649" customWidth="1"/>
    <col min="4100" max="4100" width="16.28515625" style="649" customWidth="1"/>
    <col min="4101" max="4101" width="15" style="649" customWidth="1"/>
    <col min="4102" max="4103" width="15.85546875" style="649" bestFit="1" customWidth="1"/>
    <col min="4104" max="4104" width="13.28515625" style="649" customWidth="1"/>
    <col min="4105" max="4349" width="9.140625" style="649"/>
    <col min="4350" max="4350" width="20" style="649" customWidth="1"/>
    <col min="4351" max="4351" width="15.5703125" style="649" customWidth="1"/>
    <col min="4352" max="4352" width="13.42578125" style="649" customWidth="1"/>
    <col min="4353" max="4353" width="15.42578125" style="649" customWidth="1"/>
    <col min="4354" max="4354" width="5.7109375" style="649" customWidth="1"/>
    <col min="4355" max="4355" width="16.5703125" style="649" customWidth="1"/>
    <col min="4356" max="4356" width="16.28515625" style="649" customWidth="1"/>
    <col min="4357" max="4357" width="15" style="649" customWidth="1"/>
    <col min="4358" max="4359" width="15.85546875" style="649" bestFit="1" customWidth="1"/>
    <col min="4360" max="4360" width="13.28515625" style="649" customWidth="1"/>
    <col min="4361" max="4605" width="9.140625" style="649"/>
    <col min="4606" max="4606" width="20" style="649" customWidth="1"/>
    <col min="4607" max="4607" width="15.5703125" style="649" customWidth="1"/>
    <col min="4608" max="4608" width="13.42578125" style="649" customWidth="1"/>
    <col min="4609" max="4609" width="15.42578125" style="649" customWidth="1"/>
    <col min="4610" max="4610" width="5.7109375" style="649" customWidth="1"/>
    <col min="4611" max="4611" width="16.5703125" style="649" customWidth="1"/>
    <col min="4612" max="4612" width="16.28515625" style="649" customWidth="1"/>
    <col min="4613" max="4613" width="15" style="649" customWidth="1"/>
    <col min="4614" max="4615" width="15.85546875" style="649" bestFit="1" customWidth="1"/>
    <col min="4616" max="4616" width="13.28515625" style="649" customWidth="1"/>
    <col min="4617" max="4861" width="9.140625" style="649"/>
    <col min="4862" max="4862" width="20" style="649" customWidth="1"/>
    <col min="4863" max="4863" width="15.5703125" style="649" customWidth="1"/>
    <col min="4864" max="4864" width="13.42578125" style="649" customWidth="1"/>
    <col min="4865" max="4865" width="15.42578125" style="649" customWidth="1"/>
    <col min="4866" max="4866" width="5.7109375" style="649" customWidth="1"/>
    <col min="4867" max="4867" width="16.5703125" style="649" customWidth="1"/>
    <col min="4868" max="4868" width="16.28515625" style="649" customWidth="1"/>
    <col min="4869" max="4869" width="15" style="649" customWidth="1"/>
    <col min="4870" max="4871" width="15.85546875" style="649" bestFit="1" customWidth="1"/>
    <col min="4872" max="4872" width="13.28515625" style="649" customWidth="1"/>
    <col min="4873" max="5117" width="9.140625" style="649"/>
    <col min="5118" max="5118" width="20" style="649" customWidth="1"/>
    <col min="5119" max="5119" width="15.5703125" style="649" customWidth="1"/>
    <col min="5120" max="5120" width="13.42578125" style="649" customWidth="1"/>
    <col min="5121" max="5121" width="15.42578125" style="649" customWidth="1"/>
    <col min="5122" max="5122" width="5.7109375" style="649" customWidth="1"/>
    <col min="5123" max="5123" width="16.5703125" style="649" customWidth="1"/>
    <col min="5124" max="5124" width="16.28515625" style="649" customWidth="1"/>
    <col min="5125" max="5125" width="15" style="649" customWidth="1"/>
    <col min="5126" max="5127" width="15.85546875" style="649" bestFit="1" customWidth="1"/>
    <col min="5128" max="5128" width="13.28515625" style="649" customWidth="1"/>
    <col min="5129" max="5373" width="9.140625" style="649"/>
    <col min="5374" max="5374" width="20" style="649" customWidth="1"/>
    <col min="5375" max="5375" width="15.5703125" style="649" customWidth="1"/>
    <col min="5376" max="5376" width="13.42578125" style="649" customWidth="1"/>
    <col min="5377" max="5377" width="15.42578125" style="649" customWidth="1"/>
    <col min="5378" max="5378" width="5.7109375" style="649" customWidth="1"/>
    <col min="5379" max="5379" width="16.5703125" style="649" customWidth="1"/>
    <col min="5380" max="5380" width="16.28515625" style="649" customWidth="1"/>
    <col min="5381" max="5381" width="15" style="649" customWidth="1"/>
    <col min="5382" max="5383" width="15.85546875" style="649" bestFit="1" customWidth="1"/>
    <col min="5384" max="5384" width="13.28515625" style="649" customWidth="1"/>
    <col min="5385" max="5629" width="9.140625" style="649"/>
    <col min="5630" max="5630" width="20" style="649" customWidth="1"/>
    <col min="5631" max="5631" width="15.5703125" style="649" customWidth="1"/>
    <col min="5632" max="5632" width="13.42578125" style="649" customWidth="1"/>
    <col min="5633" max="5633" width="15.42578125" style="649" customWidth="1"/>
    <col min="5634" max="5634" width="5.7109375" style="649" customWidth="1"/>
    <col min="5635" max="5635" width="16.5703125" style="649" customWidth="1"/>
    <col min="5636" max="5636" width="16.28515625" style="649" customWidth="1"/>
    <col min="5637" max="5637" width="15" style="649" customWidth="1"/>
    <col min="5638" max="5639" width="15.85546875" style="649" bestFit="1" customWidth="1"/>
    <col min="5640" max="5640" width="13.28515625" style="649" customWidth="1"/>
    <col min="5641" max="5885" width="9.140625" style="649"/>
    <col min="5886" max="5886" width="20" style="649" customWidth="1"/>
    <col min="5887" max="5887" width="15.5703125" style="649" customWidth="1"/>
    <col min="5888" max="5888" width="13.42578125" style="649" customWidth="1"/>
    <col min="5889" max="5889" width="15.42578125" style="649" customWidth="1"/>
    <col min="5890" max="5890" width="5.7109375" style="649" customWidth="1"/>
    <col min="5891" max="5891" width="16.5703125" style="649" customWidth="1"/>
    <col min="5892" max="5892" width="16.28515625" style="649" customWidth="1"/>
    <col min="5893" max="5893" width="15" style="649" customWidth="1"/>
    <col min="5894" max="5895" width="15.85546875" style="649" bestFit="1" customWidth="1"/>
    <col min="5896" max="5896" width="13.28515625" style="649" customWidth="1"/>
    <col min="5897" max="6141" width="9.140625" style="649"/>
    <col min="6142" max="6142" width="20" style="649" customWidth="1"/>
    <col min="6143" max="6143" width="15.5703125" style="649" customWidth="1"/>
    <col min="6144" max="6144" width="13.42578125" style="649" customWidth="1"/>
    <col min="6145" max="6145" width="15.42578125" style="649" customWidth="1"/>
    <col min="6146" max="6146" width="5.7109375" style="649" customWidth="1"/>
    <col min="6147" max="6147" width="16.5703125" style="649" customWidth="1"/>
    <col min="6148" max="6148" width="16.28515625" style="649" customWidth="1"/>
    <col min="6149" max="6149" width="15" style="649" customWidth="1"/>
    <col min="6150" max="6151" width="15.85546875" style="649" bestFit="1" customWidth="1"/>
    <col min="6152" max="6152" width="13.28515625" style="649" customWidth="1"/>
    <col min="6153" max="6397" width="9.140625" style="649"/>
    <col min="6398" max="6398" width="20" style="649" customWidth="1"/>
    <col min="6399" max="6399" width="15.5703125" style="649" customWidth="1"/>
    <col min="6400" max="6400" width="13.42578125" style="649" customWidth="1"/>
    <col min="6401" max="6401" width="15.42578125" style="649" customWidth="1"/>
    <col min="6402" max="6402" width="5.7109375" style="649" customWidth="1"/>
    <col min="6403" max="6403" width="16.5703125" style="649" customWidth="1"/>
    <col min="6404" max="6404" width="16.28515625" style="649" customWidth="1"/>
    <col min="6405" max="6405" width="15" style="649" customWidth="1"/>
    <col min="6406" max="6407" width="15.85546875" style="649" bestFit="1" customWidth="1"/>
    <col min="6408" max="6408" width="13.28515625" style="649" customWidth="1"/>
    <col min="6409" max="6653" width="9.140625" style="649"/>
    <col min="6654" max="6654" width="20" style="649" customWidth="1"/>
    <col min="6655" max="6655" width="15.5703125" style="649" customWidth="1"/>
    <col min="6656" max="6656" width="13.42578125" style="649" customWidth="1"/>
    <col min="6657" max="6657" width="15.42578125" style="649" customWidth="1"/>
    <col min="6658" max="6658" width="5.7109375" style="649" customWidth="1"/>
    <col min="6659" max="6659" width="16.5703125" style="649" customWidth="1"/>
    <col min="6660" max="6660" width="16.28515625" style="649" customWidth="1"/>
    <col min="6661" max="6661" width="15" style="649" customWidth="1"/>
    <col min="6662" max="6663" width="15.85546875" style="649" bestFit="1" customWidth="1"/>
    <col min="6664" max="6664" width="13.28515625" style="649" customWidth="1"/>
    <col min="6665" max="6909" width="9.140625" style="649"/>
    <col min="6910" max="6910" width="20" style="649" customWidth="1"/>
    <col min="6911" max="6911" width="15.5703125" style="649" customWidth="1"/>
    <col min="6912" max="6912" width="13.42578125" style="649" customWidth="1"/>
    <col min="6913" max="6913" width="15.42578125" style="649" customWidth="1"/>
    <col min="6914" max="6914" width="5.7109375" style="649" customWidth="1"/>
    <col min="6915" max="6915" width="16.5703125" style="649" customWidth="1"/>
    <col min="6916" max="6916" width="16.28515625" style="649" customWidth="1"/>
    <col min="6917" max="6917" width="15" style="649" customWidth="1"/>
    <col min="6918" max="6919" width="15.85546875" style="649" bestFit="1" customWidth="1"/>
    <col min="6920" max="6920" width="13.28515625" style="649" customWidth="1"/>
    <col min="6921" max="7165" width="9.140625" style="649"/>
    <col min="7166" max="7166" width="20" style="649" customWidth="1"/>
    <col min="7167" max="7167" width="15.5703125" style="649" customWidth="1"/>
    <col min="7168" max="7168" width="13.42578125" style="649" customWidth="1"/>
    <col min="7169" max="7169" width="15.42578125" style="649" customWidth="1"/>
    <col min="7170" max="7170" width="5.7109375" style="649" customWidth="1"/>
    <col min="7171" max="7171" width="16.5703125" style="649" customWidth="1"/>
    <col min="7172" max="7172" width="16.28515625" style="649" customWidth="1"/>
    <col min="7173" max="7173" width="15" style="649" customWidth="1"/>
    <col min="7174" max="7175" width="15.85546875" style="649" bestFit="1" customWidth="1"/>
    <col min="7176" max="7176" width="13.28515625" style="649" customWidth="1"/>
    <col min="7177" max="7421" width="9.140625" style="649"/>
    <col min="7422" max="7422" width="20" style="649" customWidth="1"/>
    <col min="7423" max="7423" width="15.5703125" style="649" customWidth="1"/>
    <col min="7424" max="7424" width="13.42578125" style="649" customWidth="1"/>
    <col min="7425" max="7425" width="15.42578125" style="649" customWidth="1"/>
    <col min="7426" max="7426" width="5.7109375" style="649" customWidth="1"/>
    <col min="7427" max="7427" width="16.5703125" style="649" customWidth="1"/>
    <col min="7428" max="7428" width="16.28515625" style="649" customWidth="1"/>
    <col min="7429" max="7429" width="15" style="649" customWidth="1"/>
    <col min="7430" max="7431" width="15.85546875" style="649" bestFit="1" customWidth="1"/>
    <col min="7432" max="7432" width="13.28515625" style="649" customWidth="1"/>
    <col min="7433" max="7677" width="9.140625" style="649"/>
    <col min="7678" max="7678" width="20" style="649" customWidth="1"/>
    <col min="7679" max="7679" width="15.5703125" style="649" customWidth="1"/>
    <col min="7680" max="7680" width="13.42578125" style="649" customWidth="1"/>
    <col min="7681" max="7681" width="15.42578125" style="649" customWidth="1"/>
    <col min="7682" max="7682" width="5.7109375" style="649" customWidth="1"/>
    <col min="7683" max="7683" width="16.5703125" style="649" customWidth="1"/>
    <col min="7684" max="7684" width="16.28515625" style="649" customWidth="1"/>
    <col min="7685" max="7685" width="15" style="649" customWidth="1"/>
    <col min="7686" max="7687" width="15.85546875" style="649" bestFit="1" customWidth="1"/>
    <col min="7688" max="7688" width="13.28515625" style="649" customWidth="1"/>
    <col min="7689" max="7933" width="9.140625" style="649"/>
    <col min="7934" max="7934" width="20" style="649" customWidth="1"/>
    <col min="7935" max="7935" width="15.5703125" style="649" customWidth="1"/>
    <col min="7936" max="7936" width="13.42578125" style="649" customWidth="1"/>
    <col min="7937" max="7937" width="15.42578125" style="649" customWidth="1"/>
    <col min="7938" max="7938" width="5.7109375" style="649" customWidth="1"/>
    <col min="7939" max="7939" width="16.5703125" style="649" customWidth="1"/>
    <col min="7940" max="7940" width="16.28515625" style="649" customWidth="1"/>
    <col min="7941" max="7941" width="15" style="649" customWidth="1"/>
    <col min="7942" max="7943" width="15.85546875" style="649" bestFit="1" customWidth="1"/>
    <col min="7944" max="7944" width="13.28515625" style="649" customWidth="1"/>
    <col min="7945" max="8189" width="9.140625" style="649"/>
    <col min="8190" max="8190" width="20" style="649" customWidth="1"/>
    <col min="8191" max="8191" width="15.5703125" style="649" customWidth="1"/>
    <col min="8192" max="8192" width="13.42578125" style="649" customWidth="1"/>
    <col min="8193" max="8193" width="15.42578125" style="649" customWidth="1"/>
    <col min="8194" max="8194" width="5.7109375" style="649" customWidth="1"/>
    <col min="8195" max="8195" width="16.5703125" style="649" customWidth="1"/>
    <col min="8196" max="8196" width="16.28515625" style="649" customWidth="1"/>
    <col min="8197" max="8197" width="15" style="649" customWidth="1"/>
    <col min="8198" max="8199" width="15.85546875" style="649" bestFit="1" customWidth="1"/>
    <col min="8200" max="8200" width="13.28515625" style="649" customWidth="1"/>
    <col min="8201" max="8445" width="9.140625" style="649"/>
    <col min="8446" max="8446" width="20" style="649" customWidth="1"/>
    <col min="8447" max="8447" width="15.5703125" style="649" customWidth="1"/>
    <col min="8448" max="8448" width="13.42578125" style="649" customWidth="1"/>
    <col min="8449" max="8449" width="15.42578125" style="649" customWidth="1"/>
    <col min="8450" max="8450" width="5.7109375" style="649" customWidth="1"/>
    <col min="8451" max="8451" width="16.5703125" style="649" customWidth="1"/>
    <col min="8452" max="8452" width="16.28515625" style="649" customWidth="1"/>
    <col min="8453" max="8453" width="15" style="649" customWidth="1"/>
    <col min="8454" max="8455" width="15.85546875" style="649" bestFit="1" customWidth="1"/>
    <col min="8456" max="8456" width="13.28515625" style="649" customWidth="1"/>
    <col min="8457" max="8701" width="9.140625" style="649"/>
    <col min="8702" max="8702" width="20" style="649" customWidth="1"/>
    <col min="8703" max="8703" width="15.5703125" style="649" customWidth="1"/>
    <col min="8704" max="8704" width="13.42578125" style="649" customWidth="1"/>
    <col min="8705" max="8705" width="15.42578125" style="649" customWidth="1"/>
    <col min="8706" max="8706" width="5.7109375" style="649" customWidth="1"/>
    <col min="8707" max="8707" width="16.5703125" style="649" customWidth="1"/>
    <col min="8708" max="8708" width="16.28515625" style="649" customWidth="1"/>
    <col min="8709" max="8709" width="15" style="649" customWidth="1"/>
    <col min="8710" max="8711" width="15.85546875" style="649" bestFit="1" customWidth="1"/>
    <col min="8712" max="8712" width="13.28515625" style="649" customWidth="1"/>
    <col min="8713" max="8957" width="9.140625" style="649"/>
    <col min="8958" max="8958" width="20" style="649" customWidth="1"/>
    <col min="8959" max="8959" width="15.5703125" style="649" customWidth="1"/>
    <col min="8960" max="8960" width="13.42578125" style="649" customWidth="1"/>
    <col min="8961" max="8961" width="15.42578125" style="649" customWidth="1"/>
    <col min="8962" max="8962" width="5.7109375" style="649" customWidth="1"/>
    <col min="8963" max="8963" width="16.5703125" style="649" customWidth="1"/>
    <col min="8964" max="8964" width="16.28515625" style="649" customWidth="1"/>
    <col min="8965" max="8965" width="15" style="649" customWidth="1"/>
    <col min="8966" max="8967" width="15.85546875" style="649" bestFit="1" customWidth="1"/>
    <col min="8968" max="8968" width="13.28515625" style="649" customWidth="1"/>
    <col min="8969" max="9213" width="9.140625" style="649"/>
    <col min="9214" max="9214" width="20" style="649" customWidth="1"/>
    <col min="9215" max="9215" width="15.5703125" style="649" customWidth="1"/>
    <col min="9216" max="9216" width="13.42578125" style="649" customWidth="1"/>
    <col min="9217" max="9217" width="15.42578125" style="649" customWidth="1"/>
    <col min="9218" max="9218" width="5.7109375" style="649" customWidth="1"/>
    <col min="9219" max="9219" width="16.5703125" style="649" customWidth="1"/>
    <col min="9220" max="9220" width="16.28515625" style="649" customWidth="1"/>
    <col min="9221" max="9221" width="15" style="649" customWidth="1"/>
    <col min="9222" max="9223" width="15.85546875" style="649" bestFit="1" customWidth="1"/>
    <col min="9224" max="9224" width="13.28515625" style="649" customWidth="1"/>
    <col min="9225" max="9469" width="9.140625" style="649"/>
    <col min="9470" max="9470" width="20" style="649" customWidth="1"/>
    <col min="9471" max="9471" width="15.5703125" style="649" customWidth="1"/>
    <col min="9472" max="9472" width="13.42578125" style="649" customWidth="1"/>
    <col min="9473" max="9473" width="15.42578125" style="649" customWidth="1"/>
    <col min="9474" max="9474" width="5.7109375" style="649" customWidth="1"/>
    <col min="9475" max="9475" width="16.5703125" style="649" customWidth="1"/>
    <col min="9476" max="9476" width="16.28515625" style="649" customWidth="1"/>
    <col min="9477" max="9477" width="15" style="649" customWidth="1"/>
    <col min="9478" max="9479" width="15.85546875" style="649" bestFit="1" customWidth="1"/>
    <col min="9480" max="9480" width="13.28515625" style="649" customWidth="1"/>
    <col min="9481" max="9725" width="9.140625" style="649"/>
    <col min="9726" max="9726" width="20" style="649" customWidth="1"/>
    <col min="9727" max="9727" width="15.5703125" style="649" customWidth="1"/>
    <col min="9728" max="9728" width="13.42578125" style="649" customWidth="1"/>
    <col min="9729" max="9729" width="15.42578125" style="649" customWidth="1"/>
    <col min="9730" max="9730" width="5.7109375" style="649" customWidth="1"/>
    <col min="9731" max="9731" width="16.5703125" style="649" customWidth="1"/>
    <col min="9732" max="9732" width="16.28515625" style="649" customWidth="1"/>
    <col min="9733" max="9733" width="15" style="649" customWidth="1"/>
    <col min="9734" max="9735" width="15.85546875" style="649" bestFit="1" customWidth="1"/>
    <col min="9736" max="9736" width="13.28515625" style="649" customWidth="1"/>
    <col min="9737" max="9981" width="9.140625" style="649"/>
    <col min="9982" max="9982" width="20" style="649" customWidth="1"/>
    <col min="9983" max="9983" width="15.5703125" style="649" customWidth="1"/>
    <col min="9984" max="9984" width="13.42578125" style="649" customWidth="1"/>
    <col min="9985" max="9985" width="15.42578125" style="649" customWidth="1"/>
    <col min="9986" max="9986" width="5.7109375" style="649" customWidth="1"/>
    <col min="9987" max="9987" width="16.5703125" style="649" customWidth="1"/>
    <col min="9988" max="9988" width="16.28515625" style="649" customWidth="1"/>
    <col min="9989" max="9989" width="15" style="649" customWidth="1"/>
    <col min="9990" max="9991" width="15.85546875" style="649" bestFit="1" customWidth="1"/>
    <col min="9992" max="9992" width="13.28515625" style="649" customWidth="1"/>
    <col min="9993" max="10237" width="9.140625" style="649"/>
    <col min="10238" max="10238" width="20" style="649" customWidth="1"/>
    <col min="10239" max="10239" width="15.5703125" style="649" customWidth="1"/>
    <col min="10240" max="10240" width="13.42578125" style="649" customWidth="1"/>
    <col min="10241" max="10241" width="15.42578125" style="649" customWidth="1"/>
    <col min="10242" max="10242" width="5.7109375" style="649" customWidth="1"/>
    <col min="10243" max="10243" width="16.5703125" style="649" customWidth="1"/>
    <col min="10244" max="10244" width="16.28515625" style="649" customWidth="1"/>
    <col min="10245" max="10245" width="15" style="649" customWidth="1"/>
    <col min="10246" max="10247" width="15.85546875" style="649" bestFit="1" customWidth="1"/>
    <col min="10248" max="10248" width="13.28515625" style="649" customWidth="1"/>
    <col min="10249" max="10493" width="9.140625" style="649"/>
    <col min="10494" max="10494" width="20" style="649" customWidth="1"/>
    <col min="10495" max="10495" width="15.5703125" style="649" customWidth="1"/>
    <col min="10496" max="10496" width="13.42578125" style="649" customWidth="1"/>
    <col min="10497" max="10497" width="15.42578125" style="649" customWidth="1"/>
    <col min="10498" max="10498" width="5.7109375" style="649" customWidth="1"/>
    <col min="10499" max="10499" width="16.5703125" style="649" customWidth="1"/>
    <col min="10500" max="10500" width="16.28515625" style="649" customWidth="1"/>
    <col min="10501" max="10501" width="15" style="649" customWidth="1"/>
    <col min="10502" max="10503" width="15.85546875" style="649" bestFit="1" customWidth="1"/>
    <col min="10504" max="10504" width="13.28515625" style="649" customWidth="1"/>
    <col min="10505" max="10749" width="9.140625" style="649"/>
    <col min="10750" max="10750" width="20" style="649" customWidth="1"/>
    <col min="10751" max="10751" width="15.5703125" style="649" customWidth="1"/>
    <col min="10752" max="10752" width="13.42578125" style="649" customWidth="1"/>
    <col min="10753" max="10753" width="15.42578125" style="649" customWidth="1"/>
    <col min="10754" max="10754" width="5.7109375" style="649" customWidth="1"/>
    <col min="10755" max="10755" width="16.5703125" style="649" customWidth="1"/>
    <col min="10756" max="10756" width="16.28515625" style="649" customWidth="1"/>
    <col min="10757" max="10757" width="15" style="649" customWidth="1"/>
    <col min="10758" max="10759" width="15.85546875" style="649" bestFit="1" customWidth="1"/>
    <col min="10760" max="10760" width="13.28515625" style="649" customWidth="1"/>
    <col min="10761" max="11005" width="9.140625" style="649"/>
    <col min="11006" max="11006" width="20" style="649" customWidth="1"/>
    <col min="11007" max="11007" width="15.5703125" style="649" customWidth="1"/>
    <col min="11008" max="11008" width="13.42578125" style="649" customWidth="1"/>
    <col min="11009" max="11009" width="15.42578125" style="649" customWidth="1"/>
    <col min="11010" max="11010" width="5.7109375" style="649" customWidth="1"/>
    <col min="11011" max="11011" width="16.5703125" style="649" customWidth="1"/>
    <col min="11012" max="11012" width="16.28515625" style="649" customWidth="1"/>
    <col min="11013" max="11013" width="15" style="649" customWidth="1"/>
    <col min="11014" max="11015" width="15.85546875" style="649" bestFit="1" customWidth="1"/>
    <col min="11016" max="11016" width="13.28515625" style="649" customWidth="1"/>
    <col min="11017" max="11261" width="9.140625" style="649"/>
    <col min="11262" max="11262" width="20" style="649" customWidth="1"/>
    <col min="11263" max="11263" width="15.5703125" style="649" customWidth="1"/>
    <col min="11264" max="11264" width="13.42578125" style="649" customWidth="1"/>
    <col min="11265" max="11265" width="15.42578125" style="649" customWidth="1"/>
    <col min="11266" max="11266" width="5.7109375" style="649" customWidth="1"/>
    <col min="11267" max="11267" width="16.5703125" style="649" customWidth="1"/>
    <col min="11268" max="11268" width="16.28515625" style="649" customWidth="1"/>
    <col min="11269" max="11269" width="15" style="649" customWidth="1"/>
    <col min="11270" max="11271" width="15.85546875" style="649" bestFit="1" customWidth="1"/>
    <col min="11272" max="11272" width="13.28515625" style="649" customWidth="1"/>
    <col min="11273" max="11517" width="9.140625" style="649"/>
    <col min="11518" max="11518" width="20" style="649" customWidth="1"/>
    <col min="11519" max="11519" width="15.5703125" style="649" customWidth="1"/>
    <col min="11520" max="11520" width="13.42578125" style="649" customWidth="1"/>
    <col min="11521" max="11521" width="15.42578125" style="649" customWidth="1"/>
    <col min="11522" max="11522" width="5.7109375" style="649" customWidth="1"/>
    <col min="11523" max="11523" width="16.5703125" style="649" customWidth="1"/>
    <col min="11524" max="11524" width="16.28515625" style="649" customWidth="1"/>
    <col min="11525" max="11525" width="15" style="649" customWidth="1"/>
    <col min="11526" max="11527" width="15.85546875" style="649" bestFit="1" customWidth="1"/>
    <col min="11528" max="11528" width="13.28515625" style="649" customWidth="1"/>
    <col min="11529" max="11773" width="9.140625" style="649"/>
    <col min="11774" max="11774" width="20" style="649" customWidth="1"/>
    <col min="11775" max="11775" width="15.5703125" style="649" customWidth="1"/>
    <col min="11776" max="11776" width="13.42578125" style="649" customWidth="1"/>
    <col min="11777" max="11777" width="15.42578125" style="649" customWidth="1"/>
    <col min="11778" max="11778" width="5.7109375" style="649" customWidth="1"/>
    <col min="11779" max="11779" width="16.5703125" style="649" customWidth="1"/>
    <col min="11780" max="11780" width="16.28515625" style="649" customWidth="1"/>
    <col min="11781" max="11781" width="15" style="649" customWidth="1"/>
    <col min="11782" max="11783" width="15.85546875" style="649" bestFit="1" customWidth="1"/>
    <col min="11784" max="11784" width="13.28515625" style="649" customWidth="1"/>
    <col min="11785" max="12029" width="9.140625" style="649"/>
    <col min="12030" max="12030" width="20" style="649" customWidth="1"/>
    <col min="12031" max="12031" width="15.5703125" style="649" customWidth="1"/>
    <col min="12032" max="12032" width="13.42578125" style="649" customWidth="1"/>
    <col min="12033" max="12033" width="15.42578125" style="649" customWidth="1"/>
    <col min="12034" max="12034" width="5.7109375" style="649" customWidth="1"/>
    <col min="12035" max="12035" width="16.5703125" style="649" customWidth="1"/>
    <col min="12036" max="12036" width="16.28515625" style="649" customWidth="1"/>
    <col min="12037" max="12037" width="15" style="649" customWidth="1"/>
    <col min="12038" max="12039" width="15.85546875" style="649" bestFit="1" customWidth="1"/>
    <col min="12040" max="12040" width="13.28515625" style="649" customWidth="1"/>
    <col min="12041" max="12285" width="9.140625" style="649"/>
    <col min="12286" max="12286" width="20" style="649" customWidth="1"/>
    <col min="12287" max="12287" width="15.5703125" style="649" customWidth="1"/>
    <col min="12288" max="12288" width="13.42578125" style="649" customWidth="1"/>
    <col min="12289" max="12289" width="15.42578125" style="649" customWidth="1"/>
    <col min="12290" max="12290" width="5.7109375" style="649" customWidth="1"/>
    <col min="12291" max="12291" width="16.5703125" style="649" customWidth="1"/>
    <col min="12292" max="12292" width="16.28515625" style="649" customWidth="1"/>
    <col min="12293" max="12293" width="15" style="649" customWidth="1"/>
    <col min="12294" max="12295" width="15.85546875" style="649" bestFit="1" customWidth="1"/>
    <col min="12296" max="12296" width="13.28515625" style="649" customWidth="1"/>
    <col min="12297" max="12541" width="9.140625" style="649"/>
    <col min="12542" max="12542" width="20" style="649" customWidth="1"/>
    <col min="12543" max="12543" width="15.5703125" style="649" customWidth="1"/>
    <col min="12544" max="12544" width="13.42578125" style="649" customWidth="1"/>
    <col min="12545" max="12545" width="15.42578125" style="649" customWidth="1"/>
    <col min="12546" max="12546" width="5.7109375" style="649" customWidth="1"/>
    <col min="12547" max="12547" width="16.5703125" style="649" customWidth="1"/>
    <col min="12548" max="12548" width="16.28515625" style="649" customWidth="1"/>
    <col min="12549" max="12549" width="15" style="649" customWidth="1"/>
    <col min="12550" max="12551" width="15.85546875" style="649" bestFit="1" customWidth="1"/>
    <col min="12552" max="12552" width="13.28515625" style="649" customWidth="1"/>
    <col min="12553" max="12797" width="9.140625" style="649"/>
    <col min="12798" max="12798" width="20" style="649" customWidth="1"/>
    <col min="12799" max="12799" width="15.5703125" style="649" customWidth="1"/>
    <col min="12800" max="12800" width="13.42578125" style="649" customWidth="1"/>
    <col min="12801" max="12801" width="15.42578125" style="649" customWidth="1"/>
    <col min="12802" max="12802" width="5.7109375" style="649" customWidth="1"/>
    <col min="12803" max="12803" width="16.5703125" style="649" customWidth="1"/>
    <col min="12804" max="12804" width="16.28515625" style="649" customWidth="1"/>
    <col min="12805" max="12805" width="15" style="649" customWidth="1"/>
    <col min="12806" max="12807" width="15.85546875" style="649" bestFit="1" customWidth="1"/>
    <col min="12808" max="12808" width="13.28515625" style="649" customWidth="1"/>
    <col min="12809" max="13053" width="9.140625" style="649"/>
    <col min="13054" max="13054" width="20" style="649" customWidth="1"/>
    <col min="13055" max="13055" width="15.5703125" style="649" customWidth="1"/>
    <col min="13056" max="13056" width="13.42578125" style="649" customWidth="1"/>
    <col min="13057" max="13057" width="15.42578125" style="649" customWidth="1"/>
    <col min="13058" max="13058" width="5.7109375" style="649" customWidth="1"/>
    <col min="13059" max="13059" width="16.5703125" style="649" customWidth="1"/>
    <col min="13060" max="13060" width="16.28515625" style="649" customWidth="1"/>
    <col min="13061" max="13061" width="15" style="649" customWidth="1"/>
    <col min="13062" max="13063" width="15.85546875" style="649" bestFit="1" customWidth="1"/>
    <col min="13064" max="13064" width="13.28515625" style="649" customWidth="1"/>
    <col min="13065" max="13309" width="9.140625" style="649"/>
    <col min="13310" max="13310" width="20" style="649" customWidth="1"/>
    <col min="13311" max="13311" width="15.5703125" style="649" customWidth="1"/>
    <col min="13312" max="13312" width="13.42578125" style="649" customWidth="1"/>
    <col min="13313" max="13313" width="15.42578125" style="649" customWidth="1"/>
    <col min="13314" max="13314" width="5.7109375" style="649" customWidth="1"/>
    <col min="13315" max="13315" width="16.5703125" style="649" customWidth="1"/>
    <col min="13316" max="13316" width="16.28515625" style="649" customWidth="1"/>
    <col min="13317" max="13317" width="15" style="649" customWidth="1"/>
    <col min="13318" max="13319" width="15.85546875" style="649" bestFit="1" customWidth="1"/>
    <col min="13320" max="13320" width="13.28515625" style="649" customWidth="1"/>
    <col min="13321" max="13565" width="9.140625" style="649"/>
    <col min="13566" max="13566" width="20" style="649" customWidth="1"/>
    <col min="13567" max="13567" width="15.5703125" style="649" customWidth="1"/>
    <col min="13568" max="13568" width="13.42578125" style="649" customWidth="1"/>
    <col min="13569" max="13569" width="15.42578125" style="649" customWidth="1"/>
    <col min="13570" max="13570" width="5.7109375" style="649" customWidth="1"/>
    <col min="13571" max="13571" width="16.5703125" style="649" customWidth="1"/>
    <col min="13572" max="13572" width="16.28515625" style="649" customWidth="1"/>
    <col min="13573" max="13573" width="15" style="649" customWidth="1"/>
    <col min="13574" max="13575" width="15.85546875" style="649" bestFit="1" customWidth="1"/>
    <col min="13576" max="13576" width="13.28515625" style="649" customWidth="1"/>
    <col min="13577" max="13821" width="9.140625" style="649"/>
    <col min="13822" max="13822" width="20" style="649" customWidth="1"/>
    <col min="13823" max="13823" width="15.5703125" style="649" customWidth="1"/>
    <col min="13824" max="13824" width="13.42578125" style="649" customWidth="1"/>
    <col min="13825" max="13825" width="15.42578125" style="649" customWidth="1"/>
    <col min="13826" max="13826" width="5.7109375" style="649" customWidth="1"/>
    <col min="13827" max="13827" width="16.5703125" style="649" customWidth="1"/>
    <col min="13828" max="13828" width="16.28515625" style="649" customWidth="1"/>
    <col min="13829" max="13829" width="15" style="649" customWidth="1"/>
    <col min="13830" max="13831" width="15.85546875" style="649" bestFit="1" customWidth="1"/>
    <col min="13832" max="13832" width="13.28515625" style="649" customWidth="1"/>
    <col min="13833" max="14077" width="9.140625" style="649"/>
    <col min="14078" max="14078" width="20" style="649" customWidth="1"/>
    <col min="14079" max="14079" width="15.5703125" style="649" customWidth="1"/>
    <col min="14080" max="14080" width="13.42578125" style="649" customWidth="1"/>
    <col min="14081" max="14081" width="15.42578125" style="649" customWidth="1"/>
    <col min="14082" max="14082" width="5.7109375" style="649" customWidth="1"/>
    <col min="14083" max="14083" width="16.5703125" style="649" customWidth="1"/>
    <col min="14084" max="14084" width="16.28515625" style="649" customWidth="1"/>
    <col min="14085" max="14085" width="15" style="649" customWidth="1"/>
    <col min="14086" max="14087" width="15.85546875" style="649" bestFit="1" customWidth="1"/>
    <col min="14088" max="14088" width="13.28515625" style="649" customWidth="1"/>
    <col min="14089" max="14333" width="9.140625" style="649"/>
    <col min="14334" max="14334" width="20" style="649" customWidth="1"/>
    <col min="14335" max="14335" width="15.5703125" style="649" customWidth="1"/>
    <col min="14336" max="14336" width="13.42578125" style="649" customWidth="1"/>
    <col min="14337" max="14337" width="15.42578125" style="649" customWidth="1"/>
    <col min="14338" max="14338" width="5.7109375" style="649" customWidth="1"/>
    <col min="14339" max="14339" width="16.5703125" style="649" customWidth="1"/>
    <col min="14340" max="14340" width="16.28515625" style="649" customWidth="1"/>
    <col min="14341" max="14341" width="15" style="649" customWidth="1"/>
    <col min="14342" max="14343" width="15.85546875" style="649" bestFit="1" customWidth="1"/>
    <col min="14344" max="14344" width="13.28515625" style="649" customWidth="1"/>
    <col min="14345" max="14589" width="9.140625" style="649"/>
    <col min="14590" max="14590" width="20" style="649" customWidth="1"/>
    <col min="14591" max="14591" width="15.5703125" style="649" customWidth="1"/>
    <col min="14592" max="14592" width="13.42578125" style="649" customWidth="1"/>
    <col min="14593" max="14593" width="15.42578125" style="649" customWidth="1"/>
    <col min="14594" max="14594" width="5.7109375" style="649" customWidth="1"/>
    <col min="14595" max="14595" width="16.5703125" style="649" customWidth="1"/>
    <col min="14596" max="14596" width="16.28515625" style="649" customWidth="1"/>
    <col min="14597" max="14597" width="15" style="649" customWidth="1"/>
    <col min="14598" max="14599" width="15.85546875" style="649" bestFit="1" customWidth="1"/>
    <col min="14600" max="14600" width="13.28515625" style="649" customWidth="1"/>
    <col min="14601" max="14845" width="9.140625" style="649"/>
    <col min="14846" max="14846" width="20" style="649" customWidth="1"/>
    <col min="14847" max="14847" width="15.5703125" style="649" customWidth="1"/>
    <col min="14848" max="14848" width="13.42578125" style="649" customWidth="1"/>
    <col min="14849" max="14849" width="15.42578125" style="649" customWidth="1"/>
    <col min="14850" max="14850" width="5.7109375" style="649" customWidth="1"/>
    <col min="14851" max="14851" width="16.5703125" style="649" customWidth="1"/>
    <col min="14852" max="14852" width="16.28515625" style="649" customWidth="1"/>
    <col min="14853" max="14853" width="15" style="649" customWidth="1"/>
    <col min="14854" max="14855" width="15.85546875" style="649" bestFit="1" customWidth="1"/>
    <col min="14856" max="14856" width="13.28515625" style="649" customWidth="1"/>
    <col min="14857" max="15101" width="9.140625" style="649"/>
    <col min="15102" max="15102" width="20" style="649" customWidth="1"/>
    <col min="15103" max="15103" width="15.5703125" style="649" customWidth="1"/>
    <col min="15104" max="15104" width="13.42578125" style="649" customWidth="1"/>
    <col min="15105" max="15105" width="15.42578125" style="649" customWidth="1"/>
    <col min="15106" max="15106" width="5.7109375" style="649" customWidth="1"/>
    <col min="15107" max="15107" width="16.5703125" style="649" customWidth="1"/>
    <col min="15108" max="15108" width="16.28515625" style="649" customWidth="1"/>
    <col min="15109" max="15109" width="15" style="649" customWidth="1"/>
    <col min="15110" max="15111" width="15.85546875" style="649" bestFit="1" customWidth="1"/>
    <col min="15112" max="15112" width="13.28515625" style="649" customWidth="1"/>
    <col min="15113" max="15357" width="9.140625" style="649"/>
    <col min="15358" max="15358" width="20" style="649" customWidth="1"/>
    <col min="15359" max="15359" width="15.5703125" style="649" customWidth="1"/>
    <col min="15360" max="15360" width="13.42578125" style="649" customWidth="1"/>
    <col min="15361" max="15361" width="15.42578125" style="649" customWidth="1"/>
    <col min="15362" max="15362" width="5.7109375" style="649" customWidth="1"/>
    <col min="15363" max="15363" width="16.5703125" style="649" customWidth="1"/>
    <col min="15364" max="15364" width="16.28515625" style="649" customWidth="1"/>
    <col min="15365" max="15365" width="15" style="649" customWidth="1"/>
    <col min="15366" max="15367" width="15.85546875" style="649" bestFit="1" customWidth="1"/>
    <col min="15368" max="15368" width="13.28515625" style="649" customWidth="1"/>
    <col min="15369" max="15613" width="9.140625" style="649"/>
    <col min="15614" max="15614" width="20" style="649" customWidth="1"/>
    <col min="15615" max="15615" width="15.5703125" style="649" customWidth="1"/>
    <col min="15616" max="15616" width="13.42578125" style="649" customWidth="1"/>
    <col min="15617" max="15617" width="15.42578125" style="649" customWidth="1"/>
    <col min="15618" max="15618" width="5.7109375" style="649" customWidth="1"/>
    <col min="15619" max="15619" width="16.5703125" style="649" customWidth="1"/>
    <col min="15620" max="15620" width="16.28515625" style="649" customWidth="1"/>
    <col min="15621" max="15621" width="15" style="649" customWidth="1"/>
    <col min="15622" max="15623" width="15.85546875" style="649" bestFit="1" customWidth="1"/>
    <col min="15624" max="15624" width="13.28515625" style="649" customWidth="1"/>
    <col min="15625" max="15869" width="9.140625" style="649"/>
    <col min="15870" max="15870" width="20" style="649" customWidth="1"/>
    <col min="15871" max="15871" width="15.5703125" style="649" customWidth="1"/>
    <col min="15872" max="15872" width="13.42578125" style="649" customWidth="1"/>
    <col min="15873" max="15873" width="15.42578125" style="649" customWidth="1"/>
    <col min="15874" max="15874" width="5.7109375" style="649" customWidth="1"/>
    <col min="15875" max="15875" width="16.5703125" style="649" customWidth="1"/>
    <col min="15876" max="15876" width="16.28515625" style="649" customWidth="1"/>
    <col min="15877" max="15877" width="15" style="649" customWidth="1"/>
    <col min="15878" max="15879" width="15.85546875" style="649" bestFit="1" customWidth="1"/>
    <col min="15880" max="15880" width="13.28515625" style="649" customWidth="1"/>
    <col min="15881" max="16125" width="9.140625" style="649"/>
    <col min="16126" max="16126" width="20" style="649" customWidth="1"/>
    <col min="16127" max="16127" width="15.5703125" style="649" customWidth="1"/>
    <col min="16128" max="16128" width="13.42578125" style="649" customWidth="1"/>
    <col min="16129" max="16129" width="15.42578125" style="649" customWidth="1"/>
    <col min="16130" max="16130" width="5.7109375" style="649" customWidth="1"/>
    <col min="16131" max="16131" width="16.5703125" style="649" customWidth="1"/>
    <col min="16132" max="16132" width="16.28515625" style="649" customWidth="1"/>
    <col min="16133" max="16133" width="15" style="649" customWidth="1"/>
    <col min="16134" max="16135" width="15.85546875" style="649" bestFit="1" customWidth="1"/>
    <col min="16136" max="16136" width="13.28515625" style="649" customWidth="1"/>
    <col min="16137" max="16384" width="9.140625" style="649"/>
  </cols>
  <sheetData>
    <row r="2" spans="1:5" x14ac:dyDescent="0.2">
      <c r="A2" s="1738"/>
      <c r="B2" s="1738"/>
      <c r="C2" s="1738"/>
      <c r="D2" s="1738"/>
      <c r="E2" s="1738"/>
    </row>
    <row r="3" spans="1:5" ht="15" customHeight="1" x14ac:dyDescent="0.2">
      <c r="A3" s="1738"/>
      <c r="B3" s="1738"/>
      <c r="C3" s="1738"/>
      <c r="D3" s="1738"/>
      <c r="E3" s="1738"/>
    </row>
    <row r="4" spans="1:5" ht="15" customHeight="1" x14ac:dyDescent="0.2">
      <c r="A4" s="1740"/>
      <c r="B4" s="1740"/>
      <c r="C4" s="1740"/>
      <c r="D4" s="1740"/>
      <c r="E4" s="1740"/>
    </row>
    <row r="5" spans="1:5" ht="15" customHeight="1" x14ac:dyDescent="0.2">
      <c r="A5" s="1740"/>
      <c r="B5" s="1740"/>
      <c r="C5" s="1740"/>
      <c r="D5" s="1740"/>
      <c r="E5" s="1740"/>
    </row>
    <row r="6" spans="1:5" x14ac:dyDescent="0.2">
      <c r="B6" s="651"/>
      <c r="C6" s="651"/>
      <c r="D6" s="651"/>
      <c r="E6" s="651"/>
    </row>
    <row r="7" spans="1:5" x14ac:dyDescent="0.2">
      <c r="B7" s="651"/>
      <c r="C7" s="651"/>
      <c r="D7" s="651"/>
      <c r="E7" s="651"/>
    </row>
    <row r="8" spans="1:5" x14ac:dyDescent="0.2">
      <c r="A8" s="1739" t="s">
        <v>822</v>
      </c>
      <c r="B8" s="1739"/>
      <c r="C8" s="1739"/>
      <c r="D8" s="1739"/>
      <c r="E8" s="1739"/>
    </row>
    <row r="9" spans="1:5" ht="13.5" customHeight="1" x14ac:dyDescent="0.2">
      <c r="D9" s="756" t="s">
        <v>890</v>
      </c>
    </row>
    <row r="10" spans="1:5" ht="28.5" x14ac:dyDescent="0.2">
      <c r="A10" s="1741" t="s">
        <v>823</v>
      </c>
      <c r="B10" s="1742"/>
      <c r="C10" s="918" t="s">
        <v>906</v>
      </c>
      <c r="D10" s="918" t="s">
        <v>907</v>
      </c>
      <c r="E10" s="918" t="s">
        <v>824</v>
      </c>
    </row>
    <row r="11" spans="1:5" ht="13.5" customHeight="1" x14ac:dyDescent="0.2">
      <c r="A11" s="1748" t="s">
        <v>886</v>
      </c>
      <c r="B11" s="795" t="s">
        <v>977</v>
      </c>
      <c r="C11" s="652"/>
      <c r="D11" s="755">
        <f>HLOOKUP($D$9,LIMPEZA!$B$6:$M$24,2,FALSE)</f>
        <v>800</v>
      </c>
      <c r="E11" s="653">
        <f>C11/D11</f>
        <v>0</v>
      </c>
    </row>
    <row r="12" spans="1:5" ht="13.5" customHeight="1" x14ac:dyDescent="0.2">
      <c r="A12" s="1748"/>
      <c r="B12" s="795" t="s">
        <v>1205</v>
      </c>
      <c r="C12" s="652"/>
      <c r="D12" s="755">
        <f>HLOOKUP($D$9,LIMPEZA!$B$6:$M$24,3,FALSE)</f>
        <v>800</v>
      </c>
      <c r="E12" s="653">
        <f t="shared" ref="E12:E24" si="0">C12/D12</f>
        <v>0</v>
      </c>
    </row>
    <row r="13" spans="1:5" ht="13.5" customHeight="1" x14ac:dyDescent="0.2">
      <c r="A13" s="1748"/>
      <c r="B13" s="795" t="s">
        <v>978</v>
      </c>
      <c r="C13" s="652"/>
      <c r="D13" s="755">
        <f>HLOOKUP($D$9,LIMPEZA!$B$6:$M$24,4,FALSE)</f>
        <v>360</v>
      </c>
      <c r="E13" s="653">
        <f t="shared" si="0"/>
        <v>0</v>
      </c>
    </row>
    <row r="14" spans="1:5" ht="13.5" customHeight="1" x14ac:dyDescent="0.2">
      <c r="A14" s="1748"/>
      <c r="B14" s="795" t="s">
        <v>979</v>
      </c>
      <c r="C14" s="652"/>
      <c r="D14" s="755">
        <f>HLOOKUP($D$9,LIMPEZA!$B$6:$M$24,5,FALSE)</f>
        <v>1500</v>
      </c>
      <c r="E14" s="653">
        <f t="shared" si="0"/>
        <v>0</v>
      </c>
    </row>
    <row r="15" spans="1:5" ht="13.5" customHeight="1" x14ac:dyDescent="0.2">
      <c r="A15" s="1748"/>
      <c r="B15" s="795" t="s">
        <v>980</v>
      </c>
      <c r="C15" s="652"/>
      <c r="D15" s="755">
        <f>HLOOKUP($D$9,LIMPEZA!$B$6:$M$24,6,FALSE)</f>
        <v>1200</v>
      </c>
      <c r="E15" s="653">
        <f t="shared" si="0"/>
        <v>0</v>
      </c>
    </row>
    <row r="16" spans="1:5" ht="13.5" customHeight="1" x14ac:dyDescent="0.2">
      <c r="A16" s="1748"/>
      <c r="B16" s="795" t="s">
        <v>981</v>
      </c>
      <c r="C16" s="652"/>
      <c r="D16" s="755">
        <f>HLOOKUP($D$9,LIMPEZA!$B$6:$M$24,7,FALSE)</f>
        <v>1000</v>
      </c>
      <c r="E16" s="653">
        <f t="shared" si="0"/>
        <v>0</v>
      </c>
    </row>
    <row r="17" spans="1:5" s="930" customFormat="1" ht="13.5" customHeight="1" x14ac:dyDescent="0.2">
      <c r="A17" s="1748"/>
      <c r="B17" s="795" t="s">
        <v>984</v>
      </c>
      <c r="C17" s="652"/>
      <c r="D17" s="755">
        <f>HLOOKUP($D$9,LIMPEZA!$B$6:$M$24,10,FALSE)</f>
        <v>6000</v>
      </c>
      <c r="E17" s="653">
        <f t="shared" ref="E17" si="1">C17/D17</f>
        <v>0</v>
      </c>
    </row>
    <row r="18" spans="1:5" ht="13.5" customHeight="1" x14ac:dyDescent="0.2">
      <c r="A18" s="1748"/>
      <c r="B18" s="795" t="s">
        <v>982</v>
      </c>
      <c r="C18" s="652"/>
      <c r="D18" s="755">
        <f>HLOOKUP($D$9,LIMPEZA!$B$6:$M$24,8,FALSE)</f>
        <v>200</v>
      </c>
      <c r="E18" s="653">
        <f t="shared" si="0"/>
        <v>0</v>
      </c>
    </row>
    <row r="19" spans="1:5" ht="13.5" customHeight="1" x14ac:dyDescent="0.2">
      <c r="A19" s="1749" t="s">
        <v>825</v>
      </c>
      <c r="B19" s="795" t="s">
        <v>983</v>
      </c>
      <c r="C19" s="652"/>
      <c r="D19" s="755">
        <f>HLOOKUP($D$9,LIMPEZA!$B$6:$M$24,9,FALSE)</f>
        <v>1800</v>
      </c>
      <c r="E19" s="653">
        <f t="shared" si="0"/>
        <v>0</v>
      </c>
    </row>
    <row r="20" spans="1:5" ht="13.5" customHeight="1" x14ac:dyDescent="0.2">
      <c r="A20" s="1749"/>
      <c r="B20" s="795" t="s">
        <v>984</v>
      </c>
      <c r="C20" s="652"/>
      <c r="D20" s="755">
        <f>HLOOKUP($D$9,LIMPEZA!$B$6:$M$24,10,FALSE)</f>
        <v>6000</v>
      </c>
      <c r="E20" s="653">
        <f t="shared" si="0"/>
        <v>0</v>
      </c>
    </row>
    <row r="21" spans="1:5" ht="13.5" customHeight="1" x14ac:dyDescent="0.2">
      <c r="A21" s="1749"/>
      <c r="B21" s="795" t="s">
        <v>985</v>
      </c>
      <c r="C21" s="652"/>
      <c r="D21" s="755">
        <f>HLOOKUP($D$9,LIMPEZA!$B$6:$M$24,11,FALSE)</f>
        <v>1800</v>
      </c>
      <c r="E21" s="653">
        <f t="shared" si="0"/>
        <v>0</v>
      </c>
    </row>
    <row r="22" spans="1:5" ht="13.5" customHeight="1" x14ac:dyDescent="0.2">
      <c r="A22" s="1749"/>
      <c r="B22" s="795" t="s">
        <v>986</v>
      </c>
      <c r="C22" s="652"/>
      <c r="D22" s="755">
        <f>HLOOKUP($D$9,LIMPEZA!$B$6:$M$24,12,FALSE)</f>
        <v>1800</v>
      </c>
      <c r="E22" s="653">
        <f t="shared" si="0"/>
        <v>0</v>
      </c>
    </row>
    <row r="23" spans="1:5" ht="13.5" customHeight="1" x14ac:dyDescent="0.2">
      <c r="A23" s="1749"/>
      <c r="B23" s="795" t="s">
        <v>987</v>
      </c>
      <c r="C23" s="652"/>
      <c r="D23" s="755">
        <f>HLOOKUP($D$9,LIMPEZA!$B$6:$M$24,13,FALSE)</f>
        <v>1800</v>
      </c>
      <c r="E23" s="653">
        <f t="shared" si="0"/>
        <v>0</v>
      </c>
    </row>
    <row r="24" spans="1:5" ht="28.5" x14ac:dyDescent="0.2">
      <c r="A24" s="1749"/>
      <c r="B24" s="795" t="s">
        <v>988</v>
      </c>
      <c r="C24" s="652"/>
      <c r="D24" s="755">
        <f>HLOOKUP($D$9,LIMPEZA!$B$6:$M$24,14,FALSE)</f>
        <v>100000</v>
      </c>
      <c r="E24" s="653">
        <f t="shared" si="0"/>
        <v>0</v>
      </c>
    </row>
    <row r="25" spans="1:5" ht="13.5" customHeight="1" x14ac:dyDescent="0.2">
      <c r="A25" s="1750" t="s">
        <v>989</v>
      </c>
      <c r="B25" s="795" t="s">
        <v>991</v>
      </c>
      <c r="C25" s="652"/>
      <c r="D25" s="755">
        <f>HLOOKUP($D$9,LIMPEZA!$B$6:$M$24,15,FALSE)</f>
        <v>130</v>
      </c>
      <c r="E25" s="653">
        <f>(C25/D25)*(1/188.76)</f>
        <v>0</v>
      </c>
    </row>
    <row r="26" spans="1:5" ht="13.5" customHeight="1" x14ac:dyDescent="0.2">
      <c r="A26" s="1750"/>
      <c r="B26" s="795" t="s">
        <v>992</v>
      </c>
      <c r="C26" s="652"/>
      <c r="D26" s="755">
        <f>HLOOKUP($D$9,LIMPEZA!$B$6:$M$24,16,FALSE)</f>
        <v>300</v>
      </c>
      <c r="E26" s="653">
        <f t="shared" ref="E26:E27" si="2">(C26/D26)*(1/188.76)</f>
        <v>0</v>
      </c>
    </row>
    <row r="27" spans="1:5" ht="13.5" customHeight="1" x14ac:dyDescent="0.2">
      <c r="A27" s="1750"/>
      <c r="B27" s="795" t="s">
        <v>993</v>
      </c>
      <c r="C27" s="652"/>
      <c r="D27" s="755">
        <f>HLOOKUP($D$9,LIMPEZA!$B$6:$M$24,17,FALSE)</f>
        <v>300</v>
      </c>
      <c r="E27" s="653">
        <f t="shared" si="2"/>
        <v>0</v>
      </c>
    </row>
    <row r="28" spans="1:5" ht="28.5" customHeight="1" x14ac:dyDescent="0.2">
      <c r="A28" s="1751" t="s">
        <v>826</v>
      </c>
      <c r="B28" s="1752"/>
      <c r="C28" s="652"/>
      <c r="D28" s="755">
        <f>HLOOKUP($D$9,LIMPEZA!$B$6:$M$24,18,FALSE)</f>
        <v>130</v>
      </c>
      <c r="E28" s="653">
        <f>(C28/D28)*(1/1132.6)*6</f>
        <v>0</v>
      </c>
    </row>
    <row r="29" spans="1:5" ht="28.5" customHeight="1" x14ac:dyDescent="0.2">
      <c r="A29" s="1751" t="s">
        <v>990</v>
      </c>
      <c r="B29" s="1752"/>
      <c r="C29" s="652"/>
      <c r="D29" s="755">
        <f>HLOOKUP($D$9,LIMPEZA!$B$6:$M$24,19,FALSE)</f>
        <v>360</v>
      </c>
      <c r="E29" s="653">
        <f>C29/D29</f>
        <v>0</v>
      </c>
    </row>
    <row r="30" spans="1:5" x14ac:dyDescent="0.2">
      <c r="A30" s="1746" t="s">
        <v>827</v>
      </c>
      <c r="B30" s="1747"/>
      <c r="C30" s="1747"/>
      <c r="D30" s="1747"/>
      <c r="E30" s="791">
        <f>SUM(E11:E29)</f>
        <v>0</v>
      </c>
    </row>
    <row r="31" spans="1:5" x14ac:dyDescent="0.2">
      <c r="A31" s="1746" t="s">
        <v>828</v>
      </c>
      <c r="B31" s="1747"/>
      <c r="C31" s="1747"/>
      <c r="D31" s="1747"/>
      <c r="E31" s="791">
        <f>E30/30</f>
        <v>0</v>
      </c>
    </row>
    <row r="32" spans="1:5" ht="13.5" customHeight="1" x14ac:dyDescent="0.2">
      <c r="A32" s="1743" t="s">
        <v>937</v>
      </c>
      <c r="B32" s="1743"/>
      <c r="C32" s="1743"/>
      <c r="D32" s="1743"/>
      <c r="E32" s="1743"/>
    </row>
    <row r="33" spans="1:8" ht="15" customHeight="1" x14ac:dyDescent="0.2">
      <c r="A33" s="1744"/>
      <c r="B33" s="1744"/>
      <c r="C33" s="1744"/>
      <c r="D33" s="1744"/>
      <c r="E33" s="1744"/>
    </row>
    <row r="34" spans="1:8" x14ac:dyDescent="0.2">
      <c r="A34" s="654"/>
    </row>
    <row r="35" spans="1:8" s="650" customFormat="1" x14ac:dyDescent="0.2">
      <c r="A35" s="649" t="s">
        <v>829</v>
      </c>
      <c r="C35" s="872"/>
      <c r="F35" s="649"/>
      <c r="G35" s="649"/>
      <c r="H35" s="649"/>
    </row>
    <row r="36" spans="1:8" s="650" customFormat="1" x14ac:dyDescent="0.2">
      <c r="C36" s="871"/>
      <c r="F36" s="649"/>
      <c r="G36" s="649"/>
      <c r="H36" s="649"/>
    </row>
    <row r="37" spans="1:8" s="650" customFormat="1" ht="17.25" x14ac:dyDescent="0.2">
      <c r="A37" s="659" t="s">
        <v>953</v>
      </c>
      <c r="B37" s="656"/>
      <c r="C37" s="656"/>
      <c r="D37" s="656"/>
      <c r="E37" s="658"/>
      <c r="F37" s="649"/>
      <c r="G37" s="649"/>
      <c r="H37" s="649"/>
    </row>
    <row r="38" spans="1:8" s="650" customFormat="1" ht="5.25" customHeight="1" x14ac:dyDescent="0.2">
      <c r="A38" s="659"/>
      <c r="B38" s="658"/>
      <c r="C38" s="658"/>
      <c r="D38" s="658"/>
      <c r="E38" s="658"/>
      <c r="F38" s="649"/>
      <c r="G38" s="649"/>
      <c r="H38" s="649"/>
    </row>
    <row r="39" spans="1:8" s="650" customFormat="1" ht="17.25" x14ac:dyDescent="0.2">
      <c r="A39" s="659" t="s">
        <v>954</v>
      </c>
      <c r="B39" s="656"/>
      <c r="C39" s="656"/>
      <c r="D39" s="656"/>
      <c r="F39" s="649"/>
      <c r="G39" s="649"/>
      <c r="H39" s="649"/>
    </row>
    <row r="40" spans="1:8" s="650" customFormat="1" ht="6.75" customHeight="1" x14ac:dyDescent="0.2">
      <c r="A40" s="659"/>
      <c r="B40" s="658"/>
      <c r="C40" s="658"/>
      <c r="D40" s="658"/>
      <c r="F40" s="649"/>
      <c r="G40" s="649"/>
      <c r="H40" s="649"/>
    </row>
    <row r="41" spans="1:8" s="650" customFormat="1" ht="17.25" customHeight="1" x14ac:dyDescent="0.2">
      <c r="A41" s="659" t="s">
        <v>955</v>
      </c>
      <c r="B41" s="793"/>
      <c r="C41" s="787"/>
      <c r="D41" s="658"/>
      <c r="F41" s="649"/>
      <c r="G41" s="649"/>
      <c r="H41" s="649"/>
    </row>
    <row r="42" spans="1:8" s="650" customFormat="1" ht="6" customHeight="1" x14ac:dyDescent="0.2">
      <c r="F42" s="649"/>
      <c r="G42" s="649"/>
      <c r="H42" s="649"/>
    </row>
    <row r="43" spans="1:8" ht="17.25" x14ac:dyDescent="0.2">
      <c r="A43" s="659" t="s">
        <v>956</v>
      </c>
      <c r="B43" s="786"/>
      <c r="C43" s="787"/>
      <c r="D43" s="658"/>
    </row>
    <row r="44" spans="1:8" ht="6.75" customHeight="1" x14ac:dyDescent="0.2"/>
    <row r="45" spans="1:8" ht="17.25" x14ac:dyDescent="0.2">
      <c r="A45" s="659" t="s">
        <v>957</v>
      </c>
      <c r="B45" s="649"/>
      <c r="C45" s="649"/>
      <c r="D45" s="649"/>
      <c r="E45" s="649"/>
    </row>
    <row r="46" spans="1:8" x14ac:dyDescent="0.2">
      <c r="A46" s="655"/>
      <c r="B46" s="649"/>
      <c r="C46" s="649"/>
      <c r="D46" s="649"/>
      <c r="E46" s="649"/>
    </row>
    <row r="47" spans="1:8" ht="30" customHeight="1" x14ac:dyDescent="0.2">
      <c r="A47" s="1745" t="s">
        <v>830</v>
      </c>
      <c r="B47" s="1745"/>
      <c r="C47" s="1745"/>
      <c r="D47" s="1745"/>
      <c r="E47" s="1745"/>
    </row>
    <row r="48" spans="1:8" ht="29.25" customHeight="1" x14ac:dyDescent="0.2">
      <c r="A48" s="1745" t="s">
        <v>831</v>
      </c>
      <c r="B48" s="1745"/>
      <c r="C48" s="1745"/>
      <c r="D48" s="1745"/>
      <c r="E48" s="1745"/>
    </row>
    <row r="49" spans="1:5" x14ac:dyDescent="0.2">
      <c r="B49" s="657"/>
      <c r="C49" s="657"/>
      <c r="D49" s="657"/>
      <c r="E49" s="657"/>
    </row>
    <row r="50" spans="1:5" x14ac:dyDescent="0.2">
      <c r="A50" s="660" t="s">
        <v>832</v>
      </c>
    </row>
    <row r="51" spans="1:5" ht="17.25" x14ac:dyDescent="0.2">
      <c r="A51" s="659" t="s">
        <v>833</v>
      </c>
    </row>
    <row r="52" spans="1:5" ht="17.25" x14ac:dyDescent="0.2">
      <c r="A52" s="659" t="s">
        <v>834</v>
      </c>
    </row>
    <row r="53" spans="1:5" ht="17.25" x14ac:dyDescent="0.2">
      <c r="A53" s="659" t="s">
        <v>835</v>
      </c>
    </row>
    <row r="54" spans="1:5" ht="17.25" x14ac:dyDescent="0.2">
      <c r="A54" s="659" t="s">
        <v>836</v>
      </c>
    </row>
    <row r="55" spans="1:5" ht="17.25" x14ac:dyDescent="0.2">
      <c r="A55" s="659" t="s">
        <v>837</v>
      </c>
    </row>
    <row r="57" spans="1:5" x14ac:dyDescent="0.2">
      <c r="A57" s="649"/>
    </row>
  </sheetData>
  <mergeCells count="16">
    <mergeCell ref="A10:B10"/>
    <mergeCell ref="A32:E33"/>
    <mergeCell ref="A48:E48"/>
    <mergeCell ref="A47:E47"/>
    <mergeCell ref="A30:D30"/>
    <mergeCell ref="A31:D31"/>
    <mergeCell ref="A11:A18"/>
    <mergeCell ref="A19:A24"/>
    <mergeCell ref="A25:A27"/>
    <mergeCell ref="A29:B29"/>
    <mergeCell ref="A28:B28"/>
    <mergeCell ref="A2:E2"/>
    <mergeCell ref="A3:E3"/>
    <mergeCell ref="A8:E8"/>
    <mergeCell ref="A4:E4"/>
    <mergeCell ref="A5:E5"/>
  </mergeCells>
  <printOptions horizontalCentered="1"/>
  <pageMargins left="0.51181102362204722" right="0.51181102362204722" top="1.23" bottom="0.23622047244094491" header="0.19685039370078741" footer="0.15748031496062992"/>
  <pageSetup paperSize="9" scale="82" fitToHeight="0" orientation="portrait" r:id="rId1"/>
  <headerFooter>
    <oddHeader xml:space="preserve">&amp;L&amp;"Cambria,Negrito"&amp;8PROPOSTA Nº </oddHeader>
  </headerFooter>
  <ignoredErrors>
    <ignoredError sqref="D18:D29 D11:D16"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LIMPEZA!$D$6:$M$6</xm:f>
          </x14:formula1>
          <xm:sqref>D9</xm:sqref>
        </x14:dataValidation>
      </x14:dataValidations>
    </ext>
  </extLst>
</worksheet>
</file>

<file path=xl/worksheets/sheet2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7">
    <tabColor rgb="FF00B050"/>
  </sheetPr>
  <dimension ref="A2:H148"/>
  <sheetViews>
    <sheetView view="pageBreakPreview" zoomScale="110" zoomScaleNormal="130" zoomScaleSheetLayoutView="110" workbookViewId="0">
      <selection activeCell="K103" sqref="K103"/>
    </sheetView>
  </sheetViews>
  <sheetFormatPr defaultColWidth="11.5703125" defaultRowHeight="14.25" x14ac:dyDescent="0.2"/>
  <cols>
    <col min="1" max="1" width="21.85546875" style="661" customWidth="1"/>
    <col min="2" max="2" width="19.42578125" style="673" customWidth="1"/>
    <col min="3" max="3" width="16.85546875" style="674" customWidth="1"/>
    <col min="4" max="4" width="16.5703125" style="674" customWidth="1"/>
    <col min="5" max="5" width="18.28515625" style="674" customWidth="1"/>
    <col min="6" max="6" width="15.42578125" style="661" customWidth="1"/>
    <col min="7" max="7" width="14.42578125" style="661" customWidth="1"/>
    <col min="8" max="256" width="11.5703125" style="729"/>
    <col min="257" max="257" width="21.85546875" style="729" customWidth="1"/>
    <col min="258" max="258" width="19.42578125" style="729" customWidth="1"/>
    <col min="259" max="259" width="16.85546875" style="729" customWidth="1"/>
    <col min="260" max="260" width="16.5703125" style="729" customWidth="1"/>
    <col min="261" max="261" width="18.28515625" style="729" customWidth="1"/>
    <col min="262" max="262" width="15.42578125" style="729" customWidth="1"/>
    <col min="263" max="263" width="14.42578125" style="729" customWidth="1"/>
    <col min="264" max="512" width="11.5703125" style="729"/>
    <col min="513" max="513" width="21.85546875" style="729" customWidth="1"/>
    <col min="514" max="514" width="19.42578125" style="729" customWidth="1"/>
    <col min="515" max="515" width="16.85546875" style="729" customWidth="1"/>
    <col min="516" max="516" width="16.5703125" style="729" customWidth="1"/>
    <col min="517" max="517" width="18.28515625" style="729" customWidth="1"/>
    <col min="518" max="518" width="15.42578125" style="729" customWidth="1"/>
    <col min="519" max="519" width="14.42578125" style="729" customWidth="1"/>
    <col min="520" max="768" width="11.5703125" style="729"/>
    <col min="769" max="769" width="21.85546875" style="729" customWidth="1"/>
    <col min="770" max="770" width="19.42578125" style="729" customWidth="1"/>
    <col min="771" max="771" width="16.85546875" style="729" customWidth="1"/>
    <col min="772" max="772" width="16.5703125" style="729" customWidth="1"/>
    <col min="773" max="773" width="18.28515625" style="729" customWidth="1"/>
    <col min="774" max="774" width="15.42578125" style="729" customWidth="1"/>
    <col min="775" max="775" width="14.42578125" style="729" customWidth="1"/>
    <col min="776" max="1024" width="11.5703125" style="729"/>
    <col min="1025" max="1025" width="21.85546875" style="729" customWidth="1"/>
    <col min="1026" max="1026" width="19.42578125" style="729" customWidth="1"/>
    <col min="1027" max="1027" width="16.85546875" style="729" customWidth="1"/>
    <col min="1028" max="1028" width="16.5703125" style="729" customWidth="1"/>
    <col min="1029" max="1029" width="18.28515625" style="729" customWidth="1"/>
    <col min="1030" max="1030" width="15.42578125" style="729" customWidth="1"/>
    <col min="1031" max="1031" width="14.42578125" style="729" customWidth="1"/>
    <col min="1032" max="1280" width="11.5703125" style="729"/>
    <col min="1281" max="1281" width="21.85546875" style="729" customWidth="1"/>
    <col min="1282" max="1282" width="19.42578125" style="729" customWidth="1"/>
    <col min="1283" max="1283" width="16.85546875" style="729" customWidth="1"/>
    <col min="1284" max="1284" width="16.5703125" style="729" customWidth="1"/>
    <col min="1285" max="1285" width="18.28515625" style="729" customWidth="1"/>
    <col min="1286" max="1286" width="15.42578125" style="729" customWidth="1"/>
    <col min="1287" max="1287" width="14.42578125" style="729" customWidth="1"/>
    <col min="1288" max="1536" width="11.5703125" style="729"/>
    <col min="1537" max="1537" width="21.85546875" style="729" customWidth="1"/>
    <col min="1538" max="1538" width="19.42578125" style="729" customWidth="1"/>
    <col min="1539" max="1539" width="16.85546875" style="729" customWidth="1"/>
    <col min="1540" max="1540" width="16.5703125" style="729" customWidth="1"/>
    <col min="1541" max="1541" width="18.28515625" style="729" customWidth="1"/>
    <col min="1542" max="1542" width="15.42578125" style="729" customWidth="1"/>
    <col min="1543" max="1543" width="14.42578125" style="729" customWidth="1"/>
    <col min="1544" max="1792" width="11.5703125" style="729"/>
    <col min="1793" max="1793" width="21.85546875" style="729" customWidth="1"/>
    <col min="1794" max="1794" width="19.42578125" style="729" customWidth="1"/>
    <col min="1795" max="1795" width="16.85546875" style="729" customWidth="1"/>
    <col min="1796" max="1796" width="16.5703125" style="729" customWidth="1"/>
    <col min="1797" max="1797" width="18.28515625" style="729" customWidth="1"/>
    <col min="1798" max="1798" width="15.42578125" style="729" customWidth="1"/>
    <col min="1799" max="1799" width="14.42578125" style="729" customWidth="1"/>
    <col min="1800" max="2048" width="11.5703125" style="729"/>
    <col min="2049" max="2049" width="21.85546875" style="729" customWidth="1"/>
    <col min="2050" max="2050" width="19.42578125" style="729" customWidth="1"/>
    <col min="2051" max="2051" width="16.85546875" style="729" customWidth="1"/>
    <col min="2052" max="2052" width="16.5703125" style="729" customWidth="1"/>
    <col min="2053" max="2053" width="18.28515625" style="729" customWidth="1"/>
    <col min="2054" max="2054" width="15.42578125" style="729" customWidth="1"/>
    <col min="2055" max="2055" width="14.42578125" style="729" customWidth="1"/>
    <col min="2056" max="2304" width="11.5703125" style="729"/>
    <col min="2305" max="2305" width="21.85546875" style="729" customWidth="1"/>
    <col min="2306" max="2306" width="19.42578125" style="729" customWidth="1"/>
    <col min="2307" max="2307" width="16.85546875" style="729" customWidth="1"/>
    <col min="2308" max="2308" width="16.5703125" style="729" customWidth="1"/>
    <col min="2309" max="2309" width="18.28515625" style="729" customWidth="1"/>
    <col min="2310" max="2310" width="15.42578125" style="729" customWidth="1"/>
    <col min="2311" max="2311" width="14.42578125" style="729" customWidth="1"/>
    <col min="2312" max="2560" width="11.5703125" style="729"/>
    <col min="2561" max="2561" width="21.85546875" style="729" customWidth="1"/>
    <col min="2562" max="2562" width="19.42578125" style="729" customWidth="1"/>
    <col min="2563" max="2563" width="16.85546875" style="729" customWidth="1"/>
    <col min="2564" max="2564" width="16.5703125" style="729" customWidth="1"/>
    <col min="2565" max="2565" width="18.28515625" style="729" customWidth="1"/>
    <col min="2566" max="2566" width="15.42578125" style="729" customWidth="1"/>
    <col min="2567" max="2567" width="14.42578125" style="729" customWidth="1"/>
    <col min="2568" max="2816" width="11.5703125" style="729"/>
    <col min="2817" max="2817" width="21.85546875" style="729" customWidth="1"/>
    <col min="2818" max="2818" width="19.42578125" style="729" customWidth="1"/>
    <col min="2819" max="2819" width="16.85546875" style="729" customWidth="1"/>
    <col min="2820" max="2820" width="16.5703125" style="729" customWidth="1"/>
    <col min="2821" max="2821" width="18.28515625" style="729" customWidth="1"/>
    <col min="2822" max="2822" width="15.42578125" style="729" customWidth="1"/>
    <col min="2823" max="2823" width="14.42578125" style="729" customWidth="1"/>
    <col min="2824" max="3072" width="11.5703125" style="729"/>
    <col min="3073" max="3073" width="21.85546875" style="729" customWidth="1"/>
    <col min="3074" max="3074" width="19.42578125" style="729" customWidth="1"/>
    <col min="3075" max="3075" width="16.85546875" style="729" customWidth="1"/>
    <col min="3076" max="3076" width="16.5703125" style="729" customWidth="1"/>
    <col min="3077" max="3077" width="18.28515625" style="729" customWidth="1"/>
    <col min="3078" max="3078" width="15.42578125" style="729" customWidth="1"/>
    <col min="3079" max="3079" width="14.42578125" style="729" customWidth="1"/>
    <col min="3080" max="3328" width="11.5703125" style="729"/>
    <col min="3329" max="3329" width="21.85546875" style="729" customWidth="1"/>
    <col min="3330" max="3330" width="19.42578125" style="729" customWidth="1"/>
    <col min="3331" max="3331" width="16.85546875" style="729" customWidth="1"/>
    <col min="3332" max="3332" width="16.5703125" style="729" customWidth="1"/>
    <col min="3333" max="3333" width="18.28515625" style="729" customWidth="1"/>
    <col min="3334" max="3334" width="15.42578125" style="729" customWidth="1"/>
    <col min="3335" max="3335" width="14.42578125" style="729" customWidth="1"/>
    <col min="3336" max="3584" width="11.5703125" style="729"/>
    <col min="3585" max="3585" width="21.85546875" style="729" customWidth="1"/>
    <col min="3586" max="3586" width="19.42578125" style="729" customWidth="1"/>
    <col min="3587" max="3587" width="16.85546875" style="729" customWidth="1"/>
    <col min="3588" max="3588" width="16.5703125" style="729" customWidth="1"/>
    <col min="3589" max="3589" width="18.28515625" style="729" customWidth="1"/>
    <col min="3590" max="3590" width="15.42578125" style="729" customWidth="1"/>
    <col min="3591" max="3591" width="14.42578125" style="729" customWidth="1"/>
    <col min="3592" max="3840" width="11.5703125" style="729"/>
    <col min="3841" max="3841" width="21.85546875" style="729" customWidth="1"/>
    <col min="3842" max="3842" width="19.42578125" style="729" customWidth="1"/>
    <col min="3843" max="3843" width="16.85546875" style="729" customWidth="1"/>
    <col min="3844" max="3844" width="16.5703125" style="729" customWidth="1"/>
    <col min="3845" max="3845" width="18.28515625" style="729" customWidth="1"/>
    <col min="3846" max="3846" width="15.42578125" style="729" customWidth="1"/>
    <col min="3847" max="3847" width="14.42578125" style="729" customWidth="1"/>
    <col min="3848" max="4096" width="11.5703125" style="729"/>
    <col min="4097" max="4097" width="21.85546875" style="729" customWidth="1"/>
    <col min="4098" max="4098" width="19.42578125" style="729" customWidth="1"/>
    <col min="4099" max="4099" width="16.85546875" style="729" customWidth="1"/>
    <col min="4100" max="4100" width="16.5703125" style="729" customWidth="1"/>
    <col min="4101" max="4101" width="18.28515625" style="729" customWidth="1"/>
    <col min="4102" max="4102" width="15.42578125" style="729" customWidth="1"/>
    <col min="4103" max="4103" width="14.42578125" style="729" customWidth="1"/>
    <col min="4104" max="4352" width="11.5703125" style="729"/>
    <col min="4353" max="4353" width="21.85546875" style="729" customWidth="1"/>
    <col min="4354" max="4354" width="19.42578125" style="729" customWidth="1"/>
    <col min="4355" max="4355" width="16.85546875" style="729" customWidth="1"/>
    <col min="4356" max="4356" width="16.5703125" style="729" customWidth="1"/>
    <col min="4357" max="4357" width="18.28515625" style="729" customWidth="1"/>
    <col min="4358" max="4358" width="15.42578125" style="729" customWidth="1"/>
    <col min="4359" max="4359" width="14.42578125" style="729" customWidth="1"/>
    <col min="4360" max="4608" width="11.5703125" style="729"/>
    <col min="4609" max="4609" width="21.85546875" style="729" customWidth="1"/>
    <col min="4610" max="4610" width="19.42578125" style="729" customWidth="1"/>
    <col min="4611" max="4611" width="16.85546875" style="729" customWidth="1"/>
    <col min="4612" max="4612" width="16.5703125" style="729" customWidth="1"/>
    <col min="4613" max="4613" width="18.28515625" style="729" customWidth="1"/>
    <col min="4614" max="4614" width="15.42578125" style="729" customWidth="1"/>
    <col min="4615" max="4615" width="14.42578125" style="729" customWidth="1"/>
    <col min="4616" max="4864" width="11.5703125" style="729"/>
    <col min="4865" max="4865" width="21.85546875" style="729" customWidth="1"/>
    <col min="4866" max="4866" width="19.42578125" style="729" customWidth="1"/>
    <col min="4867" max="4867" width="16.85546875" style="729" customWidth="1"/>
    <col min="4868" max="4868" width="16.5703125" style="729" customWidth="1"/>
    <col min="4869" max="4869" width="18.28515625" style="729" customWidth="1"/>
    <col min="4870" max="4870" width="15.42578125" style="729" customWidth="1"/>
    <col min="4871" max="4871" width="14.42578125" style="729" customWidth="1"/>
    <col min="4872" max="5120" width="11.5703125" style="729"/>
    <col min="5121" max="5121" width="21.85546875" style="729" customWidth="1"/>
    <col min="5122" max="5122" width="19.42578125" style="729" customWidth="1"/>
    <col min="5123" max="5123" width="16.85546875" style="729" customWidth="1"/>
    <col min="5124" max="5124" width="16.5703125" style="729" customWidth="1"/>
    <col min="5125" max="5125" width="18.28515625" style="729" customWidth="1"/>
    <col min="5126" max="5126" width="15.42578125" style="729" customWidth="1"/>
    <col min="5127" max="5127" width="14.42578125" style="729" customWidth="1"/>
    <col min="5128" max="5376" width="11.5703125" style="729"/>
    <col min="5377" max="5377" width="21.85546875" style="729" customWidth="1"/>
    <col min="5378" max="5378" width="19.42578125" style="729" customWidth="1"/>
    <col min="5379" max="5379" width="16.85546875" style="729" customWidth="1"/>
    <col min="5380" max="5380" width="16.5703125" style="729" customWidth="1"/>
    <col min="5381" max="5381" width="18.28515625" style="729" customWidth="1"/>
    <col min="5382" max="5382" width="15.42578125" style="729" customWidth="1"/>
    <col min="5383" max="5383" width="14.42578125" style="729" customWidth="1"/>
    <col min="5384" max="5632" width="11.5703125" style="729"/>
    <col min="5633" max="5633" width="21.85546875" style="729" customWidth="1"/>
    <col min="5634" max="5634" width="19.42578125" style="729" customWidth="1"/>
    <col min="5635" max="5635" width="16.85546875" style="729" customWidth="1"/>
    <col min="5636" max="5636" width="16.5703125" style="729" customWidth="1"/>
    <col min="5637" max="5637" width="18.28515625" style="729" customWidth="1"/>
    <col min="5638" max="5638" width="15.42578125" style="729" customWidth="1"/>
    <col min="5639" max="5639" width="14.42578125" style="729" customWidth="1"/>
    <col min="5640" max="5888" width="11.5703125" style="729"/>
    <col min="5889" max="5889" width="21.85546875" style="729" customWidth="1"/>
    <col min="5890" max="5890" width="19.42578125" style="729" customWidth="1"/>
    <col min="5891" max="5891" width="16.85546875" style="729" customWidth="1"/>
    <col min="5892" max="5892" width="16.5703125" style="729" customWidth="1"/>
    <col min="5893" max="5893" width="18.28515625" style="729" customWidth="1"/>
    <col min="5894" max="5894" width="15.42578125" style="729" customWidth="1"/>
    <col min="5895" max="5895" width="14.42578125" style="729" customWidth="1"/>
    <col min="5896" max="6144" width="11.5703125" style="729"/>
    <col min="6145" max="6145" width="21.85546875" style="729" customWidth="1"/>
    <col min="6146" max="6146" width="19.42578125" style="729" customWidth="1"/>
    <col min="6147" max="6147" width="16.85546875" style="729" customWidth="1"/>
    <col min="6148" max="6148" width="16.5703125" style="729" customWidth="1"/>
    <col min="6149" max="6149" width="18.28515625" style="729" customWidth="1"/>
    <col min="6150" max="6150" width="15.42578125" style="729" customWidth="1"/>
    <col min="6151" max="6151" width="14.42578125" style="729" customWidth="1"/>
    <col min="6152" max="6400" width="11.5703125" style="729"/>
    <col min="6401" max="6401" width="21.85546875" style="729" customWidth="1"/>
    <col min="6402" max="6402" width="19.42578125" style="729" customWidth="1"/>
    <col min="6403" max="6403" width="16.85546875" style="729" customWidth="1"/>
    <col min="6404" max="6404" width="16.5703125" style="729" customWidth="1"/>
    <col min="6405" max="6405" width="18.28515625" style="729" customWidth="1"/>
    <col min="6406" max="6406" width="15.42578125" style="729" customWidth="1"/>
    <col min="6407" max="6407" width="14.42578125" style="729" customWidth="1"/>
    <col min="6408" max="6656" width="11.5703125" style="729"/>
    <col min="6657" max="6657" width="21.85546875" style="729" customWidth="1"/>
    <col min="6658" max="6658" width="19.42578125" style="729" customWidth="1"/>
    <col min="6659" max="6659" width="16.85546875" style="729" customWidth="1"/>
    <col min="6660" max="6660" width="16.5703125" style="729" customWidth="1"/>
    <col min="6661" max="6661" width="18.28515625" style="729" customWidth="1"/>
    <col min="6662" max="6662" width="15.42578125" style="729" customWidth="1"/>
    <col min="6663" max="6663" width="14.42578125" style="729" customWidth="1"/>
    <col min="6664" max="6912" width="11.5703125" style="729"/>
    <col min="6913" max="6913" width="21.85546875" style="729" customWidth="1"/>
    <col min="6914" max="6914" width="19.42578125" style="729" customWidth="1"/>
    <col min="6915" max="6915" width="16.85546875" style="729" customWidth="1"/>
    <col min="6916" max="6916" width="16.5703125" style="729" customWidth="1"/>
    <col min="6917" max="6917" width="18.28515625" style="729" customWidth="1"/>
    <col min="6918" max="6918" width="15.42578125" style="729" customWidth="1"/>
    <col min="6919" max="6919" width="14.42578125" style="729" customWidth="1"/>
    <col min="6920" max="7168" width="11.5703125" style="729"/>
    <col min="7169" max="7169" width="21.85546875" style="729" customWidth="1"/>
    <col min="7170" max="7170" width="19.42578125" style="729" customWidth="1"/>
    <col min="7171" max="7171" width="16.85546875" style="729" customWidth="1"/>
    <col min="7172" max="7172" width="16.5703125" style="729" customWidth="1"/>
    <col min="7173" max="7173" width="18.28515625" style="729" customWidth="1"/>
    <col min="7174" max="7174" width="15.42578125" style="729" customWidth="1"/>
    <col min="7175" max="7175" width="14.42578125" style="729" customWidth="1"/>
    <col min="7176" max="7424" width="11.5703125" style="729"/>
    <col min="7425" max="7425" width="21.85546875" style="729" customWidth="1"/>
    <col min="7426" max="7426" width="19.42578125" style="729" customWidth="1"/>
    <col min="7427" max="7427" width="16.85546875" style="729" customWidth="1"/>
    <col min="7428" max="7428" width="16.5703125" style="729" customWidth="1"/>
    <col min="7429" max="7429" width="18.28515625" style="729" customWidth="1"/>
    <col min="7430" max="7430" width="15.42578125" style="729" customWidth="1"/>
    <col min="7431" max="7431" width="14.42578125" style="729" customWidth="1"/>
    <col min="7432" max="7680" width="11.5703125" style="729"/>
    <col min="7681" max="7681" width="21.85546875" style="729" customWidth="1"/>
    <col min="7682" max="7682" width="19.42578125" style="729" customWidth="1"/>
    <col min="7683" max="7683" width="16.85546875" style="729" customWidth="1"/>
    <col min="7684" max="7684" width="16.5703125" style="729" customWidth="1"/>
    <col min="7685" max="7685" width="18.28515625" style="729" customWidth="1"/>
    <col min="7686" max="7686" width="15.42578125" style="729" customWidth="1"/>
    <col min="7687" max="7687" width="14.42578125" style="729" customWidth="1"/>
    <col min="7688" max="7936" width="11.5703125" style="729"/>
    <col min="7937" max="7937" width="21.85546875" style="729" customWidth="1"/>
    <col min="7938" max="7938" width="19.42578125" style="729" customWidth="1"/>
    <col min="7939" max="7939" width="16.85546875" style="729" customWidth="1"/>
    <col min="7940" max="7940" width="16.5703125" style="729" customWidth="1"/>
    <col min="7941" max="7941" width="18.28515625" style="729" customWidth="1"/>
    <col min="7942" max="7942" width="15.42578125" style="729" customWidth="1"/>
    <col min="7943" max="7943" width="14.42578125" style="729" customWidth="1"/>
    <col min="7944" max="8192" width="11.5703125" style="729"/>
    <col min="8193" max="8193" width="21.85546875" style="729" customWidth="1"/>
    <col min="8194" max="8194" width="19.42578125" style="729" customWidth="1"/>
    <col min="8195" max="8195" width="16.85546875" style="729" customWidth="1"/>
    <col min="8196" max="8196" width="16.5703125" style="729" customWidth="1"/>
    <col min="8197" max="8197" width="18.28515625" style="729" customWidth="1"/>
    <col min="8198" max="8198" width="15.42578125" style="729" customWidth="1"/>
    <col min="8199" max="8199" width="14.42578125" style="729" customWidth="1"/>
    <col min="8200" max="8448" width="11.5703125" style="729"/>
    <col min="8449" max="8449" width="21.85546875" style="729" customWidth="1"/>
    <col min="8450" max="8450" width="19.42578125" style="729" customWidth="1"/>
    <col min="8451" max="8451" width="16.85546875" style="729" customWidth="1"/>
    <col min="8452" max="8452" width="16.5703125" style="729" customWidth="1"/>
    <col min="8453" max="8453" width="18.28515625" style="729" customWidth="1"/>
    <col min="8454" max="8454" width="15.42578125" style="729" customWidth="1"/>
    <col min="8455" max="8455" width="14.42578125" style="729" customWidth="1"/>
    <col min="8456" max="8704" width="11.5703125" style="729"/>
    <col min="8705" max="8705" width="21.85546875" style="729" customWidth="1"/>
    <col min="8706" max="8706" width="19.42578125" style="729" customWidth="1"/>
    <col min="8707" max="8707" width="16.85546875" style="729" customWidth="1"/>
    <col min="8708" max="8708" width="16.5703125" style="729" customWidth="1"/>
    <col min="8709" max="8709" width="18.28515625" style="729" customWidth="1"/>
    <col min="8710" max="8710" width="15.42578125" style="729" customWidth="1"/>
    <col min="8711" max="8711" width="14.42578125" style="729" customWidth="1"/>
    <col min="8712" max="8960" width="11.5703125" style="729"/>
    <col min="8961" max="8961" width="21.85546875" style="729" customWidth="1"/>
    <col min="8962" max="8962" width="19.42578125" style="729" customWidth="1"/>
    <col min="8963" max="8963" width="16.85546875" style="729" customWidth="1"/>
    <col min="8964" max="8964" width="16.5703125" style="729" customWidth="1"/>
    <col min="8965" max="8965" width="18.28515625" style="729" customWidth="1"/>
    <col min="8966" max="8966" width="15.42578125" style="729" customWidth="1"/>
    <col min="8967" max="8967" width="14.42578125" style="729" customWidth="1"/>
    <col min="8968" max="9216" width="11.5703125" style="729"/>
    <col min="9217" max="9217" width="21.85546875" style="729" customWidth="1"/>
    <col min="9218" max="9218" width="19.42578125" style="729" customWidth="1"/>
    <col min="9219" max="9219" width="16.85546875" style="729" customWidth="1"/>
    <col min="9220" max="9220" width="16.5703125" style="729" customWidth="1"/>
    <col min="9221" max="9221" width="18.28515625" style="729" customWidth="1"/>
    <col min="9222" max="9222" width="15.42578125" style="729" customWidth="1"/>
    <col min="9223" max="9223" width="14.42578125" style="729" customWidth="1"/>
    <col min="9224" max="9472" width="11.5703125" style="729"/>
    <col min="9473" max="9473" width="21.85546875" style="729" customWidth="1"/>
    <col min="9474" max="9474" width="19.42578125" style="729" customWidth="1"/>
    <col min="9475" max="9475" width="16.85546875" style="729" customWidth="1"/>
    <col min="9476" max="9476" width="16.5703125" style="729" customWidth="1"/>
    <col min="9477" max="9477" width="18.28515625" style="729" customWidth="1"/>
    <col min="9478" max="9478" width="15.42578125" style="729" customWidth="1"/>
    <col min="9479" max="9479" width="14.42578125" style="729" customWidth="1"/>
    <col min="9480" max="9728" width="11.5703125" style="729"/>
    <col min="9729" max="9729" width="21.85546875" style="729" customWidth="1"/>
    <col min="9730" max="9730" width="19.42578125" style="729" customWidth="1"/>
    <col min="9731" max="9731" width="16.85546875" style="729" customWidth="1"/>
    <col min="9732" max="9732" width="16.5703125" style="729" customWidth="1"/>
    <col min="9733" max="9733" width="18.28515625" style="729" customWidth="1"/>
    <col min="9734" max="9734" width="15.42578125" style="729" customWidth="1"/>
    <col min="9735" max="9735" width="14.42578125" style="729" customWidth="1"/>
    <col min="9736" max="9984" width="11.5703125" style="729"/>
    <col min="9985" max="9985" width="21.85546875" style="729" customWidth="1"/>
    <col min="9986" max="9986" width="19.42578125" style="729" customWidth="1"/>
    <col min="9987" max="9987" width="16.85546875" style="729" customWidth="1"/>
    <col min="9988" max="9988" width="16.5703125" style="729" customWidth="1"/>
    <col min="9989" max="9989" width="18.28515625" style="729" customWidth="1"/>
    <col min="9990" max="9990" width="15.42578125" style="729" customWidth="1"/>
    <col min="9991" max="9991" width="14.42578125" style="729" customWidth="1"/>
    <col min="9992" max="10240" width="11.5703125" style="729"/>
    <col min="10241" max="10241" width="21.85546875" style="729" customWidth="1"/>
    <col min="10242" max="10242" width="19.42578125" style="729" customWidth="1"/>
    <col min="10243" max="10243" width="16.85546875" style="729" customWidth="1"/>
    <col min="10244" max="10244" width="16.5703125" style="729" customWidth="1"/>
    <col min="10245" max="10245" width="18.28515625" style="729" customWidth="1"/>
    <col min="10246" max="10246" width="15.42578125" style="729" customWidth="1"/>
    <col min="10247" max="10247" width="14.42578125" style="729" customWidth="1"/>
    <col min="10248" max="10496" width="11.5703125" style="729"/>
    <col min="10497" max="10497" width="21.85546875" style="729" customWidth="1"/>
    <col min="10498" max="10498" width="19.42578125" style="729" customWidth="1"/>
    <col min="10499" max="10499" width="16.85546875" style="729" customWidth="1"/>
    <col min="10500" max="10500" width="16.5703125" style="729" customWidth="1"/>
    <col min="10501" max="10501" width="18.28515625" style="729" customWidth="1"/>
    <col min="10502" max="10502" width="15.42578125" style="729" customWidth="1"/>
    <col min="10503" max="10503" width="14.42578125" style="729" customWidth="1"/>
    <col min="10504" max="10752" width="11.5703125" style="729"/>
    <col min="10753" max="10753" width="21.85546875" style="729" customWidth="1"/>
    <col min="10754" max="10754" width="19.42578125" style="729" customWidth="1"/>
    <col min="10755" max="10755" width="16.85546875" style="729" customWidth="1"/>
    <col min="10756" max="10756" width="16.5703125" style="729" customWidth="1"/>
    <col min="10757" max="10757" width="18.28515625" style="729" customWidth="1"/>
    <col min="10758" max="10758" width="15.42578125" style="729" customWidth="1"/>
    <col min="10759" max="10759" width="14.42578125" style="729" customWidth="1"/>
    <col min="10760" max="11008" width="11.5703125" style="729"/>
    <col min="11009" max="11009" width="21.85546875" style="729" customWidth="1"/>
    <col min="11010" max="11010" width="19.42578125" style="729" customWidth="1"/>
    <col min="11011" max="11011" width="16.85546875" style="729" customWidth="1"/>
    <col min="11012" max="11012" width="16.5703125" style="729" customWidth="1"/>
    <col min="11013" max="11013" width="18.28515625" style="729" customWidth="1"/>
    <col min="11014" max="11014" width="15.42578125" style="729" customWidth="1"/>
    <col min="11015" max="11015" width="14.42578125" style="729" customWidth="1"/>
    <col min="11016" max="11264" width="11.5703125" style="729"/>
    <col min="11265" max="11265" width="21.85546875" style="729" customWidth="1"/>
    <col min="11266" max="11266" width="19.42578125" style="729" customWidth="1"/>
    <col min="11267" max="11267" width="16.85546875" style="729" customWidth="1"/>
    <col min="11268" max="11268" width="16.5703125" style="729" customWidth="1"/>
    <col min="11269" max="11269" width="18.28515625" style="729" customWidth="1"/>
    <col min="11270" max="11270" width="15.42578125" style="729" customWidth="1"/>
    <col min="11271" max="11271" width="14.42578125" style="729" customWidth="1"/>
    <col min="11272" max="11520" width="11.5703125" style="729"/>
    <col min="11521" max="11521" width="21.85546875" style="729" customWidth="1"/>
    <col min="11522" max="11522" width="19.42578125" style="729" customWidth="1"/>
    <col min="11523" max="11523" width="16.85546875" style="729" customWidth="1"/>
    <col min="11524" max="11524" width="16.5703125" style="729" customWidth="1"/>
    <col min="11525" max="11525" width="18.28515625" style="729" customWidth="1"/>
    <col min="11526" max="11526" width="15.42578125" style="729" customWidth="1"/>
    <col min="11527" max="11527" width="14.42578125" style="729" customWidth="1"/>
    <col min="11528" max="11776" width="11.5703125" style="729"/>
    <col min="11777" max="11777" width="21.85546875" style="729" customWidth="1"/>
    <col min="11778" max="11778" width="19.42578125" style="729" customWidth="1"/>
    <col min="11779" max="11779" width="16.85546875" style="729" customWidth="1"/>
    <col min="11780" max="11780" width="16.5703125" style="729" customWidth="1"/>
    <col min="11781" max="11781" width="18.28515625" style="729" customWidth="1"/>
    <col min="11782" max="11782" width="15.42578125" style="729" customWidth="1"/>
    <col min="11783" max="11783" width="14.42578125" style="729" customWidth="1"/>
    <col min="11784" max="12032" width="11.5703125" style="729"/>
    <col min="12033" max="12033" width="21.85546875" style="729" customWidth="1"/>
    <col min="12034" max="12034" width="19.42578125" style="729" customWidth="1"/>
    <col min="12035" max="12035" width="16.85546875" style="729" customWidth="1"/>
    <col min="12036" max="12036" width="16.5703125" style="729" customWidth="1"/>
    <col min="12037" max="12037" width="18.28515625" style="729" customWidth="1"/>
    <col min="12038" max="12038" width="15.42578125" style="729" customWidth="1"/>
    <col min="12039" max="12039" width="14.42578125" style="729" customWidth="1"/>
    <col min="12040" max="12288" width="11.5703125" style="729"/>
    <col min="12289" max="12289" width="21.85546875" style="729" customWidth="1"/>
    <col min="12290" max="12290" width="19.42578125" style="729" customWidth="1"/>
    <col min="12291" max="12291" width="16.85546875" style="729" customWidth="1"/>
    <col min="12292" max="12292" width="16.5703125" style="729" customWidth="1"/>
    <col min="12293" max="12293" width="18.28515625" style="729" customWidth="1"/>
    <col min="12294" max="12294" width="15.42578125" style="729" customWidth="1"/>
    <col min="12295" max="12295" width="14.42578125" style="729" customWidth="1"/>
    <col min="12296" max="12544" width="11.5703125" style="729"/>
    <col min="12545" max="12545" width="21.85546875" style="729" customWidth="1"/>
    <col min="12546" max="12546" width="19.42578125" style="729" customWidth="1"/>
    <col min="12547" max="12547" width="16.85546875" style="729" customWidth="1"/>
    <col min="12548" max="12548" width="16.5703125" style="729" customWidth="1"/>
    <col min="12549" max="12549" width="18.28515625" style="729" customWidth="1"/>
    <col min="12550" max="12550" width="15.42578125" style="729" customWidth="1"/>
    <col min="12551" max="12551" width="14.42578125" style="729" customWidth="1"/>
    <col min="12552" max="12800" width="11.5703125" style="729"/>
    <col min="12801" max="12801" width="21.85546875" style="729" customWidth="1"/>
    <col min="12802" max="12802" width="19.42578125" style="729" customWidth="1"/>
    <col min="12803" max="12803" width="16.85546875" style="729" customWidth="1"/>
    <col min="12804" max="12804" width="16.5703125" style="729" customWidth="1"/>
    <col min="12805" max="12805" width="18.28515625" style="729" customWidth="1"/>
    <col min="12806" max="12806" width="15.42578125" style="729" customWidth="1"/>
    <col min="12807" max="12807" width="14.42578125" style="729" customWidth="1"/>
    <col min="12808" max="13056" width="11.5703125" style="729"/>
    <col min="13057" max="13057" width="21.85546875" style="729" customWidth="1"/>
    <col min="13058" max="13058" width="19.42578125" style="729" customWidth="1"/>
    <col min="13059" max="13059" width="16.85546875" style="729" customWidth="1"/>
    <col min="13060" max="13060" width="16.5703125" style="729" customWidth="1"/>
    <col min="13061" max="13061" width="18.28515625" style="729" customWidth="1"/>
    <col min="13062" max="13062" width="15.42578125" style="729" customWidth="1"/>
    <col min="13063" max="13063" width="14.42578125" style="729" customWidth="1"/>
    <col min="13064" max="13312" width="11.5703125" style="729"/>
    <col min="13313" max="13313" width="21.85546875" style="729" customWidth="1"/>
    <col min="13314" max="13314" width="19.42578125" style="729" customWidth="1"/>
    <col min="13315" max="13315" width="16.85546875" style="729" customWidth="1"/>
    <col min="13316" max="13316" width="16.5703125" style="729" customWidth="1"/>
    <col min="13317" max="13317" width="18.28515625" style="729" customWidth="1"/>
    <col min="13318" max="13318" width="15.42578125" style="729" customWidth="1"/>
    <col min="13319" max="13319" width="14.42578125" style="729" customWidth="1"/>
    <col min="13320" max="13568" width="11.5703125" style="729"/>
    <col min="13569" max="13569" width="21.85546875" style="729" customWidth="1"/>
    <col min="13570" max="13570" width="19.42578125" style="729" customWidth="1"/>
    <col min="13571" max="13571" width="16.85546875" style="729" customWidth="1"/>
    <col min="13572" max="13572" width="16.5703125" style="729" customWidth="1"/>
    <col min="13573" max="13573" width="18.28515625" style="729" customWidth="1"/>
    <col min="13574" max="13574" width="15.42578125" style="729" customWidth="1"/>
    <col min="13575" max="13575" width="14.42578125" style="729" customWidth="1"/>
    <col min="13576" max="13824" width="11.5703125" style="729"/>
    <col min="13825" max="13825" width="21.85546875" style="729" customWidth="1"/>
    <col min="13826" max="13826" width="19.42578125" style="729" customWidth="1"/>
    <col min="13827" max="13827" width="16.85546875" style="729" customWidth="1"/>
    <col min="13828" max="13828" width="16.5703125" style="729" customWidth="1"/>
    <col min="13829" max="13829" width="18.28515625" style="729" customWidth="1"/>
    <col min="13830" max="13830" width="15.42578125" style="729" customWidth="1"/>
    <col min="13831" max="13831" width="14.42578125" style="729" customWidth="1"/>
    <col min="13832" max="14080" width="11.5703125" style="729"/>
    <col min="14081" max="14081" width="21.85546875" style="729" customWidth="1"/>
    <col min="14082" max="14082" width="19.42578125" style="729" customWidth="1"/>
    <col min="14083" max="14083" width="16.85546875" style="729" customWidth="1"/>
    <col min="14084" max="14084" width="16.5703125" style="729" customWidth="1"/>
    <col min="14085" max="14085" width="18.28515625" style="729" customWidth="1"/>
    <col min="14086" max="14086" width="15.42578125" style="729" customWidth="1"/>
    <col min="14087" max="14087" width="14.42578125" style="729" customWidth="1"/>
    <col min="14088" max="14336" width="11.5703125" style="729"/>
    <col min="14337" max="14337" width="21.85546875" style="729" customWidth="1"/>
    <col min="14338" max="14338" width="19.42578125" style="729" customWidth="1"/>
    <col min="14339" max="14339" width="16.85546875" style="729" customWidth="1"/>
    <col min="14340" max="14340" width="16.5703125" style="729" customWidth="1"/>
    <col min="14341" max="14341" width="18.28515625" style="729" customWidth="1"/>
    <col min="14342" max="14342" width="15.42578125" style="729" customWidth="1"/>
    <col min="14343" max="14343" width="14.42578125" style="729" customWidth="1"/>
    <col min="14344" max="14592" width="11.5703125" style="729"/>
    <col min="14593" max="14593" width="21.85546875" style="729" customWidth="1"/>
    <col min="14594" max="14594" width="19.42578125" style="729" customWidth="1"/>
    <col min="14595" max="14595" width="16.85546875" style="729" customWidth="1"/>
    <col min="14596" max="14596" width="16.5703125" style="729" customWidth="1"/>
    <col min="14597" max="14597" width="18.28515625" style="729" customWidth="1"/>
    <col min="14598" max="14598" width="15.42578125" style="729" customWidth="1"/>
    <col min="14599" max="14599" width="14.42578125" style="729" customWidth="1"/>
    <col min="14600" max="14848" width="11.5703125" style="729"/>
    <col min="14849" max="14849" width="21.85546875" style="729" customWidth="1"/>
    <col min="14850" max="14850" width="19.42578125" style="729" customWidth="1"/>
    <col min="14851" max="14851" width="16.85546875" style="729" customWidth="1"/>
    <col min="14852" max="14852" width="16.5703125" style="729" customWidth="1"/>
    <col min="14853" max="14853" width="18.28515625" style="729" customWidth="1"/>
    <col min="14854" max="14854" width="15.42578125" style="729" customWidth="1"/>
    <col min="14855" max="14855" width="14.42578125" style="729" customWidth="1"/>
    <col min="14856" max="15104" width="11.5703125" style="729"/>
    <col min="15105" max="15105" width="21.85546875" style="729" customWidth="1"/>
    <col min="15106" max="15106" width="19.42578125" style="729" customWidth="1"/>
    <col min="15107" max="15107" width="16.85546875" style="729" customWidth="1"/>
    <col min="15108" max="15108" width="16.5703125" style="729" customWidth="1"/>
    <col min="15109" max="15109" width="18.28515625" style="729" customWidth="1"/>
    <col min="15110" max="15110" width="15.42578125" style="729" customWidth="1"/>
    <col min="15111" max="15111" width="14.42578125" style="729" customWidth="1"/>
    <col min="15112" max="15360" width="11.5703125" style="729"/>
    <col min="15361" max="15361" width="21.85546875" style="729" customWidth="1"/>
    <col min="15362" max="15362" width="19.42578125" style="729" customWidth="1"/>
    <col min="15363" max="15363" width="16.85546875" style="729" customWidth="1"/>
    <col min="15364" max="15364" width="16.5703125" style="729" customWidth="1"/>
    <col min="15365" max="15365" width="18.28515625" style="729" customWidth="1"/>
    <col min="15366" max="15366" width="15.42578125" style="729" customWidth="1"/>
    <col min="15367" max="15367" width="14.42578125" style="729" customWidth="1"/>
    <col min="15368" max="15616" width="11.5703125" style="729"/>
    <col min="15617" max="15617" width="21.85546875" style="729" customWidth="1"/>
    <col min="15618" max="15618" width="19.42578125" style="729" customWidth="1"/>
    <col min="15619" max="15619" width="16.85546875" style="729" customWidth="1"/>
    <col min="15620" max="15620" width="16.5703125" style="729" customWidth="1"/>
    <col min="15621" max="15621" width="18.28515625" style="729" customWidth="1"/>
    <col min="15622" max="15622" width="15.42578125" style="729" customWidth="1"/>
    <col min="15623" max="15623" width="14.42578125" style="729" customWidth="1"/>
    <col min="15624" max="15872" width="11.5703125" style="729"/>
    <col min="15873" max="15873" width="21.85546875" style="729" customWidth="1"/>
    <col min="15874" max="15874" width="19.42578125" style="729" customWidth="1"/>
    <col min="15875" max="15875" width="16.85546875" style="729" customWidth="1"/>
    <col min="15876" max="15876" width="16.5703125" style="729" customWidth="1"/>
    <col min="15877" max="15877" width="18.28515625" style="729" customWidth="1"/>
    <col min="15878" max="15878" width="15.42578125" style="729" customWidth="1"/>
    <col min="15879" max="15879" width="14.42578125" style="729" customWidth="1"/>
    <col min="15880" max="16128" width="11.5703125" style="729"/>
    <col min="16129" max="16129" width="21.85546875" style="729" customWidth="1"/>
    <col min="16130" max="16130" width="19.42578125" style="729" customWidth="1"/>
    <col min="16131" max="16131" width="16.85546875" style="729" customWidth="1"/>
    <col min="16132" max="16132" width="16.5703125" style="729" customWidth="1"/>
    <col min="16133" max="16133" width="18.28515625" style="729" customWidth="1"/>
    <col min="16134" max="16134" width="15.42578125" style="729" customWidth="1"/>
    <col min="16135" max="16135" width="14.42578125" style="729" customWidth="1"/>
    <col min="16136" max="16384" width="11.5703125" style="729"/>
  </cols>
  <sheetData>
    <row r="2" spans="1:7" x14ac:dyDescent="0.2">
      <c r="A2" s="1729"/>
      <c r="B2" s="1729"/>
      <c r="C2" s="1729"/>
      <c r="D2" s="1729"/>
      <c r="E2" s="1729"/>
      <c r="F2" s="1729"/>
      <c r="G2" s="1729"/>
    </row>
    <row r="3" spans="1:7" s="730" customFormat="1" ht="16.5" x14ac:dyDescent="0.2">
      <c r="A3" s="1729"/>
      <c r="B3" s="1729"/>
      <c r="C3" s="1729"/>
      <c r="D3" s="1729"/>
      <c r="E3" s="1729"/>
      <c r="F3" s="1729"/>
      <c r="G3" s="1729"/>
    </row>
    <row r="4" spans="1:7" s="730" customFormat="1" ht="16.5" x14ac:dyDescent="0.2">
      <c r="A4" s="1734"/>
      <c r="B4" s="1734"/>
      <c r="C4" s="1734"/>
      <c r="D4" s="1734"/>
      <c r="E4" s="1734"/>
      <c r="F4" s="1734"/>
      <c r="G4" s="1734"/>
    </row>
    <row r="5" spans="1:7" s="730" customFormat="1" ht="16.5" x14ac:dyDescent="0.2">
      <c r="A5" s="1734"/>
      <c r="B5" s="1734"/>
      <c r="C5" s="1734"/>
      <c r="D5" s="1734"/>
      <c r="E5" s="1734"/>
      <c r="F5" s="1734"/>
      <c r="G5" s="1734"/>
    </row>
    <row r="6" spans="1:7" s="730" customFormat="1" ht="12.75" customHeight="1" x14ac:dyDescent="0.2">
      <c r="A6" s="661"/>
      <c r="B6" s="661"/>
      <c r="C6" s="661"/>
      <c r="D6" s="661"/>
      <c r="E6" s="661"/>
      <c r="F6" s="661"/>
      <c r="G6" s="661"/>
    </row>
    <row r="7" spans="1:7" s="731" customFormat="1" ht="12.75" customHeight="1" x14ac:dyDescent="0.2">
      <c r="A7" s="662"/>
      <c r="B7" s="663"/>
      <c r="C7" s="664"/>
      <c r="D7" s="665"/>
      <c r="E7" s="665"/>
      <c r="F7" s="666"/>
      <c r="G7" s="666"/>
    </row>
    <row r="8" spans="1:7" s="731" customFormat="1" ht="15.75" x14ac:dyDescent="0.2">
      <c r="A8" s="662" t="s">
        <v>887</v>
      </c>
      <c r="B8" s="663"/>
      <c r="C8" s="664"/>
      <c r="D8" s="665"/>
      <c r="E8" s="665"/>
      <c r="F8" s="666"/>
      <c r="G8" s="666"/>
    </row>
    <row r="9" spans="1:7" s="731" customFormat="1" ht="15.75" x14ac:dyDescent="0.2">
      <c r="A9" s="662" t="s">
        <v>888</v>
      </c>
      <c r="B9" s="663"/>
      <c r="C9" s="664"/>
      <c r="D9" s="665"/>
      <c r="E9" s="665"/>
      <c r="F9" s="666"/>
      <c r="G9" s="666"/>
    </row>
    <row r="10" spans="1:7" s="731" customFormat="1" ht="15.75" x14ac:dyDescent="0.2">
      <c r="A10" s="662" t="s">
        <v>889</v>
      </c>
      <c r="B10" s="663"/>
      <c r="C10" s="664"/>
      <c r="D10" s="665"/>
      <c r="E10" s="665"/>
      <c r="F10" s="666"/>
      <c r="G10" s="666"/>
    </row>
    <row r="11" spans="1:7" s="731" customFormat="1" ht="15.75" x14ac:dyDescent="0.2">
      <c r="A11" s="662" t="s">
        <v>904</v>
      </c>
      <c r="B11" s="663"/>
      <c r="C11" s="664"/>
      <c r="D11" s="665"/>
      <c r="E11" s="665"/>
      <c r="F11" s="666"/>
      <c r="G11" s="666"/>
    </row>
    <row r="12" spans="1:7" s="731" customFormat="1" ht="15.75" x14ac:dyDescent="0.2">
      <c r="A12" s="662" t="s">
        <v>905</v>
      </c>
      <c r="B12" s="663"/>
      <c r="C12" s="664"/>
      <c r="D12" s="665"/>
      <c r="E12" s="665"/>
      <c r="F12" s="666"/>
      <c r="G12" s="666"/>
    </row>
    <row r="13" spans="1:7" s="731" customFormat="1" ht="15.75" x14ac:dyDescent="0.2">
      <c r="A13" s="662" t="s">
        <v>994</v>
      </c>
      <c r="B13" s="663"/>
      <c r="C13" s="664"/>
      <c r="D13" s="665"/>
      <c r="E13" s="665"/>
      <c r="F13" s="666"/>
      <c r="G13" s="666"/>
    </row>
    <row r="14" spans="1:7" s="731" customFormat="1" ht="15.75" x14ac:dyDescent="0.2">
      <c r="A14" s="662"/>
      <c r="B14" s="663"/>
      <c r="C14" s="664"/>
      <c r="D14" s="665"/>
      <c r="E14" s="665"/>
      <c r="F14" s="666"/>
      <c r="G14" s="666"/>
    </row>
    <row r="15" spans="1:7" s="731" customFormat="1" ht="15.75" x14ac:dyDescent="0.2">
      <c r="A15" s="1729" t="s">
        <v>838</v>
      </c>
      <c r="B15" s="1729"/>
      <c r="C15" s="1729"/>
      <c r="D15" s="1729"/>
      <c r="E15" s="1729"/>
      <c r="F15" s="1729"/>
      <c r="G15" s="1729"/>
    </row>
    <row r="16" spans="1:7" s="731" customFormat="1" ht="15.75" x14ac:dyDescent="0.2">
      <c r="A16" s="667"/>
      <c r="B16" s="667"/>
      <c r="C16" s="667"/>
      <c r="D16" s="667"/>
      <c r="E16" s="667"/>
      <c r="F16" s="667"/>
      <c r="G16" s="667"/>
    </row>
    <row r="17" spans="1:7" s="731" customFormat="1" ht="15.75" x14ac:dyDescent="0.2">
      <c r="A17" s="1774" t="s">
        <v>839</v>
      </c>
      <c r="B17" s="1774"/>
      <c r="C17" s="1774"/>
      <c r="D17" s="1774"/>
      <c r="E17" s="1774"/>
      <c r="F17" s="1774"/>
      <c r="G17" s="1774"/>
    </row>
    <row r="18" spans="1:7" s="731" customFormat="1" ht="6.75" customHeight="1" x14ac:dyDescent="0.2">
      <c r="A18" s="662"/>
      <c r="B18" s="663"/>
      <c r="C18" s="664"/>
      <c r="D18" s="665"/>
      <c r="E18" s="665"/>
      <c r="F18" s="666"/>
      <c r="G18" s="666"/>
    </row>
    <row r="19" spans="1:7" s="732" customFormat="1" ht="15" x14ac:dyDescent="0.2">
      <c r="A19" s="668" t="str">
        <f>UPPER(Metragem!$A$11) &amp; " " &amp; "-" &amp; " " &amp; UPPER(Metragem!$B$12)</f>
        <v>ÁREA INTERNA - PISOS FRIOS (ESCADAS, ELEVADORES E INTERIOR DAS SALAS)</v>
      </c>
      <c r="B19" s="669"/>
      <c r="C19" s="758" t="str">
        <f>Metragem!D9</f>
        <v>Mínimo</v>
      </c>
      <c r="D19" s="669"/>
      <c r="E19" s="669"/>
      <c r="F19" s="669"/>
      <c r="G19" s="669"/>
    </row>
    <row r="20" spans="1:7" s="732" customFormat="1" ht="28.5" x14ac:dyDescent="0.2">
      <c r="A20" s="1753" t="s">
        <v>840</v>
      </c>
      <c r="B20" s="1754"/>
      <c r="C20" s="1757" t="s">
        <v>841</v>
      </c>
      <c r="D20" s="1758"/>
      <c r="E20" s="670" t="s">
        <v>842</v>
      </c>
      <c r="F20" s="1753" t="s">
        <v>843</v>
      </c>
      <c r="G20" s="1754"/>
    </row>
    <row r="21" spans="1:7" s="732" customFormat="1" ht="15" x14ac:dyDescent="0.2">
      <c r="A21" s="1755"/>
      <c r="B21" s="1756"/>
      <c r="C21" s="1759" t="s">
        <v>168</v>
      </c>
      <c r="D21" s="1760"/>
      <c r="E21" s="671" t="s">
        <v>169</v>
      </c>
      <c r="F21" s="1761" t="s">
        <v>844</v>
      </c>
      <c r="G21" s="1762"/>
    </row>
    <row r="22" spans="1:7" s="732" customFormat="1" ht="15" x14ac:dyDescent="0.2">
      <c r="A22" s="1763" t="s">
        <v>845</v>
      </c>
      <c r="B22" s="1764"/>
      <c r="C22" s="1765" t="str">
        <f>HLOOKUP($C$19,LIMPEZA!$D$27:$M$81,6,FALSE)</f>
        <v>1/(30 x 800)</v>
      </c>
      <c r="D22" s="1766"/>
      <c r="E22" s="672"/>
      <c r="F22" s="1775">
        <f>(1/(30*Metragem!D12))*E22</f>
        <v>0</v>
      </c>
      <c r="G22" s="1768"/>
    </row>
    <row r="23" spans="1:7" s="732" customFormat="1" ht="15" x14ac:dyDescent="0.2">
      <c r="A23" s="1763" t="s">
        <v>846</v>
      </c>
      <c r="B23" s="1764"/>
      <c r="C23" s="1765" t="str">
        <f>HLOOKUP($C$19,LIMPEZA!$D$27:$M$81,7,FALSE)</f>
        <v>1 /800</v>
      </c>
      <c r="D23" s="1766"/>
      <c r="E23" s="672"/>
      <c r="F23" s="1775">
        <f>(1/Metragem!D12)*E23</f>
        <v>0</v>
      </c>
      <c r="G23" s="1768"/>
    </row>
    <row r="24" spans="1:7" s="732" customFormat="1" ht="15" x14ac:dyDescent="0.2">
      <c r="A24" s="1769" t="s">
        <v>47</v>
      </c>
      <c r="B24" s="1770"/>
      <c r="C24" s="1770"/>
      <c r="D24" s="1770"/>
      <c r="E24" s="1771"/>
      <c r="F24" s="1772">
        <f>SUM(F22:G23)</f>
        <v>0</v>
      </c>
      <c r="G24" s="1773"/>
    </row>
    <row r="25" spans="1:7" s="732" customFormat="1" ht="15" x14ac:dyDescent="0.2">
      <c r="A25" s="661"/>
      <c r="B25" s="673"/>
      <c r="C25" s="674"/>
      <c r="D25" s="674"/>
      <c r="E25" s="674"/>
      <c r="F25" s="661"/>
      <c r="G25" s="661"/>
    </row>
    <row r="26" spans="1:7" s="732" customFormat="1" ht="15" x14ac:dyDescent="0.2">
      <c r="A26" s="661"/>
      <c r="B26" s="673"/>
      <c r="C26" s="674"/>
      <c r="D26" s="674"/>
      <c r="E26" s="674"/>
      <c r="F26" s="661"/>
      <c r="G26" s="661"/>
    </row>
    <row r="27" spans="1:7" s="732" customFormat="1" ht="15" x14ac:dyDescent="0.2">
      <c r="A27" s="661"/>
      <c r="B27" s="673"/>
      <c r="C27" s="674"/>
      <c r="D27" s="674"/>
      <c r="E27" s="674"/>
      <c r="F27" s="661"/>
      <c r="G27" s="661"/>
    </row>
    <row r="28" spans="1:7" s="732" customFormat="1" ht="15" x14ac:dyDescent="0.2">
      <c r="A28" s="661"/>
      <c r="B28" s="673"/>
      <c r="C28" s="674"/>
      <c r="D28" s="674"/>
      <c r="E28" s="674"/>
      <c r="F28" s="661"/>
      <c r="G28" s="661"/>
    </row>
    <row r="29" spans="1:7" s="732" customFormat="1" ht="15" x14ac:dyDescent="0.2">
      <c r="A29" s="661"/>
      <c r="B29" s="673"/>
      <c r="C29" s="674"/>
      <c r="D29" s="674"/>
      <c r="E29" s="674"/>
      <c r="F29" s="661"/>
      <c r="G29" s="661"/>
    </row>
    <row r="30" spans="1:7" s="732" customFormat="1" ht="15" x14ac:dyDescent="0.2">
      <c r="A30" s="661"/>
      <c r="B30" s="673"/>
      <c r="C30" s="674"/>
      <c r="D30" s="674"/>
      <c r="E30" s="674"/>
      <c r="F30" s="661"/>
      <c r="G30" s="661"/>
    </row>
    <row r="31" spans="1:7" s="732" customFormat="1" ht="15" x14ac:dyDescent="0.2">
      <c r="A31" s="661"/>
      <c r="B31" s="673"/>
      <c r="C31" s="674"/>
      <c r="D31" s="674"/>
      <c r="E31" s="674"/>
      <c r="F31" s="661"/>
      <c r="G31" s="661"/>
    </row>
    <row r="32" spans="1:7" s="732" customFormat="1" ht="15" x14ac:dyDescent="0.2">
      <c r="A32" s="661"/>
      <c r="B32" s="673"/>
      <c r="C32" s="674"/>
      <c r="D32" s="674"/>
      <c r="E32" s="674"/>
      <c r="F32" s="661"/>
      <c r="G32" s="661"/>
    </row>
    <row r="33" spans="1:7" s="732" customFormat="1" ht="15" x14ac:dyDescent="0.2">
      <c r="A33" s="661"/>
      <c r="B33" s="673"/>
      <c r="C33" s="674"/>
      <c r="D33" s="674"/>
      <c r="E33" s="674"/>
      <c r="F33" s="661"/>
      <c r="G33" s="661"/>
    </row>
    <row r="34" spans="1:7" s="732" customFormat="1" ht="15" x14ac:dyDescent="0.2">
      <c r="A34" s="661"/>
      <c r="B34" s="673"/>
      <c r="C34" s="674"/>
      <c r="D34" s="674"/>
      <c r="E34" s="674"/>
      <c r="F34" s="661"/>
      <c r="G34" s="661"/>
    </row>
    <row r="35" spans="1:7" s="732" customFormat="1" ht="15" x14ac:dyDescent="0.2">
      <c r="A35" s="661"/>
      <c r="B35" s="673"/>
      <c r="C35" s="674"/>
      <c r="D35" s="674"/>
      <c r="E35" s="674"/>
      <c r="F35" s="661"/>
      <c r="G35" s="661"/>
    </row>
    <row r="36" spans="1:7" s="732" customFormat="1" ht="15" x14ac:dyDescent="0.2">
      <c r="A36" s="661"/>
      <c r="B36" s="673"/>
      <c r="C36" s="674"/>
      <c r="D36" s="674"/>
      <c r="E36" s="674"/>
      <c r="F36" s="661"/>
      <c r="G36" s="661"/>
    </row>
    <row r="37" spans="1:7" s="732" customFormat="1" ht="15" x14ac:dyDescent="0.2">
      <c r="A37" s="661"/>
      <c r="B37" s="673"/>
      <c r="C37" s="674"/>
      <c r="D37" s="674"/>
      <c r="E37" s="674"/>
      <c r="F37" s="661"/>
      <c r="G37" s="661"/>
    </row>
    <row r="38" spans="1:7" s="732" customFormat="1" ht="15" x14ac:dyDescent="0.2">
      <c r="A38" s="661"/>
      <c r="B38" s="673"/>
      <c r="C38" s="674"/>
      <c r="D38" s="674"/>
      <c r="E38" s="674"/>
      <c r="F38" s="661"/>
      <c r="G38" s="661"/>
    </row>
    <row r="39" spans="1:7" s="732" customFormat="1" ht="15" x14ac:dyDescent="0.2">
      <c r="A39" s="661"/>
      <c r="B39" s="673"/>
      <c r="C39" s="674"/>
      <c r="D39" s="674"/>
      <c r="E39" s="674"/>
      <c r="F39" s="661"/>
      <c r="G39" s="661"/>
    </row>
    <row r="40" spans="1:7" s="732" customFormat="1" ht="15" x14ac:dyDescent="0.2">
      <c r="A40" s="661"/>
      <c r="B40" s="673"/>
      <c r="C40" s="674"/>
      <c r="D40" s="674"/>
      <c r="E40" s="674"/>
      <c r="F40" s="661"/>
      <c r="G40" s="661"/>
    </row>
    <row r="41" spans="1:7" s="732" customFormat="1" ht="15" x14ac:dyDescent="0.2">
      <c r="A41" s="661"/>
      <c r="B41" s="673"/>
      <c r="C41" s="674"/>
      <c r="D41" s="674"/>
      <c r="E41" s="674"/>
      <c r="F41" s="661"/>
      <c r="G41" s="661"/>
    </row>
    <row r="42" spans="1:7" s="732" customFormat="1" ht="15" x14ac:dyDescent="0.2">
      <c r="A42" s="661"/>
      <c r="B42" s="673"/>
      <c r="C42" s="674"/>
      <c r="D42" s="674"/>
      <c r="E42" s="674"/>
      <c r="F42" s="661"/>
      <c r="G42" s="661"/>
    </row>
    <row r="43" spans="1:7" s="732" customFormat="1" ht="15" x14ac:dyDescent="0.2">
      <c r="A43" s="661"/>
      <c r="B43" s="673"/>
      <c r="C43" s="674"/>
      <c r="D43" s="674"/>
      <c r="E43" s="674"/>
      <c r="F43" s="661"/>
      <c r="G43" s="661"/>
    </row>
    <row r="44" spans="1:7" s="732" customFormat="1" ht="15" x14ac:dyDescent="0.2">
      <c r="A44" s="661"/>
      <c r="B44" s="673"/>
      <c r="C44" s="674"/>
      <c r="D44" s="674"/>
      <c r="E44" s="674"/>
      <c r="F44" s="661"/>
      <c r="G44" s="661"/>
    </row>
    <row r="45" spans="1:7" s="732" customFormat="1" ht="15" x14ac:dyDescent="0.2">
      <c r="A45" s="661"/>
      <c r="B45" s="673"/>
      <c r="C45" s="674"/>
      <c r="D45" s="674"/>
      <c r="E45" s="674"/>
      <c r="F45" s="661"/>
      <c r="G45" s="661"/>
    </row>
    <row r="46" spans="1:7" s="732" customFormat="1" ht="15" x14ac:dyDescent="0.2">
      <c r="A46" s="661"/>
      <c r="B46" s="673"/>
      <c r="C46" s="674"/>
      <c r="D46" s="674"/>
      <c r="E46" s="674"/>
      <c r="F46" s="661"/>
      <c r="G46" s="661"/>
    </row>
    <row r="47" spans="1:7" s="732" customFormat="1" ht="15" x14ac:dyDescent="0.2">
      <c r="A47" s="661"/>
      <c r="B47" s="673"/>
      <c r="C47" s="674"/>
      <c r="D47" s="674"/>
      <c r="E47" s="674"/>
      <c r="F47" s="661"/>
      <c r="G47" s="661"/>
    </row>
    <row r="48" spans="1:7" s="732" customFormat="1" ht="15" x14ac:dyDescent="0.2">
      <c r="A48" s="661"/>
      <c r="B48" s="673"/>
      <c r="C48" s="674"/>
      <c r="D48" s="674"/>
      <c r="E48" s="674"/>
      <c r="F48" s="661"/>
      <c r="G48" s="661"/>
    </row>
    <row r="49" spans="1:7" s="732" customFormat="1" ht="15" x14ac:dyDescent="0.2">
      <c r="A49" s="661"/>
      <c r="B49" s="673"/>
      <c r="C49" s="674"/>
      <c r="D49" s="674"/>
      <c r="E49" s="674"/>
      <c r="F49" s="661"/>
      <c r="G49" s="661"/>
    </row>
    <row r="50" spans="1:7" s="732" customFormat="1" ht="15" x14ac:dyDescent="0.2">
      <c r="A50" s="661"/>
      <c r="B50" s="673"/>
      <c r="C50" s="674"/>
      <c r="D50" s="674"/>
      <c r="E50" s="674"/>
      <c r="F50" s="661"/>
      <c r="G50" s="661"/>
    </row>
    <row r="51" spans="1:7" s="732" customFormat="1" ht="15" x14ac:dyDescent="0.2">
      <c r="A51" s="661"/>
      <c r="B51" s="673"/>
      <c r="C51" s="674"/>
      <c r="D51" s="674"/>
      <c r="E51" s="674"/>
      <c r="F51" s="661"/>
      <c r="G51" s="661"/>
    </row>
    <row r="52" spans="1:7" s="732" customFormat="1" ht="15" x14ac:dyDescent="0.2">
      <c r="A52" s="661"/>
      <c r="B52" s="673"/>
      <c r="C52" s="674"/>
      <c r="D52" s="674"/>
      <c r="E52" s="674"/>
      <c r="F52" s="661"/>
      <c r="G52" s="661"/>
    </row>
    <row r="53" spans="1:7" s="732" customFormat="1" ht="15" x14ac:dyDescent="0.2">
      <c r="A53" s="661"/>
      <c r="B53" s="673"/>
      <c r="C53" s="674"/>
      <c r="D53" s="674"/>
      <c r="E53" s="674"/>
      <c r="F53" s="661"/>
      <c r="G53" s="661"/>
    </row>
    <row r="54" spans="1:7" s="732" customFormat="1" ht="15" x14ac:dyDescent="0.2">
      <c r="A54" s="661"/>
      <c r="B54" s="673"/>
      <c r="C54" s="674"/>
      <c r="D54" s="674"/>
      <c r="E54" s="674"/>
      <c r="F54" s="661"/>
      <c r="G54" s="661"/>
    </row>
    <row r="55" spans="1:7" s="732" customFormat="1" ht="15" x14ac:dyDescent="0.2">
      <c r="A55" s="661"/>
      <c r="B55" s="673"/>
      <c r="C55" s="674"/>
      <c r="D55" s="674"/>
      <c r="E55" s="674"/>
      <c r="F55" s="661"/>
      <c r="G55" s="661"/>
    </row>
    <row r="56" spans="1:7" s="732" customFormat="1" ht="15" x14ac:dyDescent="0.2">
      <c r="A56" s="661"/>
      <c r="B56" s="673"/>
      <c r="C56" s="674"/>
      <c r="D56" s="674"/>
      <c r="E56" s="674"/>
      <c r="F56" s="661"/>
      <c r="G56" s="661"/>
    </row>
    <row r="57" spans="1:7" s="732" customFormat="1" ht="15" x14ac:dyDescent="0.2">
      <c r="A57" s="661"/>
      <c r="B57" s="673"/>
      <c r="C57" s="674"/>
      <c r="D57" s="674"/>
      <c r="E57" s="674"/>
      <c r="F57" s="661"/>
      <c r="G57" s="661"/>
    </row>
    <row r="58" spans="1:7" s="732" customFormat="1" ht="15" x14ac:dyDescent="0.2">
      <c r="A58" s="661"/>
      <c r="B58" s="673"/>
      <c r="C58" s="674"/>
      <c r="D58" s="674"/>
      <c r="E58" s="674"/>
      <c r="F58" s="661"/>
      <c r="G58" s="661"/>
    </row>
    <row r="59" spans="1:7" s="732" customFormat="1" ht="15" x14ac:dyDescent="0.2">
      <c r="A59" s="661"/>
      <c r="B59" s="673"/>
      <c r="C59" s="674"/>
      <c r="D59" s="674"/>
      <c r="E59" s="674"/>
      <c r="F59" s="661"/>
      <c r="G59" s="661"/>
    </row>
    <row r="60" spans="1:7" s="732" customFormat="1" ht="15" x14ac:dyDescent="0.2">
      <c r="A60" s="661"/>
      <c r="B60" s="673"/>
      <c r="C60" s="674"/>
      <c r="D60" s="674"/>
      <c r="E60" s="674"/>
      <c r="F60" s="661"/>
      <c r="G60" s="661"/>
    </row>
    <row r="61" spans="1:7" s="732" customFormat="1" ht="15" x14ac:dyDescent="0.2">
      <c r="A61" s="661"/>
      <c r="B61" s="673"/>
      <c r="C61" s="674"/>
      <c r="D61" s="674"/>
      <c r="E61" s="674"/>
      <c r="F61" s="661"/>
      <c r="G61" s="661"/>
    </row>
    <row r="62" spans="1:7" s="732" customFormat="1" ht="15" x14ac:dyDescent="0.2">
      <c r="A62" s="661"/>
      <c r="B62" s="673"/>
      <c r="C62" s="674"/>
      <c r="D62" s="674"/>
      <c r="E62" s="674"/>
      <c r="F62" s="661"/>
      <c r="G62" s="661"/>
    </row>
    <row r="63" spans="1:7" s="732" customFormat="1" ht="15" x14ac:dyDescent="0.2">
      <c r="A63" s="661"/>
      <c r="B63" s="673"/>
      <c r="C63" s="674"/>
      <c r="D63" s="674"/>
      <c r="E63" s="674"/>
      <c r="F63" s="661"/>
      <c r="G63" s="661"/>
    </row>
    <row r="64" spans="1:7" s="732" customFormat="1" ht="15" x14ac:dyDescent="0.2">
      <c r="A64" s="661"/>
      <c r="B64" s="673"/>
      <c r="C64" s="674"/>
      <c r="D64" s="674"/>
      <c r="E64" s="674"/>
      <c r="F64" s="661"/>
      <c r="G64" s="661"/>
    </row>
    <row r="65" spans="1:8" s="732" customFormat="1" ht="15" x14ac:dyDescent="0.2">
      <c r="A65" s="661"/>
      <c r="B65" s="673"/>
      <c r="C65" s="674"/>
      <c r="D65" s="674"/>
      <c r="E65" s="674"/>
      <c r="F65" s="661"/>
      <c r="G65" s="661"/>
    </row>
    <row r="66" spans="1:8" s="732" customFormat="1" ht="15" x14ac:dyDescent="0.2">
      <c r="A66" s="661"/>
      <c r="B66" s="673"/>
      <c r="C66" s="674"/>
      <c r="D66" s="674"/>
      <c r="E66" s="674"/>
      <c r="F66" s="661"/>
      <c r="G66" s="661"/>
    </row>
    <row r="67" spans="1:8" s="732" customFormat="1" ht="15" x14ac:dyDescent="0.2">
      <c r="A67" s="661"/>
      <c r="B67" s="673"/>
      <c r="C67" s="674"/>
      <c r="D67" s="674"/>
      <c r="E67" s="674"/>
      <c r="F67" s="661"/>
      <c r="G67" s="661"/>
    </row>
    <row r="68" spans="1:8" s="732" customFormat="1" ht="15" x14ac:dyDescent="0.2">
      <c r="A68" s="668" t="str">
        <f>UPPER(Metragem!$A$19) &amp; " " &amp; "-" &amp; " " &amp; UPPER(Metragem!$B$19)</f>
        <v>ÁREA EXTERNA  - PISOS PAVIMENTOS ADJACENTES/CONTÍGUOS ÀS EDIFICAÇÕES</v>
      </c>
      <c r="B68" s="669"/>
      <c r="C68" s="669"/>
      <c r="D68" s="669"/>
      <c r="E68" s="669"/>
      <c r="F68" s="669"/>
      <c r="G68" s="669"/>
    </row>
    <row r="69" spans="1:8" s="732" customFormat="1" ht="28.5" x14ac:dyDescent="0.2">
      <c r="A69" s="1753" t="s">
        <v>840</v>
      </c>
      <c r="B69" s="1754"/>
      <c r="C69" s="1757" t="s">
        <v>841</v>
      </c>
      <c r="D69" s="1758"/>
      <c r="E69" s="670" t="s">
        <v>842</v>
      </c>
      <c r="F69" s="1753" t="s">
        <v>843</v>
      </c>
      <c r="G69" s="1754"/>
    </row>
    <row r="70" spans="1:8" s="732" customFormat="1" ht="15" x14ac:dyDescent="0.2">
      <c r="A70" s="1755"/>
      <c r="B70" s="1756"/>
      <c r="C70" s="1759" t="s">
        <v>168</v>
      </c>
      <c r="D70" s="1760"/>
      <c r="E70" s="671" t="s">
        <v>169</v>
      </c>
      <c r="F70" s="1761" t="s">
        <v>844</v>
      </c>
      <c r="G70" s="1762"/>
    </row>
    <row r="71" spans="1:8" s="732" customFormat="1" ht="15" x14ac:dyDescent="0.2">
      <c r="A71" s="1763" t="s">
        <v>845</v>
      </c>
      <c r="B71" s="1764"/>
      <c r="C71" s="1765" t="str">
        <f>HLOOKUP($C$19,LIMPEZA!$D$27:$M$81,24,FALSE)</f>
        <v>1/(30 x 1800)</v>
      </c>
      <c r="D71" s="1766"/>
      <c r="E71" s="672"/>
      <c r="F71" s="1775">
        <f>(1/(30*Metragem!D19))*E71</f>
        <v>0</v>
      </c>
      <c r="G71" s="1768"/>
    </row>
    <row r="72" spans="1:8" s="732" customFormat="1" ht="15" x14ac:dyDescent="0.2">
      <c r="A72" s="1763" t="s">
        <v>846</v>
      </c>
      <c r="B72" s="1764"/>
      <c r="C72" s="1765" t="str">
        <f>HLOOKUP($C$19,LIMPEZA!$D$27:$M$81,25,FALSE)</f>
        <v>1 /1800</v>
      </c>
      <c r="D72" s="1766"/>
      <c r="E72" s="672"/>
      <c r="F72" s="1775">
        <f>(1/Metragem!D19)*E72</f>
        <v>0</v>
      </c>
      <c r="G72" s="1768"/>
    </row>
    <row r="73" spans="1:8" s="732" customFormat="1" ht="16.5" customHeight="1" x14ac:dyDescent="0.2">
      <c r="A73" s="1769" t="s">
        <v>47</v>
      </c>
      <c r="B73" s="1770"/>
      <c r="C73" s="1770"/>
      <c r="D73" s="1770"/>
      <c r="E73" s="1771"/>
      <c r="F73" s="1772">
        <f>SUM(F71:G72)</f>
        <v>0</v>
      </c>
      <c r="G73" s="1773"/>
    </row>
    <row r="74" spans="1:8" s="732" customFormat="1" ht="15" x14ac:dyDescent="0.2">
      <c r="A74" s="661"/>
      <c r="B74" s="799"/>
      <c r="C74" s="799"/>
      <c r="D74" s="799"/>
      <c r="E74" s="799"/>
      <c r="F74" s="799"/>
      <c r="G74" s="799"/>
      <c r="H74" s="799"/>
    </row>
    <row r="75" spans="1:8" s="732" customFormat="1" ht="15" x14ac:dyDescent="0.2">
      <c r="A75" s="798" t="str">
        <f>UPPER(Metragem!$A$25) &amp; " " &amp; "-" &amp; " " &amp; UPPER(Metragem!$B$26)</f>
        <v>ESQUADRIAS EXTERNAS - FACE EXTERNA SEM EXPOSIÇÃO A SITUAÇÃO DE RISCO</v>
      </c>
      <c r="B75" s="799"/>
      <c r="C75" s="799"/>
      <c r="D75" s="799"/>
      <c r="E75" s="799"/>
      <c r="F75" s="799"/>
      <c r="G75" s="799"/>
      <c r="H75" s="799"/>
    </row>
    <row r="76" spans="1:8" s="732" customFormat="1" ht="57" x14ac:dyDescent="0.2">
      <c r="A76" s="1776" t="s">
        <v>840</v>
      </c>
      <c r="B76" s="719" t="s">
        <v>841</v>
      </c>
      <c r="C76" s="719" t="s">
        <v>848</v>
      </c>
      <c r="D76" s="719" t="s">
        <v>849</v>
      </c>
      <c r="E76" s="719" t="s">
        <v>850</v>
      </c>
      <c r="F76" s="670" t="s">
        <v>842</v>
      </c>
      <c r="G76" s="721" t="s">
        <v>843</v>
      </c>
    </row>
    <row r="77" spans="1:8" s="732" customFormat="1" ht="15" x14ac:dyDescent="0.2">
      <c r="A77" s="1777"/>
      <c r="B77" s="720" t="s">
        <v>168</v>
      </c>
      <c r="C77" s="720" t="s">
        <v>169</v>
      </c>
      <c r="D77" s="720" t="s">
        <v>170</v>
      </c>
      <c r="E77" s="720" t="s">
        <v>851</v>
      </c>
      <c r="F77" s="671" t="s">
        <v>172</v>
      </c>
      <c r="G77" s="539" t="s">
        <v>852</v>
      </c>
      <c r="H77" s="732" t="s">
        <v>0</v>
      </c>
    </row>
    <row r="78" spans="1:8" s="732" customFormat="1" ht="19.5" customHeight="1" x14ac:dyDescent="0.2">
      <c r="A78" s="675" t="s">
        <v>845</v>
      </c>
      <c r="B78" s="755" t="str">
        <f>HLOOKUP($C$19,LIMPEZA!$D$27:$M$81,45,FALSE)</f>
        <v>1/(30 x 300)</v>
      </c>
      <c r="C78" s="755">
        <v>16</v>
      </c>
      <c r="D78" s="676" t="s">
        <v>853</v>
      </c>
      <c r="E78" s="677">
        <f>((1/(30*Metragem!D26))*C78*(1/188.76))</f>
        <v>9.3999999999999998E-6</v>
      </c>
      <c r="F78" s="672"/>
      <c r="G78" s="678">
        <f>E78*F78</f>
        <v>0</v>
      </c>
    </row>
    <row r="79" spans="1:8" s="732" customFormat="1" ht="19.5" customHeight="1" x14ac:dyDescent="0.2">
      <c r="A79" s="675" t="s">
        <v>846</v>
      </c>
      <c r="B79" s="755" t="str">
        <f>HLOOKUP($C$19,LIMPEZA!$D$27:$M$81,46,FALSE)</f>
        <v>1 /300</v>
      </c>
      <c r="C79" s="676">
        <v>16</v>
      </c>
      <c r="D79" s="676" t="s">
        <v>853</v>
      </c>
      <c r="E79" s="677">
        <f>((1/Metragem!D26))*C79*(1/188.76)</f>
        <v>2.8249999999999998E-4</v>
      </c>
      <c r="F79" s="672"/>
      <c r="G79" s="678">
        <f>E79*F79</f>
        <v>0</v>
      </c>
    </row>
    <row r="80" spans="1:8" s="732" customFormat="1" ht="17.25" customHeight="1" x14ac:dyDescent="0.2">
      <c r="A80" s="1769" t="s">
        <v>47</v>
      </c>
      <c r="B80" s="1770"/>
      <c r="C80" s="1770"/>
      <c r="D80" s="1770"/>
      <c r="E80" s="1770"/>
      <c r="F80" s="1771"/>
      <c r="G80" s="679">
        <f>SUM(G78:G79)</f>
        <v>0</v>
      </c>
    </row>
    <row r="81" spans="1:7" s="732" customFormat="1" ht="15" x14ac:dyDescent="0.2">
      <c r="A81" s="661"/>
      <c r="B81" s="673"/>
      <c r="C81" s="674"/>
      <c r="D81" s="674"/>
      <c r="E81" s="674"/>
      <c r="F81" s="661"/>
      <c r="G81" s="661"/>
    </row>
    <row r="82" spans="1:7" s="732" customFormat="1" ht="15" x14ac:dyDescent="0.2">
      <c r="A82" s="668" t="str">
        <f>UPPER(Metragem!$A$28)</f>
        <v>FACHADA ENVIDRAÇADA</v>
      </c>
      <c r="B82" s="669"/>
      <c r="C82" s="669"/>
      <c r="D82" s="669"/>
      <c r="E82" s="669"/>
      <c r="F82" s="669"/>
      <c r="G82" s="669"/>
    </row>
    <row r="83" spans="1:7" s="732" customFormat="1" ht="58.5" customHeight="1" x14ac:dyDescent="0.2">
      <c r="A83" s="1776" t="s">
        <v>840</v>
      </c>
      <c r="B83" s="719" t="s">
        <v>841</v>
      </c>
      <c r="C83" s="719" t="s">
        <v>931</v>
      </c>
      <c r="D83" s="719" t="s">
        <v>932</v>
      </c>
      <c r="E83" s="719" t="s">
        <v>850</v>
      </c>
      <c r="F83" s="670" t="s">
        <v>842</v>
      </c>
      <c r="G83" s="721" t="s">
        <v>843</v>
      </c>
    </row>
    <row r="84" spans="1:7" s="732" customFormat="1" ht="15" x14ac:dyDescent="0.2">
      <c r="A84" s="1777"/>
      <c r="B84" s="720" t="s">
        <v>168</v>
      </c>
      <c r="C84" s="720" t="s">
        <v>169</v>
      </c>
      <c r="D84" s="720" t="s">
        <v>170</v>
      </c>
      <c r="E84" s="720" t="s">
        <v>851</v>
      </c>
      <c r="F84" s="671" t="s">
        <v>172</v>
      </c>
      <c r="G84" s="539" t="s">
        <v>852</v>
      </c>
    </row>
    <row r="85" spans="1:7" s="732" customFormat="1" ht="18" customHeight="1" x14ac:dyDescent="0.2">
      <c r="A85" s="675" t="s">
        <v>845</v>
      </c>
      <c r="B85" s="755" t="str">
        <f>HLOOKUP($C$19,LIMPEZA!$D$27:$M$81,51,FALSE)</f>
        <v>1/(4 x 130)</v>
      </c>
      <c r="C85" s="676">
        <v>8</v>
      </c>
      <c r="D85" s="676" t="s">
        <v>854</v>
      </c>
      <c r="E85" s="677">
        <f>((1/(4*Metragem!D28))*C85*(1/1132.6))</f>
        <v>1.36E-5</v>
      </c>
      <c r="F85" s="672"/>
      <c r="G85" s="678">
        <f>E85*F85</f>
        <v>0</v>
      </c>
    </row>
    <row r="86" spans="1:7" s="732" customFormat="1" ht="18" customHeight="1" x14ac:dyDescent="0.2">
      <c r="A86" s="675" t="s">
        <v>846</v>
      </c>
      <c r="B86" s="755" t="str">
        <f>HLOOKUP($C$19,LIMPEZA!$D$27:$M$81,52,FALSE)</f>
        <v>1 /130</v>
      </c>
      <c r="C86" s="676">
        <v>8</v>
      </c>
      <c r="D86" s="676" t="s">
        <v>854</v>
      </c>
      <c r="E86" s="677">
        <f>((1/Metragem!D28)*C86*(1/1132.6))</f>
        <v>5.4299999999999998E-5</v>
      </c>
      <c r="F86" s="672"/>
      <c r="G86" s="678">
        <f>E86*F86</f>
        <v>0</v>
      </c>
    </row>
    <row r="87" spans="1:7" s="732" customFormat="1" ht="18" customHeight="1" x14ac:dyDescent="0.2">
      <c r="A87" s="1769" t="s">
        <v>47</v>
      </c>
      <c r="B87" s="1770"/>
      <c r="C87" s="1770"/>
      <c r="D87" s="1770"/>
      <c r="E87" s="1770"/>
      <c r="F87" s="1771"/>
      <c r="G87" s="679">
        <f>SUM(G85:G86)</f>
        <v>0</v>
      </c>
    </row>
    <row r="88" spans="1:7" s="732" customFormat="1" ht="15" x14ac:dyDescent="0.2">
      <c r="A88" s="661"/>
      <c r="B88" s="673"/>
      <c r="C88" s="674"/>
      <c r="D88" s="674"/>
      <c r="E88" s="674"/>
      <c r="F88" s="661"/>
      <c r="G88" s="661"/>
    </row>
    <row r="89" spans="1:7" s="732" customFormat="1" ht="15" x14ac:dyDescent="0.2">
      <c r="A89" s="668" t="str">
        <f>UPPER(Metragem!$A$29)</f>
        <v>ÁREAS HOSPITALARES E ASSEMELHADAS</v>
      </c>
      <c r="B89" s="669"/>
      <c r="C89" s="669"/>
      <c r="D89" s="669"/>
      <c r="E89" s="669"/>
      <c r="F89" s="669"/>
      <c r="G89" s="669"/>
    </row>
    <row r="90" spans="1:7" s="732" customFormat="1" ht="28.5" x14ac:dyDescent="0.2">
      <c r="A90" s="1753" t="s">
        <v>840</v>
      </c>
      <c r="B90" s="1754"/>
      <c r="C90" s="1757" t="s">
        <v>841</v>
      </c>
      <c r="D90" s="1758"/>
      <c r="E90" s="670" t="s">
        <v>842</v>
      </c>
      <c r="F90" s="1753" t="s">
        <v>843</v>
      </c>
      <c r="G90" s="1754"/>
    </row>
    <row r="91" spans="1:7" s="732" customFormat="1" ht="15" x14ac:dyDescent="0.2">
      <c r="A91" s="1755"/>
      <c r="B91" s="1756"/>
      <c r="C91" s="1759" t="s">
        <v>168</v>
      </c>
      <c r="D91" s="1760"/>
      <c r="E91" s="671" t="s">
        <v>169</v>
      </c>
      <c r="F91" s="1761" t="s">
        <v>844</v>
      </c>
      <c r="G91" s="1762"/>
    </row>
    <row r="92" spans="1:7" s="732" customFormat="1" ht="15" x14ac:dyDescent="0.2">
      <c r="A92" s="1763" t="s">
        <v>845</v>
      </c>
      <c r="B92" s="1764"/>
      <c r="C92" s="1765" t="str">
        <f>HLOOKUP($C$19,LIMPEZA!$D$27:$M$81,54,FALSE)</f>
        <v>1/(30 x 360)</v>
      </c>
      <c r="D92" s="1766"/>
      <c r="E92" s="672"/>
      <c r="F92" s="1767">
        <f>(1/(30*Metragem!D29))*E92</f>
        <v>0</v>
      </c>
      <c r="G92" s="1768"/>
    </row>
    <row r="93" spans="1:7" s="732" customFormat="1" ht="15" x14ac:dyDescent="0.2">
      <c r="A93" s="1763" t="s">
        <v>846</v>
      </c>
      <c r="B93" s="1764"/>
      <c r="C93" s="1765" t="str">
        <f>HLOOKUP($C$19,LIMPEZA!$D$27:$M$81,55,FALSE)</f>
        <v>1 /360</v>
      </c>
      <c r="D93" s="1766"/>
      <c r="E93" s="672"/>
      <c r="F93" s="1767">
        <f>(1/Metragem!D29)*E93</f>
        <v>0</v>
      </c>
      <c r="G93" s="1768"/>
    </row>
    <row r="94" spans="1:7" s="732" customFormat="1" ht="15" x14ac:dyDescent="0.2">
      <c r="A94" s="1769" t="s">
        <v>47</v>
      </c>
      <c r="B94" s="1770"/>
      <c r="C94" s="1770"/>
      <c r="D94" s="1770"/>
      <c r="E94" s="1771"/>
      <c r="F94" s="1772">
        <f>SUM(F92:G93)</f>
        <v>0</v>
      </c>
      <c r="G94" s="1773"/>
    </row>
    <row r="95" spans="1:7" s="732" customFormat="1" ht="15" x14ac:dyDescent="0.2">
      <c r="A95" s="800"/>
      <c r="B95" s="801"/>
      <c r="C95" s="801"/>
      <c r="D95" s="801"/>
      <c r="E95" s="801"/>
      <c r="F95" s="801"/>
      <c r="G95" s="801"/>
    </row>
    <row r="96" spans="1:7" s="732" customFormat="1" ht="15" x14ac:dyDescent="0.2">
      <c r="A96" s="661"/>
      <c r="B96" s="673"/>
      <c r="C96" s="674"/>
      <c r="D96" s="674"/>
      <c r="E96" s="674"/>
      <c r="F96" s="661"/>
      <c r="G96" s="661"/>
    </row>
    <row r="97" spans="1:7" s="732" customFormat="1" ht="15" x14ac:dyDescent="0.2">
      <c r="A97" s="1774" t="s">
        <v>855</v>
      </c>
      <c r="B97" s="1774"/>
      <c r="C97" s="1774"/>
      <c r="D97" s="1774"/>
      <c r="E97" s="1774"/>
      <c r="F97" s="1774"/>
      <c r="G97" s="1774"/>
    </row>
    <row r="98" spans="1:7" s="732" customFormat="1" ht="6" customHeight="1" x14ac:dyDescent="0.2">
      <c r="A98" s="717"/>
      <c r="B98" s="717"/>
      <c r="C98" s="717"/>
      <c r="D98" s="717"/>
      <c r="E98" s="717"/>
      <c r="F98" s="717"/>
      <c r="G98" s="717"/>
    </row>
    <row r="99" spans="1:7" s="732" customFormat="1" ht="36.75" customHeight="1" x14ac:dyDescent="0.2">
      <c r="A99" s="1778" t="s">
        <v>856</v>
      </c>
      <c r="B99" s="1779"/>
      <c r="C99" s="1780" t="s">
        <v>857</v>
      </c>
      <c r="D99" s="1781"/>
      <c r="E99" s="680" t="s">
        <v>858</v>
      </c>
      <c r="F99" s="1778" t="s">
        <v>859</v>
      </c>
      <c r="G99" s="1779"/>
    </row>
    <row r="100" spans="1:7" s="732" customFormat="1" ht="18.75" customHeight="1" x14ac:dyDescent="0.2">
      <c r="A100" s="1763" t="str">
        <f>Metragem!A11</f>
        <v>Área Interna</v>
      </c>
      <c r="B100" s="1764"/>
      <c r="C100" s="1782">
        <f>F24</f>
        <v>0</v>
      </c>
      <c r="D100" s="1783"/>
      <c r="E100" s="681">
        <f>Metragem!C12</f>
        <v>0</v>
      </c>
      <c r="F100" s="1775">
        <f t="shared" ref="F100:F101" si="0">C100*E100</f>
        <v>0</v>
      </c>
      <c r="G100" s="1768"/>
    </row>
    <row r="101" spans="1:7" s="732" customFormat="1" ht="18.75" customHeight="1" x14ac:dyDescent="0.2">
      <c r="A101" s="1763" t="str">
        <f>Metragem!A19</f>
        <v xml:space="preserve">Área Externa </v>
      </c>
      <c r="B101" s="1764"/>
      <c r="C101" s="1782">
        <f>F73</f>
        <v>0</v>
      </c>
      <c r="D101" s="1783"/>
      <c r="E101" s="681">
        <f>Metragem!C19</f>
        <v>0</v>
      </c>
      <c r="F101" s="1775">
        <f t="shared" si="0"/>
        <v>0</v>
      </c>
      <c r="G101" s="1768"/>
    </row>
    <row r="102" spans="1:7" s="732" customFormat="1" ht="18.75" customHeight="1" x14ac:dyDescent="0.2">
      <c r="A102" s="1763" t="str">
        <f>Metragem!A25</f>
        <v>Esquadrias Externas</v>
      </c>
      <c r="B102" s="1764"/>
      <c r="C102" s="1782">
        <f>G80</f>
        <v>0</v>
      </c>
      <c r="D102" s="1783"/>
      <c r="E102" s="681">
        <f>Metragem!C26</f>
        <v>0</v>
      </c>
      <c r="F102" s="1775">
        <f>C102*E102</f>
        <v>0</v>
      </c>
      <c r="G102" s="1768"/>
    </row>
    <row r="103" spans="1:7" s="732" customFormat="1" ht="18.75" customHeight="1" x14ac:dyDescent="0.2">
      <c r="A103" s="1763" t="str">
        <f>Metragem!A28</f>
        <v>Fachada envidraçada</v>
      </c>
      <c r="B103" s="1764"/>
      <c r="C103" s="1782">
        <f>G87</f>
        <v>0</v>
      </c>
      <c r="D103" s="1783"/>
      <c r="E103" s="681">
        <f>Metragem!C28</f>
        <v>0</v>
      </c>
      <c r="F103" s="1775">
        <f>C103*E103</f>
        <v>0</v>
      </c>
      <c r="G103" s="1768"/>
    </row>
    <row r="104" spans="1:7" s="732" customFormat="1" ht="18.75" customHeight="1" x14ac:dyDescent="0.2">
      <c r="A104" s="1763" t="str">
        <f>Metragem!A29</f>
        <v>Áreas Hospitalares e Assemelhadas</v>
      </c>
      <c r="B104" s="1764"/>
      <c r="C104" s="1782">
        <f>F94</f>
        <v>0</v>
      </c>
      <c r="D104" s="1783"/>
      <c r="E104" s="681">
        <f>Metragem!C29</f>
        <v>0</v>
      </c>
      <c r="F104" s="1775">
        <f>C104*E104</f>
        <v>0</v>
      </c>
      <c r="G104" s="1768"/>
    </row>
    <row r="105" spans="1:7" s="732" customFormat="1" ht="18.75" customHeight="1" x14ac:dyDescent="0.2">
      <c r="A105" s="1769" t="s">
        <v>860</v>
      </c>
      <c r="B105" s="1770"/>
      <c r="C105" s="1770"/>
      <c r="D105" s="1770"/>
      <c r="E105" s="1771"/>
      <c r="F105" s="1772">
        <f>SUM(F100:G103)</f>
        <v>0</v>
      </c>
      <c r="G105" s="1773"/>
    </row>
    <row r="106" spans="1:7" s="732" customFormat="1" ht="15" x14ac:dyDescent="0.2">
      <c r="A106" s="1769" t="s">
        <v>1101</v>
      </c>
      <c r="B106" s="1770"/>
      <c r="C106" s="1770"/>
      <c r="D106" s="1770"/>
      <c r="E106" s="1771"/>
      <c r="F106" s="1772">
        <f>F105*Dados!$G$26</f>
        <v>0</v>
      </c>
      <c r="G106" s="1773"/>
    </row>
    <row r="107" spans="1:7" s="732" customFormat="1" ht="12" customHeight="1" x14ac:dyDescent="0.2">
      <c r="A107" s="661"/>
      <c r="B107" s="661"/>
      <c r="C107" s="682"/>
      <c r="D107" s="683"/>
      <c r="E107" s="684"/>
      <c r="F107" s="661"/>
      <c r="G107" s="661"/>
    </row>
    <row r="108" spans="1:7" s="732" customFormat="1" ht="12" customHeight="1" x14ac:dyDescent="0.2">
      <c r="A108" s="661"/>
      <c r="B108" s="673"/>
      <c r="C108" s="674"/>
      <c r="D108" s="674"/>
      <c r="E108" s="674"/>
      <c r="F108" s="661"/>
      <c r="G108" s="661"/>
    </row>
    <row r="109" spans="1:7" s="732" customFormat="1" ht="12" customHeight="1" x14ac:dyDescent="0.2">
      <c r="A109" s="661"/>
      <c r="B109" s="673"/>
      <c r="C109" s="674"/>
      <c r="D109" s="674"/>
      <c r="E109" s="674"/>
      <c r="F109" s="661"/>
      <c r="G109" s="661"/>
    </row>
    <row r="110" spans="1:7" s="732" customFormat="1" ht="12" customHeight="1" x14ac:dyDescent="0.2">
      <c r="A110" s="661"/>
      <c r="B110" s="673"/>
      <c r="C110" s="674"/>
      <c r="D110" s="674"/>
      <c r="E110" s="674"/>
      <c r="F110" s="661"/>
      <c r="G110" s="661"/>
    </row>
    <row r="111" spans="1:7" s="732" customFormat="1" ht="12" customHeight="1" x14ac:dyDescent="0.2">
      <c r="A111" s="685"/>
      <c r="B111" s="685"/>
      <c r="C111" s="685"/>
      <c r="D111" s="685"/>
      <c r="E111" s="685"/>
      <c r="F111" s="685"/>
      <c r="G111" s="685"/>
    </row>
    <row r="112" spans="1:7" s="732" customFormat="1" ht="12" customHeight="1" x14ac:dyDescent="0.2">
      <c r="A112" s="685"/>
      <c r="B112" s="685"/>
      <c r="C112" s="685"/>
      <c r="D112" s="685"/>
      <c r="E112" s="685"/>
      <c r="F112" s="685"/>
      <c r="G112" s="685"/>
    </row>
    <row r="113" spans="1:7" s="732" customFormat="1" ht="12" customHeight="1" x14ac:dyDescent="0.2">
      <c r="A113" s="685"/>
      <c r="B113" s="685"/>
      <c r="C113" s="685"/>
      <c r="D113" s="685"/>
      <c r="E113" s="685"/>
      <c r="F113" s="685"/>
      <c r="G113" s="685"/>
    </row>
    <row r="114" spans="1:7" s="732" customFormat="1" ht="15" x14ac:dyDescent="0.2">
      <c r="A114" s="661"/>
      <c r="B114" s="673"/>
      <c r="C114" s="674"/>
      <c r="D114" s="674"/>
      <c r="E114" s="674"/>
      <c r="F114" s="661"/>
      <c r="G114" s="661"/>
    </row>
    <row r="115" spans="1:7" s="732" customFormat="1" ht="15" x14ac:dyDescent="0.2">
      <c r="A115" s="661"/>
      <c r="B115" s="673"/>
      <c r="C115" s="674"/>
      <c r="D115" s="674"/>
      <c r="E115" s="674"/>
      <c r="F115" s="661"/>
      <c r="G115" s="661"/>
    </row>
    <row r="116" spans="1:7" s="732" customFormat="1" ht="15" x14ac:dyDescent="0.2">
      <c r="A116" s="661"/>
      <c r="B116" s="673"/>
      <c r="C116" s="674"/>
      <c r="D116" s="674"/>
      <c r="E116" s="674"/>
      <c r="F116" s="661"/>
      <c r="G116" s="661"/>
    </row>
    <row r="117" spans="1:7" s="732" customFormat="1" ht="15" x14ac:dyDescent="0.2">
      <c r="A117" s="661"/>
      <c r="B117" s="673"/>
      <c r="C117" s="674"/>
      <c r="D117" s="674"/>
      <c r="E117" s="674"/>
      <c r="F117" s="661"/>
      <c r="G117" s="661"/>
    </row>
    <row r="118" spans="1:7" s="732" customFormat="1" ht="15" x14ac:dyDescent="0.2">
      <c r="A118" s="661"/>
      <c r="B118" s="673"/>
      <c r="C118" s="674"/>
      <c r="D118" s="674"/>
      <c r="E118" s="674"/>
      <c r="F118" s="661"/>
      <c r="G118" s="661"/>
    </row>
    <row r="119" spans="1:7" s="732" customFormat="1" ht="15" x14ac:dyDescent="0.2">
      <c r="A119" s="661"/>
      <c r="B119" s="673"/>
      <c r="C119" s="674"/>
      <c r="D119" s="674"/>
      <c r="E119" s="674"/>
      <c r="F119" s="661"/>
      <c r="G119" s="661"/>
    </row>
    <row r="120" spans="1:7" s="732" customFormat="1" ht="15" x14ac:dyDescent="0.2">
      <c r="A120" s="661"/>
      <c r="B120" s="673"/>
      <c r="C120" s="674"/>
      <c r="D120" s="674"/>
      <c r="E120" s="674"/>
      <c r="F120" s="661"/>
      <c r="G120" s="661"/>
    </row>
    <row r="121" spans="1:7" s="732" customFormat="1" ht="15" x14ac:dyDescent="0.2">
      <c r="A121" s="661"/>
      <c r="B121" s="673"/>
      <c r="C121" s="674"/>
      <c r="D121" s="674"/>
      <c r="E121" s="674"/>
      <c r="F121" s="661"/>
      <c r="G121" s="661"/>
    </row>
    <row r="122" spans="1:7" s="732" customFormat="1" ht="15" x14ac:dyDescent="0.2">
      <c r="A122" s="661"/>
      <c r="B122" s="673"/>
      <c r="C122" s="674"/>
      <c r="D122" s="674"/>
      <c r="E122" s="674"/>
      <c r="F122" s="661"/>
      <c r="G122" s="661"/>
    </row>
    <row r="123" spans="1:7" s="732" customFormat="1" ht="15" x14ac:dyDescent="0.2">
      <c r="A123" s="661"/>
      <c r="B123" s="673"/>
      <c r="C123" s="674"/>
      <c r="D123" s="674"/>
      <c r="E123" s="674"/>
      <c r="F123" s="661"/>
      <c r="G123" s="661"/>
    </row>
    <row r="124" spans="1:7" s="732" customFormat="1" ht="15" x14ac:dyDescent="0.2">
      <c r="A124" s="661"/>
      <c r="B124" s="673"/>
      <c r="C124" s="674"/>
      <c r="D124" s="674"/>
      <c r="E124" s="674"/>
      <c r="F124" s="661"/>
      <c r="G124" s="661"/>
    </row>
    <row r="125" spans="1:7" s="732" customFormat="1" ht="15" x14ac:dyDescent="0.2">
      <c r="A125" s="661"/>
      <c r="B125" s="673"/>
      <c r="C125" s="674"/>
      <c r="D125" s="674"/>
      <c r="E125" s="674"/>
      <c r="F125" s="661"/>
      <c r="G125" s="661"/>
    </row>
    <row r="126" spans="1:7" s="732" customFormat="1" ht="15" x14ac:dyDescent="0.2">
      <c r="A126" s="661"/>
      <c r="B126" s="673"/>
      <c r="C126" s="674"/>
      <c r="D126" s="674"/>
      <c r="E126" s="674"/>
      <c r="F126" s="661"/>
      <c r="G126" s="661"/>
    </row>
    <row r="127" spans="1:7" s="732" customFormat="1" ht="15" x14ac:dyDescent="0.2">
      <c r="A127" s="661"/>
      <c r="B127" s="673"/>
      <c r="C127" s="674"/>
      <c r="D127" s="674"/>
      <c r="E127" s="674"/>
      <c r="F127" s="661"/>
      <c r="G127" s="661"/>
    </row>
    <row r="128" spans="1:7" s="732" customFormat="1" ht="15" x14ac:dyDescent="0.2">
      <c r="A128" s="661"/>
      <c r="B128" s="673"/>
      <c r="C128" s="674"/>
      <c r="D128" s="674"/>
      <c r="E128" s="674"/>
      <c r="F128" s="661"/>
      <c r="G128" s="661"/>
    </row>
    <row r="129" spans="1:7" s="732" customFormat="1" ht="15" x14ac:dyDescent="0.2">
      <c r="A129" s="661"/>
      <c r="B129" s="673"/>
      <c r="C129" s="674"/>
      <c r="D129" s="674"/>
      <c r="E129" s="674"/>
      <c r="F129" s="661"/>
      <c r="G129" s="661"/>
    </row>
    <row r="130" spans="1:7" s="732" customFormat="1" ht="15" x14ac:dyDescent="0.2">
      <c r="A130" s="661"/>
      <c r="B130" s="673"/>
      <c r="C130" s="674"/>
      <c r="D130" s="674"/>
      <c r="E130" s="674"/>
      <c r="F130" s="661"/>
      <c r="G130" s="661"/>
    </row>
    <row r="131" spans="1:7" s="732" customFormat="1" ht="15" x14ac:dyDescent="0.2">
      <c r="A131" s="661"/>
      <c r="B131" s="673"/>
      <c r="C131" s="674"/>
      <c r="D131" s="674"/>
      <c r="E131" s="674"/>
      <c r="F131" s="661"/>
      <c r="G131" s="661"/>
    </row>
    <row r="132" spans="1:7" s="732" customFormat="1" ht="15" x14ac:dyDescent="0.2">
      <c r="A132" s="661"/>
      <c r="B132" s="673"/>
      <c r="C132" s="674"/>
      <c r="D132" s="674"/>
      <c r="E132" s="674"/>
      <c r="F132" s="661"/>
      <c r="G132" s="661"/>
    </row>
    <row r="133" spans="1:7" s="732" customFormat="1" ht="15" x14ac:dyDescent="0.2">
      <c r="A133" s="661"/>
      <c r="B133" s="673"/>
      <c r="C133" s="674"/>
      <c r="D133" s="674"/>
      <c r="E133" s="674"/>
      <c r="F133" s="661"/>
      <c r="G133" s="661"/>
    </row>
    <row r="134" spans="1:7" s="732" customFormat="1" ht="15" x14ac:dyDescent="0.2">
      <c r="A134" s="661"/>
      <c r="B134" s="673"/>
      <c r="C134" s="674"/>
      <c r="D134" s="674"/>
      <c r="E134" s="674"/>
      <c r="F134" s="661"/>
      <c r="G134" s="661"/>
    </row>
    <row r="135" spans="1:7" s="732" customFormat="1" ht="15" x14ac:dyDescent="0.2">
      <c r="A135" s="661"/>
      <c r="B135" s="673"/>
      <c r="C135" s="674"/>
      <c r="D135" s="674"/>
      <c r="E135" s="674"/>
      <c r="F135" s="661"/>
      <c r="G135" s="661"/>
    </row>
    <row r="136" spans="1:7" s="732" customFormat="1" ht="15" x14ac:dyDescent="0.2">
      <c r="A136" s="661"/>
      <c r="B136" s="673"/>
      <c r="C136" s="674"/>
      <c r="D136" s="674"/>
      <c r="E136" s="674"/>
      <c r="F136" s="661"/>
      <c r="G136" s="661"/>
    </row>
    <row r="137" spans="1:7" s="732" customFormat="1" ht="15" x14ac:dyDescent="0.2">
      <c r="A137" s="661"/>
      <c r="B137" s="673"/>
      <c r="C137" s="674"/>
      <c r="D137" s="674"/>
      <c r="E137" s="674"/>
      <c r="F137" s="661"/>
      <c r="G137" s="661"/>
    </row>
    <row r="138" spans="1:7" s="732" customFormat="1" ht="15" x14ac:dyDescent="0.2">
      <c r="A138" s="661"/>
      <c r="B138" s="673"/>
      <c r="C138" s="674"/>
      <c r="D138" s="674"/>
      <c r="E138" s="674"/>
      <c r="F138" s="661"/>
      <c r="G138" s="661"/>
    </row>
    <row r="139" spans="1:7" s="732" customFormat="1" ht="15" x14ac:dyDescent="0.2">
      <c r="A139" s="661"/>
      <c r="B139" s="673"/>
      <c r="C139" s="674"/>
      <c r="D139" s="674"/>
      <c r="E139" s="674"/>
      <c r="F139" s="661"/>
      <c r="G139" s="661"/>
    </row>
    <row r="140" spans="1:7" s="732" customFormat="1" ht="15" x14ac:dyDescent="0.2">
      <c r="A140" s="661"/>
      <c r="B140" s="673"/>
      <c r="C140" s="674"/>
      <c r="D140" s="674"/>
      <c r="E140" s="674"/>
      <c r="F140" s="661"/>
      <c r="G140" s="661"/>
    </row>
    <row r="141" spans="1:7" s="732" customFormat="1" ht="15" x14ac:dyDescent="0.2">
      <c r="A141" s="661"/>
      <c r="B141" s="673"/>
      <c r="C141" s="674"/>
      <c r="D141" s="674"/>
      <c r="E141" s="674"/>
      <c r="F141" s="661"/>
      <c r="G141" s="661"/>
    </row>
    <row r="142" spans="1:7" s="732" customFormat="1" ht="15" x14ac:dyDescent="0.2">
      <c r="A142" s="661"/>
      <c r="B142" s="673"/>
      <c r="C142" s="674"/>
      <c r="D142" s="674"/>
      <c r="E142" s="674"/>
      <c r="F142" s="661"/>
      <c r="G142" s="661"/>
    </row>
    <row r="143" spans="1:7" s="732" customFormat="1" ht="15" x14ac:dyDescent="0.2">
      <c r="A143" s="661"/>
      <c r="B143" s="673"/>
      <c r="C143" s="674"/>
      <c r="D143" s="674"/>
      <c r="E143" s="674"/>
      <c r="F143" s="661"/>
      <c r="G143" s="661"/>
    </row>
    <row r="144" spans="1:7" s="732" customFormat="1" ht="15" x14ac:dyDescent="0.2">
      <c r="A144" s="661"/>
      <c r="B144" s="673"/>
      <c r="C144" s="674"/>
      <c r="D144" s="674"/>
      <c r="E144" s="674"/>
      <c r="F144" s="661"/>
      <c r="G144" s="661"/>
    </row>
    <row r="145" spans="1:7" s="732" customFormat="1" ht="15" x14ac:dyDescent="0.2">
      <c r="A145" s="661"/>
      <c r="B145" s="673"/>
      <c r="C145" s="674"/>
      <c r="D145" s="674"/>
      <c r="E145" s="674"/>
      <c r="F145" s="661"/>
      <c r="G145" s="661"/>
    </row>
    <row r="146" spans="1:7" s="732" customFormat="1" ht="15" x14ac:dyDescent="0.2">
      <c r="A146" s="661"/>
      <c r="B146" s="673"/>
      <c r="C146" s="674"/>
      <c r="D146" s="674"/>
      <c r="E146" s="674"/>
      <c r="F146" s="661"/>
      <c r="G146" s="661"/>
    </row>
    <row r="147" spans="1:7" s="732" customFormat="1" ht="15" x14ac:dyDescent="0.2">
      <c r="A147" s="661"/>
      <c r="B147" s="673"/>
      <c r="C147" s="674"/>
      <c r="D147" s="674"/>
      <c r="E147" s="674"/>
      <c r="F147" s="661"/>
      <c r="G147" s="661"/>
    </row>
    <row r="148" spans="1:7" s="732" customFormat="1" ht="15" x14ac:dyDescent="0.2">
      <c r="A148" s="661"/>
      <c r="B148" s="673"/>
      <c r="C148" s="674"/>
      <c r="D148" s="674"/>
      <c r="E148" s="674"/>
      <c r="F148" s="661"/>
      <c r="G148" s="661"/>
    </row>
  </sheetData>
  <mergeCells count="72">
    <mergeCell ref="A106:E106"/>
    <mergeCell ref="F106:G106"/>
    <mergeCell ref="A101:B101"/>
    <mergeCell ref="C101:D101"/>
    <mergeCell ref="F101:G101"/>
    <mergeCell ref="A105:E105"/>
    <mergeCell ref="F105:G105"/>
    <mergeCell ref="A102:B102"/>
    <mergeCell ref="C102:D102"/>
    <mergeCell ref="F102:G102"/>
    <mergeCell ref="A103:B103"/>
    <mergeCell ref="C103:D103"/>
    <mergeCell ref="F103:G103"/>
    <mergeCell ref="A104:B104"/>
    <mergeCell ref="C104:D104"/>
    <mergeCell ref="F104:G104"/>
    <mergeCell ref="A97:G97"/>
    <mergeCell ref="A99:B99"/>
    <mergeCell ref="C99:D99"/>
    <mergeCell ref="F99:G99"/>
    <mergeCell ref="A100:B100"/>
    <mergeCell ref="C100:D100"/>
    <mergeCell ref="F100:G100"/>
    <mergeCell ref="A87:F87"/>
    <mergeCell ref="A71:B71"/>
    <mergeCell ref="C71:D71"/>
    <mergeCell ref="F71:G71"/>
    <mergeCell ref="A72:B72"/>
    <mergeCell ref="C72:D72"/>
    <mergeCell ref="F72:G72"/>
    <mergeCell ref="A73:E73"/>
    <mergeCell ref="F73:G73"/>
    <mergeCell ref="A76:A77"/>
    <mergeCell ref="A80:F80"/>
    <mergeCell ref="A83:A84"/>
    <mergeCell ref="A69:B70"/>
    <mergeCell ref="C69:D69"/>
    <mergeCell ref="F69:G69"/>
    <mergeCell ref="C70:D70"/>
    <mergeCell ref="F70:G70"/>
    <mergeCell ref="F22:G22"/>
    <mergeCell ref="A23:B23"/>
    <mergeCell ref="F23:G23"/>
    <mergeCell ref="A24:E24"/>
    <mergeCell ref="F24:G24"/>
    <mergeCell ref="A94:E94"/>
    <mergeCell ref="F94:G94"/>
    <mergeCell ref="A2:G2"/>
    <mergeCell ref="A3:G3"/>
    <mergeCell ref="A15:G15"/>
    <mergeCell ref="A17:G17"/>
    <mergeCell ref="A4:G4"/>
    <mergeCell ref="A5:G5"/>
    <mergeCell ref="C22:D22"/>
    <mergeCell ref="C23:D23"/>
    <mergeCell ref="A20:B21"/>
    <mergeCell ref="C20:D20"/>
    <mergeCell ref="F20:G20"/>
    <mergeCell ref="C21:D21"/>
    <mergeCell ref="F21:G21"/>
    <mergeCell ref="A22:B22"/>
    <mergeCell ref="A92:B92"/>
    <mergeCell ref="C92:D92"/>
    <mergeCell ref="F92:G92"/>
    <mergeCell ref="A93:B93"/>
    <mergeCell ref="C93:D93"/>
    <mergeCell ref="F93:G93"/>
    <mergeCell ref="A90:B91"/>
    <mergeCell ref="C90:D90"/>
    <mergeCell ref="F90:G90"/>
    <mergeCell ref="C91:D91"/>
    <mergeCell ref="F91:G91"/>
  </mergeCells>
  <printOptions horizontalCentered="1"/>
  <pageMargins left="0.51181102362204722" right="0.51181102362204722" top="0.70866141732283472" bottom="0.23622047244094491" header="0.19685039370078741" footer="0.15748031496062992"/>
  <pageSetup paperSize="9" scale="56" fitToHeight="0" orientation="portrait" r:id="rId1"/>
  <headerFooter>
    <oddHeader xml:space="preserve">&amp;L&amp;"Cambria,Negrito"&amp;8PROPOSTA Nº </oddHeader>
  </headerFooter>
  <rowBreaks count="1" manualBreakCount="1">
    <brk id="108" max="6" man="1"/>
  </rowBreaks>
  <ignoredErrors>
    <ignoredError sqref="D71 D72 A22:B22 A68:G70 A23:B23 A72:C72 E72:G72 A71:C71 E71:G71 E22:E23 D22 D23 C22 C23 G22 G23 C85:G86 A24:G25" unlockedFormula="1"/>
  </ignoredErrors>
</worksheet>
</file>

<file path=xl/worksheets/sheet2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tabColor theme="0"/>
    <pageSetUpPr fitToPage="1"/>
  </sheetPr>
  <dimension ref="A1:K105"/>
  <sheetViews>
    <sheetView view="pageBreakPreview" topLeftCell="A44" zoomScale="80" zoomScaleNormal="100" zoomScaleSheetLayoutView="80" workbookViewId="0">
      <selection activeCell="M72" sqref="M72"/>
    </sheetView>
  </sheetViews>
  <sheetFormatPr defaultColWidth="9" defaultRowHeight="14.25" x14ac:dyDescent="0.2"/>
  <cols>
    <col min="1" max="1" width="80.5703125" style="1158" customWidth="1"/>
    <col min="2" max="2" width="13.85546875" style="1107" customWidth="1"/>
    <col min="3" max="3" width="11.5703125" style="1107" customWidth="1"/>
    <col min="4" max="5" width="13.85546875" style="1108" customWidth="1"/>
    <col min="6" max="6" width="11.7109375" style="1158" hidden="1" customWidth="1"/>
    <col min="7" max="7" width="12.42578125" style="1197" hidden="1" customWidth="1"/>
    <col min="8" max="8" width="9" style="1158" hidden="1" customWidth="1"/>
    <col min="9" max="12" width="0" style="1158" hidden="1" customWidth="1"/>
    <col min="13" max="16384" width="9" style="1158"/>
  </cols>
  <sheetData>
    <row r="1" spans="1:11" hidden="1" x14ac:dyDescent="0.2"/>
    <row r="2" spans="1:11" x14ac:dyDescent="0.2">
      <c r="A2" s="1784" t="str">
        <f>Dados!A5</f>
        <v>CONSELHO DA JUSTIÇA FEDERAL – CJF</v>
      </c>
      <c r="B2" s="1784"/>
      <c r="C2" s="1784"/>
      <c r="D2" s="1784"/>
      <c r="E2" s="1784"/>
    </row>
    <row r="3" spans="1:11" x14ac:dyDescent="0.2">
      <c r="A3" s="1784" t="str">
        <f>Dados!A9</f>
        <v>PREGÃO ELETRÔNICO Nº32/2021-CJF</v>
      </c>
      <c r="B3" s="1784"/>
      <c r="C3" s="1784"/>
      <c r="D3" s="1784"/>
      <c r="E3" s="1784"/>
    </row>
    <row r="4" spans="1:11" x14ac:dyDescent="0.2">
      <c r="A4" s="1159"/>
      <c r="B4" s="1159"/>
      <c r="C4" s="1159"/>
      <c r="D4" s="1159"/>
      <c r="E4" s="1159"/>
    </row>
    <row r="6" spans="1:11" ht="19.899999999999999" customHeight="1" x14ac:dyDescent="0.2">
      <c r="A6" s="1787" t="s">
        <v>1344</v>
      </c>
      <c r="B6" s="1787"/>
      <c r="C6" s="1787"/>
      <c r="D6" s="1787"/>
      <c r="E6" s="1787"/>
    </row>
    <row r="7" spans="1:11" x14ac:dyDescent="0.2">
      <c r="A7" s="1788" t="s">
        <v>1469</v>
      </c>
      <c r="B7" s="1788"/>
      <c r="C7" s="1788"/>
      <c r="D7" s="1788"/>
      <c r="E7" s="1788"/>
    </row>
    <row r="8" spans="1:11" ht="28.5" x14ac:dyDescent="0.2">
      <c r="A8" s="1109" t="s">
        <v>1345</v>
      </c>
      <c r="B8" s="1109" t="s">
        <v>1346</v>
      </c>
      <c r="C8" s="1109" t="s">
        <v>1347</v>
      </c>
      <c r="D8" s="1109" t="s">
        <v>79</v>
      </c>
      <c r="E8" s="1109" t="s">
        <v>1348</v>
      </c>
      <c r="F8" s="1158" t="s">
        <v>1310</v>
      </c>
      <c r="G8" s="1197" t="s">
        <v>1403</v>
      </c>
    </row>
    <row r="9" spans="1:11" ht="57" x14ac:dyDescent="0.2">
      <c r="A9" s="1110" t="s">
        <v>1349</v>
      </c>
      <c r="B9" s="1111">
        <v>2</v>
      </c>
      <c r="C9" s="1111">
        <f t="shared" ref="C9:C14" si="0">2*B9</f>
        <v>4</v>
      </c>
      <c r="D9" s="1112">
        <f>G9*Dados!$I$63</f>
        <v>20.52</v>
      </c>
      <c r="E9" s="1112">
        <f>C9*D9</f>
        <v>82.08</v>
      </c>
      <c r="F9" s="1112">
        <v>100</v>
      </c>
      <c r="G9" s="1198">
        <v>171</v>
      </c>
    </row>
    <row r="10" spans="1:11" ht="28.5" x14ac:dyDescent="0.2">
      <c r="A10" s="1110" t="s">
        <v>1350</v>
      </c>
      <c r="B10" s="1111">
        <v>4</v>
      </c>
      <c r="C10" s="1111">
        <f t="shared" si="0"/>
        <v>8</v>
      </c>
      <c r="D10" s="1112">
        <f>G10*Dados!$I$63</f>
        <v>4.4400000000000004</v>
      </c>
      <c r="E10" s="1112">
        <f>C10*D10</f>
        <v>35.520000000000003</v>
      </c>
      <c r="F10" s="1112">
        <v>30</v>
      </c>
      <c r="G10" s="1198">
        <v>37</v>
      </c>
      <c r="K10" s="1158">
        <f>Dados!U28</f>
        <v>0</v>
      </c>
    </row>
    <row r="11" spans="1:11" x14ac:dyDescent="0.2">
      <c r="A11" s="1110" t="s">
        <v>1351</v>
      </c>
      <c r="B11" s="1111">
        <v>1</v>
      </c>
      <c r="C11" s="1111">
        <f t="shared" si="0"/>
        <v>2</v>
      </c>
      <c r="D11" s="1112">
        <f>G11*Dados!$I$63</f>
        <v>1.08</v>
      </c>
      <c r="E11" s="1112">
        <f t="shared" ref="E11:E14" si="1">C11*D11</f>
        <v>2.16</v>
      </c>
      <c r="F11" s="1112">
        <v>10</v>
      </c>
      <c r="G11" s="1198">
        <v>9</v>
      </c>
    </row>
    <row r="12" spans="1:11" x14ac:dyDescent="0.2">
      <c r="A12" s="1110" t="s">
        <v>1352</v>
      </c>
      <c r="B12" s="1111">
        <v>1</v>
      </c>
      <c r="C12" s="1111">
        <f t="shared" si="0"/>
        <v>2</v>
      </c>
      <c r="D12" s="1112">
        <f>G12*Dados!$I$63</f>
        <v>1.08</v>
      </c>
      <c r="E12" s="1112">
        <f t="shared" si="1"/>
        <v>2.16</v>
      </c>
      <c r="F12" s="1112">
        <v>10</v>
      </c>
      <c r="G12" s="1198">
        <v>9</v>
      </c>
    </row>
    <row r="13" spans="1:11" x14ac:dyDescent="0.2">
      <c r="A13" s="1110" t="s">
        <v>1353</v>
      </c>
      <c r="B13" s="1111">
        <v>4</v>
      </c>
      <c r="C13" s="1111">
        <f t="shared" si="0"/>
        <v>8</v>
      </c>
      <c r="D13" s="1112">
        <f>G13*Dados!$I$63</f>
        <v>0.18</v>
      </c>
      <c r="E13" s="1112">
        <f>C13*D13</f>
        <v>1.44</v>
      </c>
      <c r="F13" s="1112">
        <v>5</v>
      </c>
      <c r="G13" s="1198">
        <v>1.5</v>
      </c>
    </row>
    <row r="14" spans="1:11" ht="28.5" x14ac:dyDescent="0.2">
      <c r="A14" s="1110" t="s">
        <v>1354</v>
      </c>
      <c r="B14" s="1111">
        <v>2</v>
      </c>
      <c r="C14" s="1111">
        <f t="shared" si="0"/>
        <v>4</v>
      </c>
      <c r="D14" s="1112">
        <f>G14*Dados!$I$63</f>
        <v>6.46</v>
      </c>
      <c r="E14" s="1112">
        <f t="shared" si="1"/>
        <v>25.84</v>
      </c>
      <c r="F14" s="1112">
        <v>45</v>
      </c>
      <c r="G14" s="1198">
        <v>53.8</v>
      </c>
    </row>
    <row r="15" spans="1:11" x14ac:dyDescent="0.2">
      <c r="A15" s="1788" t="s">
        <v>805</v>
      </c>
      <c r="B15" s="1788"/>
      <c r="C15" s="1788"/>
      <c r="D15" s="1788"/>
      <c r="E15" s="1113">
        <f>SUM(E9:E14)</f>
        <v>149.19999999999999</v>
      </c>
    </row>
    <row r="16" spans="1:11" x14ac:dyDescent="0.2">
      <c r="A16" s="1788" t="s">
        <v>1355</v>
      </c>
      <c r="B16" s="1788"/>
      <c r="C16" s="1788"/>
      <c r="D16" s="1788"/>
      <c r="E16" s="1113">
        <f>E15/12</f>
        <v>12.43</v>
      </c>
    </row>
    <row r="17" spans="1:7" x14ac:dyDescent="0.2">
      <c r="B17" s="1158"/>
      <c r="C17" s="1158"/>
      <c r="D17" s="1158"/>
      <c r="E17" s="1158"/>
    </row>
    <row r="18" spans="1:7" s="1233" customFormat="1" x14ac:dyDescent="0.2">
      <c r="A18" s="1788" t="s">
        <v>1468</v>
      </c>
      <c r="B18" s="1788"/>
      <c r="C18" s="1788"/>
      <c r="D18" s="1788"/>
      <c r="E18" s="1788"/>
      <c r="G18" s="1197"/>
    </row>
    <row r="19" spans="1:7" s="1233" customFormat="1" ht="28.5" x14ac:dyDescent="0.2">
      <c r="A19" s="1109" t="s">
        <v>1345</v>
      </c>
      <c r="B19" s="1109" t="s">
        <v>1346</v>
      </c>
      <c r="C19" s="1109" t="s">
        <v>1347</v>
      </c>
      <c r="D19" s="1109" t="s">
        <v>79</v>
      </c>
      <c r="E19" s="1109" t="s">
        <v>1348</v>
      </c>
      <c r="F19" s="1233" t="s">
        <v>1310</v>
      </c>
      <c r="G19" s="1197" t="s">
        <v>1403</v>
      </c>
    </row>
    <row r="20" spans="1:7" s="1233" customFormat="1" ht="57" x14ac:dyDescent="0.2">
      <c r="A20" s="1110" t="s">
        <v>1349</v>
      </c>
      <c r="B20" s="1111">
        <v>2</v>
      </c>
      <c r="C20" s="1111">
        <f t="shared" ref="C20:C25" si="2">2*B20</f>
        <v>4</v>
      </c>
      <c r="D20" s="1112">
        <f>G20*Dados!$I$70</f>
        <v>115.44</v>
      </c>
      <c r="E20" s="1112">
        <f>C20*D20</f>
        <v>461.76</v>
      </c>
      <c r="F20" s="1112">
        <v>100</v>
      </c>
      <c r="G20" s="1198">
        <v>148</v>
      </c>
    </row>
    <row r="21" spans="1:7" s="1233" customFormat="1" ht="28.5" x14ac:dyDescent="0.2">
      <c r="A21" s="1110" t="s">
        <v>1350</v>
      </c>
      <c r="B21" s="1111">
        <v>4</v>
      </c>
      <c r="C21" s="1111">
        <f t="shared" si="2"/>
        <v>8</v>
      </c>
      <c r="D21" s="1112">
        <f>G21*Dados!$I$70</f>
        <v>28.86</v>
      </c>
      <c r="E21" s="1112">
        <f>C21*D21</f>
        <v>230.88</v>
      </c>
      <c r="F21" s="1112">
        <v>30</v>
      </c>
      <c r="G21" s="1198">
        <v>37</v>
      </c>
    </row>
    <row r="22" spans="1:7" s="1233" customFormat="1" x14ac:dyDescent="0.2">
      <c r="A22" s="1110" t="s">
        <v>1351</v>
      </c>
      <c r="B22" s="1111">
        <v>1</v>
      </c>
      <c r="C22" s="1111">
        <f t="shared" si="2"/>
        <v>2</v>
      </c>
      <c r="D22" s="1112">
        <f>G22*Dados!$I$70</f>
        <v>7.02</v>
      </c>
      <c r="E22" s="1112">
        <f t="shared" ref="E22:E23" si="3">C22*D22</f>
        <v>14.04</v>
      </c>
      <c r="F22" s="1112">
        <v>10</v>
      </c>
      <c r="G22" s="1198">
        <v>9</v>
      </c>
    </row>
    <row r="23" spans="1:7" s="1233" customFormat="1" x14ac:dyDescent="0.2">
      <c r="A23" s="1110" t="s">
        <v>1352</v>
      </c>
      <c r="B23" s="1111">
        <v>1</v>
      </c>
      <c r="C23" s="1111">
        <f t="shared" si="2"/>
        <v>2</v>
      </c>
      <c r="D23" s="1112">
        <f>G23*Dados!$I$70</f>
        <v>7.02</v>
      </c>
      <c r="E23" s="1112">
        <f t="shared" si="3"/>
        <v>14.04</v>
      </c>
      <c r="F23" s="1112">
        <v>10</v>
      </c>
      <c r="G23" s="1198">
        <v>9</v>
      </c>
    </row>
    <row r="24" spans="1:7" s="1233" customFormat="1" x14ac:dyDescent="0.2">
      <c r="A24" s="1110" t="s">
        <v>1353</v>
      </c>
      <c r="B24" s="1111">
        <v>4</v>
      </c>
      <c r="C24" s="1111">
        <f t="shared" si="2"/>
        <v>8</v>
      </c>
      <c r="D24" s="1112">
        <f>G24*Dados!$I$70</f>
        <v>1.17</v>
      </c>
      <c r="E24" s="1112">
        <f>C24*D24</f>
        <v>9.36</v>
      </c>
      <c r="F24" s="1112">
        <v>5</v>
      </c>
      <c r="G24" s="1198">
        <v>1.5</v>
      </c>
    </row>
    <row r="25" spans="1:7" s="1233" customFormat="1" ht="28.5" x14ac:dyDescent="0.2">
      <c r="A25" s="1110" t="s">
        <v>1354</v>
      </c>
      <c r="B25" s="1111">
        <v>2</v>
      </c>
      <c r="C25" s="1111">
        <f t="shared" si="2"/>
        <v>4</v>
      </c>
      <c r="D25" s="1112">
        <f>G25*Dados!$I$70</f>
        <v>41.96</v>
      </c>
      <c r="E25" s="1112">
        <f t="shared" ref="E25" si="4">C25*D25</f>
        <v>167.84</v>
      </c>
      <c r="F25" s="1112">
        <v>45</v>
      </c>
      <c r="G25" s="1198">
        <v>53.8</v>
      </c>
    </row>
    <row r="26" spans="1:7" s="1233" customFormat="1" x14ac:dyDescent="0.2">
      <c r="A26" s="1788" t="s">
        <v>805</v>
      </c>
      <c r="B26" s="1788"/>
      <c r="C26" s="1788"/>
      <c r="D26" s="1788"/>
      <c r="E26" s="1113">
        <f>SUM(E20:E25)</f>
        <v>897.92</v>
      </c>
      <c r="G26" s="1197"/>
    </row>
    <row r="27" spans="1:7" s="1233" customFormat="1" x14ac:dyDescent="0.2">
      <c r="A27" s="1788" t="s">
        <v>1355</v>
      </c>
      <c r="B27" s="1788"/>
      <c r="C27" s="1788"/>
      <c r="D27" s="1788"/>
      <c r="E27" s="1113">
        <f>E26/12</f>
        <v>74.83</v>
      </c>
      <c r="G27" s="1197"/>
    </row>
    <row r="28" spans="1:7" s="1233" customFormat="1" x14ac:dyDescent="0.2">
      <c r="G28" s="1197"/>
    </row>
    <row r="29" spans="1:7" s="1233" customFormat="1" x14ac:dyDescent="0.2">
      <c r="A29" s="1788" t="s">
        <v>1452</v>
      </c>
      <c r="B29" s="1788"/>
      <c r="C29" s="1788"/>
      <c r="D29" s="1788"/>
      <c r="E29" s="1788"/>
      <c r="F29" s="1213"/>
      <c r="G29" s="1197"/>
    </row>
    <row r="30" spans="1:7" s="1233" customFormat="1" ht="28.5" x14ac:dyDescent="0.2">
      <c r="A30" s="1109" t="s">
        <v>1345</v>
      </c>
      <c r="B30" s="1109" t="s">
        <v>1346</v>
      </c>
      <c r="C30" s="1109" t="s">
        <v>1347</v>
      </c>
      <c r="D30" s="1109" t="s">
        <v>79</v>
      </c>
      <c r="E30" s="1109" t="s">
        <v>1348</v>
      </c>
      <c r="F30" s="1213" t="s">
        <v>1310</v>
      </c>
      <c r="G30" s="1197" t="s">
        <v>1403</v>
      </c>
    </row>
    <row r="31" spans="1:7" s="1233" customFormat="1" ht="57" x14ac:dyDescent="0.2">
      <c r="A31" s="1110" t="s">
        <v>1349</v>
      </c>
      <c r="B31" s="1111">
        <v>2</v>
      </c>
      <c r="C31" s="1111">
        <f t="shared" ref="C31:C36" si="5">2*B31</f>
        <v>4</v>
      </c>
      <c r="D31" s="1112">
        <f>G31*Dados!$I$68</f>
        <v>118.73</v>
      </c>
      <c r="E31" s="1112">
        <f>C31*D31</f>
        <v>474.92</v>
      </c>
      <c r="F31" s="1112">
        <v>100</v>
      </c>
      <c r="G31" s="1198">
        <v>148.41</v>
      </c>
    </row>
    <row r="32" spans="1:7" s="1233" customFormat="1" ht="28.5" x14ac:dyDescent="0.2">
      <c r="A32" s="1110" t="s">
        <v>1350</v>
      </c>
      <c r="B32" s="1111">
        <v>4</v>
      </c>
      <c r="C32" s="1111">
        <f t="shared" si="5"/>
        <v>8</v>
      </c>
      <c r="D32" s="1112">
        <f>G32*Dados!$I$68</f>
        <v>29.6</v>
      </c>
      <c r="E32" s="1112">
        <f>C32*D32</f>
        <v>236.8</v>
      </c>
      <c r="F32" s="1112">
        <v>30</v>
      </c>
      <c r="G32" s="1198">
        <v>37</v>
      </c>
    </row>
    <row r="33" spans="1:11" s="1233" customFormat="1" x14ac:dyDescent="0.2">
      <c r="A33" s="1110" t="s">
        <v>1351</v>
      </c>
      <c r="B33" s="1111">
        <v>1</v>
      </c>
      <c r="C33" s="1111">
        <f t="shared" si="5"/>
        <v>2</v>
      </c>
      <c r="D33" s="1112">
        <f>G33*Dados!$I$68</f>
        <v>7.2</v>
      </c>
      <c r="E33" s="1112">
        <f t="shared" ref="E33:E34" si="6">C33*D33</f>
        <v>14.4</v>
      </c>
      <c r="F33" s="1112">
        <v>10</v>
      </c>
      <c r="G33" s="1198">
        <v>9</v>
      </c>
    </row>
    <row r="34" spans="1:11" s="1233" customFormat="1" x14ac:dyDescent="0.2">
      <c r="A34" s="1110" t="s">
        <v>1352</v>
      </c>
      <c r="B34" s="1111">
        <v>1</v>
      </c>
      <c r="C34" s="1111">
        <f t="shared" si="5"/>
        <v>2</v>
      </c>
      <c r="D34" s="1112">
        <f>G34*Dados!$I$68</f>
        <v>7.2</v>
      </c>
      <c r="E34" s="1112">
        <f t="shared" si="6"/>
        <v>14.4</v>
      </c>
      <c r="F34" s="1112">
        <v>10</v>
      </c>
      <c r="G34" s="1198">
        <v>9</v>
      </c>
      <c r="K34" s="1233">
        <f>Dados!U42</f>
        <v>0</v>
      </c>
    </row>
    <row r="35" spans="1:11" s="1233" customFormat="1" x14ac:dyDescent="0.2">
      <c r="A35" s="1110" t="s">
        <v>1353</v>
      </c>
      <c r="B35" s="1111">
        <v>4</v>
      </c>
      <c r="C35" s="1111">
        <f t="shared" si="5"/>
        <v>8</v>
      </c>
      <c r="D35" s="1112">
        <f>G35*Dados!$I$68</f>
        <v>1.2</v>
      </c>
      <c r="E35" s="1112">
        <f>C35*D35</f>
        <v>9.6</v>
      </c>
      <c r="F35" s="1112">
        <v>5</v>
      </c>
      <c r="G35" s="1198">
        <v>1.5</v>
      </c>
    </row>
    <row r="36" spans="1:11" s="1233" customFormat="1" ht="28.5" x14ac:dyDescent="0.2">
      <c r="A36" s="1110" t="s">
        <v>1354</v>
      </c>
      <c r="B36" s="1111">
        <v>2</v>
      </c>
      <c r="C36" s="1111">
        <f t="shared" si="5"/>
        <v>4</v>
      </c>
      <c r="D36" s="1112">
        <f>G36*Dados!$I$68</f>
        <v>43.04</v>
      </c>
      <c r="E36" s="1112">
        <f t="shared" ref="E36" si="7">C36*D36</f>
        <v>172.16</v>
      </c>
      <c r="F36" s="1112">
        <v>45</v>
      </c>
      <c r="G36" s="1198">
        <v>53.8</v>
      </c>
    </row>
    <row r="37" spans="1:11" s="1233" customFormat="1" x14ac:dyDescent="0.2">
      <c r="A37" s="1788" t="s">
        <v>805</v>
      </c>
      <c r="B37" s="1788"/>
      <c r="C37" s="1788"/>
      <c r="D37" s="1788"/>
      <c r="E37" s="1113">
        <f>SUM(E31:E36)</f>
        <v>922.28</v>
      </c>
      <c r="F37" s="1213"/>
      <c r="G37" s="1197"/>
    </row>
    <row r="38" spans="1:11" s="1233" customFormat="1" x14ac:dyDescent="0.2">
      <c r="A38" s="1788" t="s">
        <v>1355</v>
      </c>
      <c r="B38" s="1788"/>
      <c r="C38" s="1788"/>
      <c r="D38" s="1788"/>
      <c r="E38" s="1113">
        <f>E37/12</f>
        <v>76.86</v>
      </c>
      <c r="F38" s="1213"/>
      <c r="G38" s="1197"/>
    </row>
    <row r="39" spans="1:11" s="1233" customFormat="1" x14ac:dyDescent="0.2">
      <c r="G39" s="1197"/>
    </row>
    <row r="40" spans="1:11" s="1233" customFormat="1" x14ac:dyDescent="0.2">
      <c r="A40" s="1788" t="s">
        <v>1471</v>
      </c>
      <c r="B40" s="1788"/>
      <c r="C40" s="1788"/>
      <c r="D40" s="1788"/>
      <c r="E40" s="1788"/>
      <c r="G40" s="1197"/>
    </row>
    <row r="41" spans="1:11" s="1233" customFormat="1" ht="28.5" x14ac:dyDescent="0.2">
      <c r="A41" s="1109" t="s">
        <v>1345</v>
      </c>
      <c r="B41" s="1109" t="s">
        <v>1346</v>
      </c>
      <c r="C41" s="1109" t="s">
        <v>1347</v>
      </c>
      <c r="D41" s="1109" t="s">
        <v>79</v>
      </c>
      <c r="E41" s="1109" t="s">
        <v>1348</v>
      </c>
      <c r="F41" s="1233" t="s">
        <v>1310</v>
      </c>
      <c r="G41" s="1197" t="s">
        <v>1403</v>
      </c>
    </row>
    <row r="42" spans="1:11" s="1233" customFormat="1" ht="57" x14ac:dyDescent="0.2">
      <c r="A42" s="1110" t="s">
        <v>1349</v>
      </c>
      <c r="B42" s="1111">
        <v>2</v>
      </c>
      <c r="C42" s="1111">
        <f t="shared" ref="C42:C47" si="8">2*B42</f>
        <v>4</v>
      </c>
      <c r="D42" s="1112">
        <f>G42*Dados!$I$69</f>
        <v>72.48</v>
      </c>
      <c r="E42" s="1112">
        <f>C42*D42</f>
        <v>289.92</v>
      </c>
      <c r="F42" s="1112">
        <v>100</v>
      </c>
      <c r="G42" s="1198">
        <v>151</v>
      </c>
    </row>
    <row r="43" spans="1:11" s="1233" customFormat="1" ht="28.5" x14ac:dyDescent="0.2">
      <c r="A43" s="1110" t="s">
        <v>1350</v>
      </c>
      <c r="B43" s="1111">
        <v>4</v>
      </c>
      <c r="C43" s="1111">
        <f t="shared" si="8"/>
        <v>8</v>
      </c>
      <c r="D43" s="1112">
        <f>G43*Dados!$I$69</f>
        <v>17.760000000000002</v>
      </c>
      <c r="E43" s="1112">
        <f>C43*D43</f>
        <v>142.08000000000001</v>
      </c>
      <c r="F43" s="1112">
        <v>30</v>
      </c>
      <c r="G43" s="1198">
        <v>37</v>
      </c>
    </row>
    <row r="44" spans="1:11" s="1233" customFormat="1" x14ac:dyDescent="0.2">
      <c r="A44" s="1110" t="s">
        <v>1351</v>
      </c>
      <c r="B44" s="1111">
        <v>1</v>
      </c>
      <c r="C44" s="1111">
        <f t="shared" si="8"/>
        <v>2</v>
      </c>
      <c r="D44" s="1112">
        <f>G44*Dados!$I$69</f>
        <v>4.32</v>
      </c>
      <c r="E44" s="1112">
        <f t="shared" ref="E44:E45" si="9">C44*D44</f>
        <v>8.64</v>
      </c>
      <c r="F44" s="1112">
        <v>10</v>
      </c>
      <c r="G44" s="1198">
        <v>9</v>
      </c>
    </row>
    <row r="45" spans="1:11" s="1233" customFormat="1" x14ac:dyDescent="0.2">
      <c r="A45" s="1110" t="s">
        <v>1352</v>
      </c>
      <c r="B45" s="1111">
        <v>1</v>
      </c>
      <c r="C45" s="1111">
        <f t="shared" si="8"/>
        <v>2</v>
      </c>
      <c r="D45" s="1112">
        <f>G45*Dados!$I$69</f>
        <v>4.32</v>
      </c>
      <c r="E45" s="1112">
        <f t="shared" si="9"/>
        <v>8.64</v>
      </c>
      <c r="F45" s="1112">
        <v>10</v>
      </c>
      <c r="G45" s="1198">
        <v>9</v>
      </c>
    </row>
    <row r="46" spans="1:11" s="1233" customFormat="1" x14ac:dyDescent="0.2">
      <c r="A46" s="1110" t="s">
        <v>1353</v>
      </c>
      <c r="B46" s="1111">
        <v>4</v>
      </c>
      <c r="C46" s="1111">
        <f t="shared" si="8"/>
        <v>8</v>
      </c>
      <c r="D46" s="1112">
        <f>G46*Dados!$I$69</f>
        <v>0.72</v>
      </c>
      <c r="E46" s="1112">
        <f>C46*D46</f>
        <v>5.76</v>
      </c>
      <c r="F46" s="1112">
        <v>5</v>
      </c>
      <c r="G46" s="1198">
        <v>1.5</v>
      </c>
    </row>
    <row r="47" spans="1:11" s="1233" customFormat="1" ht="28.5" x14ac:dyDescent="0.2">
      <c r="A47" s="1110" t="s">
        <v>1354</v>
      </c>
      <c r="B47" s="1111">
        <v>2</v>
      </c>
      <c r="C47" s="1111">
        <f t="shared" si="8"/>
        <v>4</v>
      </c>
      <c r="D47" s="1112">
        <f>G47*Dados!$I$69</f>
        <v>25.82</v>
      </c>
      <c r="E47" s="1112">
        <f t="shared" ref="E47" si="10">C47*D47</f>
        <v>103.28</v>
      </c>
      <c r="F47" s="1112">
        <v>45</v>
      </c>
      <c r="G47" s="1198">
        <v>53.8</v>
      </c>
      <c r="K47" s="1233">
        <f>Dados!U44</f>
        <v>0</v>
      </c>
    </row>
    <row r="48" spans="1:11" s="1233" customFormat="1" x14ac:dyDescent="0.2">
      <c r="A48" s="1788" t="s">
        <v>805</v>
      </c>
      <c r="B48" s="1788"/>
      <c r="C48" s="1788"/>
      <c r="D48" s="1788"/>
      <c r="E48" s="1113">
        <f>SUM(E42:E47)</f>
        <v>558.32000000000005</v>
      </c>
      <c r="G48" s="1197"/>
    </row>
    <row r="49" spans="1:11" s="1233" customFormat="1" x14ac:dyDescent="0.2">
      <c r="A49" s="1788" t="s">
        <v>1355</v>
      </c>
      <c r="B49" s="1788"/>
      <c r="C49" s="1788"/>
      <c r="D49" s="1788"/>
      <c r="E49" s="1113">
        <f>E48/12</f>
        <v>46.53</v>
      </c>
      <c r="G49" s="1197"/>
    </row>
    <row r="50" spans="1:11" s="1233" customFormat="1" x14ac:dyDescent="0.2">
      <c r="G50" s="1197"/>
    </row>
    <row r="51" spans="1:11" x14ac:dyDescent="0.2">
      <c r="A51" s="1788" t="s">
        <v>1356</v>
      </c>
      <c r="B51" s="1788"/>
      <c r="C51" s="1788"/>
      <c r="D51" s="1788"/>
      <c r="E51" s="1788"/>
    </row>
    <row r="52" spans="1:11" ht="28.5" x14ac:dyDescent="0.2">
      <c r="A52" s="1109" t="s">
        <v>1345</v>
      </c>
      <c r="B52" s="1109" t="s">
        <v>1346</v>
      </c>
      <c r="C52" s="1109" t="s">
        <v>1347</v>
      </c>
      <c r="D52" s="1109" t="s">
        <v>79</v>
      </c>
      <c r="E52" s="1109" t="s">
        <v>1357</v>
      </c>
    </row>
    <row r="53" spans="1:11" ht="28.5" x14ac:dyDescent="0.2">
      <c r="A53" s="1114" t="s">
        <v>1358</v>
      </c>
      <c r="B53" s="1115">
        <v>2</v>
      </c>
      <c r="C53" s="1115">
        <f>B53*2</f>
        <v>4</v>
      </c>
      <c r="D53" s="1116">
        <f>G53*Dados!$I$64</f>
        <v>11.97</v>
      </c>
      <c r="E53" s="1116">
        <f>C53*D53</f>
        <v>47.88</v>
      </c>
      <c r="F53" s="1116">
        <v>40</v>
      </c>
      <c r="G53" s="1198">
        <v>34.200000000000003</v>
      </c>
    </row>
    <row r="54" spans="1:11" x14ac:dyDescent="0.2">
      <c r="A54" s="1114" t="s">
        <v>1359</v>
      </c>
      <c r="B54" s="1115">
        <v>4</v>
      </c>
      <c r="C54" s="1115">
        <f>B54*2</f>
        <v>8</v>
      </c>
      <c r="D54" s="1116">
        <f>G54*Dados!$I$64</f>
        <v>7.53</v>
      </c>
      <c r="E54" s="1116">
        <f>C54*D54</f>
        <v>60.24</v>
      </c>
      <c r="F54" s="1116">
        <v>20</v>
      </c>
      <c r="G54" s="1198">
        <v>21.5</v>
      </c>
    </row>
    <row r="55" spans="1:11" ht="57" x14ac:dyDescent="0.2">
      <c r="A55" s="1114" t="s">
        <v>1360</v>
      </c>
      <c r="B55" s="1115">
        <v>2</v>
      </c>
      <c r="C55" s="1115">
        <f>B55*2</f>
        <v>4</v>
      </c>
      <c r="D55" s="1116">
        <f>G55*Dados!$I$64</f>
        <v>10.92</v>
      </c>
      <c r="E55" s="1116">
        <f>C55*D55</f>
        <v>43.68</v>
      </c>
      <c r="F55" s="1116">
        <v>30</v>
      </c>
      <c r="G55" s="1198">
        <v>31.2</v>
      </c>
    </row>
    <row r="56" spans="1:11" ht="18" customHeight="1" x14ac:dyDescent="0.2">
      <c r="A56" s="1114" t="s">
        <v>1361</v>
      </c>
      <c r="B56" s="1115">
        <v>4</v>
      </c>
      <c r="C56" s="1115">
        <f>B56*2</f>
        <v>8</v>
      </c>
      <c r="D56" s="1116">
        <f>G56*Dados!$I$64</f>
        <v>0.53</v>
      </c>
      <c r="E56" s="1116">
        <f>C56*D56</f>
        <v>4.24</v>
      </c>
      <c r="F56" s="1116">
        <v>5</v>
      </c>
      <c r="G56" s="1198">
        <v>1.52</v>
      </c>
    </row>
    <row r="57" spans="1:11" x14ac:dyDescent="0.2">
      <c r="A57" s="1788" t="s">
        <v>805</v>
      </c>
      <c r="B57" s="1788"/>
      <c r="C57" s="1788"/>
      <c r="D57" s="1788"/>
      <c r="E57" s="1113">
        <f>SUM(E53:E56)</f>
        <v>156.04</v>
      </c>
      <c r="K57" s="1158">
        <f>Dados!U29</f>
        <v>-9.7200000000000006</v>
      </c>
    </row>
    <row r="58" spans="1:11" x14ac:dyDescent="0.2">
      <c r="A58" s="1785" t="s">
        <v>1355</v>
      </c>
      <c r="B58" s="1785"/>
      <c r="C58" s="1785"/>
      <c r="D58" s="1785"/>
      <c r="E58" s="1117">
        <f>E57/12</f>
        <v>13</v>
      </c>
    </row>
    <row r="59" spans="1:11" x14ac:dyDescent="0.2">
      <c r="A59" s="1118"/>
      <c r="B59" s="1118"/>
      <c r="C59" s="1118"/>
      <c r="D59" s="1118"/>
      <c r="E59" s="1118"/>
    </row>
    <row r="60" spans="1:11" x14ac:dyDescent="0.2">
      <c r="A60" s="1786" t="s">
        <v>1362</v>
      </c>
      <c r="B60" s="1786"/>
      <c r="C60" s="1786"/>
      <c r="D60" s="1786"/>
      <c r="E60" s="1786"/>
    </row>
    <row r="61" spans="1:11" ht="28.5" x14ac:dyDescent="0.2">
      <c r="A61" s="1109" t="s">
        <v>1345</v>
      </c>
      <c r="B61" s="1109" t="s">
        <v>1346</v>
      </c>
      <c r="C61" s="1109" t="s">
        <v>1347</v>
      </c>
      <c r="D61" s="1109" t="s">
        <v>79</v>
      </c>
      <c r="E61" s="1109" t="s">
        <v>1357</v>
      </c>
    </row>
    <row r="62" spans="1:11" ht="28.5" x14ac:dyDescent="0.2">
      <c r="A62" s="1114" t="s">
        <v>1358</v>
      </c>
      <c r="B62" s="1115">
        <v>2</v>
      </c>
      <c r="C62" s="1115">
        <f t="shared" ref="C62:C67" si="11">B62*2</f>
        <v>4</v>
      </c>
      <c r="D62" s="1116">
        <f>D53</f>
        <v>11.97</v>
      </c>
      <c r="E62" s="1116">
        <f t="shared" ref="E62:E67" si="12">C62*D62</f>
        <v>47.88</v>
      </c>
      <c r="F62" s="1116">
        <v>40</v>
      </c>
      <c r="G62" s="1198">
        <v>34</v>
      </c>
    </row>
    <row r="63" spans="1:11" x14ac:dyDescent="0.2">
      <c r="A63" s="1114" t="s">
        <v>1359</v>
      </c>
      <c r="B63" s="1115">
        <v>2</v>
      </c>
      <c r="C63" s="1115">
        <f t="shared" si="11"/>
        <v>4</v>
      </c>
      <c r="D63" s="1116">
        <f>D54</f>
        <v>7.53</v>
      </c>
      <c r="E63" s="1116">
        <f t="shared" si="12"/>
        <v>30.12</v>
      </c>
      <c r="F63" s="1116">
        <v>20</v>
      </c>
      <c r="G63" s="1198">
        <v>21.5</v>
      </c>
    </row>
    <row r="64" spans="1:11" x14ac:dyDescent="0.2">
      <c r="A64" s="1114" t="s">
        <v>1363</v>
      </c>
      <c r="B64" s="1115">
        <v>2</v>
      </c>
      <c r="C64" s="1115">
        <f t="shared" si="11"/>
        <v>4</v>
      </c>
      <c r="D64" s="1116">
        <f>G64*Dados!$I$65</f>
        <v>15.54</v>
      </c>
      <c r="E64" s="1116">
        <f t="shared" si="12"/>
        <v>62.16</v>
      </c>
      <c r="F64" s="1116">
        <v>25</v>
      </c>
      <c r="G64" s="1198">
        <v>36.99</v>
      </c>
    </row>
    <row r="65" spans="1:11" ht="57" x14ac:dyDescent="0.2">
      <c r="A65" s="1114" t="s">
        <v>1360</v>
      </c>
      <c r="B65" s="1115">
        <v>2</v>
      </c>
      <c r="C65" s="1115">
        <f t="shared" si="11"/>
        <v>4</v>
      </c>
      <c r="D65" s="1116">
        <f>D55</f>
        <v>10.92</v>
      </c>
      <c r="E65" s="1116">
        <f t="shared" si="12"/>
        <v>43.68</v>
      </c>
      <c r="F65" s="1116">
        <v>30</v>
      </c>
      <c r="G65" s="1198">
        <v>31.2</v>
      </c>
    </row>
    <row r="66" spans="1:11" ht="18" customHeight="1" x14ac:dyDescent="0.2">
      <c r="A66" s="1114" t="s">
        <v>1361</v>
      </c>
      <c r="B66" s="1115">
        <v>4</v>
      </c>
      <c r="C66" s="1115">
        <f t="shared" si="11"/>
        <v>8</v>
      </c>
      <c r="D66" s="1116">
        <f>D56</f>
        <v>0.53</v>
      </c>
      <c r="E66" s="1116">
        <f t="shared" si="12"/>
        <v>4.24</v>
      </c>
      <c r="F66" s="1116">
        <v>5</v>
      </c>
      <c r="G66" s="1198">
        <v>1.52</v>
      </c>
    </row>
    <row r="67" spans="1:11" ht="28.5" x14ac:dyDescent="0.2">
      <c r="A67" s="1114" t="s">
        <v>1364</v>
      </c>
      <c r="B67" s="1115">
        <v>1</v>
      </c>
      <c r="C67" s="1115">
        <f t="shared" si="11"/>
        <v>2</v>
      </c>
      <c r="D67" s="1116">
        <f>G67*Dados!$I$65</f>
        <v>37.840000000000003</v>
      </c>
      <c r="E67" s="1116">
        <f t="shared" si="12"/>
        <v>75.680000000000007</v>
      </c>
      <c r="F67" s="1116">
        <v>15</v>
      </c>
      <c r="G67" s="1198">
        <v>90.1</v>
      </c>
      <c r="K67" s="1158">
        <f>Dados!U43</f>
        <v>0</v>
      </c>
    </row>
    <row r="68" spans="1:11" x14ac:dyDescent="0.2">
      <c r="A68" s="1788" t="s">
        <v>805</v>
      </c>
      <c r="B68" s="1788"/>
      <c r="C68" s="1788"/>
      <c r="D68" s="1788"/>
      <c r="E68" s="1113">
        <f>SUM(E62:E67)</f>
        <v>263.76</v>
      </c>
    </row>
    <row r="69" spans="1:11" x14ac:dyDescent="0.2">
      <c r="A69" s="1788" t="s">
        <v>1355</v>
      </c>
      <c r="B69" s="1788"/>
      <c r="C69" s="1788"/>
      <c r="D69" s="1788"/>
      <c r="E69" s="1113">
        <f>E68/12</f>
        <v>21.98</v>
      </c>
    </row>
    <row r="70" spans="1:11" x14ac:dyDescent="0.2">
      <c r="A70" s="1789"/>
      <c r="B70" s="1789"/>
      <c r="C70" s="1789"/>
      <c r="D70" s="1789"/>
      <c r="E70" s="1789"/>
    </row>
    <row r="71" spans="1:11" x14ac:dyDescent="0.2">
      <c r="A71" s="1788" t="s">
        <v>1365</v>
      </c>
      <c r="B71" s="1788"/>
      <c r="C71" s="1788"/>
      <c r="D71" s="1788"/>
      <c r="E71" s="1788"/>
    </row>
    <row r="72" spans="1:11" ht="28.5" x14ac:dyDescent="0.2">
      <c r="A72" s="1109" t="s">
        <v>1345</v>
      </c>
      <c r="B72" s="1109" t="s">
        <v>1346</v>
      </c>
      <c r="C72" s="1109" t="s">
        <v>1347</v>
      </c>
      <c r="D72" s="1109" t="s">
        <v>79</v>
      </c>
      <c r="E72" s="1109" t="s">
        <v>1348</v>
      </c>
    </row>
    <row r="73" spans="1:11" ht="57" x14ac:dyDescent="0.2">
      <c r="A73" s="1110" t="s">
        <v>1349</v>
      </c>
      <c r="B73" s="1111">
        <v>2</v>
      </c>
      <c r="C73" s="1111">
        <f t="shared" ref="C73:C78" si="13">2*B73</f>
        <v>4</v>
      </c>
      <c r="D73" s="1112">
        <f>G73*Dados!$I$66</f>
        <v>65.12</v>
      </c>
      <c r="E73" s="1112">
        <f t="shared" ref="E73:E78" si="14">C73*D73</f>
        <v>260.48</v>
      </c>
      <c r="F73" s="1112">
        <v>100</v>
      </c>
      <c r="G73" s="1198">
        <v>148</v>
      </c>
    </row>
    <row r="74" spans="1:11" ht="28.5" x14ac:dyDescent="0.2">
      <c r="A74" s="1110" t="s">
        <v>1366</v>
      </c>
      <c r="B74" s="1111">
        <v>4</v>
      </c>
      <c r="C74" s="1111">
        <f t="shared" si="13"/>
        <v>8</v>
      </c>
      <c r="D74" s="1112">
        <f>G74*Dados!$I$66</f>
        <v>15.75</v>
      </c>
      <c r="E74" s="1112">
        <f t="shared" si="14"/>
        <v>126</v>
      </c>
      <c r="F74" s="1112">
        <v>30</v>
      </c>
      <c r="G74" s="1198">
        <v>35.799999999999997</v>
      </c>
    </row>
    <row r="75" spans="1:11" x14ac:dyDescent="0.2">
      <c r="A75" s="1110" t="s">
        <v>1367</v>
      </c>
      <c r="B75" s="1111">
        <v>1</v>
      </c>
      <c r="C75" s="1111">
        <f t="shared" si="13"/>
        <v>2</v>
      </c>
      <c r="D75" s="1112">
        <f>G75*Dados!$I$66</f>
        <v>5.63</v>
      </c>
      <c r="E75" s="1112">
        <f t="shared" si="14"/>
        <v>11.26</v>
      </c>
      <c r="F75" s="1112">
        <v>10</v>
      </c>
      <c r="G75" s="1198">
        <v>12.8</v>
      </c>
    </row>
    <row r="76" spans="1:11" x14ac:dyDescent="0.2">
      <c r="A76" s="1110" t="s">
        <v>1352</v>
      </c>
      <c r="B76" s="1111">
        <v>1</v>
      </c>
      <c r="C76" s="1111">
        <f t="shared" si="13"/>
        <v>2</v>
      </c>
      <c r="D76" s="1112">
        <f>G76*Dados!$I$66</f>
        <v>3.96</v>
      </c>
      <c r="E76" s="1112">
        <f t="shared" si="14"/>
        <v>7.92</v>
      </c>
      <c r="F76" s="1112">
        <v>10</v>
      </c>
      <c r="G76" s="1198">
        <v>9</v>
      </c>
    </row>
    <row r="77" spans="1:11" x14ac:dyDescent="0.2">
      <c r="A77" s="1110" t="s">
        <v>1353</v>
      </c>
      <c r="B77" s="1111">
        <v>4</v>
      </c>
      <c r="C77" s="1111">
        <f t="shared" si="13"/>
        <v>8</v>
      </c>
      <c r="D77" s="1112">
        <f>G77*Dados!$I$66</f>
        <v>0.67</v>
      </c>
      <c r="E77" s="1112">
        <f t="shared" si="14"/>
        <v>5.36</v>
      </c>
      <c r="F77" s="1112">
        <v>5</v>
      </c>
      <c r="G77" s="1198">
        <v>1.52</v>
      </c>
    </row>
    <row r="78" spans="1:11" ht="28.5" x14ac:dyDescent="0.2">
      <c r="A78" s="1110" t="s">
        <v>1354</v>
      </c>
      <c r="B78" s="1111">
        <v>1</v>
      </c>
      <c r="C78" s="1111">
        <f t="shared" si="13"/>
        <v>2</v>
      </c>
      <c r="D78" s="1112">
        <f>G78*Dados!$I$66</f>
        <v>23.32</v>
      </c>
      <c r="E78" s="1112">
        <f t="shared" si="14"/>
        <v>46.64</v>
      </c>
      <c r="F78" s="1112">
        <v>45</v>
      </c>
      <c r="G78" s="1198">
        <v>53</v>
      </c>
    </row>
    <row r="79" spans="1:11" x14ac:dyDescent="0.2">
      <c r="A79" s="1788" t="s">
        <v>805</v>
      </c>
      <c r="B79" s="1788"/>
      <c r="C79" s="1788"/>
      <c r="D79" s="1788"/>
      <c r="E79" s="1113">
        <f>SUM(E73:E78)</f>
        <v>457.66</v>
      </c>
    </row>
    <row r="80" spans="1:11" x14ac:dyDescent="0.2">
      <c r="A80" s="1788" t="s">
        <v>1355</v>
      </c>
      <c r="B80" s="1788"/>
      <c r="C80" s="1788"/>
      <c r="D80" s="1788"/>
      <c r="E80" s="1113">
        <f>E79/12</f>
        <v>38.14</v>
      </c>
    </row>
    <row r="81" spans="1:7" x14ac:dyDescent="0.2">
      <c r="B81" s="1158"/>
      <c r="C81" s="1158"/>
      <c r="D81" s="1158"/>
      <c r="E81" s="1158"/>
    </row>
    <row r="82" spans="1:7" x14ac:dyDescent="0.2">
      <c r="A82" s="1788" t="s">
        <v>1368</v>
      </c>
      <c r="B82" s="1788"/>
      <c r="C82" s="1788"/>
      <c r="D82" s="1788"/>
      <c r="E82" s="1788"/>
    </row>
    <row r="83" spans="1:7" ht="28.5" x14ac:dyDescent="0.2">
      <c r="A83" s="1109" t="s">
        <v>1345</v>
      </c>
      <c r="B83" s="1109" t="s">
        <v>1346</v>
      </c>
      <c r="C83" s="1109" t="s">
        <v>1347</v>
      </c>
      <c r="D83" s="1109" t="s">
        <v>79</v>
      </c>
      <c r="E83" s="1109" t="s">
        <v>1348</v>
      </c>
    </row>
    <row r="84" spans="1:7" x14ac:dyDescent="0.2">
      <c r="A84" s="1110" t="s">
        <v>1369</v>
      </c>
      <c r="B84" s="1111">
        <v>2</v>
      </c>
      <c r="C84" s="1111">
        <f t="shared" ref="C84:C91" si="15">2*B84</f>
        <v>4</v>
      </c>
      <c r="D84" s="1112">
        <f>G84*Dados!$I$67</f>
        <v>33.75</v>
      </c>
      <c r="E84" s="1112">
        <f t="shared" ref="E84:E91" si="16">C84*D84</f>
        <v>135</v>
      </c>
      <c r="F84" s="1112">
        <v>65</v>
      </c>
      <c r="G84" s="1198">
        <v>75</v>
      </c>
    </row>
    <row r="85" spans="1:7" ht="28.5" x14ac:dyDescent="0.2">
      <c r="A85" s="1110" t="s">
        <v>1474</v>
      </c>
      <c r="B85" s="1111">
        <v>4</v>
      </c>
      <c r="C85" s="1111">
        <f t="shared" si="15"/>
        <v>8</v>
      </c>
      <c r="D85" s="1112">
        <f>G85*Dados!$I$67</f>
        <v>18.45</v>
      </c>
      <c r="E85" s="1112">
        <f t="shared" si="16"/>
        <v>147.6</v>
      </c>
      <c r="F85" s="1112">
        <v>30</v>
      </c>
      <c r="G85" s="1198">
        <v>41</v>
      </c>
    </row>
    <row r="86" spans="1:7" x14ac:dyDescent="0.2">
      <c r="A86" s="1110" t="s">
        <v>1370</v>
      </c>
      <c r="B86" s="1111">
        <v>1</v>
      </c>
      <c r="C86" s="1111">
        <f t="shared" si="15"/>
        <v>2</v>
      </c>
      <c r="D86" s="1112">
        <f>G86*Dados!$I$67</f>
        <v>13.41</v>
      </c>
      <c r="E86" s="1112">
        <f t="shared" si="16"/>
        <v>26.82</v>
      </c>
      <c r="F86" s="1112">
        <v>10</v>
      </c>
      <c r="G86" s="1198">
        <v>29.8</v>
      </c>
    </row>
    <row r="87" spans="1:7" x14ac:dyDescent="0.2">
      <c r="A87" s="1110" t="s">
        <v>1371</v>
      </c>
      <c r="B87" s="1111">
        <v>1</v>
      </c>
      <c r="C87" s="1111">
        <f t="shared" si="15"/>
        <v>2</v>
      </c>
      <c r="D87" s="1112">
        <f>G87*Dados!$I$67</f>
        <v>13.05</v>
      </c>
      <c r="E87" s="1112">
        <f t="shared" si="16"/>
        <v>26.1</v>
      </c>
      <c r="F87" s="1112">
        <v>10</v>
      </c>
      <c r="G87" s="1198">
        <v>29</v>
      </c>
    </row>
    <row r="88" spans="1:7" x14ac:dyDescent="0.2">
      <c r="A88" s="1110" t="s">
        <v>1372</v>
      </c>
      <c r="B88" s="1111">
        <v>4</v>
      </c>
      <c r="C88" s="1111">
        <f t="shared" si="15"/>
        <v>8</v>
      </c>
      <c r="D88" s="1112">
        <f>G88*Dados!$I$67</f>
        <v>6.75</v>
      </c>
      <c r="E88" s="1112">
        <f t="shared" si="16"/>
        <v>54</v>
      </c>
      <c r="F88" s="1112">
        <v>5</v>
      </c>
      <c r="G88" s="1198">
        <v>15</v>
      </c>
    </row>
    <row r="89" spans="1:7" x14ac:dyDescent="0.2">
      <c r="A89" s="1110" t="s">
        <v>1352</v>
      </c>
      <c r="B89" s="1111">
        <v>1</v>
      </c>
      <c r="C89" s="1111">
        <f t="shared" si="15"/>
        <v>2</v>
      </c>
      <c r="D89" s="1112">
        <f>G89*Dados!$I$67</f>
        <v>4.05</v>
      </c>
      <c r="E89" s="1112">
        <f t="shared" si="16"/>
        <v>8.1</v>
      </c>
      <c r="F89" s="1112">
        <v>10</v>
      </c>
      <c r="G89" s="1198">
        <v>9</v>
      </c>
    </row>
    <row r="90" spans="1:7" ht="28.5" x14ac:dyDescent="0.2">
      <c r="A90" s="1110" t="s">
        <v>1373</v>
      </c>
      <c r="B90" s="1111">
        <v>4</v>
      </c>
      <c r="C90" s="1111">
        <f t="shared" si="15"/>
        <v>8</v>
      </c>
      <c r="D90" s="1112">
        <f>G90*Dados!$I$67</f>
        <v>0.54</v>
      </c>
      <c r="E90" s="1112">
        <f t="shared" si="16"/>
        <v>4.32</v>
      </c>
      <c r="F90" s="1112">
        <v>5</v>
      </c>
      <c r="G90" s="1198">
        <v>1.2</v>
      </c>
    </row>
    <row r="91" spans="1:7" ht="28.5" x14ac:dyDescent="0.2">
      <c r="A91" s="1110" t="s">
        <v>1354</v>
      </c>
      <c r="B91" s="1111">
        <v>2</v>
      </c>
      <c r="C91" s="1111">
        <f t="shared" si="15"/>
        <v>4</v>
      </c>
      <c r="D91" s="1112">
        <f>G91*Dados!$I$67</f>
        <v>18.45</v>
      </c>
      <c r="E91" s="1112">
        <f t="shared" si="16"/>
        <v>73.8</v>
      </c>
      <c r="F91" s="1112">
        <v>45</v>
      </c>
      <c r="G91" s="1198">
        <v>41</v>
      </c>
    </row>
    <row r="92" spans="1:7" x14ac:dyDescent="0.2">
      <c r="A92" s="1788" t="s">
        <v>805</v>
      </c>
      <c r="B92" s="1788"/>
      <c r="C92" s="1788"/>
      <c r="D92" s="1788"/>
      <c r="E92" s="1113">
        <f>SUM(E84:E91)</f>
        <v>475.74</v>
      </c>
    </row>
    <row r="93" spans="1:7" x14ac:dyDescent="0.2">
      <c r="A93" s="1788" t="s">
        <v>1355</v>
      </c>
      <c r="B93" s="1788"/>
      <c r="C93" s="1788"/>
      <c r="D93" s="1788"/>
      <c r="E93" s="1113">
        <f>E92/12</f>
        <v>39.65</v>
      </c>
    </row>
    <row r="94" spans="1:7" x14ac:dyDescent="0.2">
      <c r="B94" s="1158"/>
      <c r="C94" s="1158"/>
      <c r="D94" s="1158"/>
      <c r="E94" s="1158"/>
    </row>
    <row r="96" spans="1:7" s="1213" customFormat="1" x14ac:dyDescent="0.2"/>
    <row r="97" s="1213" customFormat="1" x14ac:dyDescent="0.2"/>
    <row r="98" s="1213" customFormat="1" x14ac:dyDescent="0.2"/>
    <row r="99" s="1213" customFormat="1" x14ac:dyDescent="0.2"/>
    <row r="100" s="1213" customFormat="1" x14ac:dyDescent="0.2"/>
    <row r="101" s="1213" customFormat="1" x14ac:dyDescent="0.2"/>
    <row r="102" s="1213" customFormat="1" x14ac:dyDescent="0.2"/>
    <row r="103" s="1213" customFormat="1" x14ac:dyDescent="0.2"/>
    <row r="104" s="1213" customFormat="1" x14ac:dyDescent="0.2"/>
    <row r="105" s="1213" customFormat="1" x14ac:dyDescent="0.2"/>
  </sheetData>
  <sheetProtection algorithmName="SHA-512" hashValue="tpDXRChCAsb2LX0EutehYTJh6RJ387QDvIwL4l6IEv/iGUv2dXazaBOfzD/GHPOzYADKA04qqWh30C5hG5LkIA==" saltValue="cJK74VOai7NiNMj/q11kFA==" spinCount="100000" sheet="1" objects="1" scenarios="1"/>
  <mergeCells count="28">
    <mergeCell ref="A71:E71"/>
    <mergeCell ref="A93:D93"/>
    <mergeCell ref="A40:E40"/>
    <mergeCell ref="A48:D48"/>
    <mergeCell ref="A49:D49"/>
    <mergeCell ref="A57:D57"/>
    <mergeCell ref="A68:D68"/>
    <mergeCell ref="A79:D79"/>
    <mergeCell ref="A80:D80"/>
    <mergeCell ref="A82:E82"/>
    <mergeCell ref="A92:D92"/>
    <mergeCell ref="A69:D69"/>
    <mergeCell ref="A70:E70"/>
    <mergeCell ref="A2:E2"/>
    <mergeCell ref="A3:E3"/>
    <mergeCell ref="A58:D58"/>
    <mergeCell ref="A60:E60"/>
    <mergeCell ref="A6:E6"/>
    <mergeCell ref="A7:E7"/>
    <mergeCell ref="A15:D15"/>
    <mergeCell ref="A16:D16"/>
    <mergeCell ref="A51:E51"/>
    <mergeCell ref="A18:E18"/>
    <mergeCell ref="A26:D26"/>
    <mergeCell ref="A27:D27"/>
    <mergeCell ref="A29:E29"/>
    <mergeCell ref="A37:D37"/>
    <mergeCell ref="A38:D38"/>
  </mergeCells>
  <printOptions horizontalCentered="1"/>
  <pageMargins left="0.23622047244094491" right="0.35433070866141736" top="1.58" bottom="0.43307086614173229" header="0.19685039370078741" footer="0.23622047244094491"/>
  <pageSetup paperSize="9" scale="74" fitToHeight="0" orientation="portrait" r:id="rId1"/>
  <headerFooter alignWithMargins="0"/>
  <rowBreaks count="3" manualBreakCount="3">
    <brk id="38" max="4" man="1"/>
    <brk id="58" max="4" man="1"/>
    <brk id="98" max="4" man="1"/>
  </rowBreaks>
  <mc:AlternateContent xmlns:mc="http://schemas.openxmlformats.org/markup-compatibility/2006">
    <mc:Choice Requires="v">
      <legacyDrawingHF r:id="rId2"/>
    </mc:Choice>
    <mc:Fallback>
      <drawingHF r:id="rId3" cho="2" rho="3"/>
    </mc:Fallback>
  </mc:AlternateContent>
</worksheet>
</file>

<file path=xl/worksheets/sheet2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mc:Ignorable="x14ac">
  <sheetPr>
    <tabColor theme="0"/>
    <pageSetUpPr fitToPage="1"/>
  </sheetPr>
  <dimension ref="A1:H77"/>
  <sheetViews>
    <sheetView view="pageBreakPreview" topLeftCell="A2" zoomScale="85" zoomScaleNormal="100" zoomScaleSheetLayoutView="85" workbookViewId="0">
      <selection activeCell="C45" sqref="B45:K48"/>
    </sheetView>
  </sheetViews>
  <sheetFormatPr defaultColWidth="9" defaultRowHeight="14.25" x14ac:dyDescent="0.2"/>
  <cols>
    <col min="1" max="1" width="68.28515625" style="1106" customWidth="1"/>
    <col min="2" max="2" width="12" style="1107" customWidth="1"/>
    <col min="3" max="3" width="9" style="1107" customWidth="1"/>
    <col min="4" max="4" width="11.85546875" style="1199" customWidth="1"/>
    <col min="5" max="5" width="13.28515625" style="1199" customWidth="1"/>
    <col min="6" max="6" width="13" style="1106" hidden="1" customWidth="1"/>
    <col min="7" max="7" width="11" style="1151" hidden="1" customWidth="1"/>
    <col min="8" max="16384" width="9" style="1106"/>
  </cols>
  <sheetData>
    <row r="1" spans="1:7" hidden="1" x14ac:dyDescent="0.2"/>
    <row r="2" spans="1:7" x14ac:dyDescent="0.2">
      <c r="A2" s="1784" t="str">
        <f>Dados!A5</f>
        <v>CONSELHO DA JUSTIÇA FEDERAL – CJF</v>
      </c>
      <c r="B2" s="1784"/>
      <c r="C2" s="1784"/>
      <c r="D2" s="1784"/>
      <c r="E2" s="1784"/>
      <c r="F2" s="1784"/>
    </row>
    <row r="3" spans="1:7" x14ac:dyDescent="0.2">
      <c r="A3" s="1784" t="str">
        <f>Dados!A9</f>
        <v>PREGÃO ELETRÔNICO Nº32/2021-CJF</v>
      </c>
      <c r="B3" s="1784"/>
      <c r="C3" s="1784"/>
      <c r="D3" s="1784"/>
      <c r="E3" s="1784"/>
      <c r="F3" s="1784"/>
    </row>
    <row r="4" spans="1:7" s="1158" customFormat="1" x14ac:dyDescent="0.2">
      <c r="A4" s="1159"/>
      <c r="B4" s="1159"/>
      <c r="C4" s="1159"/>
      <c r="D4" s="1200"/>
      <c r="E4" s="1200"/>
      <c r="F4" s="1159"/>
      <c r="G4" s="1151"/>
    </row>
    <row r="5" spans="1:7" s="1158" customFormat="1" x14ac:dyDescent="0.2">
      <c r="A5" s="1159"/>
      <c r="B5" s="1159"/>
      <c r="C5" s="1159"/>
      <c r="D5" s="1200"/>
      <c r="E5" s="1200"/>
      <c r="F5" s="1159"/>
      <c r="G5" s="1151"/>
    </row>
    <row r="7" spans="1:7" ht="15.75" customHeight="1" x14ac:dyDescent="0.2">
      <c r="A7" s="1790" t="s">
        <v>1374</v>
      </c>
      <c r="B7" s="1790"/>
      <c r="C7" s="1790"/>
      <c r="D7" s="1790"/>
      <c r="E7" s="1790"/>
    </row>
    <row r="8" spans="1:7" x14ac:dyDescent="0.2">
      <c r="A8" s="1788" t="s">
        <v>1375</v>
      </c>
      <c r="B8" s="1788"/>
      <c r="C8" s="1788"/>
      <c r="D8" s="1788"/>
      <c r="E8" s="1788"/>
    </row>
    <row r="9" spans="1:7" ht="28.5" x14ac:dyDescent="0.2">
      <c r="A9" s="1109" t="s">
        <v>1376</v>
      </c>
      <c r="B9" s="1109" t="s">
        <v>1346</v>
      </c>
      <c r="C9" s="1109" t="s">
        <v>1347</v>
      </c>
      <c r="D9" s="1205" t="s">
        <v>79</v>
      </c>
      <c r="E9" s="1205" t="s">
        <v>1348</v>
      </c>
      <c r="F9" s="1106" t="s">
        <v>1310</v>
      </c>
    </row>
    <row r="10" spans="1:7" ht="28.5" x14ac:dyDescent="0.2">
      <c r="A10" s="1110" t="s">
        <v>1465</v>
      </c>
      <c r="B10" s="1111">
        <v>4</v>
      </c>
      <c r="C10" s="1111">
        <f>B10*2</f>
        <v>8</v>
      </c>
      <c r="D10" s="1201">
        <f>G10*Dados!$I$71</f>
        <v>2.58</v>
      </c>
      <c r="E10" s="1201">
        <f>C10*D10</f>
        <v>20.64</v>
      </c>
      <c r="F10" s="1119">
        <v>5.18</v>
      </c>
      <c r="G10" s="1153">
        <v>5.6</v>
      </c>
    </row>
    <row r="11" spans="1:7" x14ac:dyDescent="0.2">
      <c r="A11" s="1110" t="s">
        <v>1378</v>
      </c>
      <c r="B11" s="1111">
        <v>2</v>
      </c>
      <c r="C11" s="1111">
        <f t="shared" ref="C11:C16" si="0">B11*2</f>
        <v>4</v>
      </c>
      <c r="D11" s="1201">
        <f>G11*Dados!$I$71</f>
        <v>1.51</v>
      </c>
      <c r="E11" s="1201">
        <f t="shared" ref="E11:E16" si="1">C11*D11</f>
        <v>6.04</v>
      </c>
      <c r="F11" s="1119">
        <v>2.69</v>
      </c>
      <c r="G11" s="1153">
        <v>3.29</v>
      </c>
    </row>
    <row r="12" spans="1:7" ht="42.75" x14ac:dyDescent="0.2">
      <c r="A12" s="1114" t="s">
        <v>1379</v>
      </c>
      <c r="B12" s="1115">
        <v>1</v>
      </c>
      <c r="C12" s="1111">
        <f t="shared" si="0"/>
        <v>2</v>
      </c>
      <c r="D12" s="1201">
        <f>G12*Dados!$I$71</f>
        <v>1.93</v>
      </c>
      <c r="E12" s="1201">
        <f t="shared" si="1"/>
        <v>3.86</v>
      </c>
      <c r="F12" s="1120">
        <v>4.49</v>
      </c>
      <c r="G12" s="1152">
        <v>4.2</v>
      </c>
    </row>
    <row r="13" spans="1:7" ht="28.5" x14ac:dyDescent="0.2">
      <c r="A13" s="1110" t="s">
        <v>1380</v>
      </c>
      <c r="B13" s="1111">
        <v>1</v>
      </c>
      <c r="C13" s="1111">
        <f t="shared" si="0"/>
        <v>2</v>
      </c>
      <c r="D13" s="1201">
        <f>G13*Dados!$I$71</f>
        <v>1.22</v>
      </c>
      <c r="E13" s="1201">
        <f t="shared" si="1"/>
        <v>2.44</v>
      </c>
      <c r="F13" s="1119">
        <v>2.29</v>
      </c>
      <c r="G13" s="1153">
        <v>2.65</v>
      </c>
    </row>
    <row r="14" spans="1:7" x14ac:dyDescent="0.2">
      <c r="A14" s="1110" t="s">
        <v>1381</v>
      </c>
      <c r="B14" s="1111">
        <v>1</v>
      </c>
      <c r="C14" s="1111">
        <f t="shared" si="0"/>
        <v>2</v>
      </c>
      <c r="D14" s="1201">
        <f>G14*Dados!$I$71</f>
        <v>16.329999999999998</v>
      </c>
      <c r="E14" s="1201">
        <f t="shared" si="1"/>
        <v>32.659999999999997</v>
      </c>
      <c r="F14" s="1119">
        <v>37.049999999999997</v>
      </c>
      <c r="G14" s="1152">
        <v>35.5</v>
      </c>
    </row>
    <row r="15" spans="1:7" ht="28.5" x14ac:dyDescent="0.2">
      <c r="A15" s="1110" t="s">
        <v>1382</v>
      </c>
      <c r="B15" s="1111">
        <v>2</v>
      </c>
      <c r="C15" s="1111">
        <f t="shared" si="0"/>
        <v>4</v>
      </c>
      <c r="D15" s="1201">
        <f>G15*Dados!$I$71</f>
        <v>0.92</v>
      </c>
      <c r="E15" s="1201">
        <f t="shared" si="1"/>
        <v>3.68</v>
      </c>
      <c r="F15" s="1119">
        <v>2.85</v>
      </c>
      <c r="G15" s="1152">
        <v>1.99</v>
      </c>
    </row>
    <row r="16" spans="1:7" x14ac:dyDescent="0.2">
      <c r="A16" s="1110" t="s">
        <v>1383</v>
      </c>
      <c r="B16" s="1111">
        <v>1</v>
      </c>
      <c r="C16" s="1111">
        <f t="shared" si="0"/>
        <v>2</v>
      </c>
      <c r="D16" s="1201">
        <f>G16*Dados!$I$71</f>
        <v>27.6</v>
      </c>
      <c r="E16" s="1201">
        <f t="shared" si="1"/>
        <v>55.2</v>
      </c>
      <c r="F16" s="1119">
        <v>56.9</v>
      </c>
      <c r="G16" s="1153">
        <v>59.99</v>
      </c>
    </row>
    <row r="17" spans="1:7" ht="12.75" customHeight="1" x14ac:dyDescent="0.2">
      <c r="A17" s="1788" t="s">
        <v>805</v>
      </c>
      <c r="B17" s="1788"/>
      <c r="C17" s="1788"/>
      <c r="D17" s="1788"/>
      <c r="E17" s="1202">
        <f>SUM(E10:E16)</f>
        <v>124.52</v>
      </c>
    </row>
    <row r="18" spans="1:7" x14ac:dyDescent="0.2">
      <c r="A18" s="1785" t="s">
        <v>1355</v>
      </c>
      <c r="B18" s="1785"/>
      <c r="C18" s="1785"/>
      <c r="D18" s="1785"/>
      <c r="E18" s="1203">
        <f>E17/12</f>
        <v>10.38</v>
      </c>
    </row>
    <row r="19" spans="1:7" x14ac:dyDescent="0.2">
      <c r="A19" s="1118"/>
      <c r="B19" s="1118"/>
      <c r="C19" s="1118"/>
      <c r="D19" s="1204"/>
      <c r="E19" s="1204"/>
    </row>
    <row r="20" spans="1:7" x14ac:dyDescent="0.2">
      <c r="A20" s="1786" t="s">
        <v>1384</v>
      </c>
      <c r="B20" s="1786"/>
      <c r="C20" s="1786"/>
      <c r="D20" s="1786"/>
      <c r="E20" s="1786"/>
    </row>
    <row r="21" spans="1:7" ht="28.5" x14ac:dyDescent="0.2">
      <c r="A21" s="1109" t="s">
        <v>1376</v>
      </c>
      <c r="B21" s="1109" t="s">
        <v>1346</v>
      </c>
      <c r="C21" s="1109" t="s">
        <v>1347</v>
      </c>
      <c r="D21" s="1205" t="s">
        <v>79</v>
      </c>
      <c r="E21" s="1205" t="s">
        <v>1348</v>
      </c>
      <c r="F21" s="1106" t="s">
        <v>1310</v>
      </c>
    </row>
    <row r="22" spans="1:7" ht="28.5" x14ac:dyDescent="0.2">
      <c r="A22" s="1110" t="s">
        <v>1377</v>
      </c>
      <c r="B22" s="1111">
        <v>4</v>
      </c>
      <c r="C22" s="1111">
        <f>B22*2</f>
        <v>8</v>
      </c>
      <c r="D22" s="1201">
        <f>G22*Dados!$I$71</f>
        <v>2.58</v>
      </c>
      <c r="E22" s="1201">
        <f>C22*D22</f>
        <v>20.64</v>
      </c>
      <c r="F22" s="1119">
        <v>5.18</v>
      </c>
      <c r="G22" s="1153">
        <v>5.6</v>
      </c>
    </row>
    <row r="23" spans="1:7" ht="28.5" x14ac:dyDescent="0.2">
      <c r="A23" s="1110" t="s">
        <v>1385</v>
      </c>
      <c r="B23" s="1111">
        <v>4</v>
      </c>
      <c r="C23" s="1111">
        <f t="shared" ref="C23:C32" si="2">B23*2</f>
        <v>8</v>
      </c>
      <c r="D23" s="1201">
        <f>G23*Dados!$I$72</f>
        <v>1.42</v>
      </c>
      <c r="E23" s="1201">
        <f t="shared" ref="E23:E32" si="3">C23*D23</f>
        <v>11.36</v>
      </c>
      <c r="F23" s="1119">
        <v>8.2899999999999991</v>
      </c>
      <c r="G23" s="1153">
        <v>8.9</v>
      </c>
    </row>
    <row r="24" spans="1:7" ht="42.75" x14ac:dyDescent="0.2">
      <c r="A24" s="1114" t="s">
        <v>1379</v>
      </c>
      <c r="B24" s="1115">
        <v>4</v>
      </c>
      <c r="C24" s="1111">
        <f t="shared" si="2"/>
        <v>8</v>
      </c>
      <c r="D24" s="1201">
        <f>G24*Dados!$I$71</f>
        <v>1.93</v>
      </c>
      <c r="E24" s="1201">
        <f t="shared" si="3"/>
        <v>15.44</v>
      </c>
      <c r="F24" s="1120">
        <v>4.49</v>
      </c>
      <c r="G24" s="1152">
        <v>4.2</v>
      </c>
    </row>
    <row r="25" spans="1:7" ht="28.5" x14ac:dyDescent="0.2">
      <c r="A25" s="1110" t="s">
        <v>1380</v>
      </c>
      <c r="B25" s="1111">
        <v>2</v>
      </c>
      <c r="C25" s="1111">
        <f t="shared" si="2"/>
        <v>4</v>
      </c>
      <c r="D25" s="1201">
        <f>G25*Dados!$I$71</f>
        <v>1.22</v>
      </c>
      <c r="E25" s="1201">
        <f t="shared" si="3"/>
        <v>4.88</v>
      </c>
      <c r="F25" s="1119">
        <v>2.29</v>
      </c>
      <c r="G25" s="1153">
        <v>2.65</v>
      </c>
    </row>
    <row r="26" spans="1:7" ht="28.5" x14ac:dyDescent="0.2">
      <c r="A26" s="1110" t="s">
        <v>1386</v>
      </c>
      <c r="B26" s="1111">
        <v>1</v>
      </c>
      <c r="C26" s="1111">
        <f t="shared" si="2"/>
        <v>2</v>
      </c>
      <c r="D26" s="1201">
        <f>G26*Dados!$I$72</f>
        <v>39.950000000000003</v>
      </c>
      <c r="E26" s="1201">
        <f t="shared" si="3"/>
        <v>79.900000000000006</v>
      </c>
      <c r="F26" s="1119">
        <v>291.89999999999998</v>
      </c>
      <c r="G26" s="1152">
        <v>249.67</v>
      </c>
    </row>
    <row r="27" spans="1:7" ht="28.5" x14ac:dyDescent="0.2">
      <c r="A27" s="1110" t="s">
        <v>1387</v>
      </c>
      <c r="B27" s="1111">
        <v>1</v>
      </c>
      <c r="C27" s="1111">
        <f t="shared" si="2"/>
        <v>2</v>
      </c>
      <c r="D27" s="1201">
        <f>G27*Dados!$I$72</f>
        <v>35.020000000000003</v>
      </c>
      <c r="E27" s="1201">
        <f t="shared" si="3"/>
        <v>70.040000000000006</v>
      </c>
      <c r="F27" s="1119">
        <v>203.86</v>
      </c>
      <c r="G27" s="1153">
        <v>218.9</v>
      </c>
    </row>
    <row r="28" spans="1:7" ht="28.5" x14ac:dyDescent="0.2">
      <c r="A28" s="1110" t="s">
        <v>1388</v>
      </c>
      <c r="B28" s="1111">
        <v>1</v>
      </c>
      <c r="C28" s="1111">
        <f t="shared" si="2"/>
        <v>2</v>
      </c>
      <c r="D28" s="1201">
        <f>G28*Dados!$I$72</f>
        <v>87.99</v>
      </c>
      <c r="E28" s="1201">
        <f t="shared" si="3"/>
        <v>175.98</v>
      </c>
      <c r="F28" s="1119">
        <v>389.9</v>
      </c>
      <c r="G28" s="1153">
        <v>549.96</v>
      </c>
    </row>
    <row r="29" spans="1:7" ht="28.5" x14ac:dyDescent="0.2">
      <c r="A29" s="1114" t="s">
        <v>1389</v>
      </c>
      <c r="B29" s="1115">
        <v>1</v>
      </c>
      <c r="C29" s="1111">
        <f t="shared" si="2"/>
        <v>2</v>
      </c>
      <c r="D29" s="1201">
        <f>G29*Dados!$I$72</f>
        <v>2.2200000000000002</v>
      </c>
      <c r="E29" s="1201">
        <f t="shared" si="3"/>
        <v>4.4400000000000004</v>
      </c>
      <c r="F29" s="1120">
        <v>8.49</v>
      </c>
      <c r="G29" s="1153">
        <v>13.9</v>
      </c>
    </row>
    <row r="30" spans="1:7" ht="28.5" x14ac:dyDescent="0.2">
      <c r="A30" s="1114" t="s">
        <v>1390</v>
      </c>
      <c r="B30" s="1115">
        <v>1</v>
      </c>
      <c r="C30" s="1111">
        <f t="shared" si="2"/>
        <v>2</v>
      </c>
      <c r="D30" s="1201">
        <f>G30*Dados!$I$72</f>
        <v>13.6</v>
      </c>
      <c r="E30" s="1201">
        <f t="shared" si="3"/>
        <v>27.2</v>
      </c>
      <c r="F30" s="1120">
        <f>134.92/2</f>
        <v>67.459999999999994</v>
      </c>
      <c r="G30" s="1153">
        <v>85</v>
      </c>
    </row>
    <row r="31" spans="1:7" x14ac:dyDescent="0.2">
      <c r="A31" s="1110" t="s">
        <v>1381</v>
      </c>
      <c r="B31" s="1111">
        <v>1</v>
      </c>
      <c r="C31" s="1111">
        <f t="shared" si="2"/>
        <v>2</v>
      </c>
      <c r="D31" s="1201">
        <f>G31*Dados!$I$71</f>
        <v>16.329999999999998</v>
      </c>
      <c r="E31" s="1201">
        <f t="shared" si="3"/>
        <v>32.659999999999997</v>
      </c>
      <c r="F31" s="1119">
        <v>37.049999999999997</v>
      </c>
      <c r="G31" s="1152">
        <v>35.5</v>
      </c>
    </row>
    <row r="32" spans="1:7" ht="25.5" customHeight="1" x14ac:dyDescent="0.2">
      <c r="A32" s="1110" t="s">
        <v>1391</v>
      </c>
      <c r="B32" s="1111">
        <v>1</v>
      </c>
      <c r="C32" s="1111">
        <f t="shared" si="2"/>
        <v>2</v>
      </c>
      <c r="D32" s="1201">
        <f>G32*Dados!$I$72</f>
        <v>1.65</v>
      </c>
      <c r="E32" s="1201">
        <f t="shared" si="3"/>
        <v>3.3</v>
      </c>
      <c r="F32" s="1119">
        <v>8.6</v>
      </c>
      <c r="G32" s="1153">
        <v>10.3</v>
      </c>
    </row>
    <row r="33" spans="1:5" x14ac:dyDescent="0.2">
      <c r="A33" s="1788" t="s">
        <v>805</v>
      </c>
      <c r="B33" s="1788"/>
      <c r="C33" s="1788"/>
      <c r="D33" s="1788"/>
      <c r="E33" s="1202">
        <f>SUM(E22:E32)</f>
        <v>445.84</v>
      </c>
    </row>
    <row r="34" spans="1:5" x14ac:dyDescent="0.2">
      <c r="A34" s="1788" t="s">
        <v>1355</v>
      </c>
      <c r="B34" s="1788"/>
      <c r="C34" s="1788"/>
      <c r="D34" s="1788"/>
      <c r="E34" s="1202">
        <f>E33/12</f>
        <v>37.15</v>
      </c>
    </row>
    <row r="77" spans="7:8" x14ac:dyDescent="0.2">
      <c r="G77" s="1151">
        <v>0</v>
      </c>
      <c r="H77" s="1106">
        <f>G77*($H$25+$H$33)</f>
        <v>0</v>
      </c>
    </row>
  </sheetData>
  <sheetProtection algorithmName="SHA-512" hashValue="ySyRQ23e0jOXdrotdpZekZkulRrwlA8XUDtelk7z7nxVp6M+/8Zl/KqY75Gnaoq9irvLi/p3Tuwlnv2gp6Rlsw==" saltValue="zDUp7B400BhVhppiw1Cpbw==" spinCount="100000" sheet="1" objects="1" scenarios="1"/>
  <mergeCells count="9">
    <mergeCell ref="A34:D34"/>
    <mergeCell ref="A2:F2"/>
    <mergeCell ref="A3:F3"/>
    <mergeCell ref="A7:E7"/>
    <mergeCell ref="A8:E8"/>
    <mergeCell ref="A17:D17"/>
    <mergeCell ref="A18:D18"/>
    <mergeCell ref="A20:E20"/>
    <mergeCell ref="A33:D33"/>
  </mergeCells>
  <printOptions horizontalCentered="1"/>
  <pageMargins left="0.24" right="0.55118110236220474" top="1.36" bottom="0.43307086614173229" header="0.18" footer="0.23622047244094491"/>
  <pageSetup paperSize="9" scale="85" fitToHeight="0" orientation="portrait" r:id="rId1"/>
  <headerFooter alignWithMargins="0"/>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cho="2" rho="3"/>
    </mc:Fallback>
  </mc:AlternateContent>
</worksheet>
</file>

<file path=xl/worksheets/sheet2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3">
    <tabColor rgb="FFFFFF00"/>
    <pageSetUpPr fitToPage="1"/>
  </sheetPr>
  <dimension ref="A1:H85"/>
  <sheetViews>
    <sheetView view="pageBreakPreview" topLeftCell="A2" zoomScale="90" zoomScaleNormal="100" zoomScaleSheetLayoutView="90" workbookViewId="0">
      <selection activeCell="C45" sqref="B45:K48"/>
    </sheetView>
  </sheetViews>
  <sheetFormatPr defaultRowHeight="14.25" x14ac:dyDescent="0.2"/>
  <cols>
    <col min="1" max="1" width="6.7109375" style="32" customWidth="1"/>
    <col min="2" max="2" width="34" style="32" customWidth="1"/>
    <col min="3" max="3" width="32.5703125" style="32" customWidth="1"/>
    <col min="4" max="4" width="14.42578125" style="32" customWidth="1"/>
    <col min="5" max="5" width="14.7109375" style="32" hidden="1" customWidth="1"/>
    <col min="6" max="6" width="15.42578125" style="32" customWidth="1"/>
    <col min="7" max="7" width="18.140625" style="32" customWidth="1"/>
    <col min="8" max="8" width="18" style="32" customWidth="1"/>
    <col min="9" max="16384" width="9.140625" style="32"/>
  </cols>
  <sheetData>
    <row r="1" spans="1:8" hidden="1" x14ac:dyDescent="0.2"/>
    <row r="2" spans="1:8" x14ac:dyDescent="0.2">
      <c r="A2" s="1795" t="str">
        <f>Dados!A5</f>
        <v>CONSELHO DA JUSTIÇA FEDERAL – CJF</v>
      </c>
      <c r="B2" s="1795"/>
      <c r="C2" s="1795"/>
      <c r="D2" s="1795"/>
      <c r="E2" s="1795"/>
      <c r="F2" s="1795"/>
      <c r="G2" s="1795"/>
      <c r="H2" s="1795"/>
    </row>
    <row r="3" spans="1:8" x14ac:dyDescent="0.2">
      <c r="A3" s="1795" t="str">
        <f>Dados!A9</f>
        <v>PREGÃO ELETRÔNICO Nº32/2021-CJF</v>
      </c>
      <c r="B3" s="1795"/>
      <c r="C3" s="1795"/>
      <c r="D3" s="1795"/>
      <c r="E3" s="1795"/>
      <c r="F3" s="1795"/>
      <c r="G3" s="1795"/>
      <c r="H3" s="1795"/>
    </row>
    <row r="4" spans="1:8" hidden="1" x14ac:dyDescent="0.2">
      <c r="A4" s="1796" t="str">
        <f>Dados!A10</f>
        <v>CONTRATO Nº __________/201__ - CONTRATANTE - PRESTAÇÃO DE SERVIÇOS --------</v>
      </c>
      <c r="B4" s="1796"/>
      <c r="C4" s="1796"/>
      <c r="D4" s="1796"/>
      <c r="E4" s="1796"/>
      <c r="F4" s="1796"/>
      <c r="G4" s="1796"/>
      <c r="H4" s="1796"/>
    </row>
    <row r="5" spans="1:8" hidden="1" x14ac:dyDescent="0.2">
      <c r="A5" s="1796" t="str">
        <f>Dados!H2</f>
        <v xml:space="preserve">REPACTUAÇÃO CONTRATUAL 20___ - </v>
      </c>
      <c r="B5" s="1796"/>
      <c r="C5" s="1796"/>
      <c r="D5" s="1796"/>
      <c r="E5" s="1796"/>
      <c r="F5" s="1796"/>
      <c r="G5" s="1796"/>
      <c r="H5" s="1796"/>
    </row>
    <row r="8" spans="1:8" x14ac:dyDescent="0.2">
      <c r="A8" s="1795" t="s">
        <v>144</v>
      </c>
      <c r="B8" s="1795"/>
      <c r="C8" s="1795"/>
      <c r="D8" s="1795"/>
      <c r="E8" s="1795"/>
      <c r="F8" s="1795"/>
      <c r="G8" s="1795"/>
      <c r="H8" s="1795"/>
    </row>
    <row r="9" spans="1:8" x14ac:dyDescent="0.2">
      <c r="A9" s="169"/>
      <c r="B9" s="169"/>
      <c r="C9" s="169"/>
      <c r="D9" s="169"/>
      <c r="E9" s="169"/>
      <c r="F9" s="169"/>
      <c r="G9" s="169"/>
      <c r="H9" s="169"/>
    </row>
    <row r="10" spans="1:8" s="66" customFormat="1" ht="42.75" x14ac:dyDescent="0.2">
      <c r="A10" s="1793" t="s">
        <v>72</v>
      </c>
      <c r="B10" s="1793" t="s">
        <v>100</v>
      </c>
      <c r="C10" s="1793"/>
      <c r="D10" s="721" t="s">
        <v>703</v>
      </c>
      <c r="E10" s="1776" t="s">
        <v>73</v>
      </c>
      <c r="F10" s="721" t="s">
        <v>86</v>
      </c>
      <c r="G10" s="721" t="s">
        <v>704</v>
      </c>
      <c r="H10" s="721" t="s">
        <v>711</v>
      </c>
    </row>
    <row r="11" spans="1:8" s="66" customFormat="1" ht="18" customHeight="1" x14ac:dyDescent="0.2">
      <c r="A11" s="1793"/>
      <c r="B11" s="1793"/>
      <c r="C11" s="1793"/>
      <c r="D11" s="539" t="s">
        <v>137</v>
      </c>
      <c r="E11" s="1777"/>
      <c r="F11" s="540" t="s">
        <v>138</v>
      </c>
      <c r="G11" s="539" t="s">
        <v>139</v>
      </c>
      <c r="H11" s="539" t="s">
        <v>145</v>
      </c>
    </row>
    <row r="12" spans="1:8" s="733" customFormat="1" ht="21" customHeight="1" x14ac:dyDescent="0.2">
      <c r="A12" s="171">
        <v>1</v>
      </c>
      <c r="B12" s="1794" t="str">
        <f>Dados!P84</f>
        <v>Encarregado de segunda a sexta-feira - 44 horas semanais</v>
      </c>
      <c r="C12" s="1794"/>
      <c r="D12" s="170">
        <f>'01'!$G$200</f>
        <v>8391.2099999999991</v>
      </c>
      <c r="E12" s="171">
        <f>Dados!R84</f>
        <v>2</v>
      </c>
      <c r="F12" s="171">
        <f>Dados!T84</f>
        <v>2</v>
      </c>
      <c r="G12" s="172">
        <f>D12*F12</f>
        <v>16782.419999999998</v>
      </c>
      <c r="H12" s="172">
        <f>G12*Dados!$G$26</f>
        <v>201389.04</v>
      </c>
    </row>
    <row r="13" spans="1:8" s="733" customFormat="1" ht="21" customHeight="1" x14ac:dyDescent="0.2">
      <c r="A13" s="171">
        <v>2</v>
      </c>
      <c r="B13" s="1794" t="str">
        <f>Dados!P85</f>
        <v>Servente de segunda a sexta-feira - 44 horas semanais</v>
      </c>
      <c r="C13" s="1794"/>
      <c r="D13" s="170">
        <f>'02'!$G$200</f>
        <v>3783.29</v>
      </c>
      <c r="E13" s="171">
        <f>Dados!R85</f>
        <v>27</v>
      </c>
      <c r="F13" s="171">
        <f>Dados!T85</f>
        <v>27</v>
      </c>
      <c r="G13" s="172">
        <f t="shared" ref="G13:G20" si="0">D13*F13</f>
        <v>102148.83</v>
      </c>
      <c r="H13" s="172">
        <f>G13*Dados!$G$26</f>
        <v>1225785.96</v>
      </c>
    </row>
    <row r="14" spans="1:8" s="733" customFormat="1" ht="21" customHeight="1" x14ac:dyDescent="0.2">
      <c r="A14" s="171">
        <v>3</v>
      </c>
      <c r="B14" s="1794" t="str">
        <f>Dados!P86</f>
        <v>Mensageiro de segunda a sexta-feira - 44 horas semanais</v>
      </c>
      <c r="C14" s="1794"/>
      <c r="D14" s="170">
        <f>'03'!$G$200</f>
        <v>3839.74</v>
      </c>
      <c r="E14" s="171">
        <f>Dados!R86</f>
        <v>1</v>
      </c>
      <c r="F14" s="171">
        <f>Dados!T86</f>
        <v>1</v>
      </c>
      <c r="G14" s="172">
        <f t="shared" si="0"/>
        <v>3839.74</v>
      </c>
      <c r="H14" s="172">
        <f>G14*Dados!$G$26</f>
        <v>46076.88</v>
      </c>
    </row>
    <row r="15" spans="1:8" s="733" customFormat="1" ht="27.75" customHeight="1" x14ac:dyDescent="0.2">
      <c r="A15" s="171">
        <v>4</v>
      </c>
      <c r="B15" s="1794" t="str">
        <f>Dados!P87</f>
        <v>Operador de Máquina Reprográfica de segunda a sexta-feira - 44 horas semanais</v>
      </c>
      <c r="C15" s="1794"/>
      <c r="D15" s="170">
        <f>'04'!$G$200</f>
        <v>3839.74</v>
      </c>
      <c r="E15" s="171">
        <f>Dados!R87</f>
        <v>1</v>
      </c>
      <c r="F15" s="171">
        <f>Dados!T87</f>
        <v>1</v>
      </c>
      <c r="G15" s="172">
        <f t="shared" si="0"/>
        <v>3839.74</v>
      </c>
      <c r="H15" s="172">
        <f>G15*Dados!$G$26</f>
        <v>46076.88</v>
      </c>
    </row>
    <row r="16" spans="1:8" s="733" customFormat="1" ht="21" customHeight="1" x14ac:dyDescent="0.2">
      <c r="A16" s="171">
        <v>5</v>
      </c>
      <c r="B16" s="1794" t="str">
        <f>Dados!P88</f>
        <v>Garçom de segunda a sexta-feira - 44 horas semanais</v>
      </c>
      <c r="C16" s="1794"/>
      <c r="D16" s="170">
        <f>'05'!$G$200</f>
        <v>6089.35</v>
      </c>
      <c r="E16" s="171">
        <f>Dados!R88</f>
        <v>3</v>
      </c>
      <c r="F16" s="171">
        <f>Dados!T88</f>
        <v>3</v>
      </c>
      <c r="G16" s="172">
        <f t="shared" si="0"/>
        <v>18268.05</v>
      </c>
      <c r="H16" s="172">
        <f>G16*Dados!$G$26</f>
        <v>219216.6</v>
      </c>
    </row>
    <row r="17" spans="1:8" s="733" customFormat="1" ht="21" customHeight="1" x14ac:dyDescent="0.2">
      <c r="A17" s="171">
        <v>6</v>
      </c>
      <c r="B17" s="1794" t="str">
        <f>Dados!P89</f>
        <v>Copeira de segunda a sexta-feira - 44 horas semanais</v>
      </c>
      <c r="C17" s="1794"/>
      <c r="D17" s="170">
        <f>'06'!$G$200</f>
        <v>4667.32</v>
      </c>
      <c r="E17" s="171">
        <f>Dados!R89</f>
        <v>3</v>
      </c>
      <c r="F17" s="171">
        <f>Dados!T89</f>
        <v>3</v>
      </c>
      <c r="G17" s="172">
        <f t="shared" si="0"/>
        <v>14001.96</v>
      </c>
      <c r="H17" s="172">
        <f>G17*Dados!$G$26</f>
        <v>168023.52</v>
      </c>
    </row>
    <row r="18" spans="1:8" s="733" customFormat="1" ht="21" customHeight="1" x14ac:dyDescent="0.2">
      <c r="A18" s="171">
        <v>7</v>
      </c>
      <c r="B18" s="1794" t="str">
        <f>Dados!P90</f>
        <v>Recepcionista de segunda a sexta-feira - 44 horas semanais</v>
      </c>
      <c r="C18" s="1794"/>
      <c r="D18" s="170">
        <f>'07'!$G$200</f>
        <v>6064.62</v>
      </c>
      <c r="E18" s="171">
        <f>Dados!R90</f>
        <v>12</v>
      </c>
      <c r="F18" s="171">
        <f>Dados!T90</f>
        <v>12</v>
      </c>
      <c r="G18" s="172">
        <f t="shared" si="0"/>
        <v>72775.44</v>
      </c>
      <c r="H18" s="172">
        <f>G18*Dados!$G$26</f>
        <v>873305.28</v>
      </c>
    </row>
    <row r="19" spans="1:8" s="733" customFormat="1" ht="21" customHeight="1" x14ac:dyDescent="0.2">
      <c r="A19" s="171">
        <v>8</v>
      </c>
      <c r="B19" s="1794" t="str">
        <f>Dados!P91</f>
        <v>Jauzeiro de segunda a sexta-feira - 44 horas semanais</v>
      </c>
      <c r="C19" s="1794"/>
      <c r="D19" s="170">
        <f>'08'!$G$200</f>
        <v>5336.08</v>
      </c>
      <c r="E19" s="171">
        <f>Dados!R91</f>
        <v>2</v>
      </c>
      <c r="F19" s="171">
        <f>Dados!T91</f>
        <v>2</v>
      </c>
      <c r="G19" s="172">
        <f t="shared" si="0"/>
        <v>10672.16</v>
      </c>
      <c r="H19" s="172">
        <f>G19*Dados!$G$26</f>
        <v>128065.92</v>
      </c>
    </row>
    <row r="20" spans="1:8" s="733" customFormat="1" ht="21" customHeight="1" x14ac:dyDescent="0.2">
      <c r="A20" s="171">
        <v>9</v>
      </c>
      <c r="B20" s="1794" t="str">
        <f>Dados!P92</f>
        <v>Técnico em secretariado de segunda a sexta-feira - 44 horas semanais</v>
      </c>
      <c r="C20" s="1794"/>
      <c r="D20" s="170">
        <f>'09'!$G$200</f>
        <v>7959.81</v>
      </c>
      <c r="E20" s="171">
        <f>Dados!R92</f>
        <v>7</v>
      </c>
      <c r="F20" s="171">
        <f>Dados!T92</f>
        <v>7</v>
      </c>
      <c r="G20" s="172">
        <f t="shared" si="0"/>
        <v>55718.67</v>
      </c>
      <c r="H20" s="172">
        <f>G20*Dados!$G$26</f>
        <v>668624.04</v>
      </c>
    </row>
    <row r="21" spans="1:8" ht="22.5" customHeight="1" x14ac:dyDescent="0.2">
      <c r="A21" s="1792" t="s">
        <v>59</v>
      </c>
      <c r="B21" s="1792"/>
      <c r="C21" s="1792"/>
      <c r="D21" s="173" t="s">
        <v>60</v>
      </c>
      <c r="E21" s="174">
        <f>SUM(E12:E20)</f>
        <v>58</v>
      </c>
      <c r="F21" s="174">
        <f>SUM(F12:F20)</f>
        <v>58</v>
      </c>
      <c r="G21" s="175">
        <f>SUM(G12:G20)</f>
        <v>298047.01</v>
      </c>
      <c r="H21" s="175">
        <f>SUM(H12:H20)</f>
        <v>3576564.12</v>
      </c>
    </row>
    <row r="22" spans="1:8" ht="15" customHeight="1" x14ac:dyDescent="0.2">
      <c r="A22" s="734"/>
      <c r="B22" s="734"/>
      <c r="C22" s="734"/>
      <c r="D22" s="734"/>
      <c r="E22" s="734"/>
      <c r="F22" s="734"/>
      <c r="G22" s="735"/>
      <c r="H22" s="736"/>
    </row>
    <row r="23" spans="1:8" ht="15" customHeight="1" x14ac:dyDescent="0.2">
      <c r="A23" s="734"/>
      <c r="B23" s="734"/>
      <c r="C23" s="734"/>
      <c r="D23" s="734"/>
      <c r="E23" s="734"/>
      <c r="F23" s="734"/>
      <c r="G23" s="735"/>
      <c r="H23" s="736"/>
    </row>
    <row r="24" spans="1:8" ht="15" customHeight="1" x14ac:dyDescent="0.2">
      <c r="A24" s="734"/>
      <c r="B24" s="734"/>
      <c r="C24" s="734"/>
      <c r="D24" s="734"/>
      <c r="E24" s="734"/>
      <c r="F24" s="734"/>
      <c r="G24" s="735"/>
      <c r="H24" s="736"/>
    </row>
    <row r="25" spans="1:8" ht="15" customHeight="1" x14ac:dyDescent="0.2">
      <c r="A25" s="737"/>
      <c r="B25" s="737"/>
      <c r="C25" s="737"/>
      <c r="D25" s="737" t="s">
        <v>0</v>
      </c>
      <c r="E25" s="737"/>
      <c r="F25" s="737"/>
      <c r="G25" s="738"/>
      <c r="H25" s="739"/>
    </row>
    <row r="26" spans="1:8" ht="15" customHeight="1" x14ac:dyDescent="0.2">
      <c r="A26" s="1791" t="str">
        <f>Proposta!A103</f>
        <v>Brasília/DF, quinta-feira, 21 de outubro de 2021</v>
      </c>
      <c r="B26" s="1791"/>
      <c r="C26" s="1791"/>
      <c r="D26" s="1791"/>
      <c r="E26" s="1791"/>
      <c r="F26" s="1791"/>
      <c r="G26" s="1791"/>
      <c r="H26" s="1791"/>
    </row>
    <row r="27" spans="1:8" ht="15" customHeight="1" x14ac:dyDescent="0.2">
      <c r="A27" s="66"/>
      <c r="B27" s="66"/>
      <c r="C27" s="66"/>
      <c r="D27" s="66"/>
      <c r="E27" s="66"/>
      <c r="F27" s="66"/>
      <c r="G27" s="1049"/>
      <c r="H27" s="1050"/>
    </row>
    <row r="28" spans="1:8" ht="15" customHeight="1" x14ac:dyDescent="0.2">
      <c r="A28" s="66"/>
      <c r="B28" s="66"/>
      <c r="C28" s="66"/>
      <c r="D28" s="66"/>
      <c r="E28" s="66"/>
      <c r="F28" s="66"/>
      <c r="G28" s="1049"/>
      <c r="H28" s="1050"/>
    </row>
    <row r="29" spans="1:8" ht="15" customHeight="1" x14ac:dyDescent="0.2">
      <c r="A29" s="66"/>
      <c r="B29" s="66"/>
      <c r="C29" s="66"/>
      <c r="D29" s="66"/>
      <c r="E29" s="66"/>
      <c r="F29" s="66"/>
      <c r="G29" s="1049"/>
      <c r="H29" s="1050"/>
    </row>
    <row r="30" spans="1:8" ht="15" customHeight="1" x14ac:dyDescent="0.2">
      <c r="A30" s="66"/>
      <c r="B30" s="66"/>
      <c r="C30" s="66"/>
      <c r="D30" s="66"/>
      <c r="E30" s="66"/>
      <c r="F30" s="66"/>
      <c r="G30" s="1049"/>
      <c r="H30" s="1050"/>
    </row>
    <row r="31" spans="1:8" ht="15" customHeight="1" x14ac:dyDescent="0.2">
      <c r="A31" s="1791" t="str">
        <f>Proposta!A106</f>
        <v>BRASFORT ADMINISTRAÇÃO E SERVIÇOS LTDA</v>
      </c>
      <c r="B31" s="1791"/>
      <c r="C31" s="1791"/>
      <c r="D31" s="1791"/>
      <c r="E31" s="1791"/>
      <c r="F31" s="1791"/>
      <c r="G31" s="1791"/>
      <c r="H31" s="1791"/>
    </row>
    <row r="32" spans="1:8" ht="15" customHeight="1" x14ac:dyDescent="0.2">
      <c r="A32" s="1791" t="str">
        <f>Proposta!A107</f>
        <v>CNPJ: 36.770.857/0001-38</v>
      </c>
      <c r="B32" s="1791"/>
      <c r="C32" s="1791"/>
      <c r="D32" s="1791"/>
      <c r="E32" s="1791"/>
      <c r="F32" s="1791"/>
      <c r="G32" s="1791"/>
      <c r="H32" s="1791"/>
    </row>
    <row r="33" spans="1:8" ht="15" customHeight="1" x14ac:dyDescent="0.2">
      <c r="A33" s="737"/>
      <c r="B33" s="737"/>
      <c r="C33" s="737"/>
      <c r="D33" s="737"/>
      <c r="E33" s="737"/>
      <c r="F33" s="737"/>
      <c r="G33" s="737"/>
      <c r="H33" s="737"/>
    </row>
    <row r="34" spans="1:8" ht="15" customHeight="1" x14ac:dyDescent="0.2">
      <c r="A34" s="737"/>
      <c r="B34" s="737"/>
      <c r="C34" s="737"/>
      <c r="D34" s="737"/>
      <c r="E34" s="737"/>
      <c r="F34" s="737"/>
      <c r="G34" s="737"/>
      <c r="H34" s="737"/>
    </row>
    <row r="35" spans="1:8" ht="15" customHeight="1" x14ac:dyDescent="0.2">
      <c r="A35" s="737"/>
      <c r="B35" s="737"/>
      <c r="C35" s="737"/>
      <c r="D35" s="737"/>
      <c r="E35" s="737"/>
      <c r="F35" s="737"/>
      <c r="G35" s="737"/>
      <c r="H35" s="737"/>
    </row>
    <row r="36" spans="1:8" ht="15" customHeight="1" x14ac:dyDescent="0.2">
      <c r="A36" s="737"/>
      <c r="B36" s="737"/>
      <c r="C36" s="737"/>
      <c r="D36" s="737"/>
      <c r="E36" s="737"/>
      <c r="F36" s="737"/>
      <c r="G36" s="737"/>
      <c r="H36" s="737"/>
    </row>
    <row r="37" spans="1:8" ht="15" customHeight="1" x14ac:dyDescent="0.2">
      <c r="A37" s="737"/>
      <c r="B37" s="737"/>
      <c r="C37" s="737"/>
      <c r="D37" s="737"/>
      <c r="E37" s="737"/>
      <c r="F37" s="737"/>
      <c r="G37" s="737"/>
      <c r="H37" s="737"/>
    </row>
    <row r="38" spans="1:8" ht="15" customHeight="1" x14ac:dyDescent="0.2"/>
    <row r="39" spans="1:8" ht="12" customHeight="1" x14ac:dyDescent="0.2"/>
    <row r="40" spans="1:8" ht="12" customHeight="1" x14ac:dyDescent="0.2"/>
    <row r="41" spans="1:8" ht="12" customHeight="1" x14ac:dyDescent="0.2"/>
    <row r="42" spans="1:8" ht="12" customHeight="1" x14ac:dyDescent="0.2"/>
    <row r="43" spans="1:8" ht="12" customHeight="1" x14ac:dyDescent="0.2"/>
    <row r="44" spans="1:8" ht="12" customHeight="1" x14ac:dyDescent="0.2"/>
    <row r="45" spans="1:8" ht="12" customHeight="1" x14ac:dyDescent="0.2"/>
    <row r="46" spans="1:8" ht="12" customHeight="1" x14ac:dyDescent="0.2"/>
    <row r="47" spans="1:8" ht="12" customHeight="1" x14ac:dyDescent="0.2"/>
    <row r="48" spans="1: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8" customHeight="1" x14ac:dyDescent="0.2"/>
  </sheetData>
  <mergeCells count="21">
    <mergeCell ref="A2:H2"/>
    <mergeCell ref="A3:H3"/>
    <mergeCell ref="B10:C11"/>
    <mergeCell ref="A8:H8"/>
    <mergeCell ref="E10:E11"/>
    <mergeCell ref="A4:H4"/>
    <mergeCell ref="A5:H5"/>
    <mergeCell ref="A31:H31"/>
    <mergeCell ref="A32:H32"/>
    <mergeCell ref="A26:H26"/>
    <mergeCell ref="A21:C21"/>
    <mergeCell ref="A10:A11"/>
    <mergeCell ref="B12:C12"/>
    <mergeCell ref="B13:C13"/>
    <mergeCell ref="B14:C14"/>
    <mergeCell ref="B15:C15"/>
    <mergeCell ref="B16:C16"/>
    <mergeCell ref="B17:C17"/>
    <mergeCell ref="B18:C18"/>
    <mergeCell ref="B19:C19"/>
    <mergeCell ref="B20:C20"/>
  </mergeCells>
  <printOptions horizontalCentered="1"/>
  <pageMargins left="0.24" right="0.55118110236220474" top="1.79" bottom="0.43307086614173229" header="0.18" footer="0.23622047244094491"/>
  <pageSetup paperSize="9" scale="69" fitToHeight="0" orientation="portrait" r:id="rId1"/>
  <headerFooter alignWithMargins="0"/>
</worksheet>
</file>

<file path=xl/worksheets/sheet2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9">
    <tabColor theme="5" tint="0.39997558519241921"/>
    <pageSetUpPr fitToPage="1"/>
  </sheetPr>
  <dimension ref="A2:W54"/>
  <sheetViews>
    <sheetView view="pageBreakPreview" zoomScaleNormal="100" zoomScaleSheetLayoutView="100" workbookViewId="0">
      <selection activeCell="C45" sqref="B45:K48"/>
    </sheetView>
  </sheetViews>
  <sheetFormatPr defaultRowHeight="14.25" x14ac:dyDescent="0.2"/>
  <cols>
    <col min="1" max="1" width="8.28515625" style="69" customWidth="1"/>
    <col min="2" max="2" width="17.140625" style="69" customWidth="1"/>
    <col min="3" max="3" width="16.85546875" style="69" customWidth="1"/>
    <col min="4" max="4" width="15.42578125" style="69" customWidth="1"/>
    <col min="5" max="5" width="16" style="69" customWidth="1"/>
    <col min="6" max="6" width="15" style="69" customWidth="1"/>
    <col min="7" max="7" width="9.140625" style="69"/>
    <col min="8" max="8" width="15" style="69" bestFit="1" customWidth="1"/>
    <col min="9" max="9" width="16.7109375" style="69" bestFit="1" customWidth="1"/>
    <col min="10" max="257" width="9.140625" style="69"/>
    <col min="258" max="258" width="18.28515625" style="69" bestFit="1" customWidth="1"/>
    <col min="259" max="259" width="18.7109375" style="69" bestFit="1" customWidth="1"/>
    <col min="260" max="261" width="17.5703125" style="69" bestFit="1" customWidth="1"/>
    <col min="262" max="262" width="16" style="69" bestFit="1" customWidth="1"/>
    <col min="263" max="513" width="9.140625" style="69"/>
    <col min="514" max="514" width="18.28515625" style="69" bestFit="1" customWidth="1"/>
    <col min="515" max="515" width="18.7109375" style="69" bestFit="1" customWidth="1"/>
    <col min="516" max="517" width="17.5703125" style="69" bestFit="1" customWidth="1"/>
    <col min="518" max="518" width="16" style="69" bestFit="1" customWidth="1"/>
    <col min="519" max="769" width="9.140625" style="69"/>
    <col min="770" max="770" width="18.28515625" style="69" bestFit="1" customWidth="1"/>
    <col min="771" max="771" width="18.7109375" style="69" bestFit="1" customWidth="1"/>
    <col min="772" max="773" width="17.5703125" style="69" bestFit="1" customWidth="1"/>
    <col min="774" max="774" width="16" style="69" bestFit="1" customWidth="1"/>
    <col min="775" max="1025" width="9.140625" style="69"/>
    <col min="1026" max="1026" width="18.28515625" style="69" bestFit="1" customWidth="1"/>
    <col min="1027" max="1027" width="18.7109375" style="69" bestFit="1" customWidth="1"/>
    <col min="1028" max="1029" width="17.5703125" style="69" bestFit="1" customWidth="1"/>
    <col min="1030" max="1030" width="16" style="69" bestFit="1" customWidth="1"/>
    <col min="1031" max="1281" width="9.140625" style="69"/>
    <col min="1282" max="1282" width="18.28515625" style="69" bestFit="1" customWidth="1"/>
    <col min="1283" max="1283" width="18.7109375" style="69" bestFit="1" customWidth="1"/>
    <col min="1284" max="1285" width="17.5703125" style="69" bestFit="1" customWidth="1"/>
    <col min="1286" max="1286" width="16" style="69" bestFit="1" customWidth="1"/>
    <col min="1287" max="1537" width="9.140625" style="69"/>
    <col min="1538" max="1538" width="18.28515625" style="69" bestFit="1" customWidth="1"/>
    <col min="1539" max="1539" width="18.7109375" style="69" bestFit="1" customWidth="1"/>
    <col min="1540" max="1541" width="17.5703125" style="69" bestFit="1" customWidth="1"/>
    <col min="1542" max="1542" width="16" style="69" bestFit="1" customWidth="1"/>
    <col min="1543" max="1793" width="9.140625" style="69"/>
    <col min="1794" max="1794" width="18.28515625" style="69" bestFit="1" customWidth="1"/>
    <col min="1795" max="1795" width="18.7109375" style="69" bestFit="1" customWidth="1"/>
    <col min="1796" max="1797" width="17.5703125" style="69" bestFit="1" customWidth="1"/>
    <col min="1798" max="1798" width="16" style="69" bestFit="1" customWidth="1"/>
    <col min="1799" max="2049" width="9.140625" style="69"/>
    <col min="2050" max="2050" width="18.28515625" style="69" bestFit="1" customWidth="1"/>
    <col min="2051" max="2051" width="18.7109375" style="69" bestFit="1" customWidth="1"/>
    <col min="2052" max="2053" width="17.5703125" style="69" bestFit="1" customWidth="1"/>
    <col min="2054" max="2054" width="16" style="69" bestFit="1" customWidth="1"/>
    <col min="2055" max="2305" width="9.140625" style="69"/>
    <col min="2306" max="2306" width="18.28515625" style="69" bestFit="1" customWidth="1"/>
    <col min="2307" max="2307" width="18.7109375" style="69" bestFit="1" customWidth="1"/>
    <col min="2308" max="2309" width="17.5703125" style="69" bestFit="1" customWidth="1"/>
    <col min="2310" max="2310" width="16" style="69" bestFit="1" customWidth="1"/>
    <col min="2311" max="2561" width="9.140625" style="69"/>
    <col min="2562" max="2562" width="18.28515625" style="69" bestFit="1" customWidth="1"/>
    <col min="2563" max="2563" width="18.7109375" style="69" bestFit="1" customWidth="1"/>
    <col min="2564" max="2565" width="17.5703125" style="69" bestFit="1" customWidth="1"/>
    <col min="2566" max="2566" width="16" style="69" bestFit="1" customWidth="1"/>
    <col min="2567" max="2817" width="9.140625" style="69"/>
    <col min="2818" max="2818" width="18.28515625" style="69" bestFit="1" customWidth="1"/>
    <col min="2819" max="2819" width="18.7109375" style="69" bestFit="1" customWidth="1"/>
    <col min="2820" max="2821" width="17.5703125" style="69" bestFit="1" customWidth="1"/>
    <col min="2822" max="2822" width="16" style="69" bestFit="1" customWidth="1"/>
    <col min="2823" max="3073" width="9.140625" style="69"/>
    <col min="3074" max="3074" width="18.28515625" style="69" bestFit="1" customWidth="1"/>
    <col min="3075" max="3075" width="18.7109375" style="69" bestFit="1" customWidth="1"/>
    <col min="3076" max="3077" width="17.5703125" style="69" bestFit="1" customWidth="1"/>
    <col min="3078" max="3078" width="16" style="69" bestFit="1" customWidth="1"/>
    <col min="3079" max="3329" width="9.140625" style="69"/>
    <col min="3330" max="3330" width="18.28515625" style="69" bestFit="1" customWidth="1"/>
    <col min="3331" max="3331" width="18.7109375" style="69" bestFit="1" customWidth="1"/>
    <col min="3332" max="3333" width="17.5703125" style="69" bestFit="1" customWidth="1"/>
    <col min="3334" max="3334" width="16" style="69" bestFit="1" customWidth="1"/>
    <col min="3335" max="3585" width="9.140625" style="69"/>
    <col min="3586" max="3586" width="18.28515625" style="69" bestFit="1" customWidth="1"/>
    <col min="3587" max="3587" width="18.7109375" style="69" bestFit="1" customWidth="1"/>
    <col min="3588" max="3589" width="17.5703125" style="69" bestFit="1" customWidth="1"/>
    <col min="3590" max="3590" width="16" style="69" bestFit="1" customWidth="1"/>
    <col min="3591" max="3841" width="9.140625" style="69"/>
    <col min="3842" max="3842" width="18.28515625" style="69" bestFit="1" customWidth="1"/>
    <col min="3843" max="3843" width="18.7109375" style="69" bestFit="1" customWidth="1"/>
    <col min="3844" max="3845" width="17.5703125" style="69" bestFit="1" customWidth="1"/>
    <col min="3846" max="3846" width="16" style="69" bestFit="1" customWidth="1"/>
    <col min="3847" max="4097" width="9.140625" style="69"/>
    <col min="4098" max="4098" width="18.28515625" style="69" bestFit="1" customWidth="1"/>
    <col min="4099" max="4099" width="18.7109375" style="69" bestFit="1" customWidth="1"/>
    <col min="4100" max="4101" width="17.5703125" style="69" bestFit="1" customWidth="1"/>
    <col min="4102" max="4102" width="16" style="69" bestFit="1" customWidth="1"/>
    <col min="4103" max="4353" width="9.140625" style="69"/>
    <col min="4354" max="4354" width="18.28515625" style="69" bestFit="1" customWidth="1"/>
    <col min="4355" max="4355" width="18.7109375" style="69" bestFit="1" customWidth="1"/>
    <col min="4356" max="4357" width="17.5703125" style="69" bestFit="1" customWidth="1"/>
    <col min="4358" max="4358" width="16" style="69" bestFit="1" customWidth="1"/>
    <col min="4359" max="4609" width="9.140625" style="69"/>
    <col min="4610" max="4610" width="18.28515625" style="69" bestFit="1" customWidth="1"/>
    <col min="4611" max="4611" width="18.7109375" style="69" bestFit="1" customWidth="1"/>
    <col min="4612" max="4613" width="17.5703125" style="69" bestFit="1" customWidth="1"/>
    <col min="4614" max="4614" width="16" style="69" bestFit="1" customWidth="1"/>
    <col min="4615" max="4865" width="9.140625" style="69"/>
    <col min="4866" max="4866" width="18.28515625" style="69" bestFit="1" customWidth="1"/>
    <col min="4867" max="4867" width="18.7109375" style="69" bestFit="1" customWidth="1"/>
    <col min="4868" max="4869" width="17.5703125" style="69" bestFit="1" customWidth="1"/>
    <col min="4870" max="4870" width="16" style="69" bestFit="1" customWidth="1"/>
    <col min="4871" max="5121" width="9.140625" style="69"/>
    <col min="5122" max="5122" width="18.28515625" style="69" bestFit="1" customWidth="1"/>
    <col min="5123" max="5123" width="18.7109375" style="69" bestFit="1" customWidth="1"/>
    <col min="5124" max="5125" width="17.5703125" style="69" bestFit="1" customWidth="1"/>
    <col min="5126" max="5126" width="16" style="69" bestFit="1" customWidth="1"/>
    <col min="5127" max="5377" width="9.140625" style="69"/>
    <col min="5378" max="5378" width="18.28515625" style="69" bestFit="1" customWidth="1"/>
    <col min="5379" max="5379" width="18.7109375" style="69" bestFit="1" customWidth="1"/>
    <col min="5380" max="5381" width="17.5703125" style="69" bestFit="1" customWidth="1"/>
    <col min="5382" max="5382" width="16" style="69" bestFit="1" customWidth="1"/>
    <col min="5383" max="5633" width="9.140625" style="69"/>
    <col min="5634" max="5634" width="18.28515625" style="69" bestFit="1" customWidth="1"/>
    <col min="5635" max="5635" width="18.7109375" style="69" bestFit="1" customWidth="1"/>
    <col min="5636" max="5637" width="17.5703125" style="69" bestFit="1" customWidth="1"/>
    <col min="5638" max="5638" width="16" style="69" bestFit="1" customWidth="1"/>
    <col min="5639" max="5889" width="9.140625" style="69"/>
    <col min="5890" max="5890" width="18.28515625" style="69" bestFit="1" customWidth="1"/>
    <col min="5891" max="5891" width="18.7109375" style="69" bestFit="1" customWidth="1"/>
    <col min="5892" max="5893" width="17.5703125" style="69" bestFit="1" customWidth="1"/>
    <col min="5894" max="5894" width="16" style="69" bestFit="1" customWidth="1"/>
    <col min="5895" max="6145" width="9.140625" style="69"/>
    <col min="6146" max="6146" width="18.28515625" style="69" bestFit="1" customWidth="1"/>
    <col min="6147" max="6147" width="18.7109375" style="69" bestFit="1" customWidth="1"/>
    <col min="6148" max="6149" width="17.5703125" style="69" bestFit="1" customWidth="1"/>
    <col min="6150" max="6150" width="16" style="69" bestFit="1" customWidth="1"/>
    <col min="6151" max="6401" width="9.140625" style="69"/>
    <col min="6402" max="6402" width="18.28515625" style="69" bestFit="1" customWidth="1"/>
    <col min="6403" max="6403" width="18.7109375" style="69" bestFit="1" customWidth="1"/>
    <col min="6404" max="6405" width="17.5703125" style="69" bestFit="1" customWidth="1"/>
    <col min="6406" max="6406" width="16" style="69" bestFit="1" customWidth="1"/>
    <col min="6407" max="6657" width="9.140625" style="69"/>
    <col min="6658" max="6658" width="18.28515625" style="69" bestFit="1" customWidth="1"/>
    <col min="6659" max="6659" width="18.7109375" style="69" bestFit="1" customWidth="1"/>
    <col min="6660" max="6661" width="17.5703125" style="69" bestFit="1" customWidth="1"/>
    <col min="6662" max="6662" width="16" style="69" bestFit="1" customWidth="1"/>
    <col min="6663" max="6913" width="9.140625" style="69"/>
    <col min="6914" max="6914" width="18.28515625" style="69" bestFit="1" customWidth="1"/>
    <col min="6915" max="6915" width="18.7109375" style="69" bestFit="1" customWidth="1"/>
    <col min="6916" max="6917" width="17.5703125" style="69" bestFit="1" customWidth="1"/>
    <col min="6918" max="6918" width="16" style="69" bestFit="1" customWidth="1"/>
    <col min="6919" max="7169" width="9.140625" style="69"/>
    <col min="7170" max="7170" width="18.28515625" style="69" bestFit="1" customWidth="1"/>
    <col min="7171" max="7171" width="18.7109375" style="69" bestFit="1" customWidth="1"/>
    <col min="7172" max="7173" width="17.5703125" style="69" bestFit="1" customWidth="1"/>
    <col min="7174" max="7174" width="16" style="69" bestFit="1" customWidth="1"/>
    <col min="7175" max="7425" width="9.140625" style="69"/>
    <col min="7426" max="7426" width="18.28515625" style="69" bestFit="1" customWidth="1"/>
    <col min="7427" max="7427" width="18.7109375" style="69" bestFit="1" customWidth="1"/>
    <col min="7428" max="7429" width="17.5703125" style="69" bestFit="1" customWidth="1"/>
    <col min="7430" max="7430" width="16" style="69" bestFit="1" customWidth="1"/>
    <col min="7431" max="7681" width="9.140625" style="69"/>
    <col min="7682" max="7682" width="18.28515625" style="69" bestFit="1" customWidth="1"/>
    <col min="7683" max="7683" width="18.7109375" style="69" bestFit="1" customWidth="1"/>
    <col min="7684" max="7685" width="17.5703125" style="69" bestFit="1" customWidth="1"/>
    <col min="7686" max="7686" width="16" style="69" bestFit="1" customWidth="1"/>
    <col min="7687" max="7937" width="9.140625" style="69"/>
    <col min="7938" max="7938" width="18.28515625" style="69" bestFit="1" customWidth="1"/>
    <col min="7939" max="7939" width="18.7109375" style="69" bestFit="1" customWidth="1"/>
    <col min="7940" max="7941" width="17.5703125" style="69" bestFit="1" customWidth="1"/>
    <col min="7942" max="7942" width="16" style="69" bestFit="1" customWidth="1"/>
    <col min="7943" max="8193" width="9.140625" style="69"/>
    <col min="8194" max="8194" width="18.28515625" style="69" bestFit="1" customWidth="1"/>
    <col min="8195" max="8195" width="18.7109375" style="69" bestFit="1" customWidth="1"/>
    <col min="8196" max="8197" width="17.5703125" style="69" bestFit="1" customWidth="1"/>
    <col min="8198" max="8198" width="16" style="69" bestFit="1" customWidth="1"/>
    <col min="8199" max="8449" width="9.140625" style="69"/>
    <col min="8450" max="8450" width="18.28515625" style="69" bestFit="1" customWidth="1"/>
    <col min="8451" max="8451" width="18.7109375" style="69" bestFit="1" customWidth="1"/>
    <col min="8452" max="8453" width="17.5703125" style="69" bestFit="1" customWidth="1"/>
    <col min="8454" max="8454" width="16" style="69" bestFit="1" customWidth="1"/>
    <col min="8455" max="8705" width="9.140625" style="69"/>
    <col min="8706" max="8706" width="18.28515625" style="69" bestFit="1" customWidth="1"/>
    <col min="8707" max="8707" width="18.7109375" style="69" bestFit="1" customWidth="1"/>
    <col min="8708" max="8709" width="17.5703125" style="69" bestFit="1" customWidth="1"/>
    <col min="8710" max="8710" width="16" style="69" bestFit="1" customWidth="1"/>
    <col min="8711" max="8961" width="9.140625" style="69"/>
    <col min="8962" max="8962" width="18.28515625" style="69" bestFit="1" customWidth="1"/>
    <col min="8963" max="8963" width="18.7109375" style="69" bestFit="1" customWidth="1"/>
    <col min="8964" max="8965" width="17.5703125" style="69" bestFit="1" customWidth="1"/>
    <col min="8966" max="8966" width="16" style="69" bestFit="1" customWidth="1"/>
    <col min="8967" max="9217" width="9.140625" style="69"/>
    <col min="9218" max="9218" width="18.28515625" style="69" bestFit="1" customWidth="1"/>
    <col min="9219" max="9219" width="18.7109375" style="69" bestFit="1" customWidth="1"/>
    <col min="9220" max="9221" width="17.5703125" style="69" bestFit="1" customWidth="1"/>
    <col min="9222" max="9222" width="16" style="69" bestFit="1" customWidth="1"/>
    <col min="9223" max="9473" width="9.140625" style="69"/>
    <col min="9474" max="9474" width="18.28515625" style="69" bestFit="1" customWidth="1"/>
    <col min="9475" max="9475" width="18.7109375" style="69" bestFit="1" customWidth="1"/>
    <col min="9476" max="9477" width="17.5703125" style="69" bestFit="1" customWidth="1"/>
    <col min="9478" max="9478" width="16" style="69" bestFit="1" customWidth="1"/>
    <col min="9479" max="9729" width="9.140625" style="69"/>
    <col min="9730" max="9730" width="18.28515625" style="69" bestFit="1" customWidth="1"/>
    <col min="9731" max="9731" width="18.7109375" style="69" bestFit="1" customWidth="1"/>
    <col min="9732" max="9733" width="17.5703125" style="69" bestFit="1" customWidth="1"/>
    <col min="9734" max="9734" width="16" style="69" bestFit="1" customWidth="1"/>
    <col min="9735" max="9985" width="9.140625" style="69"/>
    <col min="9986" max="9986" width="18.28515625" style="69" bestFit="1" customWidth="1"/>
    <col min="9987" max="9987" width="18.7109375" style="69" bestFit="1" customWidth="1"/>
    <col min="9988" max="9989" width="17.5703125" style="69" bestFit="1" customWidth="1"/>
    <col min="9990" max="9990" width="16" style="69" bestFit="1" customWidth="1"/>
    <col min="9991" max="10241" width="9.140625" style="69"/>
    <col min="10242" max="10242" width="18.28515625" style="69" bestFit="1" customWidth="1"/>
    <col min="10243" max="10243" width="18.7109375" style="69" bestFit="1" customWidth="1"/>
    <col min="10244" max="10245" width="17.5703125" style="69" bestFit="1" customWidth="1"/>
    <col min="10246" max="10246" width="16" style="69" bestFit="1" customWidth="1"/>
    <col min="10247" max="10497" width="9.140625" style="69"/>
    <col min="10498" max="10498" width="18.28515625" style="69" bestFit="1" customWidth="1"/>
    <col min="10499" max="10499" width="18.7109375" style="69" bestFit="1" customWidth="1"/>
    <col min="10500" max="10501" width="17.5703125" style="69" bestFit="1" customWidth="1"/>
    <col min="10502" max="10502" width="16" style="69" bestFit="1" customWidth="1"/>
    <col min="10503" max="10753" width="9.140625" style="69"/>
    <col min="10754" max="10754" width="18.28515625" style="69" bestFit="1" customWidth="1"/>
    <col min="10755" max="10755" width="18.7109375" style="69" bestFit="1" customWidth="1"/>
    <col min="10756" max="10757" width="17.5703125" style="69" bestFit="1" customWidth="1"/>
    <col min="10758" max="10758" width="16" style="69" bestFit="1" customWidth="1"/>
    <col min="10759" max="11009" width="9.140625" style="69"/>
    <col min="11010" max="11010" width="18.28515625" style="69" bestFit="1" customWidth="1"/>
    <col min="11011" max="11011" width="18.7109375" style="69" bestFit="1" customWidth="1"/>
    <col min="11012" max="11013" width="17.5703125" style="69" bestFit="1" customWidth="1"/>
    <col min="11014" max="11014" width="16" style="69" bestFit="1" customWidth="1"/>
    <col min="11015" max="11265" width="9.140625" style="69"/>
    <col min="11266" max="11266" width="18.28515625" style="69" bestFit="1" customWidth="1"/>
    <col min="11267" max="11267" width="18.7109375" style="69" bestFit="1" customWidth="1"/>
    <col min="11268" max="11269" width="17.5703125" style="69" bestFit="1" customWidth="1"/>
    <col min="11270" max="11270" width="16" style="69" bestFit="1" customWidth="1"/>
    <col min="11271" max="11521" width="9.140625" style="69"/>
    <col min="11522" max="11522" width="18.28515625" style="69" bestFit="1" customWidth="1"/>
    <col min="11523" max="11523" width="18.7109375" style="69" bestFit="1" customWidth="1"/>
    <col min="11524" max="11525" width="17.5703125" style="69" bestFit="1" customWidth="1"/>
    <col min="11526" max="11526" width="16" style="69" bestFit="1" customWidth="1"/>
    <col min="11527" max="11777" width="9.140625" style="69"/>
    <col min="11778" max="11778" width="18.28515625" style="69" bestFit="1" customWidth="1"/>
    <col min="11779" max="11779" width="18.7109375" style="69" bestFit="1" customWidth="1"/>
    <col min="11780" max="11781" width="17.5703125" style="69" bestFit="1" customWidth="1"/>
    <col min="11782" max="11782" width="16" style="69" bestFit="1" customWidth="1"/>
    <col min="11783" max="12033" width="9.140625" style="69"/>
    <col min="12034" max="12034" width="18.28515625" style="69" bestFit="1" customWidth="1"/>
    <col min="12035" max="12035" width="18.7109375" style="69" bestFit="1" customWidth="1"/>
    <col min="12036" max="12037" width="17.5703125" style="69" bestFit="1" customWidth="1"/>
    <col min="12038" max="12038" width="16" style="69" bestFit="1" customWidth="1"/>
    <col min="12039" max="12289" width="9.140625" style="69"/>
    <col min="12290" max="12290" width="18.28515625" style="69" bestFit="1" customWidth="1"/>
    <col min="12291" max="12291" width="18.7109375" style="69" bestFit="1" customWidth="1"/>
    <col min="12292" max="12293" width="17.5703125" style="69" bestFit="1" customWidth="1"/>
    <col min="12294" max="12294" width="16" style="69" bestFit="1" customWidth="1"/>
    <col min="12295" max="12545" width="9.140625" style="69"/>
    <col min="12546" max="12546" width="18.28515625" style="69" bestFit="1" customWidth="1"/>
    <col min="12547" max="12547" width="18.7109375" style="69" bestFit="1" customWidth="1"/>
    <col min="12548" max="12549" width="17.5703125" style="69" bestFit="1" customWidth="1"/>
    <col min="12550" max="12550" width="16" style="69" bestFit="1" customWidth="1"/>
    <col min="12551" max="12801" width="9.140625" style="69"/>
    <col min="12802" max="12802" width="18.28515625" style="69" bestFit="1" customWidth="1"/>
    <col min="12803" max="12803" width="18.7109375" style="69" bestFit="1" customWidth="1"/>
    <col min="12804" max="12805" width="17.5703125" style="69" bestFit="1" customWidth="1"/>
    <col min="12806" max="12806" width="16" style="69" bestFit="1" customWidth="1"/>
    <col min="12807" max="13057" width="9.140625" style="69"/>
    <col min="13058" max="13058" width="18.28515625" style="69" bestFit="1" customWidth="1"/>
    <col min="13059" max="13059" width="18.7109375" style="69" bestFit="1" customWidth="1"/>
    <col min="13060" max="13061" width="17.5703125" style="69" bestFit="1" customWidth="1"/>
    <col min="13062" max="13062" width="16" style="69" bestFit="1" customWidth="1"/>
    <col min="13063" max="13313" width="9.140625" style="69"/>
    <col min="13314" max="13314" width="18.28515625" style="69" bestFit="1" customWidth="1"/>
    <col min="13315" max="13315" width="18.7109375" style="69" bestFit="1" customWidth="1"/>
    <col min="13316" max="13317" width="17.5703125" style="69" bestFit="1" customWidth="1"/>
    <col min="13318" max="13318" width="16" style="69" bestFit="1" customWidth="1"/>
    <col min="13319" max="13569" width="9.140625" style="69"/>
    <col min="13570" max="13570" width="18.28515625" style="69" bestFit="1" customWidth="1"/>
    <col min="13571" max="13571" width="18.7109375" style="69" bestFit="1" customWidth="1"/>
    <col min="13572" max="13573" width="17.5703125" style="69" bestFit="1" customWidth="1"/>
    <col min="13574" max="13574" width="16" style="69" bestFit="1" customWidth="1"/>
    <col min="13575" max="13825" width="9.140625" style="69"/>
    <col min="13826" max="13826" width="18.28515625" style="69" bestFit="1" customWidth="1"/>
    <col min="13827" max="13827" width="18.7109375" style="69" bestFit="1" customWidth="1"/>
    <col min="13828" max="13829" width="17.5703125" style="69" bestFit="1" customWidth="1"/>
    <col min="13830" max="13830" width="16" style="69" bestFit="1" customWidth="1"/>
    <col min="13831" max="14081" width="9.140625" style="69"/>
    <col min="14082" max="14082" width="18.28515625" style="69" bestFit="1" customWidth="1"/>
    <col min="14083" max="14083" width="18.7109375" style="69" bestFit="1" customWidth="1"/>
    <col min="14084" max="14085" width="17.5703125" style="69" bestFit="1" customWidth="1"/>
    <col min="14086" max="14086" width="16" style="69" bestFit="1" customWidth="1"/>
    <col min="14087" max="14337" width="9.140625" style="69"/>
    <col min="14338" max="14338" width="18.28515625" style="69" bestFit="1" customWidth="1"/>
    <col min="14339" max="14339" width="18.7109375" style="69" bestFit="1" customWidth="1"/>
    <col min="14340" max="14341" width="17.5703125" style="69" bestFit="1" customWidth="1"/>
    <col min="14342" max="14342" width="16" style="69" bestFit="1" customWidth="1"/>
    <col min="14343" max="14593" width="9.140625" style="69"/>
    <col min="14594" max="14594" width="18.28515625" style="69" bestFit="1" customWidth="1"/>
    <col min="14595" max="14595" width="18.7109375" style="69" bestFit="1" customWidth="1"/>
    <col min="14596" max="14597" width="17.5703125" style="69" bestFit="1" customWidth="1"/>
    <col min="14598" max="14598" width="16" style="69" bestFit="1" customWidth="1"/>
    <col min="14599" max="14849" width="9.140625" style="69"/>
    <col min="14850" max="14850" width="18.28515625" style="69" bestFit="1" customWidth="1"/>
    <col min="14851" max="14851" width="18.7109375" style="69" bestFit="1" customWidth="1"/>
    <col min="14852" max="14853" width="17.5703125" style="69" bestFit="1" customWidth="1"/>
    <col min="14854" max="14854" width="16" style="69" bestFit="1" customWidth="1"/>
    <col min="14855" max="15105" width="9.140625" style="69"/>
    <col min="15106" max="15106" width="18.28515625" style="69" bestFit="1" customWidth="1"/>
    <col min="15107" max="15107" width="18.7109375" style="69" bestFit="1" customWidth="1"/>
    <col min="15108" max="15109" width="17.5703125" style="69" bestFit="1" customWidth="1"/>
    <col min="15110" max="15110" width="16" style="69" bestFit="1" customWidth="1"/>
    <col min="15111" max="15361" width="9.140625" style="69"/>
    <col min="15362" max="15362" width="18.28515625" style="69" bestFit="1" customWidth="1"/>
    <col min="15363" max="15363" width="18.7109375" style="69" bestFit="1" customWidth="1"/>
    <col min="15364" max="15365" width="17.5703125" style="69" bestFit="1" customWidth="1"/>
    <col min="15366" max="15366" width="16" style="69" bestFit="1" customWidth="1"/>
    <col min="15367" max="15617" width="9.140625" style="69"/>
    <col min="15618" max="15618" width="18.28515625" style="69" bestFit="1" customWidth="1"/>
    <col min="15619" max="15619" width="18.7109375" style="69" bestFit="1" customWidth="1"/>
    <col min="15620" max="15621" width="17.5703125" style="69" bestFit="1" customWidth="1"/>
    <col min="15622" max="15622" width="16" style="69" bestFit="1" customWidth="1"/>
    <col min="15623" max="15873" width="9.140625" style="69"/>
    <col min="15874" max="15874" width="18.28515625" style="69" bestFit="1" customWidth="1"/>
    <col min="15875" max="15875" width="18.7109375" style="69" bestFit="1" customWidth="1"/>
    <col min="15876" max="15877" width="17.5703125" style="69" bestFit="1" customWidth="1"/>
    <col min="15878" max="15878" width="16" style="69" bestFit="1" customWidth="1"/>
    <col min="15879" max="16129" width="9.140625" style="69"/>
    <col min="16130" max="16130" width="18.28515625" style="69" bestFit="1" customWidth="1"/>
    <col min="16131" max="16131" width="18.7109375" style="69" bestFit="1" customWidth="1"/>
    <col min="16132" max="16133" width="17.5703125" style="69" bestFit="1" customWidth="1"/>
    <col min="16134" max="16134" width="16" style="69" bestFit="1" customWidth="1"/>
    <col min="16135" max="16384" width="9.140625" style="69"/>
  </cols>
  <sheetData>
    <row r="2" spans="1:23" x14ac:dyDescent="0.2">
      <c r="A2" s="1799" t="str">
        <f>Dados!A5</f>
        <v>CONSELHO DA JUSTIÇA FEDERAL – CJF</v>
      </c>
      <c r="B2" s="1799"/>
      <c r="C2" s="1799"/>
      <c r="D2" s="1799"/>
      <c r="E2" s="1799"/>
      <c r="F2" s="1799"/>
    </row>
    <row r="3" spans="1:23" x14ac:dyDescent="0.2">
      <c r="A3" s="1799" t="str">
        <f>Dados!A9</f>
        <v>PREGÃO ELETRÔNICO Nº32/2021-CJF</v>
      </c>
      <c r="B3" s="1799"/>
      <c r="C3" s="1799"/>
      <c r="D3" s="1799"/>
      <c r="E3" s="1799"/>
      <c r="F3" s="1799"/>
    </row>
    <row r="4" spans="1:23" hidden="1" x14ac:dyDescent="0.2">
      <c r="A4" s="1800" t="str">
        <f>Dados!A10</f>
        <v>CONTRATO Nº __________/201__ - CONTRATANTE - PRESTAÇÃO DE SERVIÇOS --------</v>
      </c>
      <c r="B4" s="1800"/>
      <c r="C4" s="1800"/>
      <c r="D4" s="1800"/>
      <c r="E4" s="1800"/>
      <c r="F4" s="1800"/>
    </row>
    <row r="5" spans="1:23" hidden="1" x14ac:dyDescent="0.2">
      <c r="A5" s="1800" t="str">
        <f>Dados!H2</f>
        <v xml:space="preserve">REPACTUAÇÃO CONTRATUAL 20___ - </v>
      </c>
      <c r="B5" s="1800"/>
      <c r="C5" s="1800"/>
      <c r="D5" s="1800"/>
      <c r="E5" s="1800"/>
      <c r="F5" s="1800"/>
    </row>
    <row r="8" spans="1:23" x14ac:dyDescent="0.2">
      <c r="A8" s="1799" t="str">
        <f>Dados!A86</f>
        <v>ALÍQUOTAS DOS TRIBUTOS</v>
      </c>
      <c r="B8" s="1799"/>
      <c r="C8" s="1799"/>
      <c r="D8" s="1799"/>
      <c r="E8" s="1799"/>
      <c r="F8" s="1799"/>
    </row>
    <row r="10" spans="1:23" s="363" customFormat="1" ht="15" thickBot="1" x14ac:dyDescent="0.25">
      <c r="A10" s="1801" t="s">
        <v>234</v>
      </c>
      <c r="B10" s="1801"/>
      <c r="C10" s="1801"/>
      <c r="D10" s="1801"/>
      <c r="E10" s="1801"/>
      <c r="F10" s="1801"/>
      <c r="J10" s="69"/>
      <c r="K10" s="69"/>
      <c r="L10" s="69"/>
      <c r="M10" s="69"/>
      <c r="N10" s="69"/>
      <c r="O10" s="69"/>
      <c r="P10" s="69"/>
      <c r="Q10" s="69"/>
      <c r="R10" s="69"/>
      <c r="S10" s="69"/>
      <c r="T10" s="69"/>
      <c r="U10" s="69"/>
      <c r="V10" s="69"/>
      <c r="W10" s="69"/>
    </row>
    <row r="11" spans="1:23" s="363" customFormat="1" x14ac:dyDescent="0.2">
      <c r="A11" s="1802" t="s">
        <v>235</v>
      </c>
      <c r="B11" s="864" t="s">
        <v>236</v>
      </c>
      <c r="C11" s="864" t="s">
        <v>237</v>
      </c>
      <c r="D11" s="864" t="s">
        <v>238</v>
      </c>
      <c r="E11" s="864" t="s">
        <v>237</v>
      </c>
      <c r="F11" s="865" t="s">
        <v>198</v>
      </c>
      <c r="J11" s="69"/>
      <c r="K11" s="69"/>
      <c r="L11" s="69"/>
      <c r="M11" s="69"/>
      <c r="N11" s="69"/>
      <c r="O11" s="69"/>
      <c r="P11" s="69"/>
      <c r="Q11" s="69"/>
      <c r="R11" s="69"/>
      <c r="S11" s="69"/>
      <c r="T11" s="69"/>
      <c r="U11" s="69"/>
      <c r="V11" s="69"/>
      <c r="W11" s="69"/>
    </row>
    <row r="12" spans="1:23" s="363" customFormat="1" x14ac:dyDescent="0.2">
      <c r="A12" s="1803"/>
      <c r="B12" s="877" t="s">
        <v>43</v>
      </c>
      <c r="C12" s="877" t="s">
        <v>239</v>
      </c>
      <c r="D12" s="877" t="s">
        <v>240</v>
      </c>
      <c r="E12" s="877" t="s">
        <v>241</v>
      </c>
      <c r="F12" s="866" t="s">
        <v>242</v>
      </c>
      <c r="J12" s="69"/>
      <c r="K12" s="69"/>
      <c r="L12" s="69"/>
      <c r="M12" s="69"/>
      <c r="N12" s="69"/>
      <c r="O12" s="69"/>
      <c r="P12" s="69"/>
      <c r="Q12" s="69"/>
      <c r="R12" s="69"/>
      <c r="S12" s="69"/>
      <c r="T12" s="69"/>
      <c r="U12" s="69"/>
      <c r="V12" s="69"/>
      <c r="W12" s="69"/>
    </row>
    <row r="13" spans="1:23" s="363" customFormat="1" ht="15" thickBot="1" x14ac:dyDescent="0.25">
      <c r="A13" s="1804"/>
      <c r="B13" s="867" t="s">
        <v>1</v>
      </c>
      <c r="C13" s="867" t="s">
        <v>243</v>
      </c>
      <c r="D13" s="867" t="s">
        <v>4</v>
      </c>
      <c r="E13" s="867" t="s">
        <v>244</v>
      </c>
      <c r="F13" s="868" t="s">
        <v>245</v>
      </c>
      <c r="H13" s="363" t="s">
        <v>0</v>
      </c>
      <c r="J13" s="69"/>
      <c r="K13" s="69"/>
      <c r="L13" s="69"/>
      <c r="M13" s="69"/>
      <c r="N13" s="69"/>
      <c r="O13" s="69"/>
      <c r="P13" s="69"/>
      <c r="Q13" s="69"/>
      <c r="R13" s="69"/>
      <c r="S13" s="69"/>
      <c r="T13" s="69"/>
      <c r="U13" s="69"/>
      <c r="V13" s="69"/>
      <c r="W13" s="69"/>
    </row>
    <row r="14" spans="1:23" s="806" customFormat="1" ht="15" thickBot="1" x14ac:dyDescent="0.25">
      <c r="A14" s="999" t="d">
        <v>2020-08-01</v>
      </c>
      <c r="B14" s="1000">
        <v>8813812.8499999996</v>
      </c>
      <c r="C14" s="1000">
        <v>62578.04</v>
      </c>
      <c r="D14" s="1000">
        <v>17857.29</v>
      </c>
      <c r="E14" s="1000">
        <f t="shared" ref="E14:E25" si="0">C14-D14</f>
        <v>44720.75</v>
      </c>
      <c r="F14" s="1001">
        <f t="shared" ref="F14:F25" si="1">E14/B14</f>
        <v>5.1000000000000004E-3</v>
      </c>
    </row>
    <row r="15" spans="1:23" s="806" customFormat="1" ht="15" thickBot="1" x14ac:dyDescent="0.25">
      <c r="A15" s="999" t="d">
        <v>2020-09-01</v>
      </c>
      <c r="B15" s="1000">
        <v>8265716.9000000004</v>
      </c>
      <c r="C15" s="1000">
        <v>153706.6</v>
      </c>
      <c r="D15" s="1000">
        <v>17324.64</v>
      </c>
      <c r="E15" s="1000">
        <f t="shared" si="0"/>
        <v>136381.96</v>
      </c>
      <c r="F15" s="1001">
        <f t="shared" si="1"/>
        <v>1.6500000000000001E-2</v>
      </c>
    </row>
    <row r="16" spans="1:23" s="806" customFormat="1" ht="17.25" customHeight="1" thickBot="1" x14ac:dyDescent="0.25">
      <c r="A16" s="999" t="d">
        <v>2020-10-01</v>
      </c>
      <c r="B16" s="1000">
        <v>5061821.43</v>
      </c>
      <c r="C16" s="1000">
        <v>62327.05</v>
      </c>
      <c r="D16" s="1000">
        <v>11191.9</v>
      </c>
      <c r="E16" s="1000">
        <f t="shared" si="0"/>
        <v>51135.15</v>
      </c>
      <c r="F16" s="1001">
        <f t="shared" si="1"/>
        <v>1.01E-2</v>
      </c>
    </row>
    <row r="17" spans="1:23" s="806" customFormat="1" ht="17.25" customHeight="1" thickBot="1" x14ac:dyDescent="0.25">
      <c r="A17" s="999" t="d">
        <v>2020-11-01</v>
      </c>
      <c r="B17" s="1000">
        <v>4407545.87</v>
      </c>
      <c r="C17" s="1000">
        <v>89382.33</v>
      </c>
      <c r="D17" s="1000">
        <v>10618.89</v>
      </c>
      <c r="E17" s="1000">
        <f t="shared" si="0"/>
        <v>78763.44</v>
      </c>
      <c r="F17" s="1001">
        <f t="shared" si="1"/>
        <v>1.7899999999999999E-2</v>
      </c>
    </row>
    <row r="18" spans="1:23" s="806" customFormat="1" ht="17.25" customHeight="1" thickBot="1" x14ac:dyDescent="0.25">
      <c r="A18" s="999" t="d">
        <v>2020-12-01</v>
      </c>
      <c r="B18" s="1000">
        <v>6529337.1399999997</v>
      </c>
      <c r="C18" s="1000">
        <v>92285.119999999995</v>
      </c>
      <c r="D18" s="1000">
        <v>1754.85</v>
      </c>
      <c r="E18" s="1000">
        <f t="shared" si="0"/>
        <v>90530.27</v>
      </c>
      <c r="F18" s="1001">
        <f t="shared" si="1"/>
        <v>1.3899999999999999E-2</v>
      </c>
    </row>
    <row r="19" spans="1:23" s="806" customFormat="1" ht="17.25" customHeight="1" thickBot="1" x14ac:dyDescent="0.25">
      <c r="A19" s="999" t="d">
        <v>2021-01-01</v>
      </c>
      <c r="B19" s="1000">
        <v>1971526.08</v>
      </c>
      <c r="C19" s="1000">
        <v>32530.18</v>
      </c>
      <c r="D19" s="1000">
        <v>0</v>
      </c>
      <c r="E19" s="1000">
        <f t="shared" si="0"/>
        <v>32530.18</v>
      </c>
      <c r="F19" s="1001">
        <f t="shared" si="1"/>
        <v>1.6500000000000001E-2</v>
      </c>
    </row>
    <row r="20" spans="1:23" s="806" customFormat="1" ht="17.25" customHeight="1" thickBot="1" x14ac:dyDescent="0.25">
      <c r="A20" s="999" t="d">
        <v>2021-02-01</v>
      </c>
      <c r="B20" s="1000">
        <v>3838119.2</v>
      </c>
      <c r="C20" s="1000">
        <v>16157.4</v>
      </c>
      <c r="D20" s="1000">
        <v>8383.7000000000007</v>
      </c>
      <c r="E20" s="1000">
        <f t="shared" si="0"/>
        <v>7773.7</v>
      </c>
      <c r="F20" s="1001">
        <f t="shared" si="1"/>
        <v>2E-3</v>
      </c>
    </row>
    <row r="21" spans="1:23" s="806" customFormat="1" ht="17.25" customHeight="1" thickBot="1" x14ac:dyDescent="0.25">
      <c r="A21" s="999" t="d">
        <v>2021-03-01</v>
      </c>
      <c r="B21" s="1000">
        <v>4167575.67</v>
      </c>
      <c r="C21" s="1000">
        <v>48366.04</v>
      </c>
      <c r="D21" s="1000">
        <v>0</v>
      </c>
      <c r="E21" s="1000">
        <f t="shared" si="0"/>
        <v>48366.04</v>
      </c>
      <c r="F21" s="1001">
        <f t="shared" si="1"/>
        <v>1.1599999999999999E-2</v>
      </c>
    </row>
    <row r="22" spans="1:23" s="806" customFormat="1" ht="15" thickBot="1" x14ac:dyDescent="0.25">
      <c r="A22" s="999" t="d">
        <v>2021-04-01</v>
      </c>
      <c r="B22" s="1000">
        <v>4331457.3099999996</v>
      </c>
      <c r="C22" s="1000">
        <v>34926.29</v>
      </c>
      <c r="D22" s="1000">
        <v>11012.99</v>
      </c>
      <c r="E22" s="1000">
        <f t="shared" si="0"/>
        <v>23913.3</v>
      </c>
      <c r="F22" s="1001">
        <f t="shared" si="1"/>
        <v>5.4999999999999997E-3</v>
      </c>
    </row>
    <row r="23" spans="1:23" s="806" customFormat="1" ht="15" thickBot="1" x14ac:dyDescent="0.25">
      <c r="A23" s="999" t="d">
        <v>2021-05-01</v>
      </c>
      <c r="B23" s="1000">
        <v>4340082.78</v>
      </c>
      <c r="C23" s="1000">
        <v>88419.33</v>
      </c>
      <c r="D23" s="1000">
        <v>11604.18</v>
      </c>
      <c r="E23" s="1000">
        <f t="shared" si="0"/>
        <v>76815.149999999994</v>
      </c>
      <c r="F23" s="1001">
        <f t="shared" si="1"/>
        <v>1.77E-2</v>
      </c>
    </row>
    <row r="24" spans="1:23" s="806" customFormat="1" ht="15" thickBot="1" x14ac:dyDescent="0.25">
      <c r="A24" s="999" t="d">
        <v>2021-06-01</v>
      </c>
      <c r="B24" s="1000">
        <v>4939547.84</v>
      </c>
      <c r="C24" s="1000">
        <v>66408.399999999994</v>
      </c>
      <c r="D24" s="1000">
        <v>5631.4</v>
      </c>
      <c r="E24" s="1000">
        <f t="shared" si="0"/>
        <v>60777</v>
      </c>
      <c r="F24" s="1001">
        <f t="shared" si="1"/>
        <v>1.23E-2</v>
      </c>
    </row>
    <row r="25" spans="1:23" s="806" customFormat="1" ht="15" thickBot="1" x14ac:dyDescent="0.25">
      <c r="A25" s="999" t="d">
        <v>2021-07-01</v>
      </c>
      <c r="B25" s="1000">
        <v>4683978.43</v>
      </c>
      <c r="C25" s="1000">
        <v>63168.99</v>
      </c>
      <c r="D25" s="1000">
        <v>12437.51</v>
      </c>
      <c r="E25" s="1000">
        <f t="shared" si="0"/>
        <v>50731.48</v>
      </c>
      <c r="F25" s="1001">
        <f t="shared" si="1"/>
        <v>1.0800000000000001E-2</v>
      </c>
    </row>
    <row r="26" spans="1:23" s="363" customFormat="1" ht="15" thickBot="1" x14ac:dyDescent="0.25">
      <c r="A26" s="1797" t="s">
        <v>246</v>
      </c>
      <c r="B26" s="1798"/>
      <c r="C26" s="1798"/>
      <c r="D26" s="1798"/>
      <c r="E26" s="1798"/>
      <c r="F26" s="869">
        <f>SUM(F14:F25)/12</f>
        <v>1.17E-2</v>
      </c>
    </row>
    <row r="27" spans="1:23" s="363" customFormat="1" x14ac:dyDescent="0.2">
      <c r="A27" s="69"/>
      <c r="B27" s="69"/>
      <c r="C27" s="69"/>
      <c r="D27" s="69"/>
      <c r="E27" s="69"/>
      <c r="F27" s="69"/>
    </row>
    <row r="28" spans="1:23" s="363" customFormat="1" x14ac:dyDescent="0.2">
      <c r="A28" s="69"/>
      <c r="B28" s="69" t="s">
        <v>0</v>
      </c>
      <c r="C28" s="69"/>
      <c r="D28" s="69"/>
      <c r="E28" s="69"/>
      <c r="F28" s="69"/>
    </row>
    <row r="29" spans="1:23" s="363" customFormat="1" ht="15" thickBot="1" x14ac:dyDescent="0.25">
      <c r="A29" s="1801" t="s">
        <v>247</v>
      </c>
      <c r="B29" s="1801"/>
      <c r="C29" s="1801"/>
      <c r="D29" s="1801"/>
      <c r="E29" s="1801"/>
      <c r="F29" s="1801"/>
    </row>
    <row r="30" spans="1:23" s="363" customFormat="1" x14ac:dyDescent="0.2">
      <c r="A30" s="1802" t="s">
        <v>235</v>
      </c>
      <c r="B30" s="864" t="s">
        <v>236</v>
      </c>
      <c r="C30" s="864" t="s">
        <v>237</v>
      </c>
      <c r="D30" s="864" t="s">
        <v>238</v>
      </c>
      <c r="E30" s="864" t="s">
        <v>237</v>
      </c>
      <c r="F30" s="865" t="s">
        <v>198</v>
      </c>
      <c r="G30" s="364"/>
      <c r="H30" s="364"/>
      <c r="I30" s="364" t="s">
        <v>1231</v>
      </c>
      <c r="J30" s="364"/>
      <c r="K30" s="364"/>
      <c r="L30" s="364"/>
      <c r="M30" s="364"/>
      <c r="N30" s="364"/>
      <c r="O30" s="364"/>
      <c r="P30" s="364"/>
      <c r="Q30" s="364"/>
      <c r="R30" s="364"/>
      <c r="S30" s="364"/>
      <c r="T30" s="364"/>
      <c r="U30" s="364"/>
      <c r="V30" s="364"/>
      <c r="W30" s="364"/>
    </row>
    <row r="31" spans="1:23" s="363" customFormat="1" x14ac:dyDescent="0.2">
      <c r="A31" s="1803"/>
      <c r="B31" s="877" t="s">
        <v>43</v>
      </c>
      <c r="C31" s="877" t="s">
        <v>239</v>
      </c>
      <c r="D31" s="877" t="s">
        <v>240</v>
      </c>
      <c r="E31" s="877" t="s">
        <v>241</v>
      </c>
      <c r="F31" s="866" t="s">
        <v>242</v>
      </c>
      <c r="G31" s="364"/>
      <c r="H31" s="364"/>
      <c r="I31" s="364" t="s">
        <v>0</v>
      </c>
      <c r="J31" s="364" t="s">
        <v>0</v>
      </c>
      <c r="K31" s="364"/>
      <c r="L31" s="364"/>
      <c r="M31" s="364"/>
      <c r="N31" s="364"/>
      <c r="O31" s="364"/>
      <c r="P31" s="364"/>
      <c r="Q31" s="364"/>
      <c r="R31" s="364"/>
      <c r="S31" s="364"/>
      <c r="T31" s="364"/>
      <c r="U31" s="364"/>
      <c r="V31" s="364"/>
      <c r="W31" s="364"/>
    </row>
    <row r="32" spans="1:23" s="363" customFormat="1" ht="15" thickBot="1" x14ac:dyDescent="0.25">
      <c r="A32" s="1804"/>
      <c r="B32" s="867" t="s">
        <v>1</v>
      </c>
      <c r="C32" s="867" t="s">
        <v>248</v>
      </c>
      <c r="D32" s="867" t="s">
        <v>4</v>
      </c>
      <c r="E32" s="867" t="s">
        <v>244</v>
      </c>
      <c r="F32" s="868" t="s">
        <v>245</v>
      </c>
    </row>
    <row r="33" spans="1:23" s="806" customFormat="1" ht="15" thickBot="1" x14ac:dyDescent="0.25">
      <c r="A33" s="1002" t="d">
        <v>2020-08-01</v>
      </c>
      <c r="B33" s="1003">
        <v>8813812.8499999996</v>
      </c>
      <c r="C33" s="1003">
        <v>287185.11</v>
      </c>
      <c r="D33" s="1003">
        <v>82251.77</v>
      </c>
      <c r="E33" s="1000">
        <f t="shared" ref="E33:E44" si="2">C33-D33</f>
        <v>204933.34</v>
      </c>
      <c r="F33" s="1001">
        <f t="shared" ref="F33:F44" si="3">E33/B33</f>
        <v>2.3300000000000001E-2</v>
      </c>
    </row>
    <row r="34" spans="1:23" s="806" customFormat="1" ht="15" customHeight="1" thickBot="1" x14ac:dyDescent="0.25">
      <c r="A34" s="1002" t="d">
        <v>2020-09-01</v>
      </c>
      <c r="B34" s="1003">
        <v>8265716.9000000004</v>
      </c>
      <c r="C34" s="1003">
        <v>706925.58</v>
      </c>
      <c r="D34" s="1003">
        <v>79798.34</v>
      </c>
      <c r="E34" s="1000">
        <f t="shared" si="2"/>
        <v>627127.24</v>
      </c>
      <c r="F34" s="1001">
        <f t="shared" si="3"/>
        <v>7.5899999999999995E-2</v>
      </c>
    </row>
    <row r="35" spans="1:23" s="806" customFormat="1" ht="15" thickBot="1" x14ac:dyDescent="0.25">
      <c r="A35" s="1002" t="d">
        <v>2020-10-01</v>
      </c>
      <c r="B35" s="1003">
        <v>5061821.43</v>
      </c>
      <c r="C35" s="1003">
        <v>286060.14</v>
      </c>
      <c r="D35" s="1003">
        <v>51550.58</v>
      </c>
      <c r="E35" s="1000">
        <f t="shared" si="2"/>
        <v>234509.56</v>
      </c>
      <c r="F35" s="1001">
        <f t="shared" si="3"/>
        <v>4.6300000000000001E-2</v>
      </c>
    </row>
    <row r="36" spans="1:23" s="806" customFormat="1" ht="15" thickBot="1" x14ac:dyDescent="0.25">
      <c r="A36" s="1002" t="d">
        <v>2020-11-01</v>
      </c>
      <c r="B36" s="1003">
        <f>B17</f>
        <v>4407545.87</v>
      </c>
      <c r="C36" s="1003">
        <v>410694.34</v>
      </c>
      <c r="D36" s="1003">
        <v>48911.26</v>
      </c>
      <c r="E36" s="1000">
        <f t="shared" si="2"/>
        <v>361783.08</v>
      </c>
      <c r="F36" s="1001">
        <f t="shared" si="3"/>
        <v>8.2100000000000006E-2</v>
      </c>
    </row>
    <row r="37" spans="1:23" s="806" customFormat="1" ht="15" thickBot="1" x14ac:dyDescent="0.25">
      <c r="A37" s="1002" t="d">
        <v>2020-12-01</v>
      </c>
      <c r="B37" s="1003">
        <v>6529337.1399999997</v>
      </c>
      <c r="C37" s="1003">
        <v>423961.1</v>
      </c>
      <c r="D37" s="1003">
        <v>8082.94</v>
      </c>
      <c r="E37" s="1000">
        <f t="shared" si="2"/>
        <v>415878.16</v>
      </c>
      <c r="F37" s="1001">
        <f t="shared" si="3"/>
        <v>6.3700000000000007E-2</v>
      </c>
    </row>
    <row r="38" spans="1:23" s="806" customFormat="1" ht="15" thickBot="1" x14ac:dyDescent="0.25">
      <c r="A38" s="1002" t="d">
        <v>2021-01-01</v>
      </c>
      <c r="B38" s="1003">
        <v>1971526.08</v>
      </c>
      <c r="C38" s="1003">
        <v>149835.98000000001</v>
      </c>
      <c r="D38" s="1003">
        <v>0</v>
      </c>
      <c r="E38" s="1000">
        <f t="shared" si="2"/>
        <v>149835.98000000001</v>
      </c>
      <c r="F38" s="1001">
        <f t="shared" si="3"/>
        <v>7.5999999999999998E-2</v>
      </c>
    </row>
    <row r="39" spans="1:23" s="806" customFormat="1" ht="15" thickBot="1" x14ac:dyDescent="0.25">
      <c r="A39" s="1002" t="d">
        <v>2021-02-01</v>
      </c>
      <c r="B39" s="1003">
        <v>3838119.2</v>
      </c>
      <c r="C39" s="1003">
        <v>72534.34</v>
      </c>
      <c r="D39" s="1003">
        <v>38615.83</v>
      </c>
      <c r="E39" s="1000">
        <f t="shared" si="2"/>
        <v>33918.51</v>
      </c>
      <c r="F39" s="1001">
        <f t="shared" si="3"/>
        <v>8.8000000000000005E-3</v>
      </c>
    </row>
    <row r="40" spans="1:23" s="806" customFormat="1" ht="15" thickBot="1" x14ac:dyDescent="0.25">
      <c r="A40" s="1002" t="d">
        <v>2021-03-01</v>
      </c>
      <c r="B40" s="1000">
        <v>4167575.67</v>
      </c>
      <c r="C40" s="1003">
        <v>221214.34</v>
      </c>
      <c r="D40" s="1000">
        <v>0</v>
      </c>
      <c r="E40" s="1000">
        <f t="shared" si="2"/>
        <v>221214.34</v>
      </c>
      <c r="F40" s="1001">
        <f t="shared" si="3"/>
        <v>5.3100000000000001E-2</v>
      </c>
    </row>
    <row r="41" spans="1:23" s="806" customFormat="1" ht="15" thickBot="1" x14ac:dyDescent="0.25">
      <c r="A41" s="999" t="d">
        <v>2021-04-01</v>
      </c>
      <c r="B41" s="1000">
        <v>4331457.3099999996</v>
      </c>
      <c r="C41" s="1003">
        <v>158888.29999999999</v>
      </c>
      <c r="D41" s="1000">
        <v>50726.49</v>
      </c>
      <c r="E41" s="1000">
        <f t="shared" si="2"/>
        <v>108161.81</v>
      </c>
      <c r="F41" s="1001">
        <f t="shared" si="3"/>
        <v>2.5000000000000001E-2</v>
      </c>
    </row>
    <row r="42" spans="1:23" s="806" customFormat="1" ht="15" thickBot="1" x14ac:dyDescent="0.25">
      <c r="A42" s="999" t="d">
        <v>2021-05-01</v>
      </c>
      <c r="B42" s="1000">
        <v>4340082.78</v>
      </c>
      <c r="C42" s="1003">
        <v>405276.23</v>
      </c>
      <c r="D42" s="1000">
        <v>53449.55</v>
      </c>
      <c r="E42" s="1000">
        <f t="shared" si="2"/>
        <v>351826.68</v>
      </c>
      <c r="F42" s="1001">
        <f t="shared" si="3"/>
        <v>8.1100000000000005E-2</v>
      </c>
    </row>
    <row r="43" spans="1:23" s="806" customFormat="1" ht="15" thickBot="1" x14ac:dyDescent="0.25">
      <c r="A43" s="999" t="d">
        <v>2021-06-01</v>
      </c>
      <c r="B43" s="1000">
        <v>4939547.84</v>
      </c>
      <c r="C43" s="1003">
        <v>303920.96999999997</v>
      </c>
      <c r="D43" s="1000">
        <v>25938.59</v>
      </c>
      <c r="E43" s="1000">
        <f t="shared" si="2"/>
        <v>277982.38</v>
      </c>
      <c r="F43" s="1001">
        <f t="shared" si="3"/>
        <v>5.6300000000000003E-2</v>
      </c>
    </row>
    <row r="44" spans="1:23" s="806" customFormat="1" ht="15" thickBot="1" x14ac:dyDescent="0.25">
      <c r="A44" s="999" t="d">
        <v>2021-07-01</v>
      </c>
      <c r="B44" s="1000">
        <v>4683978.43</v>
      </c>
      <c r="C44" s="1003">
        <v>289035.46000000002</v>
      </c>
      <c r="D44" s="1000">
        <v>51287.95</v>
      </c>
      <c r="E44" s="1000">
        <f t="shared" si="2"/>
        <v>237747.51</v>
      </c>
      <c r="F44" s="1001">
        <f t="shared" si="3"/>
        <v>5.0799999999999998E-2</v>
      </c>
    </row>
    <row r="45" spans="1:23" ht="15" thickBot="1" x14ac:dyDescent="0.25">
      <c r="A45" s="1797" t="s">
        <v>246</v>
      </c>
      <c r="B45" s="1798"/>
      <c r="C45" s="1798"/>
      <c r="D45" s="1798"/>
      <c r="E45" s="1798"/>
      <c r="F45" s="869">
        <f>SUM(F33:F44)/12</f>
        <v>5.3499999999999999E-2</v>
      </c>
    </row>
    <row r="47" spans="1:23" s="363" customFormat="1" x14ac:dyDescent="0.2">
      <c r="D47" s="363" t="s">
        <v>0</v>
      </c>
      <c r="G47" s="69"/>
      <c r="H47" s="69"/>
      <c r="I47" s="69"/>
      <c r="J47" s="69"/>
      <c r="K47" s="69"/>
      <c r="L47" s="69"/>
      <c r="M47" s="69"/>
      <c r="N47" s="69"/>
      <c r="O47" s="69"/>
      <c r="P47" s="69"/>
      <c r="Q47" s="69"/>
      <c r="R47" s="69"/>
      <c r="S47" s="69"/>
      <c r="T47" s="69"/>
      <c r="U47" s="69"/>
      <c r="V47" s="69"/>
      <c r="W47" s="69"/>
    </row>
    <row r="48" spans="1:23" s="363" customFormat="1" x14ac:dyDescent="0.2">
      <c r="C48" s="363" t="s">
        <v>0</v>
      </c>
      <c r="G48" s="69"/>
      <c r="H48" s="69"/>
      <c r="I48" s="69"/>
      <c r="J48" s="69"/>
      <c r="K48" s="69"/>
      <c r="L48" s="69"/>
      <c r="M48" s="69"/>
      <c r="N48" s="69"/>
      <c r="O48" s="69"/>
      <c r="P48" s="69"/>
      <c r="Q48" s="69"/>
      <c r="R48" s="69"/>
      <c r="S48" s="69"/>
      <c r="T48" s="69"/>
      <c r="U48" s="69"/>
      <c r="V48" s="69"/>
      <c r="W48" s="69"/>
    </row>
    <row r="50" spans="1:23" s="363" customFormat="1" hidden="1" x14ac:dyDescent="0.2">
      <c r="G50" s="69"/>
      <c r="H50" s="69"/>
      <c r="I50" s="69"/>
      <c r="J50" s="69"/>
      <c r="K50" s="69"/>
      <c r="L50" s="69"/>
      <c r="M50" s="69"/>
      <c r="N50" s="69"/>
      <c r="O50" s="69"/>
      <c r="P50" s="69"/>
      <c r="Q50" s="69"/>
      <c r="R50" s="69"/>
      <c r="S50" s="69"/>
      <c r="T50" s="69"/>
      <c r="U50" s="69"/>
      <c r="V50" s="69"/>
      <c r="W50" s="69"/>
    </row>
    <row r="51" spans="1:23" s="363" customFormat="1" hidden="1" x14ac:dyDescent="0.2">
      <c r="G51" s="69"/>
      <c r="H51" s="69"/>
      <c r="I51" s="69"/>
      <c r="J51" s="69"/>
      <c r="K51" s="69"/>
      <c r="L51" s="69"/>
      <c r="M51" s="69"/>
      <c r="N51" s="69"/>
      <c r="O51" s="69"/>
      <c r="P51" s="69"/>
      <c r="Q51" s="69"/>
      <c r="R51" s="69"/>
      <c r="S51" s="69"/>
      <c r="T51" s="69"/>
      <c r="U51" s="69"/>
      <c r="V51" s="69"/>
      <c r="W51" s="69"/>
    </row>
    <row r="52" spans="1:23" s="363" customFormat="1" hidden="1" x14ac:dyDescent="0.2">
      <c r="G52" s="69"/>
      <c r="H52" s="69"/>
      <c r="I52" s="69"/>
      <c r="J52" s="69"/>
      <c r="K52" s="69"/>
      <c r="L52" s="69"/>
      <c r="M52" s="69"/>
      <c r="N52" s="69"/>
      <c r="O52" s="69"/>
      <c r="P52" s="69"/>
      <c r="Q52" s="69"/>
      <c r="R52" s="69"/>
      <c r="S52" s="69"/>
      <c r="T52" s="69"/>
      <c r="U52" s="69"/>
      <c r="V52" s="69"/>
      <c r="W52" s="69"/>
    </row>
    <row r="53" spans="1:23" s="363" customFormat="1" hidden="1" x14ac:dyDescent="0.2">
      <c r="G53" s="69"/>
      <c r="H53" s="69"/>
      <c r="I53" s="69"/>
      <c r="J53" s="69"/>
      <c r="K53" s="69"/>
      <c r="L53" s="69"/>
      <c r="M53" s="69"/>
      <c r="N53" s="69"/>
      <c r="O53" s="69"/>
      <c r="P53" s="69"/>
      <c r="Q53" s="69"/>
      <c r="R53" s="69"/>
      <c r="S53" s="69"/>
      <c r="T53" s="69"/>
      <c r="U53" s="69"/>
      <c r="V53" s="69"/>
      <c r="W53" s="69"/>
    </row>
    <row r="54" spans="1:23" s="363" customFormat="1" hidden="1" x14ac:dyDescent="0.2">
      <c r="A54" s="69"/>
      <c r="B54" s="69"/>
      <c r="C54" s="69"/>
      <c r="D54" s="69"/>
      <c r="E54" s="69"/>
      <c r="F54" s="69"/>
      <c r="G54" s="69"/>
      <c r="H54" s="69"/>
      <c r="I54" s="69"/>
      <c r="J54" s="69"/>
      <c r="K54" s="69"/>
      <c r="L54" s="69"/>
      <c r="M54" s="69"/>
      <c r="N54" s="69"/>
      <c r="O54" s="69"/>
      <c r="P54" s="69"/>
      <c r="Q54" s="69"/>
      <c r="R54" s="69"/>
      <c r="S54" s="69"/>
      <c r="T54" s="69"/>
      <c r="U54" s="69"/>
      <c r="V54" s="69"/>
      <c r="W54" s="69"/>
    </row>
  </sheetData>
  <mergeCells count="11">
    <mergeCell ref="A45:E45"/>
    <mergeCell ref="A2:F2"/>
    <mergeCell ref="A3:F3"/>
    <mergeCell ref="A8:F8"/>
    <mergeCell ref="A4:F4"/>
    <mergeCell ref="A5:F5"/>
    <mergeCell ref="A10:F10"/>
    <mergeCell ref="A11:A13"/>
    <mergeCell ref="A26:E26"/>
    <mergeCell ref="A29:F29"/>
    <mergeCell ref="A30:A32"/>
  </mergeCells>
  <printOptions horizontalCentered="1"/>
  <pageMargins left="0.43307086614173229" right="0.15748031496062992" top="1.6141732283464567" bottom="0.27559055118110237" header="0.19685039370078741" footer="0.19685039370078741"/>
  <pageSetup paperSize="9" orientation="portrait" r:id="rId1"/>
  <headerFooter>
    <oddHeader>&amp;L&amp;"Cambria,Negrito"&amp;8PROPOSTA Nº</oddHeader>
  </headerFooter>
</worksheet>
</file>

<file path=xl/worksheets/sheet2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4">
    <tabColor theme="2" tint="-0.249977111117893"/>
    <pageSetUpPr fitToPage="1"/>
  </sheetPr>
  <dimension ref="A2:O87"/>
  <sheetViews>
    <sheetView view="pageBreakPreview" zoomScale="110" zoomScaleNormal="100" zoomScaleSheetLayoutView="110" workbookViewId="0">
      <selection activeCell="O19" sqref="O19"/>
    </sheetView>
  </sheetViews>
  <sheetFormatPr defaultRowHeight="14.25" x14ac:dyDescent="0.2"/>
  <cols>
    <col min="1" max="1" width="6.5703125" style="32" customWidth="1"/>
    <col min="2" max="2" width="40.28515625" style="32" customWidth="1"/>
    <col min="3" max="3" width="17.7109375" style="32" customWidth="1"/>
    <col min="4" max="4" width="12.7109375" style="32" customWidth="1"/>
    <col min="5" max="5" width="16.28515625" style="32" customWidth="1"/>
    <col min="6" max="7" width="11.85546875" style="32" customWidth="1"/>
    <col min="8" max="8" width="13.28515625" style="32" customWidth="1"/>
    <col min="9" max="9" width="12.85546875" style="32" customWidth="1"/>
    <col min="10" max="10" width="11.28515625" style="32" customWidth="1"/>
    <col min="11" max="11" width="12.42578125" style="32" customWidth="1"/>
    <col min="12" max="12" width="11.140625" style="32" customWidth="1"/>
    <col min="13" max="13" width="13.5703125" style="32" customWidth="1"/>
    <col min="14" max="14" width="12.42578125" style="32" customWidth="1"/>
    <col min="15" max="15" width="13" style="32" customWidth="1"/>
    <col min="16" max="16384" width="9.140625" style="32"/>
  </cols>
  <sheetData>
    <row r="2" spans="1:15" x14ac:dyDescent="0.2">
      <c r="A2" s="1795" t="str">
        <f>Dados!A5</f>
        <v>CONSELHO DA JUSTIÇA FEDERAL – CJF</v>
      </c>
      <c r="B2" s="1795"/>
      <c r="C2" s="1795"/>
      <c r="D2" s="1795"/>
      <c r="E2" s="1795"/>
      <c r="F2" s="1795"/>
      <c r="G2" s="1795"/>
      <c r="H2" s="1795"/>
      <c r="I2" s="1795"/>
      <c r="J2" s="1795"/>
      <c r="K2" s="1795"/>
      <c r="L2" s="1795"/>
      <c r="M2" s="1795"/>
      <c r="N2" s="1795"/>
      <c r="O2" s="1795"/>
    </row>
    <row r="3" spans="1:15" x14ac:dyDescent="0.2">
      <c r="A3" s="1795" t="str">
        <f>Dados!A9</f>
        <v>PREGÃO ELETRÔNICO Nº32/2021-CJF</v>
      </c>
      <c r="B3" s="1795"/>
      <c r="C3" s="1795"/>
      <c r="D3" s="1795"/>
      <c r="E3" s="1795"/>
      <c r="F3" s="1795"/>
      <c r="G3" s="1795"/>
      <c r="H3" s="1795"/>
      <c r="I3" s="1795"/>
      <c r="J3" s="1795"/>
      <c r="K3" s="1795"/>
      <c r="L3" s="1795"/>
      <c r="M3" s="1795"/>
      <c r="N3" s="1795"/>
      <c r="O3" s="1795"/>
    </row>
    <row r="4" spans="1:15" hidden="1" x14ac:dyDescent="0.2">
      <c r="A4" s="1796" t="str">
        <f>Dados!A10</f>
        <v>CONTRATO Nº __________/201__ - CONTRATANTE - PRESTAÇÃO DE SERVIÇOS --------</v>
      </c>
      <c r="B4" s="1796"/>
      <c r="C4" s="1796"/>
      <c r="D4" s="1796"/>
      <c r="E4" s="1796"/>
      <c r="F4" s="1796"/>
      <c r="G4" s="1796"/>
      <c r="H4" s="1796"/>
      <c r="I4" s="1796"/>
      <c r="J4" s="1796"/>
      <c r="K4" s="1796"/>
      <c r="L4" s="1796"/>
      <c r="M4" s="1796"/>
      <c r="N4" s="1796"/>
      <c r="O4" s="1796"/>
    </row>
    <row r="5" spans="1:15" hidden="1" x14ac:dyDescent="0.2">
      <c r="A5" s="1796" t="str">
        <f>Dados!H2</f>
        <v xml:space="preserve">REPACTUAÇÃO CONTRATUAL 20___ - </v>
      </c>
      <c r="B5" s="1796"/>
      <c r="C5" s="1796"/>
      <c r="D5" s="1796"/>
      <c r="E5" s="1796"/>
      <c r="F5" s="1796"/>
      <c r="G5" s="1796"/>
      <c r="H5" s="1796"/>
      <c r="I5" s="1796"/>
      <c r="J5" s="1796"/>
      <c r="K5" s="1796"/>
      <c r="L5" s="1796"/>
      <c r="M5" s="1796"/>
      <c r="N5" s="1796"/>
      <c r="O5" s="1796"/>
    </row>
    <row r="6" spans="1:15" ht="14.25" customHeight="1" x14ac:dyDescent="0.2"/>
    <row r="7" spans="1:15" ht="14.25" customHeight="1" x14ac:dyDescent="0.2"/>
    <row r="8" spans="1:15" s="66" customFormat="1" ht="46.5" customHeight="1" x14ac:dyDescent="0.2">
      <c r="A8" s="956" t="s">
        <v>143</v>
      </c>
      <c r="B8" s="956" t="s">
        <v>74</v>
      </c>
      <c r="C8" s="918" t="s">
        <v>791</v>
      </c>
      <c r="D8" s="918" t="s">
        <v>713</v>
      </c>
      <c r="E8" s="918" t="s">
        <v>792</v>
      </c>
      <c r="F8" s="918" t="s">
        <v>793</v>
      </c>
      <c r="G8" s="918" t="s">
        <v>794</v>
      </c>
      <c r="H8" s="918" t="s">
        <v>795</v>
      </c>
      <c r="I8" s="918" t="s">
        <v>796</v>
      </c>
      <c r="J8" s="918" t="s">
        <v>797</v>
      </c>
      <c r="K8" s="918" t="s">
        <v>798</v>
      </c>
      <c r="L8" s="918" t="s">
        <v>799</v>
      </c>
      <c r="M8" s="918" t="s">
        <v>800</v>
      </c>
      <c r="N8" s="918" t="s">
        <v>801</v>
      </c>
      <c r="O8" s="918" t="s">
        <v>802</v>
      </c>
    </row>
    <row r="9" spans="1:15" ht="28.5" customHeight="1" x14ac:dyDescent="0.2">
      <c r="A9" s="189">
        <v>1</v>
      </c>
      <c r="B9" s="722" t="str">
        <f>Dados!M84</f>
        <v>Encarregado Geral</v>
      </c>
      <c r="C9" s="176">
        <f>'01'!$G$53</f>
        <v>3714.11</v>
      </c>
      <c r="D9" s="177">
        <f>Dados!T84</f>
        <v>2</v>
      </c>
      <c r="E9" s="178">
        <f>D9*C9</f>
        <v>7428.22</v>
      </c>
      <c r="F9" s="179">
        <f>'01'!$G$121</f>
        <v>3136.61</v>
      </c>
      <c r="G9" s="179">
        <f>F9*D9</f>
        <v>6273.22</v>
      </c>
      <c r="H9" s="180">
        <f>'01'!$G$132</f>
        <v>237.33</v>
      </c>
      <c r="I9" s="178">
        <f>H9*D9</f>
        <v>474.66</v>
      </c>
      <c r="J9" s="180">
        <f>'01'!$G$161</f>
        <v>29.71</v>
      </c>
      <c r="K9" s="178">
        <f>J9*D9</f>
        <v>59.42</v>
      </c>
      <c r="L9" s="180">
        <f>'01'!$G$170</f>
        <v>12.43</v>
      </c>
      <c r="M9" s="178">
        <f>L9*D9</f>
        <v>24.86</v>
      </c>
      <c r="N9" s="180">
        <f>'01'!$G$177</f>
        <v>143.31</v>
      </c>
      <c r="O9" s="178">
        <f>N9*D9</f>
        <v>286.62</v>
      </c>
    </row>
    <row r="10" spans="1:15" ht="28.5" customHeight="1" x14ac:dyDescent="0.2">
      <c r="A10" s="1105">
        <v>2</v>
      </c>
      <c r="B10" s="1135" t="str">
        <f>Dados!M85</f>
        <v>Servente</v>
      </c>
      <c r="C10" s="176">
        <f>'02'!$G$53</f>
        <v>1287.96</v>
      </c>
      <c r="D10" s="177">
        <f>Dados!T85</f>
        <v>27</v>
      </c>
      <c r="E10" s="178">
        <f t="shared" ref="E10:E17" si="0">D10*C10</f>
        <v>34774.92</v>
      </c>
      <c r="F10" s="179">
        <f>'02'!$G$121</f>
        <v>1727</v>
      </c>
      <c r="G10" s="179">
        <f t="shared" ref="G10:G17" si="1">F10*D10</f>
        <v>46629</v>
      </c>
      <c r="H10" s="180">
        <f>'02'!$G$132</f>
        <v>82.31</v>
      </c>
      <c r="I10" s="178">
        <f t="shared" ref="I10:I17" si="2">H10*D10</f>
        <v>2222.37</v>
      </c>
      <c r="J10" s="180">
        <f>'02'!$G$161</f>
        <v>10.31</v>
      </c>
      <c r="K10" s="178">
        <f t="shared" ref="K10:K17" si="3">J10*D10</f>
        <v>278.37</v>
      </c>
      <c r="L10" s="180">
        <f>'02'!$G$170</f>
        <v>23.38</v>
      </c>
      <c r="M10" s="178">
        <f t="shared" ref="M10:M17" si="4">L10*D10</f>
        <v>631.26</v>
      </c>
      <c r="N10" s="180">
        <f>'02'!$G$177</f>
        <v>65.459999999999994</v>
      </c>
      <c r="O10" s="178">
        <f t="shared" ref="O10:O17" si="5">N10*D10</f>
        <v>1767.42</v>
      </c>
    </row>
    <row r="11" spans="1:15" ht="28.5" customHeight="1" x14ac:dyDescent="0.2">
      <c r="A11" s="189">
        <v>3</v>
      </c>
      <c r="B11" s="1135" t="str">
        <f>Dados!M86</f>
        <v>Office Boy / Contínuo</v>
      </c>
      <c r="C11" s="176">
        <f>'03'!$G$53</f>
        <v>1287.96</v>
      </c>
      <c r="D11" s="177">
        <f>Dados!T86</f>
        <v>1</v>
      </c>
      <c r="E11" s="178">
        <f t="shared" si="0"/>
        <v>1287.96</v>
      </c>
      <c r="F11" s="179">
        <f>'03'!$G$121</f>
        <v>1727</v>
      </c>
      <c r="G11" s="179">
        <f t="shared" si="1"/>
        <v>1727</v>
      </c>
      <c r="H11" s="180">
        <f>'03'!$G$132</f>
        <v>82.31</v>
      </c>
      <c r="I11" s="178">
        <f t="shared" si="2"/>
        <v>82.31</v>
      </c>
      <c r="J11" s="180">
        <f>'03'!$G$161</f>
        <v>10.31</v>
      </c>
      <c r="K11" s="178">
        <f t="shared" si="3"/>
        <v>10.31</v>
      </c>
      <c r="L11" s="180">
        <f>'03'!$G$170</f>
        <v>74.83</v>
      </c>
      <c r="M11" s="178">
        <f t="shared" si="4"/>
        <v>74.83</v>
      </c>
      <c r="N11" s="180">
        <f>'03'!$G$177</f>
        <v>63.96</v>
      </c>
      <c r="O11" s="178">
        <f t="shared" si="5"/>
        <v>63.96</v>
      </c>
    </row>
    <row r="12" spans="1:15" ht="28.5" customHeight="1" x14ac:dyDescent="0.2">
      <c r="A12" s="1105">
        <v>4</v>
      </c>
      <c r="B12" s="1135" t="str">
        <f>Dados!M87</f>
        <v>Operador de Fotocopiadora</v>
      </c>
      <c r="C12" s="176">
        <f>'04'!$G$53</f>
        <v>1287.96</v>
      </c>
      <c r="D12" s="177">
        <f>Dados!T87</f>
        <v>1</v>
      </c>
      <c r="E12" s="178">
        <f t="shared" si="0"/>
        <v>1287.96</v>
      </c>
      <c r="F12" s="179">
        <f>'04'!$G$121</f>
        <v>1727</v>
      </c>
      <c r="G12" s="179">
        <f t="shared" si="1"/>
        <v>1727</v>
      </c>
      <c r="H12" s="180">
        <f>'04'!$G$132</f>
        <v>82.31</v>
      </c>
      <c r="I12" s="178">
        <f t="shared" si="2"/>
        <v>82.31</v>
      </c>
      <c r="J12" s="180">
        <f>'04'!$G$161</f>
        <v>10.31</v>
      </c>
      <c r="K12" s="178">
        <f t="shared" si="3"/>
        <v>10.31</v>
      </c>
      <c r="L12" s="180">
        <f>'04'!$G$170</f>
        <v>74.83</v>
      </c>
      <c r="M12" s="178">
        <f t="shared" si="4"/>
        <v>74.83</v>
      </c>
      <c r="N12" s="180">
        <f>'04'!$G$177</f>
        <v>63.96</v>
      </c>
      <c r="O12" s="178">
        <f t="shared" si="5"/>
        <v>63.96</v>
      </c>
    </row>
    <row r="13" spans="1:15" ht="28.5" customHeight="1" x14ac:dyDescent="0.2">
      <c r="A13" s="189">
        <v>5</v>
      </c>
      <c r="B13" s="1135" t="str">
        <f>Dados!M88</f>
        <v>Garçom</v>
      </c>
      <c r="C13" s="176">
        <f>'05'!$G$53</f>
        <v>2492.25</v>
      </c>
      <c r="D13" s="177">
        <f>Dados!T88</f>
        <v>3</v>
      </c>
      <c r="E13" s="178">
        <f t="shared" si="0"/>
        <v>7476.75</v>
      </c>
      <c r="F13" s="179">
        <f>'05'!$G$121</f>
        <v>2358.81</v>
      </c>
      <c r="G13" s="179">
        <f t="shared" si="1"/>
        <v>7076.43</v>
      </c>
      <c r="H13" s="180">
        <f>'05'!$G$132</f>
        <v>159.26</v>
      </c>
      <c r="I13" s="178">
        <f t="shared" si="2"/>
        <v>477.78</v>
      </c>
      <c r="J13" s="180">
        <f>'05'!$G$161</f>
        <v>19.940000000000001</v>
      </c>
      <c r="K13" s="178">
        <f t="shared" si="3"/>
        <v>59.82</v>
      </c>
      <c r="L13" s="180">
        <f>'05'!$G$170</f>
        <v>38.14</v>
      </c>
      <c r="M13" s="178">
        <f t="shared" si="4"/>
        <v>114.42</v>
      </c>
      <c r="N13" s="180">
        <f>'05'!$G$177</f>
        <v>168.42</v>
      </c>
      <c r="O13" s="178">
        <f t="shared" si="5"/>
        <v>505.26</v>
      </c>
    </row>
    <row r="14" spans="1:15" ht="28.5" customHeight="1" x14ac:dyDescent="0.2">
      <c r="A14" s="1105">
        <v>6</v>
      </c>
      <c r="B14" s="1135" t="str">
        <f>Dados!M89</f>
        <v>Copeira</v>
      </c>
      <c r="C14" s="176">
        <f>'06'!$G$53</f>
        <v>1739.15</v>
      </c>
      <c r="D14" s="177">
        <f>Dados!T89</f>
        <v>3</v>
      </c>
      <c r="E14" s="178">
        <f t="shared" si="0"/>
        <v>5217.45</v>
      </c>
      <c r="F14" s="179">
        <f>'06'!$G$121</f>
        <v>1987.13</v>
      </c>
      <c r="G14" s="179">
        <f t="shared" si="1"/>
        <v>5961.39</v>
      </c>
      <c r="H14" s="180">
        <f>'06'!$G$132</f>
        <v>111.14</v>
      </c>
      <c r="I14" s="178">
        <f t="shared" si="2"/>
        <v>333.42</v>
      </c>
      <c r="J14" s="180">
        <f>'06'!$G$161</f>
        <v>13.9</v>
      </c>
      <c r="K14" s="178">
        <f t="shared" si="3"/>
        <v>41.7</v>
      </c>
      <c r="L14" s="180">
        <f>'06'!$G$170</f>
        <v>39.65</v>
      </c>
      <c r="M14" s="178">
        <f t="shared" si="4"/>
        <v>118.95</v>
      </c>
      <c r="N14" s="180">
        <f>'06'!$G$177</f>
        <v>87.64</v>
      </c>
      <c r="O14" s="178">
        <f t="shared" si="5"/>
        <v>262.92</v>
      </c>
    </row>
    <row r="15" spans="1:15" ht="28.5" customHeight="1" x14ac:dyDescent="0.2">
      <c r="A15" s="189">
        <v>7</v>
      </c>
      <c r="B15" s="1135" t="str">
        <f>Dados!M90</f>
        <v>Recepcionista</v>
      </c>
      <c r="C15" s="176">
        <f>'07'!$G$53</f>
        <v>2473.75</v>
      </c>
      <c r="D15" s="177">
        <f>Dados!T90</f>
        <v>12</v>
      </c>
      <c r="E15" s="178">
        <f t="shared" si="0"/>
        <v>29685</v>
      </c>
      <c r="F15" s="179">
        <f>'07'!$G$121</f>
        <v>2347.0300000000002</v>
      </c>
      <c r="G15" s="179">
        <f t="shared" si="1"/>
        <v>28164.36</v>
      </c>
      <c r="H15" s="180">
        <f>'07'!$G$132</f>
        <v>158.06</v>
      </c>
      <c r="I15" s="178">
        <f t="shared" si="2"/>
        <v>1896.72</v>
      </c>
      <c r="J15" s="180">
        <f>'07'!$G$161</f>
        <v>19.8</v>
      </c>
      <c r="K15" s="178">
        <f t="shared" si="3"/>
        <v>237.6</v>
      </c>
      <c r="L15" s="180">
        <f>'07'!$G$170</f>
        <v>76.86</v>
      </c>
      <c r="M15" s="178">
        <f t="shared" si="4"/>
        <v>922.32</v>
      </c>
      <c r="N15" s="180">
        <f>'07'!$G$177</f>
        <v>139.44</v>
      </c>
      <c r="O15" s="178">
        <f t="shared" si="5"/>
        <v>1673.28</v>
      </c>
    </row>
    <row r="16" spans="1:15" ht="28.5" customHeight="1" x14ac:dyDescent="0.2">
      <c r="A16" s="1105">
        <v>8</v>
      </c>
      <c r="B16" s="1135" t="str">
        <f>Dados!M91</f>
        <v>Jauzeiro</v>
      </c>
      <c r="C16" s="176">
        <f>'08'!$G$53</f>
        <v>1985.14</v>
      </c>
      <c r="D16" s="177">
        <f>Dados!T91</f>
        <v>2</v>
      </c>
      <c r="E16" s="178">
        <f t="shared" si="0"/>
        <v>3970.28</v>
      </c>
      <c r="F16" s="179">
        <f>'08'!$G$121</f>
        <v>2156.46</v>
      </c>
      <c r="G16" s="179">
        <f t="shared" si="1"/>
        <v>4312.92</v>
      </c>
      <c r="H16" s="180">
        <f>'08'!$G$132</f>
        <v>126.85</v>
      </c>
      <c r="I16" s="178">
        <f t="shared" si="2"/>
        <v>253.7</v>
      </c>
      <c r="J16" s="180">
        <f>'08'!$G$161</f>
        <v>15.89</v>
      </c>
      <c r="K16" s="178">
        <f t="shared" si="3"/>
        <v>31.78</v>
      </c>
      <c r="L16" s="180">
        <f>'08'!$G$170</f>
        <v>59.13</v>
      </c>
      <c r="M16" s="178">
        <f t="shared" si="4"/>
        <v>118.26</v>
      </c>
      <c r="N16" s="180">
        <f>'08'!$G$177</f>
        <v>226.86</v>
      </c>
      <c r="O16" s="178">
        <f t="shared" si="5"/>
        <v>453.72</v>
      </c>
    </row>
    <row r="17" spans="1:15" ht="28.5" customHeight="1" x14ac:dyDescent="0.2">
      <c r="A17" s="189">
        <v>9</v>
      </c>
      <c r="B17" s="1135" t="str">
        <f>Dados!M92</f>
        <v>Técnico em Secretariado</v>
      </c>
      <c r="C17" s="176">
        <f>'09'!$G$53</f>
        <v>3480.03</v>
      </c>
      <c r="D17" s="177">
        <f>Dados!T92</f>
        <v>7</v>
      </c>
      <c r="E17" s="178">
        <f t="shared" si="0"/>
        <v>24360.21</v>
      </c>
      <c r="F17" s="179">
        <f>'09'!$G$121</f>
        <v>2979.22</v>
      </c>
      <c r="G17" s="179">
        <f t="shared" si="1"/>
        <v>20854.54</v>
      </c>
      <c r="H17" s="180">
        <f>'09'!$G$132</f>
        <v>222.37</v>
      </c>
      <c r="I17" s="178">
        <f t="shared" si="2"/>
        <v>1556.59</v>
      </c>
      <c r="J17" s="180">
        <f>'09'!$G$161</f>
        <v>27.85</v>
      </c>
      <c r="K17" s="178">
        <f t="shared" si="3"/>
        <v>194.95</v>
      </c>
      <c r="L17" s="180">
        <f>'09'!$G$170</f>
        <v>46.53</v>
      </c>
      <c r="M17" s="178">
        <f t="shared" si="4"/>
        <v>325.70999999999998</v>
      </c>
      <c r="N17" s="180">
        <f>'09'!$G$177</f>
        <v>135.80000000000001</v>
      </c>
      <c r="O17" s="178">
        <f t="shared" si="5"/>
        <v>950.6</v>
      </c>
    </row>
    <row r="18" spans="1:15" s="66" customFormat="1" ht="24.95" customHeight="1" x14ac:dyDescent="0.2">
      <c r="A18" s="1807" t="s">
        <v>59</v>
      </c>
      <c r="B18" s="1808"/>
      <c r="C18" s="1809"/>
      <c r="D18" s="181">
        <f>SUM(D9:D17)</f>
        <v>58</v>
      </c>
      <c r="E18" s="182">
        <f>SUM(E9:E17)</f>
        <v>115488.75</v>
      </c>
      <c r="F18" s="183" t="s">
        <v>75</v>
      </c>
      <c r="G18" s="182">
        <f>SUM(G9:G17)</f>
        <v>122725.86</v>
      </c>
      <c r="H18" s="183" t="s">
        <v>75</v>
      </c>
      <c r="I18" s="182">
        <f>SUM(I9:I17)</f>
        <v>7379.86</v>
      </c>
      <c r="J18" s="183" t="s">
        <v>75</v>
      </c>
      <c r="K18" s="182">
        <f>SUM(K9:K17)</f>
        <v>924.26</v>
      </c>
      <c r="L18" s="183" t="s">
        <v>75</v>
      </c>
      <c r="M18" s="182">
        <f>SUM(M9:M17)</f>
        <v>2405.44</v>
      </c>
      <c r="N18" s="183" t="s">
        <v>75</v>
      </c>
      <c r="O18" s="182">
        <f>SUM(O9:O17)</f>
        <v>6027.74</v>
      </c>
    </row>
    <row r="20" spans="1:15" x14ac:dyDescent="0.2">
      <c r="C20" s="740" t="s">
        <v>712</v>
      </c>
      <c r="D20" s="184">
        <f>D21/E18</f>
        <v>2.58</v>
      </c>
      <c r="F20" s="741"/>
    </row>
    <row r="21" spans="1:15" x14ac:dyDescent="0.2">
      <c r="C21" s="742" t="s">
        <v>76</v>
      </c>
      <c r="D21" s="1806">
        <f>Resumo!G21</f>
        <v>298047.01</v>
      </c>
      <c r="E21" s="1806"/>
      <c r="F21" s="743"/>
      <c r="G21" s="743"/>
      <c r="H21" s="744" t="s">
        <v>0</v>
      </c>
    </row>
    <row r="22" spans="1:15" x14ac:dyDescent="0.2">
      <c r="D22" s="1805">
        <f>E18+I18+K18+M18+O18+G18</f>
        <v>254951.91</v>
      </c>
      <c r="E22" s="1805"/>
      <c r="G22" s="741"/>
      <c r="I22" s="227"/>
      <c r="J22" s="227" t="s">
        <v>0</v>
      </c>
    </row>
    <row r="23" spans="1:15" x14ac:dyDescent="0.2">
      <c r="D23" s="1805">
        <f>D22/Dados!$H$88</f>
        <v>288146.37</v>
      </c>
      <c r="E23" s="1805"/>
      <c r="H23" s="741"/>
      <c r="I23" s="227"/>
      <c r="J23" s="227"/>
    </row>
    <row r="24" spans="1:15" x14ac:dyDescent="0.2">
      <c r="D24" s="1805">
        <f>D23-D21</f>
        <v>-9900.64</v>
      </c>
      <c r="E24" s="1805"/>
      <c r="I24" s="741"/>
    </row>
    <row r="28" spans="1:15" x14ac:dyDescent="0.2">
      <c r="I28" s="741"/>
      <c r="L28" s="32" t="s">
        <v>0</v>
      </c>
    </row>
    <row r="52" hidden="1" x14ac:dyDescent="0.2"/>
    <row r="54" hidden="1" x14ac:dyDescent="0.2"/>
    <row r="87" ht="18" customHeight="1" x14ac:dyDescent="0.2"/>
  </sheetData>
  <mergeCells count="9">
    <mergeCell ref="D23:E23"/>
    <mergeCell ref="D24:E24"/>
    <mergeCell ref="D21:E21"/>
    <mergeCell ref="D22:E22"/>
    <mergeCell ref="A2:O2"/>
    <mergeCell ref="A3:O3"/>
    <mergeCell ref="A18:C18"/>
    <mergeCell ref="A4:O4"/>
    <mergeCell ref="A5:O5"/>
  </mergeCells>
  <printOptions horizontalCentered="1"/>
  <pageMargins left="0.28999999999999998" right="0.31496062992125984" top="1.4173228346456694" bottom="0.35433070866141736" header="0.19" footer="0.27559055118110237"/>
  <pageSetup paperSize="9" scale="66" fitToHeight="0" orientation="landscape" r:id="rId1"/>
  <headerFooter>
    <oddHeader>&amp;L&amp;"Cambria,Negrito"&amp;8PROPOSTA N° ____/2017</oddHeader>
  </headerFooter>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5">
    <tabColor rgb="FFFF0000"/>
  </sheetPr>
  <dimension ref="A1:G335"/>
  <sheetViews>
    <sheetView view="pageBreakPreview" topLeftCell="A268" zoomScaleNormal="100" zoomScaleSheetLayoutView="100" workbookViewId="0">
      <selection activeCell="K8" sqref="K8:K21"/>
    </sheetView>
  </sheetViews>
  <sheetFormatPr defaultRowHeight="12.75" x14ac:dyDescent="0.2"/>
  <cols>
    <col min="1" max="1" width="34.5703125" style="383" customWidth="1"/>
    <col min="2" max="2" width="29.5703125" style="383" customWidth="1"/>
    <col min="3" max="3" width="26.85546875" style="383" bestFit="1" customWidth="1"/>
    <col min="4" max="4" width="6.85546875" style="383" customWidth="1"/>
    <col min="5" max="5" width="11.5703125" style="383" customWidth="1"/>
    <col min="6" max="6" width="9.42578125" style="383" customWidth="1"/>
    <col min="7" max="7" width="9.140625" style="383" customWidth="1"/>
    <col min="8" max="16384" width="9.140625" style="383"/>
  </cols>
  <sheetData>
    <row r="1" spans="1:6" x14ac:dyDescent="0.2">
      <c r="A1" s="382"/>
      <c r="B1" s="382"/>
      <c r="C1" s="382"/>
      <c r="D1" s="382"/>
      <c r="E1" s="382"/>
      <c r="F1" s="382"/>
    </row>
    <row r="2" spans="1:6" x14ac:dyDescent="0.2">
      <c r="A2" s="1266" t="s">
        <v>197</v>
      </c>
      <c r="B2" s="1266"/>
      <c r="C2" s="1266"/>
      <c r="D2" s="1266"/>
      <c r="E2" s="1266"/>
      <c r="F2" s="1266"/>
    </row>
    <row r="3" spans="1:6" x14ac:dyDescent="0.2">
      <c r="A3" s="384"/>
      <c r="B3" s="384"/>
      <c r="C3" s="384"/>
      <c r="D3" s="384"/>
      <c r="E3" s="384"/>
      <c r="F3" s="384"/>
    </row>
    <row r="4" spans="1:6" x14ac:dyDescent="0.2">
      <c r="A4" s="382"/>
      <c r="B4" s="382"/>
      <c r="C4" s="382"/>
      <c r="D4" s="382"/>
      <c r="E4" s="382"/>
      <c r="F4" s="382"/>
    </row>
    <row r="5" spans="1:6" x14ac:dyDescent="0.2">
      <c r="A5" s="385" t="s">
        <v>410</v>
      </c>
      <c r="B5" s="382"/>
      <c r="C5" s="382"/>
      <c r="D5" s="382"/>
      <c r="E5" s="382"/>
      <c r="F5" s="382"/>
    </row>
    <row r="6" spans="1:6" x14ac:dyDescent="0.2">
      <c r="A6" s="385"/>
      <c r="B6" s="382"/>
      <c r="C6" s="382"/>
      <c r="D6" s="382"/>
      <c r="E6" s="382"/>
      <c r="F6" s="382"/>
    </row>
    <row r="7" spans="1:6" x14ac:dyDescent="0.2">
      <c r="A7" s="435" t="s">
        <v>416</v>
      </c>
      <c r="B7" s="382"/>
      <c r="C7" s="382"/>
      <c r="D7" s="382"/>
      <c r="E7" s="382"/>
      <c r="F7" s="382"/>
    </row>
    <row r="8" spans="1:6" x14ac:dyDescent="0.2">
      <c r="A8" s="1305" t="s">
        <v>148</v>
      </c>
      <c r="B8" s="1305"/>
      <c r="C8" s="1011" t="str">
        <f>'CCT''S'!$A$8</f>
        <v>SINDISERVIÇOS/SEAC-DF</v>
      </c>
      <c r="D8" s="1274" t="s">
        <v>199</v>
      </c>
      <c r="E8" s="1275"/>
      <c r="F8" s="1276"/>
    </row>
    <row r="9" spans="1:6" x14ac:dyDescent="0.2">
      <c r="A9" s="388" t="s">
        <v>264</v>
      </c>
      <c r="B9" s="389"/>
      <c r="C9" s="387">
        <v>2416.92</v>
      </c>
      <c r="D9" s="1330" t="s">
        <v>265</v>
      </c>
      <c r="E9" s="1271"/>
      <c r="F9" s="1272"/>
    </row>
    <row r="10" spans="1:6" x14ac:dyDescent="0.2">
      <c r="A10" s="388" t="s">
        <v>1212</v>
      </c>
      <c r="B10" s="389"/>
      <c r="C10" s="387">
        <v>1403.56</v>
      </c>
      <c r="D10" s="1330" t="s">
        <v>265</v>
      </c>
      <c r="E10" s="1271"/>
      <c r="F10" s="1272"/>
    </row>
    <row r="11" spans="1:6" x14ac:dyDescent="0.2">
      <c r="A11" s="388" t="s">
        <v>266</v>
      </c>
      <c r="B11" s="389"/>
      <c r="C11" s="387">
        <v>1287.96</v>
      </c>
      <c r="D11" s="1330" t="s">
        <v>265</v>
      </c>
      <c r="E11" s="1271"/>
      <c r="F11" s="1272"/>
    </row>
    <row r="12" spans="1:6" x14ac:dyDescent="0.2">
      <c r="A12" s="388" t="s">
        <v>267</v>
      </c>
      <c r="B12" s="392"/>
      <c r="C12" s="387">
        <v>1287.96</v>
      </c>
      <c r="D12" s="1330" t="s">
        <v>265</v>
      </c>
      <c r="E12" s="1271"/>
      <c r="F12" s="1272"/>
    </row>
    <row r="13" spans="1:6" x14ac:dyDescent="0.2">
      <c r="A13" s="388" t="s">
        <v>268</v>
      </c>
      <c r="B13" s="392"/>
      <c r="C13" s="387">
        <v>1287.96</v>
      </c>
      <c r="D13" s="1330" t="s">
        <v>265</v>
      </c>
      <c r="E13" s="1271"/>
      <c r="F13" s="1272"/>
    </row>
    <row r="14" spans="1:6" x14ac:dyDescent="0.2">
      <c r="A14" s="388" t="s">
        <v>269</v>
      </c>
      <c r="B14" s="392"/>
      <c r="C14" s="387">
        <v>1287.96</v>
      </c>
      <c r="D14" s="1330" t="s">
        <v>265</v>
      </c>
      <c r="E14" s="1271"/>
      <c r="F14" s="1272"/>
    </row>
    <row r="15" spans="1:6" x14ac:dyDescent="0.2">
      <c r="A15" s="388" t="s">
        <v>270</v>
      </c>
      <c r="B15" s="392"/>
      <c r="C15" s="387">
        <v>1666.93</v>
      </c>
      <c r="D15" s="1330" t="s">
        <v>265</v>
      </c>
      <c r="E15" s="1271"/>
      <c r="F15" s="1272"/>
    </row>
    <row r="16" spans="1:6" x14ac:dyDescent="0.2">
      <c r="A16" s="388" t="s">
        <v>271</v>
      </c>
      <c r="B16" s="392"/>
      <c r="C16" s="387">
        <v>1901.53</v>
      </c>
      <c r="D16" s="1330" t="s">
        <v>265</v>
      </c>
      <c r="E16" s="1271"/>
      <c r="F16" s="1272"/>
    </row>
    <row r="17" spans="1:6" x14ac:dyDescent="0.2">
      <c r="A17" s="388" t="s">
        <v>272</v>
      </c>
      <c r="B17" s="392"/>
      <c r="C17" s="387">
        <v>3713.6</v>
      </c>
      <c r="D17" s="1330" t="s">
        <v>265</v>
      </c>
      <c r="E17" s="1271"/>
      <c r="F17" s="1272"/>
    </row>
    <row r="18" spans="1:6" x14ac:dyDescent="0.2">
      <c r="A18" s="388" t="s">
        <v>273</v>
      </c>
      <c r="B18" s="392"/>
      <c r="C18" s="387">
        <v>1287.96</v>
      </c>
      <c r="D18" s="1330" t="s">
        <v>265</v>
      </c>
      <c r="E18" s="1271"/>
      <c r="F18" s="1272"/>
    </row>
    <row r="19" spans="1:6" x14ac:dyDescent="0.2">
      <c r="A19" s="388" t="s">
        <v>274</v>
      </c>
      <c r="B19" s="392"/>
      <c r="C19" s="387">
        <v>1331.14</v>
      </c>
      <c r="D19" s="1330" t="s">
        <v>265</v>
      </c>
      <c r="E19" s="1271"/>
      <c r="F19" s="1272"/>
    </row>
    <row r="20" spans="1:6" x14ac:dyDescent="0.2">
      <c r="A20" s="896" t="s">
        <v>275</v>
      </c>
      <c r="B20" s="897"/>
      <c r="C20" s="387">
        <v>1331.14</v>
      </c>
      <c r="D20" s="1330" t="s">
        <v>265</v>
      </c>
      <c r="E20" s="1271"/>
      <c r="F20" s="1272"/>
    </row>
    <row r="21" spans="1:6" s="503" customFormat="1" x14ac:dyDescent="0.2">
      <c r="A21" s="1021" t="s">
        <v>1213</v>
      </c>
      <c r="B21" s="392"/>
      <c r="C21" s="387">
        <v>2238.15</v>
      </c>
      <c r="D21" s="1314" t="s">
        <v>265</v>
      </c>
      <c r="E21" s="1315"/>
      <c r="F21" s="1316"/>
    </row>
    <row r="22" spans="1:6" x14ac:dyDescent="0.2">
      <c r="A22" s="388" t="s">
        <v>276</v>
      </c>
      <c r="B22" s="392"/>
      <c r="C22" s="387">
        <v>1901.53</v>
      </c>
      <c r="D22" s="1330" t="s">
        <v>265</v>
      </c>
      <c r="E22" s="1271"/>
      <c r="F22" s="1272"/>
    </row>
    <row r="23" spans="1:6" x14ac:dyDescent="0.2">
      <c r="A23" s="388" t="s">
        <v>277</v>
      </c>
      <c r="B23" s="392"/>
      <c r="C23" s="387">
        <v>1287.96</v>
      </c>
      <c r="D23" s="1330" t="s">
        <v>265</v>
      </c>
      <c r="E23" s="1271"/>
      <c r="F23" s="1272"/>
    </row>
    <row r="24" spans="1:6" x14ac:dyDescent="0.2">
      <c r="A24" s="388" t="s">
        <v>256</v>
      </c>
      <c r="B24" s="392"/>
      <c r="C24" s="387">
        <v>1287.96</v>
      </c>
      <c r="D24" s="1330" t="s">
        <v>265</v>
      </c>
      <c r="E24" s="1271"/>
      <c r="F24" s="1272"/>
    </row>
    <row r="25" spans="1:6" x14ac:dyDescent="0.2">
      <c r="A25" s="388" t="s">
        <v>278</v>
      </c>
      <c r="B25" s="392"/>
      <c r="C25" s="387">
        <v>1901.53</v>
      </c>
      <c r="D25" s="1330" t="s">
        <v>265</v>
      </c>
      <c r="E25" s="1271"/>
      <c r="F25" s="1272"/>
    </row>
    <row r="26" spans="1:6" x14ac:dyDescent="0.2">
      <c r="A26" s="388" t="s">
        <v>279</v>
      </c>
      <c r="B26" s="392"/>
      <c r="C26" s="387">
        <v>1711.52</v>
      </c>
      <c r="D26" s="1330" t="s">
        <v>265</v>
      </c>
      <c r="E26" s="1271"/>
      <c r="F26" s="1272"/>
    </row>
    <row r="27" spans="1:6" x14ac:dyDescent="0.2">
      <c r="A27" s="388" t="s">
        <v>280</v>
      </c>
      <c r="B27" s="392"/>
      <c r="C27" s="387">
        <v>1287.96</v>
      </c>
      <c r="D27" s="1330" t="s">
        <v>265</v>
      </c>
      <c r="E27" s="1271"/>
      <c r="F27" s="1272"/>
    </row>
    <row r="28" spans="1:6" x14ac:dyDescent="0.2">
      <c r="A28" s="388" t="s">
        <v>281</v>
      </c>
      <c r="B28" s="392"/>
      <c r="C28" s="387">
        <v>1287.96</v>
      </c>
      <c r="D28" s="1330" t="s">
        <v>265</v>
      </c>
      <c r="E28" s="1271"/>
      <c r="F28" s="1272"/>
    </row>
    <row r="29" spans="1:6" x14ac:dyDescent="0.2">
      <c r="A29" s="388" t="s">
        <v>282</v>
      </c>
      <c r="B29" s="392"/>
      <c r="C29" s="387">
        <v>1901.53</v>
      </c>
      <c r="D29" s="1330" t="s">
        <v>265</v>
      </c>
      <c r="E29" s="1271"/>
      <c r="F29" s="1272"/>
    </row>
    <row r="30" spans="1:6" x14ac:dyDescent="0.2">
      <c r="A30" s="388" t="s">
        <v>283</v>
      </c>
      <c r="B30" s="392"/>
      <c r="C30" s="387">
        <v>1287.96</v>
      </c>
      <c r="D30" s="1330" t="s">
        <v>265</v>
      </c>
      <c r="E30" s="1271"/>
      <c r="F30" s="1272"/>
    </row>
    <row r="31" spans="1:6" x14ac:dyDescent="0.2">
      <c r="A31" s="388" t="s">
        <v>284</v>
      </c>
      <c r="B31" s="392"/>
      <c r="C31" s="387">
        <v>1287.96</v>
      </c>
      <c r="D31" s="1330" t="s">
        <v>265</v>
      </c>
      <c r="E31" s="1271"/>
      <c r="F31" s="1272"/>
    </row>
    <row r="32" spans="1:6" x14ac:dyDescent="0.2">
      <c r="A32" s="388" t="s">
        <v>285</v>
      </c>
      <c r="B32" s="392"/>
      <c r="C32" s="387">
        <v>1379.86</v>
      </c>
      <c r="D32" s="1330" t="s">
        <v>265</v>
      </c>
      <c r="E32" s="1271"/>
      <c r="F32" s="1272"/>
    </row>
    <row r="33" spans="1:6" x14ac:dyDescent="0.2">
      <c r="A33" s="388" t="s">
        <v>286</v>
      </c>
      <c r="B33" s="392"/>
      <c r="C33" s="387">
        <v>2741.36</v>
      </c>
      <c r="D33" s="1330" t="s">
        <v>265</v>
      </c>
      <c r="E33" s="1271"/>
      <c r="F33" s="1272"/>
    </row>
    <row r="34" spans="1:6" x14ac:dyDescent="0.2">
      <c r="A34" s="388" t="s">
        <v>287</v>
      </c>
      <c r="B34" s="392"/>
      <c r="C34" s="387">
        <v>1287.96</v>
      </c>
      <c r="D34" s="1330" t="s">
        <v>265</v>
      </c>
      <c r="E34" s="1271"/>
      <c r="F34" s="1272"/>
    </row>
    <row r="35" spans="1:6" x14ac:dyDescent="0.2">
      <c r="A35" s="388" t="s">
        <v>288</v>
      </c>
      <c r="B35" s="392"/>
      <c r="C35" s="387">
        <v>1287.96</v>
      </c>
      <c r="D35" s="1330" t="s">
        <v>265</v>
      </c>
      <c r="E35" s="1271"/>
      <c r="F35" s="1272"/>
    </row>
    <row r="36" spans="1:6" x14ac:dyDescent="0.2">
      <c r="A36" s="388" t="s">
        <v>289</v>
      </c>
      <c r="B36" s="392"/>
      <c r="C36" s="387">
        <v>1331.14</v>
      </c>
      <c r="D36" s="1330" t="s">
        <v>265</v>
      </c>
      <c r="E36" s="1271"/>
      <c r="F36" s="1272"/>
    </row>
    <row r="37" spans="1:6" x14ac:dyDescent="0.2">
      <c r="A37" s="388" t="s">
        <v>290</v>
      </c>
      <c r="B37" s="392"/>
      <c r="C37" s="387">
        <v>2155.19</v>
      </c>
      <c r="D37" s="1330" t="s">
        <v>265</v>
      </c>
      <c r="E37" s="1271"/>
      <c r="F37" s="1272"/>
    </row>
    <row r="38" spans="1:6" x14ac:dyDescent="0.2">
      <c r="A38" s="388" t="s">
        <v>291</v>
      </c>
      <c r="B38" s="392"/>
      <c r="C38" s="387">
        <v>1901.53</v>
      </c>
      <c r="D38" s="1330" t="s">
        <v>265</v>
      </c>
      <c r="E38" s="1271"/>
      <c r="F38" s="1272"/>
    </row>
    <row r="39" spans="1:6" x14ac:dyDescent="0.2">
      <c r="A39" s="388" t="s">
        <v>292</v>
      </c>
      <c r="B39" s="392"/>
      <c r="C39" s="387">
        <v>1901.53</v>
      </c>
      <c r="D39" s="1330" t="s">
        <v>265</v>
      </c>
      <c r="E39" s="1271"/>
      <c r="F39" s="1272"/>
    </row>
    <row r="40" spans="1:6" x14ac:dyDescent="0.2">
      <c r="A40" s="388" t="s">
        <v>293</v>
      </c>
      <c r="B40" s="392"/>
      <c r="C40" s="387">
        <v>2575.91</v>
      </c>
      <c r="D40" s="1330" t="s">
        <v>265</v>
      </c>
      <c r="E40" s="1271"/>
      <c r="F40" s="1272"/>
    </row>
    <row r="41" spans="1:6" x14ac:dyDescent="0.2">
      <c r="A41" s="388" t="s">
        <v>294</v>
      </c>
      <c r="B41" s="392"/>
      <c r="C41" s="387">
        <v>2575.91</v>
      </c>
      <c r="D41" s="1330" t="s">
        <v>265</v>
      </c>
      <c r="E41" s="1271"/>
      <c r="F41" s="1272"/>
    </row>
    <row r="42" spans="1:6" x14ac:dyDescent="0.2">
      <c r="A42" s="388" t="s">
        <v>295</v>
      </c>
      <c r="B42" s="392"/>
      <c r="C42" s="387">
        <v>2575.91</v>
      </c>
      <c r="D42" s="1330" t="s">
        <v>265</v>
      </c>
      <c r="E42" s="1271"/>
      <c r="F42" s="1272"/>
    </row>
    <row r="43" spans="1:6" x14ac:dyDescent="0.2">
      <c r="A43" s="388" t="s">
        <v>296</v>
      </c>
      <c r="B43" s="392"/>
      <c r="C43" s="387">
        <v>3289.5</v>
      </c>
      <c r="D43" s="1330" t="s">
        <v>265</v>
      </c>
      <c r="E43" s="1271"/>
      <c r="F43" s="1272"/>
    </row>
    <row r="44" spans="1:6" x14ac:dyDescent="0.2">
      <c r="A44" s="388" t="s">
        <v>297</v>
      </c>
      <c r="B44" s="392"/>
      <c r="C44" s="387">
        <v>1666.93</v>
      </c>
      <c r="D44" s="1330" t="s">
        <v>265</v>
      </c>
      <c r="E44" s="1271"/>
      <c r="F44" s="1272"/>
    </row>
    <row r="45" spans="1:6" x14ac:dyDescent="0.2">
      <c r="A45" s="388" t="s">
        <v>298</v>
      </c>
      <c r="B45" s="392"/>
      <c r="C45" s="387">
        <v>1316.12</v>
      </c>
      <c r="D45" s="1330" t="s">
        <v>265</v>
      </c>
      <c r="E45" s="1271"/>
      <c r="F45" s="1272"/>
    </row>
    <row r="46" spans="1:6" x14ac:dyDescent="0.2">
      <c r="A46" s="388" t="s">
        <v>299</v>
      </c>
      <c r="B46" s="392"/>
      <c r="C46" s="387">
        <v>2352.7399999999998</v>
      </c>
      <c r="D46" s="1330" t="s">
        <v>265</v>
      </c>
      <c r="E46" s="1271"/>
      <c r="F46" s="1272"/>
    </row>
    <row r="47" spans="1:6" x14ac:dyDescent="0.2">
      <c r="A47" s="388" t="s">
        <v>300</v>
      </c>
      <c r="B47" s="392"/>
      <c r="C47" s="387">
        <v>1287.96</v>
      </c>
      <c r="D47" s="1330" t="s">
        <v>265</v>
      </c>
      <c r="E47" s="1271"/>
      <c r="F47" s="1272"/>
    </row>
    <row r="48" spans="1:6" x14ac:dyDescent="0.2">
      <c r="A48" s="388" t="s">
        <v>301</v>
      </c>
      <c r="B48" s="392"/>
      <c r="C48" s="387">
        <v>1901.53</v>
      </c>
      <c r="D48" s="1330" t="s">
        <v>265</v>
      </c>
      <c r="E48" s="1271"/>
      <c r="F48" s="1272"/>
    </row>
    <row r="49" spans="1:6" x14ac:dyDescent="0.2">
      <c r="A49" s="388" t="s">
        <v>302</v>
      </c>
      <c r="B49" s="392"/>
      <c r="C49" s="387">
        <v>1403.56</v>
      </c>
      <c r="D49" s="1330" t="s">
        <v>265</v>
      </c>
      <c r="E49" s="1271"/>
      <c r="F49" s="1272"/>
    </row>
    <row r="50" spans="1:6" x14ac:dyDescent="0.2">
      <c r="A50" s="388" t="s">
        <v>303</v>
      </c>
      <c r="B50" s="392"/>
      <c r="C50" s="387">
        <v>1901.53</v>
      </c>
      <c r="D50" s="1330" t="s">
        <v>265</v>
      </c>
      <c r="E50" s="1271"/>
      <c r="F50" s="1272"/>
    </row>
    <row r="51" spans="1:6" x14ac:dyDescent="0.2">
      <c r="A51" s="388" t="s">
        <v>304</v>
      </c>
      <c r="B51" s="392"/>
      <c r="C51" s="387">
        <v>1901.53</v>
      </c>
      <c r="D51" s="1330" t="s">
        <v>265</v>
      </c>
      <c r="E51" s="1271"/>
      <c r="F51" s="1272"/>
    </row>
    <row r="52" spans="1:6" x14ac:dyDescent="0.2">
      <c r="A52" s="388" t="s">
        <v>305</v>
      </c>
      <c r="B52" s="392"/>
      <c r="C52" s="387">
        <v>1527.03</v>
      </c>
      <c r="D52" s="1330" t="s">
        <v>265</v>
      </c>
      <c r="E52" s="1271"/>
      <c r="F52" s="1272"/>
    </row>
    <row r="53" spans="1:6" x14ac:dyDescent="0.2">
      <c r="A53" s="388" t="s">
        <v>306</v>
      </c>
      <c r="B53" s="393"/>
      <c r="C53" s="387">
        <v>1901.52</v>
      </c>
      <c r="D53" s="1330" t="s">
        <v>265</v>
      </c>
      <c r="E53" s="1271"/>
      <c r="F53" s="1272"/>
    </row>
    <row r="54" spans="1:6" x14ac:dyDescent="0.2">
      <c r="A54" s="388" t="s">
        <v>307</v>
      </c>
      <c r="B54" s="393"/>
      <c r="C54" s="387">
        <v>1287.96</v>
      </c>
      <c r="D54" s="1330" t="s">
        <v>265</v>
      </c>
      <c r="E54" s="1271"/>
      <c r="F54" s="1272"/>
    </row>
    <row r="55" spans="1:6" x14ac:dyDescent="0.2">
      <c r="A55" s="388" t="s">
        <v>308</v>
      </c>
      <c r="B55" s="393"/>
      <c r="C55" s="387">
        <v>1287.96</v>
      </c>
      <c r="D55" s="1330" t="s">
        <v>265</v>
      </c>
      <c r="E55" s="1271"/>
      <c r="F55" s="1272"/>
    </row>
    <row r="56" spans="1:6" x14ac:dyDescent="0.2">
      <c r="A56" s="388" t="s">
        <v>309</v>
      </c>
      <c r="B56" s="393"/>
      <c r="C56" s="387">
        <v>1901.53</v>
      </c>
      <c r="D56" s="1330" t="s">
        <v>265</v>
      </c>
      <c r="E56" s="1271"/>
      <c r="F56" s="1272"/>
    </row>
    <row r="57" spans="1:6" x14ac:dyDescent="0.2">
      <c r="A57" s="388" t="s">
        <v>310</v>
      </c>
      <c r="B57" s="393"/>
      <c r="C57" s="387">
        <v>2387.9699999999998</v>
      </c>
      <c r="D57" s="1330" t="s">
        <v>265</v>
      </c>
      <c r="E57" s="1271"/>
      <c r="F57" s="1272"/>
    </row>
    <row r="58" spans="1:6" x14ac:dyDescent="0.2">
      <c r="A58" s="388" t="s">
        <v>311</v>
      </c>
      <c r="B58" s="393"/>
      <c r="C58" s="387">
        <v>1648.03</v>
      </c>
      <c r="D58" s="1330" t="s">
        <v>265</v>
      </c>
      <c r="E58" s="1271"/>
      <c r="F58" s="1272"/>
    </row>
    <row r="59" spans="1:6" x14ac:dyDescent="0.2">
      <c r="A59" s="388" t="s">
        <v>312</v>
      </c>
      <c r="B59" s="393"/>
      <c r="C59" s="387">
        <v>1901.53</v>
      </c>
      <c r="D59" s="1330" t="s">
        <v>265</v>
      </c>
      <c r="E59" s="1271"/>
      <c r="F59" s="1272"/>
    </row>
    <row r="60" spans="1:6" x14ac:dyDescent="0.2">
      <c r="A60" s="388" t="s">
        <v>313</v>
      </c>
      <c r="B60" s="393"/>
      <c r="C60" s="387">
        <v>1901.53</v>
      </c>
      <c r="D60" s="1330" t="s">
        <v>265</v>
      </c>
      <c r="E60" s="1271"/>
      <c r="F60" s="1272"/>
    </row>
    <row r="61" spans="1:6" x14ac:dyDescent="0.2">
      <c r="A61" s="388" t="s">
        <v>314</v>
      </c>
      <c r="B61" s="393"/>
      <c r="C61" s="387">
        <v>2326.87</v>
      </c>
      <c r="D61" s="1330" t="s">
        <v>265</v>
      </c>
      <c r="E61" s="1271"/>
      <c r="F61" s="1272"/>
    </row>
    <row r="62" spans="1:6" x14ac:dyDescent="0.2">
      <c r="A62" s="388" t="s">
        <v>315</v>
      </c>
      <c r="B62" s="393"/>
      <c r="C62" s="387">
        <v>2460.54</v>
      </c>
      <c r="D62" s="1330" t="s">
        <v>265</v>
      </c>
      <c r="E62" s="1271"/>
      <c r="F62" s="1272"/>
    </row>
    <row r="63" spans="1:6" x14ac:dyDescent="0.2">
      <c r="A63" s="388" t="s">
        <v>316</v>
      </c>
      <c r="B63" s="393"/>
      <c r="C63" s="387">
        <v>1489.77</v>
      </c>
      <c r="D63" s="1330" t="s">
        <v>265</v>
      </c>
      <c r="E63" s="1271"/>
      <c r="F63" s="1272"/>
    </row>
    <row r="64" spans="1:6" x14ac:dyDescent="0.2">
      <c r="A64" s="388" t="s">
        <v>317</v>
      </c>
      <c r="B64" s="393"/>
      <c r="C64" s="387">
        <v>1287.96</v>
      </c>
      <c r="D64" s="1330" t="s">
        <v>265</v>
      </c>
      <c r="E64" s="1271"/>
      <c r="F64" s="1272"/>
    </row>
    <row r="65" spans="1:6" x14ac:dyDescent="0.2">
      <c r="A65" s="388" t="s">
        <v>318</v>
      </c>
      <c r="B65" s="393"/>
      <c r="C65" s="387">
        <v>1648.04</v>
      </c>
      <c r="D65" s="1330" t="s">
        <v>265</v>
      </c>
      <c r="E65" s="1271"/>
      <c r="F65" s="1272"/>
    </row>
    <row r="66" spans="1:6" x14ac:dyDescent="0.2">
      <c r="A66" s="388" t="s">
        <v>319</v>
      </c>
      <c r="B66" s="393"/>
      <c r="C66" s="387">
        <v>2207.6999999999998</v>
      </c>
      <c r="D66" s="1330" t="s">
        <v>265</v>
      </c>
      <c r="E66" s="1271"/>
      <c r="F66" s="1272"/>
    </row>
    <row r="67" spans="1:6" x14ac:dyDescent="0.2">
      <c r="A67" s="388" t="s">
        <v>320</v>
      </c>
      <c r="B67" s="393"/>
      <c r="C67" s="387">
        <v>1287.96</v>
      </c>
      <c r="D67" s="1330" t="s">
        <v>265</v>
      </c>
      <c r="E67" s="1271"/>
      <c r="F67" s="1272"/>
    </row>
    <row r="68" spans="1:6" x14ac:dyDescent="0.2">
      <c r="A68" s="388" t="s">
        <v>321</v>
      </c>
      <c r="B68" s="393"/>
      <c r="C68" s="387">
        <v>1457.87</v>
      </c>
      <c r="D68" s="1330" t="s">
        <v>265</v>
      </c>
      <c r="E68" s="1271"/>
      <c r="F68" s="1272"/>
    </row>
    <row r="69" spans="1:6" x14ac:dyDescent="0.2">
      <c r="A69" s="388" t="s">
        <v>322</v>
      </c>
      <c r="B69" s="393"/>
      <c r="C69" s="387">
        <v>1331.14</v>
      </c>
      <c r="D69" s="1330" t="s">
        <v>265</v>
      </c>
      <c r="E69" s="1271"/>
      <c r="F69" s="1272"/>
    </row>
    <row r="70" spans="1:6" x14ac:dyDescent="0.2">
      <c r="A70" s="388" t="s">
        <v>323</v>
      </c>
      <c r="B70" s="393"/>
      <c r="C70" s="387">
        <v>1648.04</v>
      </c>
      <c r="D70" s="1330" t="s">
        <v>265</v>
      </c>
      <c r="E70" s="1271"/>
      <c r="F70" s="1272"/>
    </row>
    <row r="71" spans="1:6" x14ac:dyDescent="0.2">
      <c r="A71" s="388" t="s">
        <v>324</v>
      </c>
      <c r="B71" s="393"/>
      <c r="C71" s="387">
        <v>1964.87</v>
      </c>
      <c r="D71" s="1330" t="s">
        <v>265</v>
      </c>
      <c r="E71" s="1271"/>
      <c r="F71" s="1272"/>
    </row>
    <row r="72" spans="1:6" x14ac:dyDescent="0.2">
      <c r="A72" s="388" t="s">
        <v>325</v>
      </c>
      <c r="B72" s="393"/>
      <c r="C72" s="387">
        <v>1901.53</v>
      </c>
      <c r="D72" s="1330" t="s">
        <v>265</v>
      </c>
      <c r="E72" s="1271"/>
      <c r="F72" s="1272"/>
    </row>
    <row r="73" spans="1:6" x14ac:dyDescent="0.2">
      <c r="A73" s="388" t="s">
        <v>326</v>
      </c>
      <c r="B73" s="393"/>
      <c r="C73" s="387">
        <v>1901.53</v>
      </c>
      <c r="D73" s="1330" t="s">
        <v>265</v>
      </c>
      <c r="E73" s="1271"/>
      <c r="F73" s="1272"/>
    </row>
    <row r="74" spans="1:6" x14ac:dyDescent="0.2">
      <c r="A74" s="388" t="s">
        <v>327</v>
      </c>
      <c r="B74" s="393"/>
      <c r="C74" s="387">
        <v>1901.53</v>
      </c>
      <c r="D74" s="1330" t="s">
        <v>265</v>
      </c>
      <c r="E74" s="1271"/>
      <c r="F74" s="1272"/>
    </row>
    <row r="75" spans="1:6" x14ac:dyDescent="0.2">
      <c r="A75" s="388" t="s">
        <v>328</v>
      </c>
      <c r="B75" s="393"/>
      <c r="C75" s="387">
        <v>1964.87</v>
      </c>
      <c r="D75" s="1330" t="s">
        <v>265</v>
      </c>
      <c r="E75" s="1271"/>
      <c r="F75" s="1272"/>
    </row>
    <row r="76" spans="1:6" x14ac:dyDescent="0.2">
      <c r="A76" s="388" t="s">
        <v>329</v>
      </c>
      <c r="B76" s="393"/>
      <c r="C76" s="387">
        <v>1287.96</v>
      </c>
      <c r="D76" s="1330" t="s">
        <v>265</v>
      </c>
      <c r="E76" s="1271"/>
      <c r="F76" s="1272"/>
    </row>
    <row r="77" spans="1:6" x14ac:dyDescent="0.2">
      <c r="A77" s="388" t="s">
        <v>330</v>
      </c>
      <c r="B77" s="393"/>
      <c r="C77" s="387">
        <v>1901.53</v>
      </c>
      <c r="D77" s="1330" t="s">
        <v>265</v>
      </c>
      <c r="E77" s="1271"/>
      <c r="F77" s="1272"/>
    </row>
    <row r="78" spans="1:6" x14ac:dyDescent="0.2">
      <c r="A78" s="388" t="s">
        <v>331</v>
      </c>
      <c r="B78" s="393"/>
      <c r="C78" s="387">
        <v>1379.86</v>
      </c>
      <c r="D78" s="1330" t="s">
        <v>265</v>
      </c>
      <c r="E78" s="1271"/>
      <c r="F78" s="1272"/>
    </row>
    <row r="79" spans="1:6" x14ac:dyDescent="0.2">
      <c r="A79" s="388" t="s">
        <v>332</v>
      </c>
      <c r="B79" s="393"/>
      <c r="C79" s="387">
        <v>1901.53</v>
      </c>
      <c r="D79" s="1330" t="s">
        <v>265</v>
      </c>
      <c r="E79" s="1271"/>
      <c r="F79" s="1272"/>
    </row>
    <row r="80" spans="1:6" x14ac:dyDescent="0.2">
      <c r="A80" s="388" t="s">
        <v>333</v>
      </c>
      <c r="B80" s="393"/>
      <c r="C80" s="387">
        <v>1287.96</v>
      </c>
      <c r="D80" s="1330" t="s">
        <v>265</v>
      </c>
      <c r="E80" s="1271"/>
      <c r="F80" s="1272"/>
    </row>
    <row r="81" spans="1:7" x14ac:dyDescent="0.2">
      <c r="A81" s="388" t="s">
        <v>334</v>
      </c>
      <c r="B81" s="393"/>
      <c r="C81" s="387">
        <v>2575.92</v>
      </c>
      <c r="D81" s="1330" t="s">
        <v>265</v>
      </c>
      <c r="E81" s="1271"/>
      <c r="F81" s="1272"/>
    </row>
    <row r="82" spans="1:7" x14ac:dyDescent="0.2">
      <c r="A82" s="388" t="s">
        <v>335</v>
      </c>
      <c r="B82" s="393"/>
      <c r="C82" s="387">
        <v>2069.6999999999998</v>
      </c>
      <c r="D82" s="1330" t="s">
        <v>265</v>
      </c>
      <c r="E82" s="1271"/>
      <c r="F82" s="1272"/>
    </row>
    <row r="83" spans="1:7" x14ac:dyDescent="0.2">
      <c r="A83" s="388" t="s">
        <v>336</v>
      </c>
      <c r="B83" s="393"/>
      <c r="C83" s="387">
        <v>2416.94</v>
      </c>
      <c r="D83" s="1330" t="s">
        <v>265</v>
      </c>
      <c r="E83" s="1271"/>
      <c r="F83" s="1272"/>
    </row>
    <row r="84" spans="1:7" x14ac:dyDescent="0.2">
      <c r="A84" s="388" t="s">
        <v>819</v>
      </c>
      <c r="B84" s="393"/>
      <c r="C84" s="387">
        <v>1939.98</v>
      </c>
      <c r="D84" s="1330" t="s">
        <v>265</v>
      </c>
      <c r="E84" s="1271"/>
      <c r="F84" s="1272"/>
    </row>
    <row r="85" spans="1:7" x14ac:dyDescent="0.2">
      <c r="A85" s="388" t="s">
        <v>337</v>
      </c>
      <c r="B85" s="393"/>
      <c r="C85" s="387">
        <v>1816.36</v>
      </c>
      <c r="D85" s="1330" t="s">
        <v>265</v>
      </c>
      <c r="E85" s="1271"/>
      <c r="F85" s="1272"/>
    </row>
    <row r="86" spans="1:7" x14ac:dyDescent="0.2">
      <c r="A86" s="388" t="s">
        <v>338</v>
      </c>
      <c r="B86" s="393"/>
      <c r="C86" s="387">
        <v>1666.93</v>
      </c>
      <c r="D86" s="1330" t="s">
        <v>265</v>
      </c>
      <c r="E86" s="1271"/>
      <c r="F86" s="1272"/>
    </row>
    <row r="87" spans="1:7" x14ac:dyDescent="0.2">
      <c r="A87" s="388" t="s">
        <v>339</v>
      </c>
      <c r="B87" s="393"/>
      <c r="C87" s="387">
        <v>1403.56</v>
      </c>
      <c r="D87" s="1330" t="s">
        <v>265</v>
      </c>
      <c r="E87" s="1271"/>
      <c r="F87" s="1272"/>
    </row>
    <row r="88" spans="1:7" x14ac:dyDescent="0.2">
      <c r="A88" s="394"/>
      <c r="B88" s="382"/>
      <c r="C88" s="395"/>
      <c r="D88" s="396"/>
      <c r="E88" s="396"/>
      <c r="F88" s="396"/>
    </row>
    <row r="89" spans="1:7" x14ac:dyDescent="0.2">
      <c r="A89" s="1305" t="s">
        <v>148</v>
      </c>
      <c r="B89" s="1305"/>
      <c r="C89" s="1011" t="str">
        <f>'CCT''S'!$A$9</f>
        <v>SIS/SEAC-DF</v>
      </c>
      <c r="D89" s="1274" t="s">
        <v>199</v>
      </c>
      <c r="E89" s="1275"/>
      <c r="F89" s="1276"/>
    </row>
    <row r="90" spans="1:7" x14ac:dyDescent="0.2">
      <c r="A90" s="388" t="s">
        <v>418</v>
      </c>
      <c r="B90" s="389"/>
      <c r="C90" s="387">
        <v>2311.02</v>
      </c>
      <c r="D90" s="1330" t="s">
        <v>265</v>
      </c>
      <c r="E90" s="1271"/>
      <c r="F90" s="1272"/>
      <c r="G90" s="383" t="s">
        <v>1093</v>
      </c>
    </row>
    <row r="91" spans="1:7" x14ac:dyDescent="0.2">
      <c r="A91" s="388" t="s">
        <v>419</v>
      </c>
      <c r="B91" s="389"/>
      <c r="C91" s="387">
        <v>4622.04</v>
      </c>
      <c r="D91" s="1330" t="s">
        <v>265</v>
      </c>
      <c r="E91" s="1271"/>
      <c r="F91" s="1272"/>
      <c r="G91" s="383" t="s">
        <v>1094</v>
      </c>
    </row>
    <row r="92" spans="1:7" x14ac:dyDescent="0.2">
      <c r="A92" s="388" t="s">
        <v>420</v>
      </c>
      <c r="B92" s="389"/>
      <c r="C92" s="387">
        <v>5236.2299999999996</v>
      </c>
      <c r="D92" s="1330" t="s">
        <v>265</v>
      </c>
      <c r="E92" s="1271"/>
      <c r="F92" s="1272"/>
      <c r="G92" s="383" t="s">
        <v>1095</v>
      </c>
    </row>
    <row r="94" spans="1:7" x14ac:dyDescent="0.2">
      <c r="A94" s="1305" t="s">
        <v>148</v>
      </c>
      <c r="B94" s="1305"/>
      <c r="C94" s="1011" t="str">
        <f>'CCT''S'!$A$10</f>
        <v>SITTRATER/SEAC-DF</v>
      </c>
      <c r="D94" s="1274" t="s">
        <v>199</v>
      </c>
      <c r="E94" s="1275"/>
      <c r="F94" s="1276"/>
    </row>
    <row r="95" spans="1:7" x14ac:dyDescent="0.2">
      <c r="A95" s="388" t="s">
        <v>423</v>
      </c>
      <c r="B95" s="389"/>
      <c r="C95" s="387">
        <v>2347.4499999999998</v>
      </c>
      <c r="D95" s="1330" t="s">
        <v>265</v>
      </c>
      <c r="E95" s="1271"/>
      <c r="F95" s="1272"/>
    </row>
    <row r="96" spans="1:7" x14ac:dyDescent="0.2">
      <c r="A96" s="388" t="s">
        <v>424</v>
      </c>
      <c r="B96" s="389"/>
      <c r="C96" s="387">
        <v>2696.19</v>
      </c>
      <c r="D96" s="1330" t="s">
        <v>265</v>
      </c>
      <c r="E96" s="1271"/>
      <c r="F96" s="1272"/>
    </row>
    <row r="97" spans="1:6" x14ac:dyDescent="0.2">
      <c r="A97" s="388" t="s">
        <v>425</v>
      </c>
      <c r="B97" s="389"/>
      <c r="C97" s="387">
        <v>2696.19</v>
      </c>
      <c r="D97" s="1330" t="s">
        <v>265</v>
      </c>
      <c r="E97" s="1271"/>
      <c r="F97" s="1272"/>
    </row>
    <row r="98" spans="1:6" x14ac:dyDescent="0.2">
      <c r="A98" s="388" t="s">
        <v>426</v>
      </c>
      <c r="B98" s="389"/>
      <c r="C98" s="387">
        <v>2748.24</v>
      </c>
      <c r="D98" s="1330" t="s">
        <v>265</v>
      </c>
      <c r="E98" s="1271"/>
      <c r="F98" s="1272"/>
    </row>
    <row r="99" spans="1:6" x14ac:dyDescent="0.2">
      <c r="A99" s="388" t="s">
        <v>427</v>
      </c>
      <c r="B99" s="389"/>
      <c r="C99" s="387">
        <v>1368.91</v>
      </c>
      <c r="D99" s="1330" t="s">
        <v>265</v>
      </c>
      <c r="E99" s="1271"/>
      <c r="F99" s="1272"/>
    </row>
    <row r="100" spans="1:6" x14ac:dyDescent="0.2">
      <c r="A100" s="388" t="s">
        <v>428</v>
      </c>
      <c r="B100" s="389"/>
      <c r="C100" s="387">
        <v>3456.12</v>
      </c>
      <c r="D100" s="1330" t="s">
        <v>265</v>
      </c>
      <c r="E100" s="1271"/>
      <c r="F100" s="1272"/>
    </row>
    <row r="101" spans="1:6" x14ac:dyDescent="0.2">
      <c r="A101" s="388" t="s">
        <v>429</v>
      </c>
      <c r="B101" s="389"/>
      <c r="C101" s="387">
        <v>3456.12</v>
      </c>
      <c r="D101" s="1330" t="s">
        <v>265</v>
      </c>
      <c r="E101" s="1271"/>
      <c r="F101" s="1272"/>
    </row>
    <row r="103" spans="1:6" x14ac:dyDescent="0.2">
      <c r="A103" s="1305" t="s">
        <v>148</v>
      </c>
      <c r="B103" s="1305"/>
      <c r="C103" s="1011" t="str">
        <f>'CCT''S'!$A$11</f>
        <v>SINTTEL/SEAC-DF</v>
      </c>
      <c r="D103" s="1274" t="s">
        <v>199</v>
      </c>
      <c r="E103" s="1275"/>
      <c r="F103" s="1276"/>
    </row>
    <row r="104" spans="1:6" x14ac:dyDescent="0.2">
      <c r="A104" s="270" t="s">
        <v>1255</v>
      </c>
      <c r="B104" s="862"/>
      <c r="C104" s="418">
        <v>1148.47</v>
      </c>
      <c r="D104" s="1330" t="s">
        <v>265</v>
      </c>
      <c r="E104" s="1271"/>
      <c r="F104" s="1272"/>
    </row>
    <row r="105" spans="1:6" x14ac:dyDescent="0.2">
      <c r="A105" s="270" t="s">
        <v>1256</v>
      </c>
      <c r="B105" s="862"/>
      <c r="C105" s="418">
        <v>1148.47</v>
      </c>
      <c r="D105" s="1330" t="s">
        <v>265</v>
      </c>
      <c r="E105" s="1271"/>
      <c r="F105" s="1272"/>
    </row>
    <row r="106" spans="1:6" x14ac:dyDescent="0.2">
      <c r="A106" s="270" t="s">
        <v>1257</v>
      </c>
      <c r="B106" s="862"/>
      <c r="C106" s="418">
        <v>1148.47</v>
      </c>
      <c r="D106" s="1330" t="s">
        <v>265</v>
      </c>
      <c r="E106" s="1271"/>
      <c r="F106" s="1272"/>
    </row>
    <row r="107" spans="1:6" x14ac:dyDescent="0.2">
      <c r="A107" s="270" t="s">
        <v>1258</v>
      </c>
      <c r="B107" s="862"/>
      <c r="C107" s="418">
        <v>1148.47</v>
      </c>
      <c r="D107" s="1330" t="s">
        <v>265</v>
      </c>
      <c r="E107" s="1271"/>
      <c r="F107" s="1272"/>
    </row>
    <row r="108" spans="1:6" x14ac:dyDescent="0.2">
      <c r="A108" s="270" t="s">
        <v>1259</v>
      </c>
      <c r="B108" s="862"/>
      <c r="C108" s="418">
        <v>1148.47</v>
      </c>
      <c r="D108" s="1330" t="s">
        <v>265</v>
      </c>
      <c r="E108" s="1271"/>
      <c r="F108" s="1272"/>
    </row>
    <row r="109" spans="1:6" x14ac:dyDescent="0.2">
      <c r="A109" s="270" t="s">
        <v>1260</v>
      </c>
      <c r="B109" s="862"/>
      <c r="C109" s="418">
        <v>1148.47</v>
      </c>
      <c r="D109" s="1330" t="s">
        <v>265</v>
      </c>
      <c r="E109" s="1271"/>
      <c r="F109" s="1272"/>
    </row>
    <row r="110" spans="1:6" x14ac:dyDescent="0.2">
      <c r="A110" s="270" t="s">
        <v>1261</v>
      </c>
      <c r="B110" s="862"/>
      <c r="C110" s="418">
        <v>1377.89</v>
      </c>
      <c r="D110" s="1330" t="s">
        <v>265</v>
      </c>
      <c r="E110" s="1271"/>
      <c r="F110" s="1272"/>
    </row>
    <row r="111" spans="1:6" x14ac:dyDescent="0.2">
      <c r="A111" s="270" t="s">
        <v>1262</v>
      </c>
      <c r="B111" s="862"/>
      <c r="C111" s="418">
        <v>1377.89</v>
      </c>
      <c r="D111" s="1330" t="s">
        <v>265</v>
      </c>
      <c r="E111" s="1271"/>
      <c r="F111" s="1272"/>
    </row>
    <row r="112" spans="1:6" x14ac:dyDescent="0.2">
      <c r="A112" s="270" t="s">
        <v>1263</v>
      </c>
      <c r="B112" s="862"/>
      <c r="C112" s="418">
        <v>1377.89</v>
      </c>
      <c r="D112" s="1330" t="s">
        <v>265</v>
      </c>
      <c r="E112" s="1271"/>
      <c r="F112" s="1272"/>
    </row>
    <row r="113" spans="1:6" x14ac:dyDescent="0.2">
      <c r="A113" s="270" t="s">
        <v>1264</v>
      </c>
      <c r="B113" s="862"/>
      <c r="C113" s="418">
        <v>1377.89</v>
      </c>
      <c r="D113" s="1330" t="s">
        <v>265</v>
      </c>
      <c r="E113" s="1271"/>
      <c r="F113" s="1272"/>
    </row>
    <row r="114" spans="1:6" x14ac:dyDescent="0.2">
      <c r="A114" s="270" t="s">
        <v>1265</v>
      </c>
      <c r="B114" s="862"/>
      <c r="C114" s="418">
        <v>1377.89</v>
      </c>
      <c r="D114" s="1330" t="s">
        <v>265</v>
      </c>
      <c r="E114" s="1271"/>
      <c r="F114" s="1272"/>
    </row>
    <row r="115" spans="1:6" x14ac:dyDescent="0.2">
      <c r="A115" s="270" t="s">
        <v>1266</v>
      </c>
      <c r="B115" s="862"/>
      <c r="C115" s="418">
        <v>1653.47</v>
      </c>
      <c r="D115" s="1330" t="s">
        <v>265</v>
      </c>
      <c r="E115" s="1271"/>
      <c r="F115" s="1272"/>
    </row>
    <row r="116" spans="1:6" x14ac:dyDescent="0.2">
      <c r="A116" s="270" t="s">
        <v>1267</v>
      </c>
      <c r="B116" s="862"/>
      <c r="C116" s="418">
        <v>1653.47</v>
      </c>
      <c r="D116" s="1330" t="s">
        <v>265</v>
      </c>
      <c r="E116" s="1271"/>
      <c r="F116" s="1272"/>
    </row>
    <row r="117" spans="1:6" x14ac:dyDescent="0.2">
      <c r="A117" s="270" t="s">
        <v>1268</v>
      </c>
      <c r="B117" s="862"/>
      <c r="C117" s="418">
        <v>1378.17</v>
      </c>
      <c r="D117" s="1330" t="s">
        <v>265</v>
      </c>
      <c r="E117" s="1271"/>
      <c r="F117" s="1272"/>
    </row>
    <row r="118" spans="1:6" x14ac:dyDescent="0.2">
      <c r="A118" s="270" t="s">
        <v>1269</v>
      </c>
      <c r="B118" s="862"/>
      <c r="C118" s="418">
        <v>1378.17</v>
      </c>
      <c r="D118" s="1330" t="s">
        <v>265</v>
      </c>
      <c r="E118" s="1271"/>
      <c r="F118" s="1272"/>
    </row>
    <row r="119" spans="1:6" x14ac:dyDescent="0.2">
      <c r="A119" s="270" t="s">
        <v>1280</v>
      </c>
      <c r="B119" s="862"/>
      <c r="C119" s="418">
        <v>1378.17</v>
      </c>
      <c r="D119" s="1330" t="s">
        <v>265</v>
      </c>
      <c r="E119" s="1271"/>
      <c r="F119" s="1272"/>
    </row>
    <row r="120" spans="1:6" x14ac:dyDescent="0.2">
      <c r="A120" s="270" t="s">
        <v>1270</v>
      </c>
      <c r="B120" s="862"/>
      <c r="C120" s="418">
        <v>1378.17</v>
      </c>
      <c r="D120" s="1330" t="s">
        <v>265</v>
      </c>
      <c r="E120" s="1271"/>
      <c r="F120" s="1272"/>
    </row>
    <row r="121" spans="1:6" x14ac:dyDescent="0.2">
      <c r="A121" s="270" t="s">
        <v>1271</v>
      </c>
      <c r="B121" s="862"/>
      <c r="C121" s="418">
        <v>1378.17</v>
      </c>
      <c r="D121" s="1330" t="s">
        <v>265</v>
      </c>
      <c r="E121" s="1271"/>
      <c r="F121" s="1272"/>
    </row>
    <row r="122" spans="1:6" x14ac:dyDescent="0.2">
      <c r="A122" s="270" t="s">
        <v>1272</v>
      </c>
      <c r="B122" s="862"/>
      <c r="C122" s="418">
        <v>1378.17</v>
      </c>
      <c r="D122" s="1330" t="s">
        <v>265</v>
      </c>
      <c r="E122" s="1271"/>
      <c r="F122" s="1272"/>
    </row>
    <row r="123" spans="1:6" x14ac:dyDescent="0.2">
      <c r="A123" s="270" t="s">
        <v>1273</v>
      </c>
      <c r="B123" s="862"/>
      <c r="C123" s="418">
        <v>1653.47</v>
      </c>
      <c r="D123" s="1330" t="s">
        <v>265</v>
      </c>
      <c r="E123" s="1271"/>
      <c r="F123" s="1272"/>
    </row>
    <row r="124" spans="1:6" x14ac:dyDescent="0.2">
      <c r="A124" s="270" t="s">
        <v>1274</v>
      </c>
      <c r="B124" s="862"/>
      <c r="C124" s="418">
        <v>1653.47</v>
      </c>
      <c r="D124" s="1330" t="s">
        <v>265</v>
      </c>
      <c r="E124" s="1271"/>
      <c r="F124" s="1272"/>
    </row>
    <row r="125" spans="1:6" x14ac:dyDescent="0.2">
      <c r="A125" s="270" t="s">
        <v>1275</v>
      </c>
      <c r="B125" s="862"/>
      <c r="C125" s="418">
        <v>1653.47</v>
      </c>
      <c r="D125" s="1330" t="s">
        <v>265</v>
      </c>
      <c r="E125" s="1271"/>
      <c r="F125" s="1272"/>
    </row>
    <row r="126" spans="1:6" x14ac:dyDescent="0.2">
      <c r="A126" s="270" t="s">
        <v>1276</v>
      </c>
      <c r="B126" s="862"/>
      <c r="C126" s="418">
        <v>1653.47</v>
      </c>
      <c r="D126" s="1330" t="s">
        <v>265</v>
      </c>
      <c r="E126" s="1271"/>
      <c r="F126" s="1272"/>
    </row>
    <row r="127" spans="1:6" x14ac:dyDescent="0.2">
      <c r="A127" s="270" t="s">
        <v>1277</v>
      </c>
      <c r="B127" s="862"/>
      <c r="C127" s="418">
        <v>1653.47</v>
      </c>
      <c r="D127" s="1330" t="s">
        <v>265</v>
      </c>
      <c r="E127" s="1271"/>
      <c r="F127" s="1272"/>
    </row>
    <row r="128" spans="1:6" x14ac:dyDescent="0.2">
      <c r="A128" s="270" t="s">
        <v>1278</v>
      </c>
      <c r="B128" s="862"/>
      <c r="C128" s="418">
        <v>1984.17</v>
      </c>
      <c r="D128" s="1330" t="s">
        <v>265</v>
      </c>
      <c r="E128" s="1271"/>
      <c r="F128" s="1272"/>
    </row>
    <row r="129" spans="1:6" x14ac:dyDescent="0.2">
      <c r="A129" s="270" t="s">
        <v>1279</v>
      </c>
      <c r="B129" s="862"/>
      <c r="C129" s="418">
        <v>1984.17</v>
      </c>
      <c r="D129" s="1330" t="s">
        <v>265</v>
      </c>
      <c r="E129" s="1271"/>
      <c r="F129" s="1272"/>
    </row>
    <row r="130" spans="1:6" x14ac:dyDescent="0.2">
      <c r="A130" s="270" t="s">
        <v>1251</v>
      </c>
      <c r="B130" s="862"/>
      <c r="C130" s="418">
        <v>2230.0700000000002</v>
      </c>
      <c r="D130" s="1330" t="s">
        <v>265</v>
      </c>
      <c r="E130" s="1271"/>
      <c r="F130" s="1272"/>
    </row>
    <row r="131" spans="1:6" x14ac:dyDescent="0.2">
      <c r="A131" s="270" t="s">
        <v>1252</v>
      </c>
      <c r="B131" s="862"/>
      <c r="C131" s="418">
        <v>2230.0700000000002</v>
      </c>
      <c r="D131" s="1330" t="s">
        <v>265</v>
      </c>
      <c r="E131" s="1271"/>
      <c r="F131" s="1272"/>
    </row>
    <row r="132" spans="1:6" x14ac:dyDescent="0.2">
      <c r="A132" s="270" t="s">
        <v>1281</v>
      </c>
      <c r="B132" s="862"/>
      <c r="C132" s="418">
        <v>2230.0700000000002</v>
      </c>
      <c r="D132" s="1330" t="s">
        <v>265</v>
      </c>
      <c r="E132" s="1271"/>
      <c r="F132" s="1272"/>
    </row>
    <row r="133" spans="1:6" x14ac:dyDescent="0.2">
      <c r="A133" s="270" t="s">
        <v>1253</v>
      </c>
      <c r="B133" s="862"/>
      <c r="C133" s="418">
        <v>2230.0700000000002</v>
      </c>
      <c r="D133" s="1330" t="s">
        <v>265</v>
      </c>
      <c r="E133" s="1271"/>
      <c r="F133" s="1272"/>
    </row>
    <row r="134" spans="1:6" x14ac:dyDescent="0.2">
      <c r="A134" s="270" t="s">
        <v>1254</v>
      </c>
      <c r="B134" s="862"/>
      <c r="C134" s="418">
        <v>2230.0700000000002</v>
      </c>
      <c r="D134" s="1330" t="s">
        <v>265</v>
      </c>
      <c r="E134" s="1271"/>
      <c r="F134" s="1272"/>
    </row>
    <row r="135" spans="1:6" x14ac:dyDescent="0.2">
      <c r="A135" s="1075" t="s">
        <v>998</v>
      </c>
      <c r="B135" s="1076"/>
      <c r="C135" s="914">
        <v>0</v>
      </c>
      <c r="D135" s="1334" t="s">
        <v>1248</v>
      </c>
      <c r="E135" s="1335"/>
      <c r="F135" s="1336"/>
    </row>
    <row r="137" spans="1:6" x14ac:dyDescent="0.2">
      <c r="A137" s="1305" t="s">
        <v>148</v>
      </c>
      <c r="B137" s="1305"/>
      <c r="C137" s="1011" t="str">
        <f>'CCT''S'!$A$12</f>
        <v>SINDPD/SINDESEI-DF</v>
      </c>
      <c r="D137" s="1274" t="s">
        <v>199</v>
      </c>
      <c r="E137" s="1275"/>
      <c r="F137" s="1276"/>
    </row>
    <row r="138" spans="1:6" x14ac:dyDescent="0.2">
      <c r="A138" s="388" t="s">
        <v>437</v>
      </c>
      <c r="B138" s="389"/>
      <c r="C138" s="387">
        <v>1098.19</v>
      </c>
      <c r="D138" s="1330" t="s">
        <v>946</v>
      </c>
      <c r="E138" s="1271"/>
      <c r="F138" s="1272"/>
    </row>
    <row r="139" spans="1:6" x14ac:dyDescent="0.2">
      <c r="A139" s="388" t="s">
        <v>438</v>
      </c>
      <c r="B139" s="389"/>
      <c r="C139" s="387">
        <v>1215.8699999999999</v>
      </c>
      <c r="D139" s="1330" t="s">
        <v>947</v>
      </c>
      <c r="E139" s="1271"/>
      <c r="F139" s="1272"/>
    </row>
    <row r="140" spans="1:6" x14ac:dyDescent="0.2">
      <c r="A140" s="388" t="s">
        <v>439</v>
      </c>
      <c r="B140" s="389"/>
      <c r="C140" s="387">
        <v>1531.6</v>
      </c>
      <c r="D140" s="1330" t="s">
        <v>948</v>
      </c>
      <c r="E140" s="1271"/>
      <c r="F140" s="1272"/>
    </row>
    <row r="142" spans="1:6" x14ac:dyDescent="0.2">
      <c r="A142" s="1305" t="s">
        <v>148</v>
      </c>
      <c r="B142" s="1305"/>
      <c r="C142" s="1011" t="str">
        <f>'CCT''S'!$A$13</f>
        <v>SINDRAD/SEAC-DF</v>
      </c>
      <c r="D142" s="1274" t="s">
        <v>199</v>
      </c>
      <c r="E142" s="1275"/>
      <c r="F142" s="1276"/>
    </row>
    <row r="143" spans="1:6" x14ac:dyDescent="0.2">
      <c r="A143" s="913" t="s">
        <v>457</v>
      </c>
      <c r="B143" s="389"/>
      <c r="C143" s="387">
        <v>6979.77</v>
      </c>
      <c r="D143" s="1330" t="s">
        <v>265</v>
      </c>
      <c r="E143" s="1271"/>
      <c r="F143" s="1272"/>
    </row>
    <row r="144" spans="1:6" x14ac:dyDescent="0.2">
      <c r="A144" s="913" t="s">
        <v>458</v>
      </c>
      <c r="B144" s="389"/>
      <c r="C144" s="387">
        <v>4541.5200000000004</v>
      </c>
      <c r="D144" s="1330" t="s">
        <v>265</v>
      </c>
      <c r="E144" s="1271"/>
      <c r="F144" s="1272"/>
    </row>
    <row r="145" spans="1:6" x14ac:dyDescent="0.2">
      <c r="A145" s="980" t="s">
        <v>1060</v>
      </c>
      <c r="B145" s="862"/>
      <c r="C145" s="387">
        <v>3177.14</v>
      </c>
      <c r="D145" s="1314" t="s">
        <v>265</v>
      </c>
      <c r="E145" s="1315"/>
      <c r="F145" s="1316"/>
    </row>
    <row r="146" spans="1:6" x14ac:dyDescent="0.2">
      <c r="A146" s="980" t="s">
        <v>459</v>
      </c>
      <c r="B146" s="862"/>
      <c r="C146" s="387">
        <v>3177.14</v>
      </c>
      <c r="D146" s="1314" t="s">
        <v>265</v>
      </c>
      <c r="E146" s="1315"/>
      <c r="F146" s="1316"/>
    </row>
    <row r="147" spans="1:6" x14ac:dyDescent="0.2">
      <c r="A147" s="980" t="s">
        <v>460</v>
      </c>
      <c r="B147" s="862"/>
      <c r="C147" s="387">
        <v>4604.0200000000004</v>
      </c>
      <c r="D147" s="1314" t="s">
        <v>265</v>
      </c>
      <c r="E147" s="1315"/>
      <c r="F147" s="1316"/>
    </row>
    <row r="148" spans="1:6" ht="14.25" customHeight="1" x14ac:dyDescent="0.2">
      <c r="A148" s="1052" t="s">
        <v>1245</v>
      </c>
      <c r="B148" s="1062"/>
      <c r="C148" s="1028">
        <v>4580.26</v>
      </c>
      <c r="D148" s="1331" t="s">
        <v>265</v>
      </c>
      <c r="E148" s="1332"/>
      <c r="F148" s="1333"/>
    </row>
    <row r="149" spans="1:6" x14ac:dyDescent="0.2">
      <c r="A149" s="1055" t="s">
        <v>1082</v>
      </c>
      <c r="B149" s="862"/>
      <c r="C149" s="387">
        <v>3612.58</v>
      </c>
      <c r="D149" s="1314" t="s">
        <v>265</v>
      </c>
      <c r="E149" s="1315"/>
      <c r="F149" s="1316"/>
    </row>
    <row r="150" spans="1:6" x14ac:dyDescent="0.2">
      <c r="A150" s="403" t="s">
        <v>461</v>
      </c>
      <c r="B150" s="862"/>
      <c r="C150" s="387">
        <v>3612.58</v>
      </c>
      <c r="D150" s="1314" t="s">
        <v>265</v>
      </c>
      <c r="E150" s="1315"/>
      <c r="F150" s="1316"/>
    </row>
    <row r="151" spans="1:6" x14ac:dyDescent="0.2">
      <c r="A151" s="403" t="s">
        <v>1061</v>
      </c>
      <c r="B151" s="862"/>
      <c r="C151" s="387">
        <v>3612.58</v>
      </c>
      <c r="D151" s="1314" t="s">
        <v>265</v>
      </c>
      <c r="E151" s="1315"/>
      <c r="F151" s="1316"/>
    </row>
    <row r="152" spans="1:6" x14ac:dyDescent="0.2">
      <c r="A152" s="403" t="s">
        <v>449</v>
      </c>
      <c r="B152" s="862"/>
      <c r="C152" s="387">
        <v>4057.92</v>
      </c>
      <c r="D152" s="1314" t="s">
        <v>265</v>
      </c>
      <c r="E152" s="1315"/>
      <c r="F152" s="1316"/>
    </row>
    <row r="153" spans="1:6" x14ac:dyDescent="0.2">
      <c r="A153" s="403" t="s">
        <v>462</v>
      </c>
      <c r="B153" s="862"/>
      <c r="C153" s="387">
        <v>6979.77</v>
      </c>
      <c r="D153" s="1314" t="s">
        <v>265</v>
      </c>
      <c r="E153" s="1315"/>
      <c r="F153" s="1316"/>
    </row>
    <row r="154" spans="1:6" x14ac:dyDescent="0.2">
      <c r="A154" s="403" t="s">
        <v>463</v>
      </c>
      <c r="B154" s="862"/>
      <c r="C154" s="387">
        <v>6979.77</v>
      </c>
      <c r="D154" s="1314" t="s">
        <v>265</v>
      </c>
      <c r="E154" s="1315"/>
      <c r="F154" s="1316"/>
    </row>
    <row r="155" spans="1:6" x14ac:dyDescent="0.2">
      <c r="A155" s="1056" t="s">
        <v>1083</v>
      </c>
      <c r="B155" s="862"/>
      <c r="C155" s="387">
        <v>8998.99</v>
      </c>
      <c r="D155" s="1314" t="s">
        <v>265</v>
      </c>
      <c r="E155" s="1315"/>
      <c r="F155" s="1316"/>
    </row>
    <row r="156" spans="1:6" x14ac:dyDescent="0.2">
      <c r="A156" s="1055" t="s">
        <v>1084</v>
      </c>
      <c r="B156" s="862"/>
      <c r="C156" s="387">
        <v>8894.19</v>
      </c>
      <c r="D156" s="1314" t="s">
        <v>265</v>
      </c>
      <c r="E156" s="1315"/>
      <c r="F156" s="1316"/>
    </row>
    <row r="157" spans="1:6" x14ac:dyDescent="0.2">
      <c r="A157" s="1055" t="s">
        <v>1085</v>
      </c>
      <c r="B157" s="862"/>
      <c r="C157" s="387">
        <v>6979.77</v>
      </c>
      <c r="D157" s="1314" t="s">
        <v>265</v>
      </c>
      <c r="E157" s="1315"/>
      <c r="F157" s="1316"/>
    </row>
    <row r="158" spans="1:6" x14ac:dyDescent="0.2">
      <c r="A158" s="403" t="s">
        <v>450</v>
      </c>
      <c r="B158" s="862"/>
      <c r="C158" s="387">
        <v>7746.68</v>
      </c>
      <c r="D158" s="1314" t="s">
        <v>265</v>
      </c>
      <c r="E158" s="1315"/>
      <c r="F158" s="1316"/>
    </row>
    <row r="159" spans="1:6" x14ac:dyDescent="0.2">
      <c r="A159" s="403" t="s">
        <v>464</v>
      </c>
      <c r="B159" s="862"/>
      <c r="C159" s="387">
        <v>11884.02</v>
      </c>
      <c r="D159" s="1314" t="s">
        <v>265</v>
      </c>
      <c r="E159" s="1315"/>
      <c r="F159" s="1316"/>
    </row>
    <row r="160" spans="1:6" x14ac:dyDescent="0.2">
      <c r="A160" s="403" t="s">
        <v>465</v>
      </c>
      <c r="B160" s="862"/>
      <c r="C160" s="387">
        <v>6376.41</v>
      </c>
      <c r="D160" s="1314" t="s">
        <v>265</v>
      </c>
      <c r="E160" s="1315"/>
      <c r="F160" s="1316"/>
    </row>
    <row r="161" spans="1:6" x14ac:dyDescent="0.2">
      <c r="A161" s="403" t="s">
        <v>466</v>
      </c>
      <c r="B161" s="862"/>
      <c r="C161" s="387">
        <v>11884.02</v>
      </c>
      <c r="D161" s="1314" t="s">
        <v>265</v>
      </c>
      <c r="E161" s="1315"/>
      <c r="F161" s="1316"/>
    </row>
    <row r="162" spans="1:6" x14ac:dyDescent="0.2">
      <c r="A162" s="403" t="s">
        <v>467</v>
      </c>
      <c r="B162" s="862"/>
      <c r="C162" s="387">
        <v>11884.02</v>
      </c>
      <c r="D162" s="1314" t="s">
        <v>265</v>
      </c>
      <c r="E162" s="1315"/>
      <c r="F162" s="1316"/>
    </row>
    <row r="163" spans="1:6" x14ac:dyDescent="0.2">
      <c r="A163" s="403" t="s">
        <v>468</v>
      </c>
      <c r="B163" s="862"/>
      <c r="C163" s="387">
        <v>11884.02</v>
      </c>
      <c r="D163" s="1314" t="s">
        <v>265</v>
      </c>
      <c r="E163" s="1315"/>
      <c r="F163" s="1316"/>
    </row>
    <row r="164" spans="1:6" x14ac:dyDescent="0.2">
      <c r="A164" s="403" t="s">
        <v>469</v>
      </c>
      <c r="B164" s="862"/>
      <c r="C164" s="387">
        <v>11884.02</v>
      </c>
      <c r="D164" s="1314" t="s">
        <v>265</v>
      </c>
      <c r="E164" s="1315"/>
      <c r="F164" s="1316"/>
    </row>
    <row r="165" spans="1:6" x14ac:dyDescent="0.2">
      <c r="A165" s="403" t="s">
        <v>470</v>
      </c>
      <c r="B165" s="862"/>
      <c r="C165" s="387">
        <v>11884.02</v>
      </c>
      <c r="D165" s="1314" t="s">
        <v>265</v>
      </c>
      <c r="E165" s="1315"/>
      <c r="F165" s="1316"/>
    </row>
    <row r="166" spans="1:6" x14ac:dyDescent="0.2">
      <c r="A166" s="403" t="s">
        <v>494</v>
      </c>
      <c r="B166" s="862"/>
      <c r="C166" s="387">
        <v>4541.5200000000004</v>
      </c>
      <c r="D166" s="1314" t="s">
        <v>265</v>
      </c>
      <c r="E166" s="1315"/>
      <c r="F166" s="1316"/>
    </row>
    <row r="167" spans="1:6" x14ac:dyDescent="0.2">
      <c r="A167" s="403" t="s">
        <v>1062</v>
      </c>
      <c r="B167" s="862"/>
      <c r="C167" s="387">
        <v>7841.88</v>
      </c>
      <c r="D167" s="1314" t="s">
        <v>265</v>
      </c>
      <c r="E167" s="1315"/>
      <c r="F167" s="1316"/>
    </row>
    <row r="168" spans="1:6" x14ac:dyDescent="0.2">
      <c r="A168" s="1055" t="s">
        <v>1086</v>
      </c>
      <c r="B168" s="862"/>
      <c r="C168" s="387">
        <v>6477.68</v>
      </c>
      <c r="D168" s="1314" t="s">
        <v>265</v>
      </c>
      <c r="E168" s="1315"/>
      <c r="F168" s="1316"/>
    </row>
    <row r="169" spans="1:6" x14ac:dyDescent="0.2">
      <c r="A169" s="403" t="s">
        <v>471</v>
      </c>
      <c r="B169" s="862"/>
      <c r="C169" s="387">
        <v>6477.68</v>
      </c>
      <c r="D169" s="1314" t="s">
        <v>265</v>
      </c>
      <c r="E169" s="1315"/>
      <c r="F169" s="1316"/>
    </row>
    <row r="170" spans="1:6" x14ac:dyDescent="0.2">
      <c r="A170" s="980" t="s">
        <v>472</v>
      </c>
      <c r="B170" s="862"/>
      <c r="C170" s="387">
        <v>5450.76</v>
      </c>
      <c r="D170" s="1314" t="s">
        <v>265</v>
      </c>
      <c r="E170" s="1315"/>
      <c r="F170" s="1316"/>
    </row>
    <row r="171" spans="1:6" x14ac:dyDescent="0.2">
      <c r="A171" s="980" t="s">
        <v>451</v>
      </c>
      <c r="B171" s="862"/>
      <c r="C171" s="387">
        <v>5976.22</v>
      </c>
      <c r="D171" s="1314" t="s">
        <v>265</v>
      </c>
      <c r="E171" s="1315"/>
      <c r="F171" s="1316"/>
    </row>
    <row r="172" spans="1:6" x14ac:dyDescent="0.2">
      <c r="A172" s="980" t="s">
        <v>1063</v>
      </c>
      <c r="B172" s="862"/>
      <c r="C172" s="387">
        <v>8945.8799999999992</v>
      </c>
      <c r="D172" s="1314" t="s">
        <v>265</v>
      </c>
      <c r="E172" s="1315"/>
      <c r="F172" s="1316"/>
    </row>
    <row r="173" spans="1:6" x14ac:dyDescent="0.2">
      <c r="A173" s="980" t="s">
        <v>452</v>
      </c>
      <c r="B173" s="862"/>
      <c r="C173" s="387">
        <v>4041.86</v>
      </c>
      <c r="D173" s="1314" t="s">
        <v>265</v>
      </c>
      <c r="E173" s="1315"/>
      <c r="F173" s="1316"/>
    </row>
    <row r="174" spans="1:6" x14ac:dyDescent="0.2">
      <c r="A174" s="980" t="s">
        <v>1064</v>
      </c>
      <c r="B174" s="862"/>
      <c r="C174" s="387">
        <v>5644.1</v>
      </c>
      <c r="D174" s="1314" t="s">
        <v>265</v>
      </c>
      <c r="E174" s="1315"/>
      <c r="F174" s="1316"/>
    </row>
    <row r="175" spans="1:6" x14ac:dyDescent="0.2">
      <c r="A175" s="980" t="s">
        <v>473</v>
      </c>
      <c r="B175" s="862"/>
      <c r="C175" s="387">
        <v>6238.62</v>
      </c>
      <c r="D175" s="1314" t="s">
        <v>265</v>
      </c>
      <c r="E175" s="1315"/>
      <c r="F175" s="1316"/>
    </row>
    <row r="176" spans="1:6" x14ac:dyDescent="0.2">
      <c r="A176" s="980" t="s">
        <v>474</v>
      </c>
      <c r="B176" s="862"/>
      <c r="C176" s="387">
        <v>8998.99</v>
      </c>
      <c r="D176" s="1314" t="s">
        <v>265</v>
      </c>
      <c r="E176" s="1315"/>
      <c r="F176" s="1316"/>
    </row>
    <row r="177" spans="1:6" x14ac:dyDescent="0.2">
      <c r="A177" s="980" t="s">
        <v>475</v>
      </c>
      <c r="B177" s="862"/>
      <c r="C177" s="387">
        <v>8998.99</v>
      </c>
      <c r="D177" s="1314" t="s">
        <v>265</v>
      </c>
      <c r="E177" s="1315"/>
      <c r="F177" s="1316"/>
    </row>
    <row r="178" spans="1:6" x14ac:dyDescent="0.2">
      <c r="A178" s="980" t="s">
        <v>476</v>
      </c>
      <c r="B178" s="862"/>
      <c r="C178" s="387">
        <v>8998.99</v>
      </c>
      <c r="D178" s="1314" t="s">
        <v>265</v>
      </c>
      <c r="E178" s="1315"/>
      <c r="F178" s="1316"/>
    </row>
    <row r="179" spans="1:6" x14ac:dyDescent="0.2">
      <c r="A179" s="980" t="s">
        <v>477</v>
      </c>
      <c r="B179" s="862"/>
      <c r="C179" s="387">
        <v>6606.96</v>
      </c>
      <c r="D179" s="1314" t="s">
        <v>265</v>
      </c>
      <c r="E179" s="1315"/>
      <c r="F179" s="1316"/>
    </row>
    <row r="180" spans="1:6" x14ac:dyDescent="0.2">
      <c r="A180" s="980" t="s">
        <v>478</v>
      </c>
      <c r="B180" s="862"/>
      <c r="C180" s="387">
        <v>6606.96</v>
      </c>
      <c r="D180" s="1314" t="s">
        <v>265</v>
      </c>
      <c r="E180" s="1315"/>
      <c r="F180" s="1316"/>
    </row>
    <row r="181" spans="1:6" x14ac:dyDescent="0.2">
      <c r="A181" s="980" t="s">
        <v>479</v>
      </c>
      <c r="B181" s="862"/>
      <c r="C181" s="387">
        <v>6606.96</v>
      </c>
      <c r="D181" s="1314" t="s">
        <v>265</v>
      </c>
      <c r="E181" s="1315"/>
      <c r="F181" s="1316"/>
    </row>
    <row r="182" spans="1:6" x14ac:dyDescent="0.2">
      <c r="A182" s="980" t="s">
        <v>453</v>
      </c>
      <c r="B182" s="862"/>
      <c r="C182" s="387">
        <v>4585.3900000000003</v>
      </c>
      <c r="D182" s="1314" t="s">
        <v>265</v>
      </c>
      <c r="E182" s="1315"/>
      <c r="F182" s="1316"/>
    </row>
    <row r="183" spans="1:6" x14ac:dyDescent="0.2">
      <c r="A183" s="980" t="s">
        <v>1065</v>
      </c>
      <c r="B183" s="862"/>
      <c r="C183" s="387">
        <v>8150.68</v>
      </c>
      <c r="D183" s="1314" t="s">
        <v>265</v>
      </c>
      <c r="E183" s="1315"/>
      <c r="F183" s="1316"/>
    </row>
    <row r="184" spans="1:6" x14ac:dyDescent="0.2">
      <c r="A184" s="980" t="s">
        <v>480</v>
      </c>
      <c r="B184" s="862"/>
      <c r="C184" s="387">
        <v>4723.88</v>
      </c>
      <c r="D184" s="1314" t="s">
        <v>265</v>
      </c>
      <c r="E184" s="1315"/>
      <c r="F184" s="1316"/>
    </row>
    <row r="185" spans="1:6" x14ac:dyDescent="0.2">
      <c r="A185" s="980" t="s">
        <v>481</v>
      </c>
      <c r="B185" s="862"/>
      <c r="C185" s="387">
        <v>3342.51</v>
      </c>
      <c r="D185" s="1314" t="s">
        <v>265</v>
      </c>
      <c r="E185" s="1315"/>
      <c r="F185" s="1316"/>
    </row>
    <row r="186" spans="1:6" x14ac:dyDescent="0.2">
      <c r="A186" s="980" t="s">
        <v>483</v>
      </c>
      <c r="B186" s="862"/>
      <c r="C186" s="387">
        <v>3364.86</v>
      </c>
      <c r="D186" s="1314" t="s">
        <v>265</v>
      </c>
      <c r="E186" s="1315"/>
      <c r="F186" s="1316"/>
    </row>
    <row r="187" spans="1:6" x14ac:dyDescent="0.2">
      <c r="A187" s="980" t="s">
        <v>482</v>
      </c>
      <c r="B187" s="862"/>
      <c r="C187" s="387">
        <v>3364.86</v>
      </c>
      <c r="D187" s="1314" t="s">
        <v>265</v>
      </c>
      <c r="E187" s="1315"/>
      <c r="F187" s="1316"/>
    </row>
    <row r="188" spans="1:6" x14ac:dyDescent="0.2">
      <c r="A188" s="980" t="s">
        <v>484</v>
      </c>
      <c r="B188" s="862"/>
      <c r="C188" s="387">
        <v>4430.88</v>
      </c>
      <c r="D188" s="1314" t="s">
        <v>265</v>
      </c>
      <c r="E188" s="1315"/>
      <c r="F188" s="1316"/>
    </row>
    <row r="189" spans="1:6" x14ac:dyDescent="0.2">
      <c r="A189" s="980" t="s">
        <v>485</v>
      </c>
      <c r="B189" s="862"/>
      <c r="C189" s="387">
        <v>4542.72</v>
      </c>
      <c r="D189" s="1314" t="s">
        <v>265</v>
      </c>
      <c r="E189" s="1315"/>
      <c r="F189" s="1316"/>
    </row>
    <row r="190" spans="1:6" x14ac:dyDescent="0.2">
      <c r="A190" s="980" t="s">
        <v>486</v>
      </c>
      <c r="B190" s="862"/>
      <c r="C190" s="387">
        <v>3177.14</v>
      </c>
      <c r="D190" s="1314" t="s">
        <v>265</v>
      </c>
      <c r="E190" s="1315"/>
      <c r="F190" s="1316"/>
    </row>
    <row r="191" spans="1:6" x14ac:dyDescent="0.2">
      <c r="A191" s="980" t="s">
        <v>487</v>
      </c>
      <c r="B191" s="862"/>
      <c r="C191" s="387">
        <v>4754.83</v>
      </c>
      <c r="D191" s="1314" t="s">
        <v>265</v>
      </c>
      <c r="E191" s="1315"/>
      <c r="F191" s="1316"/>
    </row>
    <row r="192" spans="1:6" x14ac:dyDescent="0.2">
      <c r="A192" s="980" t="s">
        <v>488</v>
      </c>
      <c r="B192" s="862"/>
      <c r="C192" s="387">
        <v>6364.62</v>
      </c>
      <c r="D192" s="1314" t="s">
        <v>265</v>
      </c>
      <c r="E192" s="1315"/>
      <c r="F192" s="1316"/>
    </row>
    <row r="193" spans="1:6" x14ac:dyDescent="0.2">
      <c r="A193" s="980" t="s">
        <v>489</v>
      </c>
      <c r="B193" s="862"/>
      <c r="C193" s="387">
        <v>5417.82</v>
      </c>
      <c r="D193" s="1314" t="s">
        <v>265</v>
      </c>
      <c r="E193" s="1315"/>
      <c r="F193" s="1316"/>
    </row>
    <row r="194" spans="1:6" x14ac:dyDescent="0.2">
      <c r="A194" s="980" t="s">
        <v>1066</v>
      </c>
      <c r="B194" s="862"/>
      <c r="C194" s="387">
        <v>5418.64</v>
      </c>
      <c r="D194" s="1314" t="s">
        <v>265</v>
      </c>
      <c r="E194" s="1315"/>
      <c r="F194" s="1316"/>
    </row>
    <row r="195" spans="1:6" x14ac:dyDescent="0.2">
      <c r="A195" s="403" t="s">
        <v>490</v>
      </c>
      <c r="B195" s="862"/>
      <c r="C195" s="387">
        <v>4231.87</v>
      </c>
      <c r="D195" s="1314" t="s">
        <v>265</v>
      </c>
      <c r="E195" s="1315"/>
      <c r="F195" s="1316"/>
    </row>
    <row r="196" spans="1:6" x14ac:dyDescent="0.2">
      <c r="A196" s="1055" t="s">
        <v>1087</v>
      </c>
      <c r="B196" s="862"/>
      <c r="C196" s="387">
        <v>5297.47</v>
      </c>
      <c r="D196" s="1314" t="s">
        <v>265</v>
      </c>
      <c r="E196" s="1315"/>
      <c r="F196" s="1316"/>
    </row>
    <row r="197" spans="1:6" x14ac:dyDescent="0.2">
      <c r="A197" s="403" t="s">
        <v>491</v>
      </c>
      <c r="B197" s="862"/>
      <c r="C197" s="387">
        <v>5297.47</v>
      </c>
      <c r="D197" s="1314" t="s">
        <v>265</v>
      </c>
      <c r="E197" s="1315"/>
      <c r="F197" s="1316"/>
    </row>
    <row r="198" spans="1:6" x14ac:dyDescent="0.2">
      <c r="A198" s="403" t="s">
        <v>492</v>
      </c>
      <c r="B198" s="862"/>
      <c r="C198" s="387">
        <v>3633.78</v>
      </c>
      <c r="D198" s="1314" t="s">
        <v>265</v>
      </c>
      <c r="E198" s="1315"/>
      <c r="F198" s="1316"/>
    </row>
    <row r="199" spans="1:6" x14ac:dyDescent="0.2">
      <c r="A199" s="403" t="s">
        <v>493</v>
      </c>
      <c r="B199" s="862"/>
      <c r="C199" s="387">
        <v>8997.35</v>
      </c>
      <c r="D199" s="1314" t="s">
        <v>265</v>
      </c>
      <c r="E199" s="1315"/>
      <c r="F199" s="1316"/>
    </row>
    <row r="200" spans="1:6" x14ac:dyDescent="0.2">
      <c r="A200" s="1055" t="s">
        <v>1088</v>
      </c>
      <c r="B200" s="862"/>
      <c r="C200" s="387">
        <v>8997.35</v>
      </c>
      <c r="D200" s="1314" t="s">
        <v>265</v>
      </c>
      <c r="E200" s="1315"/>
      <c r="F200" s="1316"/>
    </row>
    <row r="201" spans="1:6" x14ac:dyDescent="0.2">
      <c r="A201" s="1057" t="s">
        <v>1059</v>
      </c>
      <c r="B201" s="862"/>
      <c r="C201" s="1028">
        <v>6020.72</v>
      </c>
      <c r="D201" s="1331" t="s">
        <v>265</v>
      </c>
      <c r="E201" s="1332"/>
      <c r="F201" s="1333"/>
    </row>
    <row r="202" spans="1:6" x14ac:dyDescent="0.2">
      <c r="A202" s="980" t="s">
        <v>495</v>
      </c>
      <c r="B202" s="862"/>
      <c r="C202" s="387">
        <v>5450.76</v>
      </c>
      <c r="D202" s="1314" t="s">
        <v>265</v>
      </c>
      <c r="E202" s="1315"/>
      <c r="F202" s="1316"/>
    </row>
    <row r="203" spans="1:6" x14ac:dyDescent="0.2">
      <c r="A203" s="1053" t="s">
        <v>1246</v>
      </c>
      <c r="B203" s="1062"/>
      <c r="C203" s="1028">
        <v>3781</v>
      </c>
      <c r="D203" s="1331" t="s">
        <v>265</v>
      </c>
      <c r="E203" s="1332"/>
      <c r="F203" s="1333"/>
    </row>
    <row r="204" spans="1:6" x14ac:dyDescent="0.2">
      <c r="A204" s="980" t="s">
        <v>454</v>
      </c>
      <c r="B204" s="862"/>
      <c r="C204" s="387">
        <v>5405.23</v>
      </c>
      <c r="D204" s="1314" t="s">
        <v>265</v>
      </c>
      <c r="E204" s="1315"/>
      <c r="F204" s="1316"/>
    </row>
    <row r="205" spans="1:6" x14ac:dyDescent="0.2">
      <c r="A205" s="980" t="s">
        <v>1067</v>
      </c>
      <c r="B205" s="862"/>
      <c r="C205" s="387">
        <v>4214.5200000000004</v>
      </c>
      <c r="D205" s="1314" t="s">
        <v>265</v>
      </c>
      <c r="E205" s="1315"/>
      <c r="F205" s="1316"/>
    </row>
    <row r="206" spans="1:6" x14ac:dyDescent="0.2">
      <c r="A206" s="980" t="s">
        <v>496</v>
      </c>
      <c r="B206" s="862"/>
      <c r="C206" s="387">
        <v>8894.19</v>
      </c>
      <c r="D206" s="1314" t="s">
        <v>265</v>
      </c>
      <c r="E206" s="1315"/>
      <c r="F206" s="1316"/>
    </row>
    <row r="207" spans="1:6" x14ac:dyDescent="0.2">
      <c r="A207" s="980" t="s">
        <v>497</v>
      </c>
      <c r="B207" s="862"/>
      <c r="C207" s="387">
        <v>9252.98</v>
      </c>
      <c r="D207" s="1314" t="s">
        <v>265</v>
      </c>
      <c r="E207" s="1315"/>
      <c r="F207" s="1316"/>
    </row>
    <row r="208" spans="1:6" x14ac:dyDescent="0.2">
      <c r="A208" s="980" t="s">
        <v>498</v>
      </c>
      <c r="B208" s="862"/>
      <c r="C208" s="387">
        <v>7625.61</v>
      </c>
      <c r="D208" s="1314" t="s">
        <v>265</v>
      </c>
      <c r="E208" s="1315"/>
      <c r="F208" s="1316"/>
    </row>
    <row r="209" spans="1:6" x14ac:dyDescent="0.2">
      <c r="A209" s="980" t="s">
        <v>499</v>
      </c>
      <c r="B209" s="862"/>
      <c r="C209" s="387">
        <v>7625.61</v>
      </c>
      <c r="D209" s="1314" t="s">
        <v>265</v>
      </c>
      <c r="E209" s="1315"/>
      <c r="F209" s="1316"/>
    </row>
    <row r="210" spans="1:6" x14ac:dyDescent="0.2">
      <c r="A210" s="980" t="s">
        <v>500</v>
      </c>
      <c r="B210" s="862"/>
      <c r="C210" s="387">
        <v>7625.61</v>
      </c>
      <c r="D210" s="1314" t="s">
        <v>265</v>
      </c>
      <c r="E210" s="1315"/>
      <c r="F210" s="1316"/>
    </row>
    <row r="211" spans="1:6" x14ac:dyDescent="0.2">
      <c r="A211" s="403" t="s">
        <v>501</v>
      </c>
      <c r="B211" s="862"/>
      <c r="C211" s="387">
        <v>5450.77</v>
      </c>
      <c r="D211" s="1314" t="s">
        <v>265</v>
      </c>
      <c r="E211" s="1315"/>
      <c r="F211" s="1316"/>
    </row>
    <row r="212" spans="1:6" x14ac:dyDescent="0.2">
      <c r="A212" s="403" t="s">
        <v>502</v>
      </c>
      <c r="B212" s="862"/>
      <c r="C212" s="387">
        <v>5450.77</v>
      </c>
      <c r="D212" s="1314" t="s">
        <v>265</v>
      </c>
      <c r="E212" s="1315"/>
      <c r="F212" s="1316"/>
    </row>
    <row r="213" spans="1:6" x14ac:dyDescent="0.2">
      <c r="A213" s="403" t="s">
        <v>503</v>
      </c>
      <c r="B213" s="862"/>
      <c r="C213" s="387">
        <v>5450.77</v>
      </c>
      <c r="D213" s="1314" t="s">
        <v>265</v>
      </c>
      <c r="E213" s="1315"/>
      <c r="F213" s="1316"/>
    </row>
    <row r="214" spans="1:6" x14ac:dyDescent="0.2">
      <c r="A214" s="1054" t="s">
        <v>1089</v>
      </c>
      <c r="B214" s="862"/>
      <c r="C214" s="387">
        <v>5450.77</v>
      </c>
      <c r="D214" s="1314" t="s">
        <v>265</v>
      </c>
      <c r="E214" s="1315"/>
      <c r="F214" s="1316"/>
    </row>
    <row r="215" spans="1:6" x14ac:dyDescent="0.2">
      <c r="A215" s="1058" t="s">
        <v>1059</v>
      </c>
      <c r="B215" s="1059"/>
      <c r="C215" s="914">
        <v>0</v>
      </c>
      <c r="D215" s="1334" t="s">
        <v>1248</v>
      </c>
      <c r="E215" s="1335"/>
      <c r="F215" s="1336"/>
    </row>
    <row r="216" spans="1:6" x14ac:dyDescent="0.2">
      <c r="A216" s="1060" t="s">
        <v>1067</v>
      </c>
      <c r="B216" s="1059"/>
      <c r="C216" s="1061">
        <v>0</v>
      </c>
      <c r="D216" s="1334" t="s">
        <v>1248</v>
      </c>
      <c r="E216" s="1335"/>
      <c r="F216" s="1336"/>
    </row>
    <row r="217" spans="1:6" x14ac:dyDescent="0.2">
      <c r="A217" s="1060" t="s">
        <v>496</v>
      </c>
      <c r="B217" s="1059"/>
      <c r="C217" s="1061">
        <v>0</v>
      </c>
      <c r="D217" s="1334" t="s">
        <v>1248</v>
      </c>
      <c r="E217" s="1335"/>
      <c r="F217" s="1336"/>
    </row>
    <row r="218" spans="1:6" x14ac:dyDescent="0.2">
      <c r="A218" s="1060" t="s">
        <v>497</v>
      </c>
      <c r="B218" s="1059"/>
      <c r="C218" s="1061">
        <v>0</v>
      </c>
      <c r="D218" s="1334" t="s">
        <v>1248</v>
      </c>
      <c r="E218" s="1335"/>
      <c r="F218" s="1336"/>
    </row>
    <row r="219" spans="1:6" x14ac:dyDescent="0.2">
      <c r="A219" s="1060" t="s">
        <v>498</v>
      </c>
      <c r="B219" s="1059"/>
      <c r="C219" s="1061">
        <v>0</v>
      </c>
      <c r="D219" s="1334" t="s">
        <v>1248</v>
      </c>
      <c r="E219" s="1335"/>
      <c r="F219" s="1336"/>
    </row>
    <row r="220" spans="1:6" x14ac:dyDescent="0.2">
      <c r="A220" s="1060" t="s">
        <v>499</v>
      </c>
      <c r="B220" s="1059"/>
      <c r="C220" s="1061">
        <v>0</v>
      </c>
      <c r="D220" s="1334" t="s">
        <v>1248</v>
      </c>
      <c r="E220" s="1335"/>
      <c r="F220" s="1336"/>
    </row>
    <row r="221" spans="1:6" x14ac:dyDescent="0.2">
      <c r="A221" s="1060" t="s">
        <v>500</v>
      </c>
      <c r="B221" s="1059"/>
      <c r="C221" s="1061">
        <v>0</v>
      </c>
      <c r="D221" s="1334" t="s">
        <v>1248</v>
      </c>
      <c r="E221" s="1335"/>
      <c r="F221" s="1336"/>
    </row>
    <row r="222" spans="1:6" x14ac:dyDescent="0.2">
      <c r="A222" s="1060" t="s">
        <v>501</v>
      </c>
      <c r="B222" s="1059"/>
      <c r="C222" s="1061">
        <v>0</v>
      </c>
      <c r="D222" s="1334" t="s">
        <v>1248</v>
      </c>
      <c r="E222" s="1335"/>
      <c r="F222" s="1336"/>
    </row>
    <row r="223" spans="1:6" x14ac:dyDescent="0.2">
      <c r="A223" s="1060" t="s">
        <v>502</v>
      </c>
      <c r="B223" s="1059"/>
      <c r="C223" s="1061">
        <v>0</v>
      </c>
      <c r="D223" s="1334" t="s">
        <v>1248</v>
      </c>
      <c r="E223" s="1335"/>
      <c r="F223" s="1336"/>
    </row>
    <row r="224" spans="1:6" x14ac:dyDescent="0.2">
      <c r="A224" s="1060" t="s">
        <v>503</v>
      </c>
      <c r="B224" s="1059"/>
      <c r="C224" s="1061">
        <v>0</v>
      </c>
      <c r="D224" s="1334" t="s">
        <v>1248</v>
      </c>
      <c r="E224" s="1335"/>
      <c r="F224" s="1336"/>
    </row>
    <row r="225" spans="1:6" x14ac:dyDescent="0.2">
      <c r="A225" s="1058" t="s">
        <v>1059</v>
      </c>
      <c r="B225" s="1059"/>
      <c r="C225" s="1061">
        <v>0</v>
      </c>
      <c r="D225" s="1334" t="s">
        <v>1248</v>
      </c>
      <c r="E225" s="1335"/>
      <c r="F225" s="1336"/>
    </row>
    <row r="226" spans="1:6" x14ac:dyDescent="0.2">
      <c r="A226" s="1063" t="s">
        <v>1247</v>
      </c>
      <c r="B226" s="1059"/>
      <c r="C226" s="1028">
        <v>3781</v>
      </c>
      <c r="D226" s="1331" t="s">
        <v>265</v>
      </c>
      <c r="E226" s="1332"/>
      <c r="F226" s="1333"/>
    </row>
    <row r="228" spans="1:6" x14ac:dyDescent="0.2">
      <c r="A228" s="1305" t="s">
        <v>148</v>
      </c>
      <c r="B228" s="1305"/>
      <c r="C228" s="1011" t="str">
        <f>'CCT''S'!$A$14</f>
        <v>SINDIGRAF/SEAC-DF</v>
      </c>
      <c r="D228" s="1274" t="s">
        <v>199</v>
      </c>
      <c r="E228" s="1275"/>
      <c r="F228" s="1276"/>
    </row>
    <row r="229" spans="1:6" x14ac:dyDescent="0.2">
      <c r="A229" s="470" t="s">
        <v>524</v>
      </c>
      <c r="B229" s="389"/>
      <c r="C229" s="981">
        <v>2718.44</v>
      </c>
      <c r="D229" s="399" t="s">
        <v>265</v>
      </c>
      <c r="E229" s="982"/>
      <c r="F229" s="389"/>
    </row>
    <row r="230" spans="1:6" x14ac:dyDescent="0.2">
      <c r="A230" s="470" t="s">
        <v>525</v>
      </c>
      <c r="B230" s="389"/>
      <c r="C230" s="981">
        <v>3945.35</v>
      </c>
      <c r="D230" s="399" t="s">
        <v>265</v>
      </c>
      <c r="E230" s="982"/>
      <c r="F230" s="389"/>
    </row>
    <row r="231" spans="1:6" x14ac:dyDescent="0.2">
      <c r="A231" s="470" t="s">
        <v>526</v>
      </c>
      <c r="B231" s="389"/>
      <c r="C231" s="981">
        <v>3945.35</v>
      </c>
      <c r="D231" s="399" t="s">
        <v>265</v>
      </c>
      <c r="E231" s="982"/>
      <c r="F231" s="389"/>
    </row>
    <row r="232" spans="1:6" x14ac:dyDescent="0.2">
      <c r="A232" s="470" t="s">
        <v>527</v>
      </c>
      <c r="B232" s="389"/>
      <c r="C232" s="981">
        <v>2718.44</v>
      </c>
      <c r="D232" s="399" t="s">
        <v>265</v>
      </c>
      <c r="E232" s="982"/>
      <c r="F232" s="389"/>
    </row>
    <row r="233" spans="1:6" x14ac:dyDescent="0.2">
      <c r="A233" s="470" t="s">
        <v>528</v>
      </c>
      <c r="B233" s="389"/>
      <c r="C233" s="981">
        <v>3945.35</v>
      </c>
      <c r="D233" s="399" t="s">
        <v>265</v>
      </c>
      <c r="E233" s="982"/>
      <c r="F233" s="389"/>
    </row>
    <row r="234" spans="1:6" x14ac:dyDescent="0.2">
      <c r="A234" s="470" t="s">
        <v>529</v>
      </c>
      <c r="B234" s="389"/>
      <c r="C234" s="981">
        <v>3388.99</v>
      </c>
      <c r="D234" s="399" t="s">
        <v>265</v>
      </c>
      <c r="E234" s="982"/>
      <c r="F234" s="389"/>
    </row>
    <row r="235" spans="1:6" x14ac:dyDescent="0.2">
      <c r="A235" s="470" t="s">
        <v>530</v>
      </c>
      <c r="B235" s="389"/>
      <c r="C235" s="981">
        <v>3945.35</v>
      </c>
      <c r="D235" s="399" t="s">
        <v>265</v>
      </c>
      <c r="E235" s="982"/>
      <c r="F235" s="389"/>
    </row>
    <row r="236" spans="1:6" x14ac:dyDescent="0.2">
      <c r="A236" s="470" t="s">
        <v>531</v>
      </c>
      <c r="B236" s="389"/>
      <c r="C236" s="981">
        <v>2718.44</v>
      </c>
      <c r="D236" s="399" t="s">
        <v>265</v>
      </c>
      <c r="E236" s="982"/>
      <c r="F236" s="389"/>
    </row>
    <row r="237" spans="1:6" x14ac:dyDescent="0.2">
      <c r="A237" s="470" t="s">
        <v>532</v>
      </c>
      <c r="B237" s="389"/>
      <c r="C237" s="981">
        <v>2718.44</v>
      </c>
      <c r="D237" s="399" t="s">
        <v>265</v>
      </c>
      <c r="E237" s="982"/>
      <c r="F237" s="389"/>
    </row>
    <row r="238" spans="1:6" x14ac:dyDescent="0.2">
      <c r="A238" s="470" t="s">
        <v>533</v>
      </c>
      <c r="B238" s="389"/>
      <c r="C238" s="981">
        <v>9103.15</v>
      </c>
      <c r="D238" s="399" t="s">
        <v>265</v>
      </c>
      <c r="E238" s="982"/>
      <c r="F238" s="389"/>
    </row>
    <row r="239" spans="1:6" x14ac:dyDescent="0.2">
      <c r="A239" s="470" t="s">
        <v>534</v>
      </c>
      <c r="B239" s="389"/>
      <c r="C239" s="981">
        <v>9103.15</v>
      </c>
      <c r="D239" s="399" t="s">
        <v>265</v>
      </c>
      <c r="E239" s="982"/>
      <c r="F239" s="389"/>
    </row>
    <row r="240" spans="1:6" x14ac:dyDescent="0.2">
      <c r="A240" s="470" t="s">
        <v>535</v>
      </c>
      <c r="B240" s="389"/>
      <c r="C240" s="981">
        <v>5078.04</v>
      </c>
      <c r="D240" s="399" t="s">
        <v>265</v>
      </c>
      <c r="E240" s="982"/>
      <c r="F240" s="389"/>
    </row>
    <row r="241" spans="1:6" x14ac:dyDescent="0.2">
      <c r="A241" s="470" t="s">
        <v>1188</v>
      </c>
      <c r="B241" s="389"/>
      <c r="C241" s="981">
        <v>5996.88</v>
      </c>
      <c r="D241" s="399" t="s">
        <v>265</v>
      </c>
      <c r="E241" s="982"/>
      <c r="F241" s="389"/>
    </row>
    <row r="242" spans="1:6" x14ac:dyDescent="0.2">
      <c r="A242" s="470" t="s">
        <v>536</v>
      </c>
      <c r="B242" s="389"/>
      <c r="C242" s="981">
        <v>5996.88</v>
      </c>
      <c r="D242" s="399" t="s">
        <v>265</v>
      </c>
      <c r="E242" s="982"/>
      <c r="F242" s="389"/>
    </row>
    <row r="243" spans="1:6" x14ac:dyDescent="0.2">
      <c r="A243" s="470" t="s">
        <v>537</v>
      </c>
      <c r="B243" s="389"/>
      <c r="C243" s="981">
        <v>5078.04</v>
      </c>
      <c r="D243" s="399" t="s">
        <v>265</v>
      </c>
      <c r="E243" s="982"/>
      <c r="F243" s="389"/>
    </row>
    <row r="244" spans="1:6" x14ac:dyDescent="0.2">
      <c r="A244" s="470" t="s">
        <v>538</v>
      </c>
      <c r="B244" s="389"/>
      <c r="C244" s="981">
        <v>5996.88</v>
      </c>
      <c r="D244" s="399" t="s">
        <v>265</v>
      </c>
      <c r="E244" s="982"/>
      <c r="F244" s="389"/>
    </row>
    <row r="245" spans="1:6" x14ac:dyDescent="0.2">
      <c r="A245" s="470" t="s">
        <v>539</v>
      </c>
      <c r="B245" s="389"/>
      <c r="C245" s="981">
        <v>2718.44</v>
      </c>
      <c r="D245" s="399" t="s">
        <v>265</v>
      </c>
      <c r="E245" s="982"/>
      <c r="F245" s="389"/>
    </row>
    <row r="246" spans="1:6" x14ac:dyDescent="0.2">
      <c r="A246" s="470" t="s">
        <v>540</v>
      </c>
      <c r="B246" s="389"/>
      <c r="C246" s="981">
        <v>3945.35</v>
      </c>
      <c r="D246" s="399" t="s">
        <v>265</v>
      </c>
      <c r="E246" s="982"/>
      <c r="F246" s="389"/>
    </row>
    <row r="247" spans="1:6" x14ac:dyDescent="0.2">
      <c r="A247" s="470" t="s">
        <v>541</v>
      </c>
      <c r="B247" s="389"/>
      <c r="C247" s="981">
        <v>3945.35</v>
      </c>
      <c r="D247" s="399" t="s">
        <v>265</v>
      </c>
      <c r="E247" s="982"/>
      <c r="F247" s="389"/>
    </row>
    <row r="248" spans="1:6" x14ac:dyDescent="0.2">
      <c r="A248" s="470" t="s">
        <v>542</v>
      </c>
      <c r="B248" s="389"/>
      <c r="C248" s="981">
        <v>9103.15</v>
      </c>
      <c r="D248" s="399" t="s">
        <v>265</v>
      </c>
      <c r="E248" s="982"/>
      <c r="F248" s="389"/>
    </row>
    <row r="249" spans="1:6" x14ac:dyDescent="0.2">
      <c r="A249" s="470" t="s">
        <v>543</v>
      </c>
      <c r="B249" s="389"/>
      <c r="C249" s="981">
        <v>3945.35</v>
      </c>
      <c r="D249" s="399" t="s">
        <v>265</v>
      </c>
      <c r="E249" s="982"/>
      <c r="F249" s="389"/>
    </row>
    <row r="250" spans="1:6" x14ac:dyDescent="0.2">
      <c r="A250" s="470" t="s">
        <v>544</v>
      </c>
      <c r="B250" s="389"/>
      <c r="C250" s="981">
        <v>1746.62</v>
      </c>
      <c r="D250" s="399" t="s">
        <v>265</v>
      </c>
      <c r="E250" s="982"/>
      <c r="F250" s="389"/>
    </row>
    <row r="251" spans="1:6" x14ac:dyDescent="0.2">
      <c r="A251" s="470" t="s">
        <v>545</v>
      </c>
      <c r="B251" s="389"/>
      <c r="C251" s="981">
        <v>4307.82</v>
      </c>
      <c r="D251" s="399" t="s">
        <v>265</v>
      </c>
      <c r="E251" s="982"/>
      <c r="F251" s="389"/>
    </row>
    <row r="252" spans="1:6" x14ac:dyDescent="0.2">
      <c r="A252" s="470" t="s">
        <v>546</v>
      </c>
      <c r="B252" s="389"/>
      <c r="C252" s="981">
        <v>5489.42</v>
      </c>
      <c r="D252" s="399" t="s">
        <v>265</v>
      </c>
      <c r="E252" s="982"/>
      <c r="F252" s="389"/>
    </row>
    <row r="253" spans="1:6" x14ac:dyDescent="0.2">
      <c r="A253" s="470" t="s">
        <v>547</v>
      </c>
      <c r="B253" s="389"/>
      <c r="C253" s="981">
        <v>6942.89</v>
      </c>
      <c r="D253" s="399" t="s">
        <v>265</v>
      </c>
      <c r="E253" s="982"/>
      <c r="F253" s="389"/>
    </row>
    <row r="254" spans="1:6" x14ac:dyDescent="0.2">
      <c r="A254" s="470" t="s">
        <v>1240</v>
      </c>
      <c r="B254" s="389"/>
      <c r="C254" s="981">
        <v>8066.5</v>
      </c>
      <c r="D254" s="399" t="s">
        <v>265</v>
      </c>
      <c r="E254" s="982"/>
      <c r="F254" s="389"/>
    </row>
    <row r="255" spans="1:6" x14ac:dyDescent="0.2">
      <c r="A255" s="470" t="s">
        <v>549</v>
      </c>
      <c r="B255" s="389"/>
      <c r="C255" s="981">
        <v>6654.74</v>
      </c>
      <c r="D255" s="399" t="s">
        <v>265</v>
      </c>
      <c r="E255" s="982"/>
      <c r="F255" s="389"/>
    </row>
    <row r="256" spans="1:6" x14ac:dyDescent="0.2">
      <c r="A256" s="470" t="s">
        <v>550</v>
      </c>
      <c r="B256" s="389"/>
      <c r="C256" s="981">
        <v>4092.15</v>
      </c>
      <c r="D256" s="399" t="s">
        <v>265</v>
      </c>
      <c r="E256" s="982"/>
      <c r="F256" s="389"/>
    </row>
    <row r="257" spans="1:6" x14ac:dyDescent="0.2">
      <c r="A257" s="470" t="s">
        <v>551</v>
      </c>
      <c r="B257" s="389"/>
      <c r="C257" s="981">
        <v>2718.44</v>
      </c>
      <c r="D257" s="399" t="s">
        <v>265</v>
      </c>
      <c r="E257" s="982"/>
      <c r="F257" s="389"/>
    </row>
    <row r="258" spans="1:6" x14ac:dyDescent="0.2">
      <c r="A258" s="470" t="s">
        <v>552</v>
      </c>
      <c r="B258" s="389"/>
      <c r="C258" s="981">
        <v>5078.04</v>
      </c>
      <c r="D258" s="399" t="s">
        <v>265</v>
      </c>
      <c r="E258" s="982"/>
      <c r="F258" s="389"/>
    </row>
    <row r="259" spans="1:6" x14ac:dyDescent="0.2">
      <c r="A259" s="470" t="s">
        <v>553</v>
      </c>
      <c r="B259" s="389"/>
      <c r="C259" s="981">
        <v>3388.99</v>
      </c>
      <c r="D259" s="399" t="s">
        <v>265</v>
      </c>
      <c r="E259" s="982"/>
      <c r="F259" s="389"/>
    </row>
    <row r="260" spans="1:6" x14ac:dyDescent="0.2">
      <c r="A260" s="470" t="s">
        <v>554</v>
      </c>
      <c r="B260" s="389"/>
      <c r="C260" s="981">
        <v>10264.82</v>
      </c>
      <c r="D260" s="399" t="s">
        <v>265</v>
      </c>
      <c r="E260" s="982"/>
      <c r="F260" s="389"/>
    </row>
    <row r="261" spans="1:6" x14ac:dyDescent="0.2">
      <c r="A261" s="470" t="s">
        <v>555</v>
      </c>
      <c r="B261" s="389"/>
      <c r="C261" s="981">
        <v>3945.35</v>
      </c>
      <c r="D261" s="399" t="s">
        <v>265</v>
      </c>
      <c r="E261" s="982"/>
      <c r="F261" s="389"/>
    </row>
    <row r="262" spans="1:6" x14ac:dyDescent="0.2">
      <c r="A262" s="470" t="s">
        <v>556</v>
      </c>
      <c r="B262" s="389"/>
      <c r="C262" s="981">
        <v>5078.04</v>
      </c>
      <c r="D262" s="399" t="s">
        <v>265</v>
      </c>
      <c r="E262" s="982"/>
      <c r="F262" s="389"/>
    </row>
    <row r="263" spans="1:6" x14ac:dyDescent="0.2">
      <c r="A263" s="470" t="s">
        <v>557</v>
      </c>
      <c r="B263" s="389"/>
      <c r="C263" s="981">
        <v>6654.74</v>
      </c>
      <c r="D263" s="399" t="s">
        <v>265</v>
      </c>
      <c r="E263" s="982"/>
      <c r="F263" s="389"/>
    </row>
    <row r="264" spans="1:6" x14ac:dyDescent="0.2">
      <c r="A264" s="470" t="s">
        <v>558</v>
      </c>
      <c r="B264" s="389"/>
      <c r="C264" s="981">
        <v>6654.74</v>
      </c>
      <c r="D264" s="399" t="s">
        <v>265</v>
      </c>
      <c r="E264" s="982"/>
      <c r="F264" s="389"/>
    </row>
    <row r="265" spans="1:6" x14ac:dyDescent="0.2">
      <c r="A265" s="470" t="s">
        <v>559</v>
      </c>
      <c r="B265" s="389"/>
      <c r="C265" s="981">
        <v>4168.28</v>
      </c>
      <c r="D265" s="399" t="s">
        <v>265</v>
      </c>
      <c r="E265" s="982"/>
      <c r="F265" s="389"/>
    </row>
    <row r="266" spans="1:6" x14ac:dyDescent="0.2">
      <c r="A266" s="470" t="s">
        <v>560</v>
      </c>
      <c r="B266" s="389"/>
      <c r="C266" s="981">
        <v>6640.05</v>
      </c>
      <c r="D266" s="399" t="s">
        <v>265</v>
      </c>
      <c r="E266" s="982"/>
      <c r="F266" s="389"/>
    </row>
    <row r="267" spans="1:6" x14ac:dyDescent="0.2">
      <c r="A267" s="470" t="s">
        <v>561</v>
      </c>
      <c r="B267" s="389"/>
      <c r="C267" s="981">
        <v>2621.77</v>
      </c>
      <c r="D267" s="399" t="s">
        <v>265</v>
      </c>
      <c r="E267" s="982"/>
      <c r="F267" s="389"/>
    </row>
    <row r="268" spans="1:6" x14ac:dyDescent="0.2">
      <c r="A268" s="470" t="s">
        <v>562</v>
      </c>
      <c r="B268" s="389"/>
      <c r="C268" s="981">
        <v>2718.44</v>
      </c>
      <c r="D268" s="399" t="s">
        <v>265</v>
      </c>
      <c r="E268" s="982"/>
      <c r="F268" s="389"/>
    </row>
    <row r="269" spans="1:6" x14ac:dyDescent="0.2">
      <c r="A269" s="470" t="s">
        <v>563</v>
      </c>
      <c r="B269" s="389"/>
      <c r="C269" s="981">
        <v>5078.04</v>
      </c>
      <c r="D269" s="399" t="s">
        <v>265</v>
      </c>
      <c r="E269" s="982"/>
      <c r="F269" s="389"/>
    </row>
    <row r="270" spans="1:6" x14ac:dyDescent="0.2">
      <c r="A270" s="470" t="s">
        <v>564</v>
      </c>
      <c r="B270" s="389"/>
      <c r="C270" s="981">
        <v>2718.44</v>
      </c>
      <c r="D270" s="399" t="s">
        <v>265</v>
      </c>
      <c r="E270" s="982"/>
      <c r="F270" s="389"/>
    </row>
    <row r="271" spans="1:6" x14ac:dyDescent="0.2">
      <c r="A271" s="470" t="s">
        <v>565</v>
      </c>
      <c r="B271" s="389"/>
      <c r="C271" s="981">
        <v>5996.88</v>
      </c>
      <c r="D271" s="399" t="s">
        <v>265</v>
      </c>
      <c r="E271" s="982"/>
      <c r="F271" s="389"/>
    </row>
    <row r="272" spans="1:6" x14ac:dyDescent="0.2">
      <c r="A272" s="470" t="s">
        <v>566</v>
      </c>
      <c r="B272" s="389"/>
      <c r="C272" s="981">
        <v>2718.44</v>
      </c>
      <c r="D272" s="399" t="s">
        <v>265</v>
      </c>
      <c r="E272" s="982"/>
      <c r="F272" s="389"/>
    </row>
    <row r="273" spans="1:7" x14ac:dyDescent="0.2">
      <c r="A273" s="470" t="s">
        <v>567</v>
      </c>
      <c r="B273" s="389"/>
      <c r="C273" s="981">
        <v>6640.05</v>
      </c>
      <c r="D273" s="399" t="s">
        <v>265</v>
      </c>
      <c r="E273" s="982"/>
      <c r="F273" s="389"/>
    </row>
    <row r="274" spans="1:7" x14ac:dyDescent="0.2">
      <c r="A274" s="470" t="s">
        <v>568</v>
      </c>
      <c r="B274" s="389"/>
      <c r="C274" s="981">
        <v>2718.44</v>
      </c>
      <c r="D274" s="399" t="s">
        <v>265</v>
      </c>
      <c r="E274" s="982"/>
      <c r="F274" s="389"/>
    </row>
    <row r="275" spans="1:7" x14ac:dyDescent="0.2">
      <c r="A275" s="470" t="s">
        <v>569</v>
      </c>
      <c r="B275" s="389"/>
      <c r="C275" s="981">
        <v>5078.04</v>
      </c>
      <c r="D275" s="399" t="s">
        <v>265</v>
      </c>
      <c r="E275" s="982"/>
      <c r="F275" s="389"/>
    </row>
    <row r="277" spans="1:7" x14ac:dyDescent="0.2">
      <c r="A277" s="1012" t="s">
        <v>148</v>
      </c>
      <c r="B277" s="1012" t="s">
        <v>585</v>
      </c>
      <c r="C277" s="1011" t="str">
        <f>'CCT''S'!$A$15</f>
        <v>STICMB/SINDUSCON-DF</v>
      </c>
      <c r="D277" s="1274" t="s">
        <v>199</v>
      </c>
      <c r="E277" s="1275"/>
      <c r="F277" s="1276"/>
    </row>
    <row r="278" spans="1:7" x14ac:dyDescent="0.2">
      <c r="A278" s="983" t="s">
        <v>584</v>
      </c>
      <c r="B278" s="482">
        <f>C278/220</f>
        <v>5.15</v>
      </c>
      <c r="C278" s="998">
        <v>1133</v>
      </c>
      <c r="D278" s="1330" t="s">
        <v>265</v>
      </c>
      <c r="E278" s="1271"/>
      <c r="F278" s="1272"/>
    </row>
    <row r="279" spans="1:7" x14ac:dyDescent="0.2">
      <c r="A279" s="983" t="s">
        <v>586</v>
      </c>
      <c r="B279" s="482">
        <f t="shared" ref="B279:B281" si="0">C279/220</f>
        <v>5.15</v>
      </c>
      <c r="C279" s="998">
        <v>1133</v>
      </c>
      <c r="D279" s="1330" t="s">
        <v>265</v>
      </c>
      <c r="E279" s="1271"/>
      <c r="F279" s="1272"/>
    </row>
    <row r="280" spans="1:7" x14ac:dyDescent="0.2">
      <c r="A280" s="983" t="s">
        <v>587</v>
      </c>
      <c r="B280" s="482">
        <f t="shared" si="0"/>
        <v>5.66</v>
      </c>
      <c r="C280" s="998">
        <v>1245</v>
      </c>
      <c r="D280" s="1330" t="s">
        <v>265</v>
      </c>
      <c r="E280" s="1271"/>
      <c r="F280" s="1272"/>
    </row>
    <row r="281" spans="1:7" x14ac:dyDescent="0.2">
      <c r="A281" s="983" t="s">
        <v>588</v>
      </c>
      <c r="B281" s="482">
        <f t="shared" si="0"/>
        <v>7.9</v>
      </c>
      <c r="C281" s="998">
        <v>1738</v>
      </c>
      <c r="D281" s="1330" t="s">
        <v>265</v>
      </c>
      <c r="E281" s="1271"/>
      <c r="F281" s="1272"/>
    </row>
    <row r="282" spans="1:7" x14ac:dyDescent="0.2">
      <c r="A282" s="1346" t="s">
        <v>589</v>
      </c>
      <c r="B282" s="1346"/>
      <c r="C282" s="1346"/>
      <c r="D282" s="1346"/>
      <c r="E282" s="1346"/>
      <c r="F282" s="1346"/>
    </row>
    <row r="283" spans="1:7" x14ac:dyDescent="0.2">
      <c r="A283" s="1346"/>
      <c r="B283" s="1346"/>
      <c r="C283" s="1346"/>
      <c r="D283" s="1346"/>
      <c r="E283" s="1346"/>
      <c r="F283" s="1346"/>
    </row>
    <row r="284" spans="1:7" ht="1.5" customHeight="1" x14ac:dyDescent="0.2">
      <c r="A284" s="1346"/>
      <c r="B284" s="1346"/>
      <c r="C284" s="1346"/>
      <c r="D284" s="1346"/>
      <c r="E284" s="1346"/>
      <c r="F284" s="1346"/>
    </row>
    <row r="285" spans="1:7" x14ac:dyDescent="0.2">
      <c r="A285" s="1346"/>
      <c r="B285" s="1346"/>
      <c r="C285" s="1346"/>
      <c r="D285" s="1346"/>
      <c r="E285" s="1346"/>
      <c r="F285" s="1346"/>
    </row>
    <row r="287" spans="1:7" x14ac:dyDescent="0.2">
      <c r="A287" s="1305" t="s">
        <v>148</v>
      </c>
      <c r="B287" s="1305"/>
      <c r="C287" s="1011" t="str">
        <f>'CCT''S'!$A$16</f>
        <v>SINDMOTO/SINDIBRAS-DF</v>
      </c>
      <c r="D287" s="1274" t="s">
        <v>199</v>
      </c>
      <c r="E287" s="1275"/>
      <c r="F287" s="1276"/>
    </row>
    <row r="288" spans="1:7" x14ac:dyDescent="0.2">
      <c r="A288" s="470" t="s">
        <v>639</v>
      </c>
      <c r="B288" s="389"/>
      <c r="C288" s="469">
        <f>1155.33*(1+$G$288)</f>
        <v>1195.77</v>
      </c>
      <c r="D288" s="1330" t="s">
        <v>265</v>
      </c>
      <c r="E288" s="1271"/>
      <c r="F288" s="1272"/>
      <c r="G288" s="1037">
        <v>3.5000000000000003E-2</v>
      </c>
    </row>
    <row r="289" spans="1:6" x14ac:dyDescent="0.2">
      <c r="A289" s="470" t="s">
        <v>640</v>
      </c>
      <c r="B289" s="389"/>
      <c r="C289" s="469">
        <f>1113.23*(1+$G$288)</f>
        <v>1152.19</v>
      </c>
      <c r="D289" s="1330" t="s">
        <v>265</v>
      </c>
      <c r="E289" s="1271"/>
      <c r="F289" s="1272"/>
    </row>
    <row r="290" spans="1:6" x14ac:dyDescent="0.2">
      <c r="A290" s="470" t="s">
        <v>641</v>
      </c>
      <c r="B290" s="389"/>
      <c r="C290" s="469">
        <f>1097.36*(1+$G$288)</f>
        <v>1135.77</v>
      </c>
      <c r="D290" s="1330" t="s">
        <v>265</v>
      </c>
      <c r="E290" s="1271"/>
      <c r="F290" s="1272"/>
    </row>
    <row r="291" spans="1:6" x14ac:dyDescent="0.2">
      <c r="A291" s="470" t="s">
        <v>642</v>
      </c>
      <c r="B291" s="389"/>
      <c r="C291" s="469">
        <f>1097.36*(1+$G$288)</f>
        <v>1135.77</v>
      </c>
      <c r="D291" s="1330" t="s">
        <v>265</v>
      </c>
      <c r="E291" s="1271"/>
      <c r="F291" s="1272"/>
    </row>
    <row r="293" spans="1:6" x14ac:dyDescent="0.2">
      <c r="A293" s="1305" t="s">
        <v>148</v>
      </c>
      <c r="B293" s="1305"/>
      <c r="C293" s="1011" t="str">
        <f>'CCT''S'!$A$17</f>
        <v>SINDSAÚDE/SBH-DF</v>
      </c>
      <c r="D293" s="1274" t="s">
        <v>199</v>
      </c>
      <c r="E293" s="1275"/>
      <c r="F293" s="1276"/>
    </row>
    <row r="294" spans="1:6" x14ac:dyDescent="0.2">
      <c r="A294" s="470" t="s">
        <v>658</v>
      </c>
      <c r="B294" s="389"/>
      <c r="C294" s="469">
        <v>1986</v>
      </c>
      <c r="D294" s="1330" t="s">
        <v>265</v>
      </c>
      <c r="E294" s="1271"/>
      <c r="F294" s="1272"/>
    </row>
    <row r="295" spans="1:6" x14ac:dyDescent="0.2">
      <c r="A295" s="470" t="s">
        <v>659</v>
      </c>
      <c r="B295" s="389"/>
      <c r="C295" s="469">
        <v>1049</v>
      </c>
      <c r="D295" s="1330" t="s">
        <v>265</v>
      </c>
      <c r="E295" s="1271"/>
      <c r="F295" s="1272"/>
    </row>
    <row r="296" spans="1:6" x14ac:dyDescent="0.2">
      <c r="A296" s="470" t="s">
        <v>660</v>
      </c>
      <c r="B296" s="389"/>
      <c r="C296" s="469">
        <v>1081</v>
      </c>
      <c r="D296" s="1330" t="s">
        <v>265</v>
      </c>
      <c r="E296" s="1271"/>
      <c r="F296" s="1272"/>
    </row>
    <row r="297" spans="1:6" x14ac:dyDescent="0.2">
      <c r="A297" s="470" t="s">
        <v>661</v>
      </c>
      <c r="B297" s="389"/>
      <c r="C297" s="469">
        <v>1049</v>
      </c>
      <c r="D297" s="1330" t="s">
        <v>265</v>
      </c>
      <c r="E297" s="1271"/>
      <c r="F297" s="1272"/>
    </row>
    <row r="298" spans="1:6" x14ac:dyDescent="0.2">
      <c r="A298" s="470" t="s">
        <v>662</v>
      </c>
      <c r="B298" s="389"/>
      <c r="C298" s="469">
        <v>1049</v>
      </c>
      <c r="D298" s="1330" t="s">
        <v>265</v>
      </c>
      <c r="E298" s="1271"/>
      <c r="F298" s="1272"/>
    </row>
    <row r="299" spans="1:6" x14ac:dyDescent="0.2">
      <c r="A299" s="470" t="s">
        <v>663</v>
      </c>
      <c r="B299" s="389"/>
      <c r="C299" s="469">
        <v>1049</v>
      </c>
      <c r="D299" s="1330" t="s">
        <v>265</v>
      </c>
      <c r="E299" s="1271"/>
      <c r="F299" s="1272"/>
    </row>
    <row r="301" spans="1:6" x14ac:dyDescent="0.2">
      <c r="A301" s="1305" t="s">
        <v>148</v>
      </c>
      <c r="B301" s="1305"/>
      <c r="C301" s="1011" t="str">
        <f>'CCT''S'!$A$18</f>
        <v>SINDILAV</v>
      </c>
      <c r="D301" s="1274" t="s">
        <v>199</v>
      </c>
      <c r="E301" s="1275"/>
      <c r="F301" s="1276"/>
    </row>
    <row r="302" spans="1:6" x14ac:dyDescent="0.2">
      <c r="A302" s="470" t="s">
        <v>1164</v>
      </c>
      <c r="B302" s="389"/>
      <c r="C302" s="469">
        <v>1132</v>
      </c>
      <c r="D302" s="1330" t="s">
        <v>265</v>
      </c>
      <c r="E302" s="1271"/>
      <c r="F302" s="1272"/>
    </row>
    <row r="303" spans="1:6" x14ac:dyDescent="0.2">
      <c r="A303" s="470" t="s">
        <v>1165</v>
      </c>
      <c r="B303" s="389"/>
      <c r="C303" s="469">
        <v>1377</v>
      </c>
      <c r="D303" s="1330" t="s">
        <v>265</v>
      </c>
      <c r="E303" s="1271"/>
      <c r="F303" s="1272"/>
    </row>
    <row r="304" spans="1:6" x14ac:dyDescent="0.2">
      <c r="A304" s="470" t="s">
        <v>1166</v>
      </c>
      <c r="B304" s="389"/>
      <c r="C304" s="469">
        <v>1377</v>
      </c>
      <c r="D304" s="1330" t="s">
        <v>265</v>
      </c>
      <c r="E304" s="1271"/>
      <c r="F304" s="1272"/>
    </row>
    <row r="305" spans="1:6" x14ac:dyDescent="0.2">
      <c r="A305" s="470" t="s">
        <v>1167</v>
      </c>
      <c r="B305" s="389"/>
      <c r="C305" s="469">
        <v>1377</v>
      </c>
      <c r="D305" s="1330" t="s">
        <v>265</v>
      </c>
      <c r="E305" s="1271"/>
      <c r="F305" s="1272"/>
    </row>
    <row r="307" spans="1:6" s="1047" customFormat="1" x14ac:dyDescent="0.2">
      <c r="A307" s="1343" t="s">
        <v>148</v>
      </c>
      <c r="B307" s="1343"/>
      <c r="C307" s="1048" t="str">
        <f>'CCT''S'!$A$19</f>
        <v>SINTEC/SEAC-DF</v>
      </c>
      <c r="D307" s="1337" t="s">
        <v>199</v>
      </c>
      <c r="E307" s="1338"/>
      <c r="F307" s="1339"/>
    </row>
    <row r="308" spans="1:6" s="1047" customFormat="1" x14ac:dyDescent="0.2">
      <c r="A308" s="984" t="s">
        <v>1157</v>
      </c>
      <c r="B308" s="985"/>
      <c r="C308" s="986">
        <v>2698.79</v>
      </c>
      <c r="D308" s="1340" t="s">
        <v>265</v>
      </c>
      <c r="E308" s="1341"/>
      <c r="F308" s="1342"/>
    </row>
    <row r="309" spans="1:6" s="1047" customFormat="1" x14ac:dyDescent="0.2">
      <c r="A309" s="984" t="s">
        <v>1158</v>
      </c>
      <c r="B309" s="985"/>
      <c r="C309" s="986">
        <v>2142.84</v>
      </c>
      <c r="D309" s="1340" t="s">
        <v>265</v>
      </c>
      <c r="E309" s="1341"/>
      <c r="F309" s="1342"/>
    </row>
    <row r="310" spans="1:6" s="1047" customFormat="1" x14ac:dyDescent="0.2">
      <c r="A310" s="984" t="s">
        <v>1159</v>
      </c>
      <c r="B310" s="985"/>
      <c r="C310" s="986">
        <v>2142.84</v>
      </c>
      <c r="D310" s="1340" t="s">
        <v>265</v>
      </c>
      <c r="E310" s="1341"/>
      <c r="F310" s="1342"/>
    </row>
    <row r="311" spans="1:6" s="1047" customFormat="1" x14ac:dyDescent="0.2">
      <c r="A311" s="984" t="s">
        <v>1160</v>
      </c>
      <c r="B311" s="985"/>
      <c r="C311" s="986">
        <v>2142.84</v>
      </c>
      <c r="D311" s="1340" t="s">
        <v>265</v>
      </c>
      <c r="E311" s="1341"/>
      <c r="F311" s="1342"/>
    </row>
    <row r="312" spans="1:6" s="1047" customFormat="1" x14ac:dyDescent="0.2">
      <c r="A312" s="984" t="s">
        <v>1161</v>
      </c>
      <c r="B312" s="985"/>
      <c r="C312" s="986">
        <v>2142.84</v>
      </c>
      <c r="D312" s="1340" t="s">
        <v>265</v>
      </c>
      <c r="E312" s="1341"/>
      <c r="F312" s="1342"/>
    </row>
    <row r="313" spans="1:6" s="1047" customFormat="1" x14ac:dyDescent="0.2">
      <c r="A313" s="984" t="s">
        <v>1162</v>
      </c>
      <c r="B313" s="985"/>
      <c r="C313" s="986">
        <v>2142.84</v>
      </c>
      <c r="D313" s="1340" t="s">
        <v>265</v>
      </c>
      <c r="E313" s="1341"/>
      <c r="F313" s="1342"/>
    </row>
    <row r="314" spans="1:6" s="1047" customFormat="1" x14ac:dyDescent="0.2">
      <c r="A314" s="984" t="s">
        <v>1163</v>
      </c>
      <c r="B314" s="985"/>
      <c r="C314" s="986">
        <v>2142.84</v>
      </c>
      <c r="D314" s="1340" t="s">
        <v>265</v>
      </c>
      <c r="E314" s="1341"/>
      <c r="F314" s="1342"/>
    </row>
    <row r="315" spans="1:6" s="1047" customFormat="1" x14ac:dyDescent="0.2">
      <c r="A315" s="984" t="s">
        <v>1179</v>
      </c>
      <c r="B315" s="985"/>
      <c r="C315" s="986">
        <v>3314.12</v>
      </c>
      <c r="D315" s="1340" t="s">
        <v>265</v>
      </c>
      <c r="E315" s="1341"/>
      <c r="F315" s="1342"/>
    </row>
    <row r="317" spans="1:6" x14ac:dyDescent="0.2">
      <c r="A317" s="1305" t="s">
        <v>148</v>
      </c>
      <c r="B317" s="1305"/>
      <c r="C317" s="1011" t="str">
        <f>'CCT''S'!$A$20</f>
        <v>SENGE/SINDUSCON-DF</v>
      </c>
      <c r="D317" s="1274" t="s">
        <v>199</v>
      </c>
      <c r="E317" s="1275"/>
      <c r="F317" s="1276"/>
    </row>
    <row r="318" spans="1:6" x14ac:dyDescent="0.2">
      <c r="A318" s="470" t="s">
        <v>1181</v>
      </c>
      <c r="B318" s="985"/>
      <c r="C318" s="987">
        <v>8483</v>
      </c>
      <c r="D318" s="1340" t="s">
        <v>265</v>
      </c>
      <c r="E318" s="1341"/>
      <c r="F318" s="1342"/>
    </row>
    <row r="319" spans="1:6" x14ac:dyDescent="0.2">
      <c r="A319" s="470" t="s">
        <v>1180</v>
      </c>
      <c r="B319" s="985"/>
      <c r="C319" s="987">
        <v>5988</v>
      </c>
      <c r="D319" s="1340" t="s">
        <v>265</v>
      </c>
      <c r="E319" s="1341"/>
      <c r="F319" s="1342"/>
    </row>
    <row r="322" spans="1:6" x14ac:dyDescent="0.2">
      <c r="A322" s="1344" t="s">
        <v>148</v>
      </c>
      <c r="B322" s="1345"/>
      <c r="C322" s="1011" t="str">
        <f>'CCT''S'!$A$21</f>
        <v>SINDBOMBEIROS/SEAC-DF</v>
      </c>
      <c r="D322" s="1274" t="s">
        <v>199</v>
      </c>
      <c r="E322" s="1275"/>
      <c r="F322" s="1276"/>
    </row>
    <row r="323" spans="1:6" x14ac:dyDescent="0.2">
      <c r="A323" s="470" t="s">
        <v>669</v>
      </c>
      <c r="B323" s="746"/>
      <c r="C323" s="469">
        <v>3044.5</v>
      </c>
      <c r="D323" s="1330" t="s">
        <v>1107</v>
      </c>
      <c r="E323" s="1271"/>
      <c r="F323" s="1272"/>
    </row>
    <row r="324" spans="1:6" x14ac:dyDescent="0.2">
      <c r="A324" s="470" t="s">
        <v>875</v>
      </c>
      <c r="B324" s="746"/>
      <c r="C324" s="469">
        <v>3772.89</v>
      </c>
      <c r="D324" s="1330" t="s">
        <v>1107</v>
      </c>
      <c r="E324" s="1271"/>
      <c r="F324" s="1272"/>
    </row>
    <row r="325" spans="1:6" x14ac:dyDescent="0.2">
      <c r="A325" s="470" t="s">
        <v>670</v>
      </c>
      <c r="B325" s="746"/>
      <c r="C325" s="469">
        <v>7414.87</v>
      </c>
      <c r="D325" s="1330" t="s">
        <v>1107</v>
      </c>
      <c r="E325" s="1271"/>
      <c r="F325" s="1272"/>
    </row>
    <row r="326" spans="1:6" x14ac:dyDescent="0.2">
      <c r="A326" s="747" t="s">
        <v>876</v>
      </c>
      <c r="B326" s="748"/>
      <c r="C326" s="749">
        <v>3044.5</v>
      </c>
      <c r="D326" s="1330" t="s">
        <v>1107</v>
      </c>
      <c r="E326" s="1271"/>
      <c r="F326" s="1272"/>
    </row>
    <row r="327" spans="1:6" x14ac:dyDescent="0.2">
      <c r="A327" s="747" t="s">
        <v>877</v>
      </c>
      <c r="B327" s="750" t="s">
        <v>879</v>
      </c>
      <c r="C327" s="749">
        <v>27.9</v>
      </c>
      <c r="D327" s="1330" t="s">
        <v>1107</v>
      </c>
      <c r="E327" s="1271"/>
      <c r="F327" s="1272"/>
    </row>
    <row r="328" spans="1:6" x14ac:dyDescent="0.2">
      <c r="A328" s="747" t="s">
        <v>671</v>
      </c>
      <c r="B328" s="750" t="s">
        <v>880</v>
      </c>
      <c r="C328" s="749">
        <v>156.22999999999999</v>
      </c>
      <c r="D328" s="1330" t="s">
        <v>1107</v>
      </c>
      <c r="E328" s="1271"/>
      <c r="F328" s="1272"/>
    </row>
    <row r="329" spans="1:6" x14ac:dyDescent="0.2">
      <c r="A329" s="470" t="s">
        <v>878</v>
      </c>
      <c r="B329" s="746"/>
      <c r="C329" s="469">
        <v>3044.5</v>
      </c>
      <c r="D329" s="1330" t="s">
        <v>1107</v>
      </c>
      <c r="E329" s="1271"/>
      <c r="F329" s="1272"/>
    </row>
    <row r="332" spans="1:6" x14ac:dyDescent="0.2">
      <c r="C332" s="1030"/>
    </row>
    <row r="335" spans="1:6" x14ac:dyDescent="0.2">
      <c r="A335" s="383" t="s">
        <v>0</v>
      </c>
    </row>
  </sheetData>
  <mergeCells count="272">
    <mergeCell ref="D128:F128"/>
    <mergeCell ref="D129:F129"/>
    <mergeCell ref="D118:F118"/>
    <mergeCell ref="D119:F119"/>
    <mergeCell ref="D120:F120"/>
    <mergeCell ref="D121:F121"/>
    <mergeCell ref="D122:F122"/>
    <mergeCell ref="D123:F123"/>
    <mergeCell ref="D124:F124"/>
    <mergeCell ref="D125:F125"/>
    <mergeCell ref="D126:F126"/>
    <mergeCell ref="A317:B317"/>
    <mergeCell ref="D317:F317"/>
    <mergeCell ref="D318:F318"/>
    <mergeCell ref="D319:F319"/>
    <mergeCell ref="A322:B322"/>
    <mergeCell ref="D289:F289"/>
    <mergeCell ref="D290:F290"/>
    <mergeCell ref="D280:F280"/>
    <mergeCell ref="D281:F281"/>
    <mergeCell ref="A282:F285"/>
    <mergeCell ref="A287:B287"/>
    <mergeCell ref="D287:F287"/>
    <mergeCell ref="D288:F288"/>
    <mergeCell ref="A293:B293"/>
    <mergeCell ref="D293:F293"/>
    <mergeCell ref="D294:F294"/>
    <mergeCell ref="D295:F295"/>
    <mergeCell ref="D298:F298"/>
    <mergeCell ref="D299:F299"/>
    <mergeCell ref="D296:F296"/>
    <mergeCell ref="D297:F297"/>
    <mergeCell ref="A301:B301"/>
    <mergeCell ref="D301:F301"/>
    <mergeCell ref="D302:F302"/>
    <mergeCell ref="A307:B307"/>
    <mergeCell ref="D277:F277"/>
    <mergeCell ref="D278:F278"/>
    <mergeCell ref="D279:F279"/>
    <mergeCell ref="D224:F224"/>
    <mergeCell ref="D216:F216"/>
    <mergeCell ref="D219:F219"/>
    <mergeCell ref="D220:F220"/>
    <mergeCell ref="D221:F221"/>
    <mergeCell ref="D222:F222"/>
    <mergeCell ref="D223:F223"/>
    <mergeCell ref="D225:F225"/>
    <mergeCell ref="D228:F228"/>
    <mergeCell ref="D226:F226"/>
    <mergeCell ref="D199:F199"/>
    <mergeCell ref="D200:F200"/>
    <mergeCell ref="D202:F202"/>
    <mergeCell ref="D204:F204"/>
    <mergeCell ref="D205:F205"/>
    <mergeCell ref="D206:F206"/>
    <mergeCell ref="D207:F207"/>
    <mergeCell ref="D208:F208"/>
    <mergeCell ref="D210:F210"/>
    <mergeCell ref="D209:F209"/>
    <mergeCell ref="D201:F201"/>
    <mergeCell ref="D203:F203"/>
    <mergeCell ref="D211:F211"/>
    <mergeCell ref="D212:F212"/>
    <mergeCell ref="D213:F213"/>
    <mergeCell ref="D214:F214"/>
    <mergeCell ref="D215:F215"/>
    <mergeCell ref="A2:F2"/>
    <mergeCell ref="A8:B8"/>
    <mergeCell ref="D8:F8"/>
    <mergeCell ref="A89:B89"/>
    <mergeCell ref="D89:F89"/>
    <mergeCell ref="D20:F20"/>
    <mergeCell ref="D9:F9"/>
    <mergeCell ref="D10:F10"/>
    <mergeCell ref="D11:F11"/>
    <mergeCell ref="D12:F12"/>
    <mergeCell ref="D13:F13"/>
    <mergeCell ref="D14:F14"/>
    <mergeCell ref="D15:F15"/>
    <mergeCell ref="D16:F16"/>
    <mergeCell ref="D17:F17"/>
    <mergeCell ref="D18:F18"/>
    <mergeCell ref="D19:F19"/>
    <mergeCell ref="D33:F33"/>
    <mergeCell ref="D22:F22"/>
    <mergeCell ref="D23:F23"/>
    <mergeCell ref="D24:F24"/>
    <mergeCell ref="D25:F25"/>
    <mergeCell ref="D26:F26"/>
    <mergeCell ref="D27:F27"/>
    <mergeCell ref="D56:F56"/>
    <mergeCell ref="D28:F28"/>
    <mergeCell ref="D29:F29"/>
    <mergeCell ref="D30:F30"/>
    <mergeCell ref="D31:F31"/>
    <mergeCell ref="D32:F32"/>
    <mergeCell ref="D45:F45"/>
    <mergeCell ref="D34:F34"/>
    <mergeCell ref="D35:F35"/>
    <mergeCell ref="D36:F36"/>
    <mergeCell ref="D37:F37"/>
    <mergeCell ref="D38:F38"/>
    <mergeCell ref="D39:F39"/>
    <mergeCell ref="D40:F40"/>
    <mergeCell ref="D41:F41"/>
    <mergeCell ref="D42:F42"/>
    <mergeCell ref="D43:F43"/>
    <mergeCell ref="D44:F44"/>
    <mergeCell ref="A103:B103"/>
    <mergeCell ref="D103:F103"/>
    <mergeCell ref="D104:F104"/>
    <mergeCell ref="D105:F105"/>
    <mergeCell ref="D106:F106"/>
    <mergeCell ref="D82:F82"/>
    <mergeCell ref="D83:F83"/>
    <mergeCell ref="D85:F85"/>
    <mergeCell ref="D86:F86"/>
    <mergeCell ref="D87:F87"/>
    <mergeCell ref="D90:F90"/>
    <mergeCell ref="D91:F91"/>
    <mergeCell ref="D92:F92"/>
    <mergeCell ref="A94:B94"/>
    <mergeCell ref="D94:F94"/>
    <mergeCell ref="D100:F100"/>
    <mergeCell ref="D101:F101"/>
    <mergeCell ref="D95:F95"/>
    <mergeCell ref="D96:F96"/>
    <mergeCell ref="D97:F97"/>
    <mergeCell ref="D98:F98"/>
    <mergeCell ref="D99:F99"/>
    <mergeCell ref="D84:F84"/>
    <mergeCell ref="A137:B137"/>
    <mergeCell ref="D137:F137"/>
    <mergeCell ref="D138:F138"/>
    <mergeCell ref="D139:F139"/>
    <mergeCell ref="D140:F140"/>
    <mergeCell ref="A228:B228"/>
    <mergeCell ref="A142:B142"/>
    <mergeCell ref="D142:F142"/>
    <mergeCell ref="D143:F143"/>
    <mergeCell ref="D144:F144"/>
    <mergeCell ref="D146:F146"/>
    <mergeCell ref="D147:F147"/>
    <mergeCell ref="D149:F149"/>
    <mergeCell ref="D151:F151"/>
    <mergeCell ref="D180:F180"/>
    <mergeCell ref="D181:F181"/>
    <mergeCell ref="D185:F185"/>
    <mergeCell ref="D187:F187"/>
    <mergeCell ref="D196:F196"/>
    <mergeCell ref="D190:F190"/>
    <mergeCell ref="D191:F191"/>
    <mergeCell ref="D174:F174"/>
    <mergeCell ref="D217:F217"/>
    <mergeCell ref="D218:F218"/>
    <mergeCell ref="D329:F329"/>
    <mergeCell ref="D322:F322"/>
    <mergeCell ref="D323:F323"/>
    <mergeCell ref="D324:F324"/>
    <mergeCell ref="D325:F325"/>
    <mergeCell ref="D326:F326"/>
    <mergeCell ref="D327:F327"/>
    <mergeCell ref="D328:F328"/>
    <mergeCell ref="D291:F291"/>
    <mergeCell ref="D307:F307"/>
    <mergeCell ref="D308:F308"/>
    <mergeCell ref="D309:F309"/>
    <mergeCell ref="D310:F310"/>
    <mergeCell ref="D311:F311"/>
    <mergeCell ref="D312:F312"/>
    <mergeCell ref="D313:F313"/>
    <mergeCell ref="D314:F314"/>
    <mergeCell ref="D315:F315"/>
    <mergeCell ref="D303:F303"/>
    <mergeCell ref="D304:F304"/>
    <mergeCell ref="D305:F305"/>
    <mergeCell ref="D186:F186"/>
    <mergeCell ref="D188:F188"/>
    <mergeCell ref="D189:F189"/>
    <mergeCell ref="D152:F152"/>
    <mergeCell ref="D153:F153"/>
    <mergeCell ref="D154:F154"/>
    <mergeCell ref="D155:F155"/>
    <mergeCell ref="D156:F156"/>
    <mergeCell ref="D80:F80"/>
    <mergeCell ref="D107:F107"/>
    <mergeCell ref="D108:F108"/>
    <mergeCell ref="D109:F109"/>
    <mergeCell ref="D111:F111"/>
    <mergeCell ref="D112:F112"/>
    <mergeCell ref="D110:F110"/>
    <mergeCell ref="D133:F133"/>
    <mergeCell ref="D134:F134"/>
    <mergeCell ref="D150:F150"/>
    <mergeCell ref="D132:F132"/>
    <mergeCell ref="D116:F116"/>
    <mergeCell ref="D148:F148"/>
    <mergeCell ref="D135:F135"/>
    <mergeCell ref="D117:F117"/>
    <mergeCell ref="D127:F127"/>
    <mergeCell ref="D73:F73"/>
    <mergeCell ref="D74:F74"/>
    <mergeCell ref="D75:F75"/>
    <mergeCell ref="D81:F81"/>
    <mergeCell ref="D70:F70"/>
    <mergeCell ref="D179:F179"/>
    <mergeCell ref="D182:F182"/>
    <mergeCell ref="D183:F183"/>
    <mergeCell ref="D184:F184"/>
    <mergeCell ref="D71:F71"/>
    <mergeCell ref="D72:F72"/>
    <mergeCell ref="D76:F76"/>
    <mergeCell ref="D77:F77"/>
    <mergeCell ref="D78:F78"/>
    <mergeCell ref="D79:F79"/>
    <mergeCell ref="D175:F175"/>
    <mergeCell ref="D176:F176"/>
    <mergeCell ref="D177:F177"/>
    <mergeCell ref="D113:F113"/>
    <mergeCell ref="D114:F114"/>
    <mergeCell ref="D115:F115"/>
    <mergeCell ref="D130:F130"/>
    <mergeCell ref="D131:F131"/>
    <mergeCell ref="D145:F145"/>
    <mergeCell ref="D21:F21"/>
    <mergeCell ref="D69:F69"/>
    <mergeCell ref="D58:F58"/>
    <mergeCell ref="D59:F59"/>
    <mergeCell ref="D60:F60"/>
    <mergeCell ref="D61:F61"/>
    <mergeCell ref="D62:F62"/>
    <mergeCell ref="D63:F63"/>
    <mergeCell ref="D64:F64"/>
    <mergeCell ref="D65:F65"/>
    <mergeCell ref="D66:F66"/>
    <mergeCell ref="D67:F67"/>
    <mergeCell ref="D68:F68"/>
    <mergeCell ref="D57:F57"/>
    <mergeCell ref="D46:F46"/>
    <mergeCell ref="D47:F47"/>
    <mergeCell ref="D48:F48"/>
    <mergeCell ref="D49:F49"/>
    <mergeCell ref="D50:F50"/>
    <mergeCell ref="D51:F51"/>
    <mergeCell ref="D52:F52"/>
    <mergeCell ref="D53:F53"/>
    <mergeCell ref="D54:F54"/>
    <mergeCell ref="D55:F55"/>
    <mergeCell ref="D198:F198"/>
    <mergeCell ref="D192:F192"/>
    <mergeCell ref="D193:F193"/>
    <mergeCell ref="D194:F194"/>
    <mergeCell ref="D195:F195"/>
    <mergeCell ref="D197:F197"/>
    <mergeCell ref="D157:F157"/>
    <mergeCell ref="D158:F158"/>
    <mergeCell ref="D159:F159"/>
    <mergeCell ref="D178:F178"/>
    <mergeCell ref="D160:F160"/>
    <mergeCell ref="D161:F161"/>
    <mergeCell ref="D162:F162"/>
    <mergeCell ref="D163:F163"/>
    <mergeCell ref="D164:F164"/>
    <mergeCell ref="D165:F165"/>
    <mergeCell ref="D166:F166"/>
    <mergeCell ref="D167:F167"/>
    <mergeCell ref="D168:F168"/>
    <mergeCell ref="D169:F169"/>
    <mergeCell ref="D170:F170"/>
    <mergeCell ref="D171:F171"/>
    <mergeCell ref="D172:F172"/>
    <mergeCell ref="D173:F173"/>
  </mergeCells>
  <printOptions horizontalCentered="1"/>
  <pageMargins left="0.39370078740157483" right="0.27559055118110237" top="0.70866141732283472" bottom="0.15748031496062992" header="0.23622047244094491" footer="0.19685039370078741"/>
  <pageSetup paperSize="9" scale="60" fitToHeight="0" orientation="portrait" r:id="rId1"/>
  <headerFooter alignWithMargins="0"/>
  <rowBreaks count="3" manualBreakCount="3">
    <brk id="87" max="5" man="1"/>
    <brk id="140" max="5" man="1"/>
    <brk id="226" max="5" man="1"/>
  </rowBreaks>
</worksheet>
</file>

<file path=xl/worksheets/sheet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mc:Ignorable="x14ac">
  <sheetPr codeName="Plan6">
    <tabColor rgb="FFFF0000"/>
  </sheetPr>
  <dimension ref="A1:P152"/>
  <sheetViews>
    <sheetView topLeftCell="G6" zoomScaleNormal="100" zoomScaleSheetLayoutView="130" workbookViewId="0">
      <selection activeCell="K8" sqref="K8:K21"/>
    </sheetView>
  </sheetViews>
  <sheetFormatPr defaultRowHeight="12.75" x14ac:dyDescent="0.2"/>
  <cols>
    <col min="1" max="1" width="31" style="383" customWidth="1"/>
    <col min="2" max="2" width="31.28515625" style="503" customWidth="1"/>
    <col min="3" max="3" width="25.7109375" style="383" customWidth="1"/>
    <col min="4" max="13" width="24.42578125" style="383" customWidth="1"/>
    <col min="14" max="14" width="29.140625" style="383" customWidth="1"/>
    <col min="15" max="15" width="25.85546875" style="383" bestFit="1" customWidth="1"/>
    <col min="16" max="16" width="9.5703125" style="383" customWidth="1"/>
    <col min="17" max="17" width="9.140625" style="383"/>
    <col min="18" max="18" width="10" style="383" bestFit="1" customWidth="1"/>
    <col min="19" max="16384" width="9.140625" style="383"/>
  </cols>
  <sheetData>
    <row r="1" spans="1:15" x14ac:dyDescent="0.2">
      <c r="A1" s="382"/>
      <c r="B1" s="382"/>
      <c r="C1" s="382"/>
      <c r="D1" s="382"/>
      <c r="E1" s="382"/>
      <c r="F1" s="382"/>
      <c r="G1" s="382"/>
      <c r="H1" s="382"/>
      <c r="I1" s="382"/>
      <c r="J1" s="382"/>
      <c r="K1" s="382"/>
      <c r="L1" s="382"/>
      <c r="M1" s="382"/>
      <c r="N1" s="382"/>
      <c r="O1" s="382"/>
    </row>
    <row r="2" spans="1:15" x14ac:dyDescent="0.2">
      <c r="A2" s="1266" t="s">
        <v>197</v>
      </c>
      <c r="B2" s="1266"/>
      <c r="C2" s="1266"/>
      <c r="D2" s="1266"/>
      <c r="E2" s="1266"/>
      <c r="F2" s="1266"/>
      <c r="G2" s="1266"/>
      <c r="H2" s="1266"/>
      <c r="I2" s="1266"/>
      <c r="J2" s="1266"/>
      <c r="K2" s="1266"/>
      <c r="L2" s="1266"/>
      <c r="M2" s="1266"/>
      <c r="N2" s="1266"/>
      <c r="O2" s="1266"/>
    </row>
    <row r="3" spans="1:15" x14ac:dyDescent="0.2">
      <c r="A3" s="384"/>
      <c r="B3" s="384"/>
      <c r="C3" s="384"/>
      <c r="D3" s="384"/>
      <c r="E3" s="384"/>
      <c r="F3" s="384"/>
      <c r="G3" s="382"/>
      <c r="H3" s="382"/>
      <c r="I3" s="384"/>
      <c r="J3" s="384"/>
      <c r="K3" s="384"/>
      <c r="L3" s="384"/>
      <c r="M3" s="384"/>
      <c r="N3" s="384"/>
      <c r="O3" s="384"/>
    </row>
    <row r="4" spans="1:15" x14ac:dyDescent="0.2">
      <c r="A4" s="382"/>
      <c r="B4" s="382"/>
      <c r="C4" s="382"/>
      <c r="D4" s="382"/>
      <c r="E4" s="382"/>
      <c r="F4" s="382"/>
      <c r="G4" s="382"/>
      <c r="H4" s="382"/>
      <c r="I4" s="382"/>
      <c r="J4" s="382"/>
      <c r="K4" s="382"/>
      <c r="L4" s="382"/>
      <c r="M4" s="382"/>
      <c r="N4" s="382"/>
      <c r="O4" s="382"/>
    </row>
    <row r="5" spans="1:15" s="391" customFormat="1" x14ac:dyDescent="0.2">
      <c r="A5" s="415" t="s">
        <v>411</v>
      </c>
      <c r="B5" s="390"/>
    </row>
    <row r="6" spans="1:15" s="391" customFormat="1" x14ac:dyDescent="0.2">
      <c r="A6" s="415"/>
      <c r="B6" s="390"/>
    </row>
    <row r="7" spans="1:15" s="391" customFormat="1" x14ac:dyDescent="0.2">
      <c r="A7" s="440" t="s">
        <v>412</v>
      </c>
      <c r="B7" s="390"/>
      <c r="E7" s="945"/>
    </row>
    <row r="8" spans="1:15" x14ac:dyDescent="0.2">
      <c r="A8" s="605" t="s">
        <v>382</v>
      </c>
      <c r="B8" s="891" t="str">
        <f>'CCT''S'!A8</f>
        <v>SINDISERVIÇOS/SEAC-DF</v>
      </c>
      <c r="C8" s="604" t="str">
        <f>'CCT''S'!A9</f>
        <v>SIS/SEAC-DF</v>
      </c>
      <c r="D8" s="604" t="str">
        <f>'CCT''S'!A10</f>
        <v>SITTRATER/SEAC-DF</v>
      </c>
      <c r="E8" s="604" t="str">
        <f>'CCT''S'!A11</f>
        <v>SINTTEL/SEAC-DF</v>
      </c>
      <c r="F8" s="604" t="str">
        <f>'CCT''S'!A12</f>
        <v>SINDPD/SINDESEI-DF</v>
      </c>
      <c r="G8" s="910" t="str">
        <f>'CCT''S'!A13</f>
        <v>SINDRAD/SEAC-DF</v>
      </c>
      <c r="H8" s="910" t="str">
        <f>'CCT''S'!A14</f>
        <v>SINDIGRAF/SEAC-DF</v>
      </c>
      <c r="I8" s="604" t="str">
        <f>'CCT''S'!A15</f>
        <v>STICMB/SINDUSCON-DF</v>
      </c>
      <c r="J8" s="604" t="str">
        <f>'CCT''S'!A16</f>
        <v>SINDMOTO/SINDIBRAS-DF</v>
      </c>
      <c r="K8" s="604" t="str">
        <f>'CCT''S'!A17</f>
        <v>SINDSAÚDE/SBH-DF</v>
      </c>
      <c r="L8" s="969" t="str">
        <f>'CCT''S'!A18</f>
        <v>SINDILAV</v>
      </c>
      <c r="M8" s="969" t="str">
        <f>'CCT''S'!A19</f>
        <v>SINTEC/SEAC-DF</v>
      </c>
      <c r="N8" s="969" t="str">
        <f>'CCT''S'!A20</f>
        <v>SENGE/SINDUSCON-DF</v>
      </c>
      <c r="O8" s="604" t="str">
        <f>'CCT''S'!A21</f>
        <v>SINDBOMBEIROS/SEAC-DF</v>
      </c>
    </row>
    <row r="9" spans="1:15" x14ac:dyDescent="0.2">
      <c r="A9" s="606" t="s">
        <v>151</v>
      </c>
      <c r="B9" s="418">
        <v>35</v>
      </c>
      <c r="C9" s="387">
        <v>35.31</v>
      </c>
      <c r="D9" s="894">
        <v>38.51</v>
      </c>
      <c r="E9" s="894">
        <v>35.770000000000003</v>
      </c>
      <c r="F9" s="387">
        <v>26.24</v>
      </c>
      <c r="G9" s="387">
        <v>35.85</v>
      </c>
      <c r="H9" s="418">
        <v>35</v>
      </c>
      <c r="I9" s="387">
        <v>16.95</v>
      </c>
      <c r="J9" s="914">
        <v>18.22</v>
      </c>
      <c r="K9" s="387">
        <v>19</v>
      </c>
      <c r="L9" s="894">
        <v>5.2</v>
      </c>
      <c r="M9" s="894">
        <v>35</v>
      </c>
      <c r="N9" s="894">
        <v>25</v>
      </c>
      <c r="O9" s="387">
        <v>38</v>
      </c>
    </row>
    <row r="10" spans="1:15" ht="25.5" x14ac:dyDescent="0.2">
      <c r="A10" s="808" t="s">
        <v>1001</v>
      </c>
      <c r="B10" s="418">
        <v>0</v>
      </c>
      <c r="C10" s="387">
        <v>0.7</v>
      </c>
      <c r="D10" s="894">
        <v>0.3</v>
      </c>
      <c r="E10" s="894">
        <f>E9*15%</f>
        <v>5.37</v>
      </c>
      <c r="F10" s="387">
        <v>0</v>
      </c>
      <c r="G10" s="387">
        <v>0.3</v>
      </c>
      <c r="H10" s="387">
        <v>0.7</v>
      </c>
      <c r="I10" s="387">
        <v>0</v>
      </c>
      <c r="J10" s="387">
        <f>J9*3.5%</f>
        <v>0.64</v>
      </c>
      <c r="K10" s="387">
        <v>0</v>
      </c>
      <c r="L10" s="894">
        <v>0</v>
      </c>
      <c r="M10" s="894">
        <v>0</v>
      </c>
      <c r="N10" s="894">
        <v>0</v>
      </c>
      <c r="O10" s="387">
        <v>0.3</v>
      </c>
    </row>
    <row r="11" spans="1:15" x14ac:dyDescent="0.2">
      <c r="A11" s="606" t="s">
        <v>626</v>
      </c>
      <c r="B11" s="418">
        <v>0</v>
      </c>
      <c r="C11" s="387">
        <v>0</v>
      </c>
      <c r="D11" s="894">
        <v>0</v>
      </c>
      <c r="E11" s="894">
        <v>0</v>
      </c>
      <c r="F11" s="387">
        <v>0</v>
      </c>
      <c r="G11" s="387">
        <v>0</v>
      </c>
      <c r="H11" s="387">
        <v>0</v>
      </c>
      <c r="I11" s="387">
        <v>3.89</v>
      </c>
      <c r="J11" s="914">
        <v>0</v>
      </c>
      <c r="K11" s="387">
        <v>0</v>
      </c>
      <c r="L11" s="894">
        <v>0</v>
      </c>
      <c r="M11" s="894">
        <v>0</v>
      </c>
      <c r="N11" s="894">
        <v>0</v>
      </c>
      <c r="O11" s="387">
        <v>0</v>
      </c>
    </row>
    <row r="12" spans="1:15" x14ac:dyDescent="0.2">
      <c r="A12" s="606" t="s">
        <v>630</v>
      </c>
      <c r="B12" s="402">
        <v>0.06</v>
      </c>
      <c r="C12" s="934">
        <v>0.06</v>
      </c>
      <c r="D12" s="948">
        <v>0.06</v>
      </c>
      <c r="E12" s="948">
        <v>0.06</v>
      </c>
      <c r="F12" s="1044">
        <v>0.06</v>
      </c>
      <c r="G12" s="1044">
        <v>0.06</v>
      </c>
      <c r="H12" s="1044">
        <v>0.06</v>
      </c>
      <c r="I12" s="968">
        <v>0.06</v>
      </c>
      <c r="J12" s="1039">
        <v>0.06</v>
      </c>
      <c r="K12" s="942">
        <v>0.06</v>
      </c>
      <c r="L12" s="948">
        <v>0.06</v>
      </c>
      <c r="M12" s="948">
        <v>0.06</v>
      </c>
      <c r="N12" s="948">
        <v>0.06</v>
      </c>
      <c r="O12" s="942">
        <v>0.06</v>
      </c>
    </row>
    <row r="13" spans="1:15" x14ac:dyDescent="0.2">
      <c r="A13" s="437" t="s">
        <v>113</v>
      </c>
      <c r="B13" s="418">
        <v>160.07</v>
      </c>
      <c r="C13" s="387">
        <v>160.07</v>
      </c>
      <c r="D13" s="894">
        <v>296</v>
      </c>
      <c r="E13" s="991">
        <v>170</v>
      </c>
      <c r="F13" s="413">
        <v>139</v>
      </c>
      <c r="G13" s="413">
        <v>221.88</v>
      </c>
      <c r="H13" s="413">
        <v>160.07</v>
      </c>
      <c r="I13" s="413">
        <v>0</v>
      </c>
      <c r="J13" s="1040">
        <v>0</v>
      </c>
      <c r="K13" s="413">
        <v>0</v>
      </c>
      <c r="L13" s="991"/>
      <c r="M13" s="991">
        <v>160.07</v>
      </c>
      <c r="N13" s="991">
        <v>0</v>
      </c>
      <c r="O13" s="413">
        <v>153.77000000000001</v>
      </c>
    </row>
    <row r="14" spans="1:15" x14ac:dyDescent="0.2">
      <c r="A14" s="437" t="s">
        <v>1118</v>
      </c>
      <c r="B14" s="418"/>
      <c r="C14" s="387"/>
      <c r="D14" s="894">
        <v>173.07</v>
      </c>
      <c r="E14" s="991"/>
      <c r="F14" s="413"/>
      <c r="G14" s="413"/>
      <c r="H14" s="413"/>
      <c r="I14" s="413"/>
      <c r="J14" s="1040"/>
      <c r="K14" s="413"/>
      <c r="L14" s="413"/>
      <c r="M14" s="413"/>
      <c r="N14" s="413"/>
      <c r="O14" s="413"/>
    </row>
    <row r="15" spans="1:15" x14ac:dyDescent="0.2">
      <c r="A15" s="437" t="s">
        <v>1119</v>
      </c>
      <c r="B15" s="418"/>
      <c r="C15" s="387"/>
      <c r="D15" s="894">
        <v>122.93</v>
      </c>
      <c r="E15" s="991"/>
      <c r="F15" s="413"/>
      <c r="G15" s="413"/>
      <c r="H15" s="413"/>
      <c r="I15" s="413"/>
      <c r="J15" s="1040"/>
      <c r="K15" s="413"/>
      <c r="L15" s="413"/>
      <c r="M15" s="413"/>
      <c r="N15" s="413"/>
      <c r="O15" s="413"/>
    </row>
    <row r="16" spans="1:15" x14ac:dyDescent="0.2">
      <c r="A16" s="437" t="s">
        <v>253</v>
      </c>
      <c r="B16" s="418">
        <v>2.2999999999999998</v>
      </c>
      <c r="C16" s="387">
        <v>2.5</v>
      </c>
      <c r="D16" s="894">
        <v>2</v>
      </c>
      <c r="E16" s="991">
        <v>10.5</v>
      </c>
      <c r="F16" s="413">
        <f>(('CCT''S'!$K$8*3)*$A$75)/12</f>
        <v>13.75</v>
      </c>
      <c r="G16" s="413">
        <v>3</v>
      </c>
      <c r="H16" s="413">
        <v>2.2999999999999998</v>
      </c>
      <c r="I16" s="413">
        <v>2.5</v>
      </c>
      <c r="J16" s="1041">
        <f>SALÁRIOS!C288*40*0.0132%+0.31</f>
        <v>6.62</v>
      </c>
      <c r="K16" s="413">
        <f>(('CCT''S'!$K$8*1)*$A$135)/12</f>
        <v>4.58</v>
      </c>
      <c r="L16" s="991">
        <v>2</v>
      </c>
      <c r="M16" s="991">
        <v>2.2999999999999998</v>
      </c>
      <c r="N16" s="991">
        <v>0</v>
      </c>
      <c r="O16" s="947">
        <v>9.25</v>
      </c>
    </row>
    <row r="17" spans="1:15" x14ac:dyDescent="0.2">
      <c r="A17" s="437" t="s">
        <v>254</v>
      </c>
      <c r="B17" s="418">
        <v>10.63</v>
      </c>
      <c r="C17" s="418">
        <v>10.63</v>
      </c>
      <c r="D17" s="894">
        <v>32.67</v>
      </c>
      <c r="E17" s="991">
        <v>11.21</v>
      </c>
      <c r="F17" s="419">
        <v>0</v>
      </c>
      <c r="G17" s="419">
        <v>0</v>
      </c>
      <c r="H17" s="419">
        <v>10.63</v>
      </c>
      <c r="I17" s="419">
        <v>0</v>
      </c>
      <c r="J17" s="1040">
        <v>14.2</v>
      </c>
      <c r="K17" s="413">
        <v>0</v>
      </c>
      <c r="L17" s="991">
        <v>0</v>
      </c>
      <c r="M17" s="991">
        <v>10.63</v>
      </c>
      <c r="N17" s="991">
        <v>0</v>
      </c>
      <c r="O17" s="413">
        <v>10.63</v>
      </c>
    </row>
    <row r="18" spans="1:15" x14ac:dyDescent="0.2">
      <c r="A18" s="437" t="s">
        <v>1007</v>
      </c>
      <c r="B18" s="418">
        <v>0</v>
      </c>
      <c r="C18" s="418">
        <v>0</v>
      </c>
      <c r="D18" s="894">
        <v>0</v>
      </c>
      <c r="E18" s="991">
        <v>0</v>
      </c>
      <c r="F18" s="419">
        <v>0</v>
      </c>
      <c r="G18" s="419">
        <v>0</v>
      </c>
      <c r="H18" s="419">
        <v>0</v>
      </c>
      <c r="I18" s="419">
        <v>0</v>
      </c>
      <c r="J18" s="1040">
        <v>0</v>
      </c>
      <c r="K18" s="413">
        <v>0</v>
      </c>
      <c r="L18" s="413">
        <v>0</v>
      </c>
      <c r="M18" s="413">
        <v>0</v>
      </c>
      <c r="N18" s="413">
        <v>0</v>
      </c>
      <c r="O18" s="413">
        <v>23.5</v>
      </c>
    </row>
    <row r="19" spans="1:15" ht="25.5" x14ac:dyDescent="0.2">
      <c r="A19" s="599" t="s">
        <v>165</v>
      </c>
      <c r="B19" s="418">
        <v>0</v>
      </c>
      <c r="C19" s="418">
        <v>0</v>
      </c>
      <c r="D19" s="894">
        <v>0</v>
      </c>
      <c r="E19" s="894">
        <v>0</v>
      </c>
      <c r="F19" s="418">
        <v>0</v>
      </c>
      <c r="G19" s="418">
        <v>0</v>
      </c>
      <c r="H19" s="418">
        <v>0</v>
      </c>
      <c r="I19" s="418">
        <v>0</v>
      </c>
      <c r="J19" s="1040">
        <v>0</v>
      </c>
      <c r="K19" s="413">
        <v>0</v>
      </c>
      <c r="L19" s="413">
        <v>0</v>
      </c>
      <c r="M19" s="413">
        <v>0</v>
      </c>
      <c r="N19" s="413">
        <v>0</v>
      </c>
      <c r="O19" s="413">
        <v>0</v>
      </c>
    </row>
    <row r="20" spans="1:15" x14ac:dyDescent="0.2">
      <c r="A20" s="599" t="s">
        <v>157</v>
      </c>
      <c r="B20" s="418">
        <v>12</v>
      </c>
      <c r="C20" s="418">
        <v>12</v>
      </c>
      <c r="D20" s="894">
        <v>12</v>
      </c>
      <c r="E20" s="991">
        <v>12</v>
      </c>
      <c r="F20" s="419">
        <v>10</v>
      </c>
      <c r="G20" s="419">
        <v>12</v>
      </c>
      <c r="H20" s="419">
        <v>12</v>
      </c>
      <c r="I20" s="419">
        <v>0</v>
      </c>
      <c r="J20" s="1040">
        <v>0</v>
      </c>
      <c r="K20" s="413">
        <v>0</v>
      </c>
      <c r="L20" s="991">
        <v>0</v>
      </c>
      <c r="M20" s="991">
        <v>12</v>
      </c>
      <c r="N20" s="991">
        <v>0</v>
      </c>
      <c r="O20" s="413">
        <v>12</v>
      </c>
    </row>
    <row r="21" spans="1:15" x14ac:dyDescent="0.2">
      <c r="A21" s="437" t="s">
        <v>403</v>
      </c>
      <c r="B21" s="418">
        <v>0</v>
      </c>
      <c r="C21" s="418">
        <v>200</v>
      </c>
      <c r="D21" s="894">
        <v>0</v>
      </c>
      <c r="E21" s="991">
        <v>272.06</v>
      </c>
      <c r="F21" s="419">
        <v>0</v>
      </c>
      <c r="G21" s="419">
        <v>457.46</v>
      </c>
      <c r="H21" s="419">
        <v>450</v>
      </c>
      <c r="I21" s="419">
        <v>0</v>
      </c>
      <c r="J21" s="1040">
        <v>0</v>
      </c>
      <c r="K21" s="413">
        <v>0</v>
      </c>
      <c r="L21" s="413">
        <v>0</v>
      </c>
      <c r="M21" s="413">
        <v>0</v>
      </c>
      <c r="N21" s="413">
        <v>0</v>
      </c>
      <c r="O21" s="413">
        <v>0</v>
      </c>
    </row>
    <row r="22" spans="1:15" x14ac:dyDescent="0.2">
      <c r="A22" s="420"/>
      <c r="B22" s="420"/>
      <c r="C22" s="421"/>
      <c r="D22" s="421"/>
      <c r="E22" s="421"/>
      <c r="F22" s="421"/>
      <c r="G22" s="421"/>
      <c r="H22" s="421"/>
      <c r="I22" s="421"/>
      <c r="J22" s="421"/>
      <c r="K22" s="916"/>
      <c r="L22" s="916"/>
      <c r="M22" s="916"/>
      <c r="N22" s="916"/>
      <c r="O22" s="421"/>
    </row>
    <row r="24" spans="1:15" x14ac:dyDescent="0.2">
      <c r="A24" s="438" t="s">
        <v>636</v>
      </c>
      <c r="G24" s="390"/>
      <c r="H24" s="390"/>
      <c r="I24" s="390"/>
      <c r="J24" s="390"/>
      <c r="K24" s="390"/>
      <c r="L24" s="390"/>
      <c r="M24" s="390"/>
      <c r="N24" s="390"/>
      <c r="O24" s="390"/>
    </row>
    <row r="25" spans="1:15" x14ac:dyDescent="0.2">
      <c r="A25" s="605" t="s">
        <v>382</v>
      </c>
      <c r="B25" s="431" t="str">
        <f t="shared" ref="B25:O25" si="0">B8</f>
        <v>SINDISERVIÇOS/SEAC-DF</v>
      </c>
      <c r="C25" s="431" t="str">
        <f t="shared" si="0"/>
        <v>SIS/SEAC-DF</v>
      </c>
      <c r="D25" s="431" t="str">
        <f t="shared" si="0"/>
        <v>SITTRATER/SEAC-DF</v>
      </c>
      <c r="E25" s="431" t="str">
        <f t="shared" si="0"/>
        <v>SINTTEL/SEAC-DF</v>
      </c>
      <c r="F25" s="431" t="str">
        <f t="shared" si="0"/>
        <v>SINDPD/SINDESEI-DF</v>
      </c>
      <c r="G25" s="431" t="str">
        <f t="shared" si="0"/>
        <v>SINDRAD/SEAC-DF</v>
      </c>
      <c r="H25" s="431" t="str">
        <f t="shared" si="0"/>
        <v>SINDIGRAF/SEAC-DF</v>
      </c>
      <c r="I25" s="431" t="str">
        <f t="shared" si="0"/>
        <v>STICMB/SINDUSCON-DF</v>
      </c>
      <c r="J25" s="431" t="str">
        <f t="shared" si="0"/>
        <v>SINDMOTO/SINDIBRAS-DF</v>
      </c>
      <c r="K25" s="431" t="str">
        <f t="shared" si="0"/>
        <v>SINDSAÚDE/SBH-DF</v>
      </c>
      <c r="L25" s="431" t="str">
        <f t="shared" si="0"/>
        <v>SINDILAV</v>
      </c>
      <c r="M25" s="431" t="str">
        <f>M8</f>
        <v>SINTEC/SEAC-DF</v>
      </c>
      <c r="N25" s="431" t="str">
        <f>N8</f>
        <v>SENGE/SINDUSCON-DF</v>
      </c>
      <c r="O25" s="431" t="str">
        <f t="shared" si="0"/>
        <v>SINDBOMBEIROS/SEAC-DF</v>
      </c>
    </row>
    <row r="26" spans="1:15" ht="25.5" x14ac:dyDescent="0.2">
      <c r="A26" s="606" t="s">
        <v>151</v>
      </c>
      <c r="B26" s="892" t="s">
        <v>1002</v>
      </c>
      <c r="C26" s="933" t="s">
        <v>625</v>
      </c>
      <c r="D26" s="943" t="s">
        <v>1105</v>
      </c>
      <c r="E26" s="943" t="s">
        <v>430</v>
      </c>
      <c r="F26" s="600" t="s">
        <v>440</v>
      </c>
      <c r="G26" s="1043" t="s">
        <v>625</v>
      </c>
      <c r="H26" s="988" t="s">
        <v>625</v>
      </c>
      <c r="I26" s="988" t="s">
        <v>1204</v>
      </c>
      <c r="J26" s="771" t="s">
        <v>644</v>
      </c>
      <c r="K26" s="600" t="s">
        <v>430</v>
      </c>
      <c r="L26" s="992" t="s">
        <v>430</v>
      </c>
      <c r="M26" s="988" t="s">
        <v>625</v>
      </c>
      <c r="N26" s="988" t="s">
        <v>1105</v>
      </c>
      <c r="O26" s="943" t="s">
        <v>1108</v>
      </c>
    </row>
    <row r="27" spans="1:15" ht="38.25" x14ac:dyDescent="0.2">
      <c r="A27" s="808" t="s">
        <v>1001</v>
      </c>
      <c r="B27" s="898" t="s">
        <v>1003</v>
      </c>
      <c r="C27" s="812" t="s">
        <v>1223</v>
      </c>
      <c r="D27" s="812" t="s">
        <v>1233</v>
      </c>
      <c r="E27" s="943" t="s">
        <v>1282</v>
      </c>
      <c r="F27" s="812" t="s">
        <v>1003</v>
      </c>
      <c r="G27" s="1043" t="s">
        <v>1068</v>
      </c>
      <c r="H27" s="988" t="s">
        <v>1241</v>
      </c>
      <c r="I27" s="812" t="s">
        <v>1003</v>
      </c>
      <c r="J27" s="1077" t="s">
        <v>644</v>
      </c>
      <c r="K27" s="812" t="s">
        <v>1003</v>
      </c>
      <c r="L27" s="993" t="s">
        <v>1003</v>
      </c>
      <c r="M27" s="994" t="s">
        <v>1003</v>
      </c>
      <c r="N27" s="993" t="s">
        <v>1003</v>
      </c>
      <c r="O27" s="812" t="s">
        <v>1229</v>
      </c>
    </row>
    <row r="28" spans="1:15" ht="27.75" customHeight="1" x14ac:dyDescent="0.2">
      <c r="A28" s="606" t="s">
        <v>626</v>
      </c>
      <c r="B28" s="893" t="s">
        <v>626</v>
      </c>
      <c r="C28" s="935" t="s">
        <v>626</v>
      </c>
      <c r="D28" s="944" t="s">
        <v>626</v>
      </c>
      <c r="E28" s="944" t="s">
        <v>626</v>
      </c>
      <c r="F28" s="606" t="s">
        <v>626</v>
      </c>
      <c r="G28" s="1045" t="s">
        <v>626</v>
      </c>
      <c r="H28" s="989" t="s">
        <v>626</v>
      </c>
      <c r="I28" s="989" t="s">
        <v>628</v>
      </c>
      <c r="J28" s="772" t="s">
        <v>626</v>
      </c>
      <c r="K28" s="606" t="s">
        <v>626</v>
      </c>
      <c r="L28" s="995" t="s">
        <v>626</v>
      </c>
      <c r="M28" s="989" t="s">
        <v>626</v>
      </c>
      <c r="N28" s="989" t="s">
        <v>626</v>
      </c>
      <c r="O28" s="944" t="s">
        <v>626</v>
      </c>
    </row>
    <row r="29" spans="1:15" ht="27.75" customHeight="1" x14ac:dyDescent="0.2">
      <c r="A29" s="606" t="s">
        <v>630</v>
      </c>
      <c r="B29" s="892" t="s">
        <v>631</v>
      </c>
      <c r="C29" s="933" t="s">
        <v>785</v>
      </c>
      <c r="D29" s="943" t="s">
        <v>633</v>
      </c>
      <c r="E29" s="943" t="s">
        <v>632</v>
      </c>
      <c r="F29" s="600" t="s">
        <v>634</v>
      </c>
      <c r="G29" s="1043" t="s">
        <v>911</v>
      </c>
      <c r="H29" s="988" t="s">
        <v>785</v>
      </c>
      <c r="I29" s="988" t="s">
        <v>631</v>
      </c>
      <c r="J29" s="771" t="s">
        <v>645</v>
      </c>
      <c r="K29" s="600" t="s">
        <v>633</v>
      </c>
      <c r="L29" s="992" t="s">
        <v>1168</v>
      </c>
      <c r="M29" s="988" t="s">
        <v>785</v>
      </c>
      <c r="N29" s="988" t="s">
        <v>633</v>
      </c>
      <c r="O29" s="943" t="s">
        <v>1109</v>
      </c>
    </row>
    <row r="30" spans="1:15" ht="38.25" x14ac:dyDescent="0.2">
      <c r="A30" s="437" t="s">
        <v>113</v>
      </c>
      <c r="B30" s="899" t="s">
        <v>996</v>
      </c>
      <c r="C30" s="436" t="s">
        <v>820</v>
      </c>
      <c r="D30" s="436" t="s">
        <v>1106</v>
      </c>
      <c r="E30" s="436" t="s">
        <v>882</v>
      </c>
      <c r="F30" s="436" t="s">
        <v>574</v>
      </c>
      <c r="G30" s="436" t="s">
        <v>820</v>
      </c>
      <c r="H30" s="990" t="s">
        <v>820</v>
      </c>
      <c r="I30" s="990" t="s">
        <v>1189</v>
      </c>
      <c r="J30" s="437" t="s">
        <v>113</v>
      </c>
      <c r="K30" s="437" t="s">
        <v>113</v>
      </c>
      <c r="L30" s="996" t="s">
        <v>1169</v>
      </c>
      <c r="M30" s="990" t="s">
        <v>820</v>
      </c>
      <c r="N30" s="996" t="s">
        <v>1169</v>
      </c>
      <c r="O30" s="436" t="s">
        <v>1110</v>
      </c>
    </row>
    <row r="31" spans="1:15" ht="38.25" x14ac:dyDescent="0.2">
      <c r="A31" s="437" t="s">
        <v>1118</v>
      </c>
      <c r="B31" s="899" t="s">
        <v>1136</v>
      </c>
      <c r="C31" s="899" t="s">
        <v>1138</v>
      </c>
      <c r="D31" s="899" t="s">
        <v>1149</v>
      </c>
      <c r="E31" s="899" t="s">
        <v>1140</v>
      </c>
      <c r="F31" s="436" t="s">
        <v>1142</v>
      </c>
      <c r="G31" s="437" t="s">
        <v>1118</v>
      </c>
      <c r="H31" s="437" t="s">
        <v>1118</v>
      </c>
      <c r="I31" s="437" t="s">
        <v>1118</v>
      </c>
      <c r="J31" s="437" t="s">
        <v>1118</v>
      </c>
      <c r="K31" s="437" t="s">
        <v>1118</v>
      </c>
      <c r="L31" s="437" t="s">
        <v>1118</v>
      </c>
      <c r="M31" s="437" t="s">
        <v>1118</v>
      </c>
      <c r="N31" s="437" t="s">
        <v>1118</v>
      </c>
      <c r="O31" s="899" t="s">
        <v>1144</v>
      </c>
    </row>
    <row r="32" spans="1:15" ht="51" x14ac:dyDescent="0.2">
      <c r="A32" s="437" t="s">
        <v>1119</v>
      </c>
      <c r="B32" s="899" t="s">
        <v>1137</v>
      </c>
      <c r="C32" s="899" t="s">
        <v>1139</v>
      </c>
      <c r="D32" s="899" t="s">
        <v>1150</v>
      </c>
      <c r="E32" s="899" t="s">
        <v>1141</v>
      </c>
      <c r="F32" s="436" t="s">
        <v>1143</v>
      </c>
      <c r="G32" s="437" t="s">
        <v>1119</v>
      </c>
      <c r="H32" s="437" t="s">
        <v>1119</v>
      </c>
      <c r="I32" s="437" t="s">
        <v>1119</v>
      </c>
      <c r="J32" s="437" t="s">
        <v>1119</v>
      </c>
      <c r="K32" s="437" t="s">
        <v>1119</v>
      </c>
      <c r="L32" s="437" t="s">
        <v>1119</v>
      </c>
      <c r="M32" s="437" t="s">
        <v>1119</v>
      </c>
      <c r="N32" s="437" t="s">
        <v>1119</v>
      </c>
      <c r="O32" s="899" t="s">
        <v>1145</v>
      </c>
    </row>
    <row r="33" spans="1:15" ht="38.25" x14ac:dyDescent="0.2">
      <c r="A33" s="437" t="s">
        <v>253</v>
      </c>
      <c r="B33" s="899" t="s">
        <v>1069</v>
      </c>
      <c r="C33" s="436" t="s">
        <v>1096</v>
      </c>
      <c r="D33" s="436" t="s">
        <v>1120</v>
      </c>
      <c r="E33" s="436" t="s">
        <v>573</v>
      </c>
      <c r="F33" s="436" t="s">
        <v>573</v>
      </c>
      <c r="G33" s="436" t="s">
        <v>1069</v>
      </c>
      <c r="H33" s="990" t="s">
        <v>1069</v>
      </c>
      <c r="I33" s="990" t="s">
        <v>635</v>
      </c>
      <c r="J33" s="436" t="s">
        <v>646</v>
      </c>
      <c r="K33" s="436" t="s">
        <v>1097</v>
      </c>
      <c r="L33" s="996" t="s">
        <v>1170</v>
      </c>
      <c r="M33" s="990" t="s">
        <v>1238</v>
      </c>
      <c r="N33" s="990" t="s">
        <v>1192</v>
      </c>
      <c r="O33" s="436" t="s">
        <v>884</v>
      </c>
    </row>
    <row r="34" spans="1:15" ht="29.25" customHeight="1" x14ac:dyDescent="0.2">
      <c r="A34" s="437" t="s">
        <v>254</v>
      </c>
      <c r="B34" s="899" t="s">
        <v>255</v>
      </c>
      <c r="C34" s="436" t="s">
        <v>1220</v>
      </c>
      <c r="D34" s="436" t="s">
        <v>1121</v>
      </c>
      <c r="E34" s="436" t="s">
        <v>883</v>
      </c>
      <c r="F34" s="436" t="s">
        <v>254</v>
      </c>
      <c r="G34" s="436" t="s">
        <v>1072</v>
      </c>
      <c r="H34" s="990" t="s">
        <v>1072</v>
      </c>
      <c r="I34" s="990" t="s">
        <v>254</v>
      </c>
      <c r="J34" s="436" t="s">
        <v>912</v>
      </c>
      <c r="K34" s="436" t="s">
        <v>254</v>
      </c>
      <c r="L34" s="996" t="s">
        <v>1171</v>
      </c>
      <c r="M34" s="990" t="s">
        <v>1072</v>
      </c>
      <c r="N34" s="990" t="s">
        <v>254</v>
      </c>
      <c r="O34" s="436" t="s">
        <v>1111</v>
      </c>
    </row>
    <row r="35" spans="1:15" ht="29.25" customHeight="1" x14ac:dyDescent="0.2">
      <c r="A35" s="437" t="s">
        <v>1007</v>
      </c>
      <c r="B35" s="900" t="s">
        <v>1007</v>
      </c>
      <c r="C35" s="437" t="s">
        <v>1007</v>
      </c>
      <c r="D35" s="437" t="s">
        <v>1007</v>
      </c>
      <c r="E35" s="437" t="s">
        <v>1007</v>
      </c>
      <c r="F35" s="437" t="s">
        <v>1007</v>
      </c>
      <c r="G35" s="437" t="s">
        <v>1007</v>
      </c>
      <c r="H35" s="437" t="s">
        <v>1007</v>
      </c>
      <c r="I35" s="437" t="s">
        <v>1007</v>
      </c>
      <c r="J35" s="437" t="s">
        <v>1007</v>
      </c>
      <c r="K35" s="437" t="s">
        <v>1007</v>
      </c>
      <c r="L35" s="437" t="s">
        <v>1007</v>
      </c>
      <c r="M35" s="437" t="s">
        <v>1007</v>
      </c>
      <c r="N35" s="437" t="s">
        <v>1007</v>
      </c>
      <c r="O35" s="437" t="s">
        <v>1112</v>
      </c>
    </row>
    <row r="36" spans="1:15" ht="38.25" x14ac:dyDescent="0.2">
      <c r="A36" s="599" t="s">
        <v>165</v>
      </c>
      <c r="B36" s="892" t="s">
        <v>1080</v>
      </c>
      <c r="C36" s="936" t="s">
        <v>1221</v>
      </c>
      <c r="D36" s="941" t="s">
        <v>444</v>
      </c>
      <c r="E36" s="941" t="s">
        <v>165</v>
      </c>
      <c r="F36" s="601" t="s">
        <v>447</v>
      </c>
      <c r="G36" s="1046" t="s">
        <v>1070</v>
      </c>
      <c r="H36" s="988" t="s">
        <v>675</v>
      </c>
      <c r="I36" s="988" t="s">
        <v>444</v>
      </c>
      <c r="J36" s="773" t="s">
        <v>650</v>
      </c>
      <c r="K36" s="802" t="s">
        <v>444</v>
      </c>
      <c r="L36" s="992" t="s">
        <v>165</v>
      </c>
      <c r="M36" s="992" t="s">
        <v>165</v>
      </c>
      <c r="N36" s="988" t="s">
        <v>1193</v>
      </c>
      <c r="O36" s="941" t="s">
        <v>1113</v>
      </c>
    </row>
    <row r="37" spans="1:15" ht="38.25" x14ac:dyDescent="0.2">
      <c r="A37" s="599" t="s">
        <v>157</v>
      </c>
      <c r="B37" s="892" t="s">
        <v>1215</v>
      </c>
      <c r="C37" s="936" t="s">
        <v>1222</v>
      </c>
      <c r="D37" s="941" t="s">
        <v>915</v>
      </c>
      <c r="E37" s="941" t="s">
        <v>1115</v>
      </c>
      <c r="F37" s="788" t="s">
        <v>951</v>
      </c>
      <c r="G37" s="1046" t="s">
        <v>1249</v>
      </c>
      <c r="H37" s="988" t="s">
        <v>951</v>
      </c>
      <c r="I37" s="988" t="s">
        <v>1190</v>
      </c>
      <c r="J37" s="773" t="s">
        <v>448</v>
      </c>
      <c r="K37" s="601" t="s">
        <v>1098</v>
      </c>
      <c r="L37" s="992" t="s">
        <v>1081</v>
      </c>
      <c r="M37" s="988" t="s">
        <v>1172</v>
      </c>
      <c r="N37" s="988" t="s">
        <v>157</v>
      </c>
      <c r="O37" s="941" t="s">
        <v>1222</v>
      </c>
    </row>
    <row r="38" spans="1:15" ht="28.5" customHeight="1" x14ac:dyDescent="0.2">
      <c r="A38" s="437" t="s">
        <v>403</v>
      </c>
      <c r="B38" s="899" t="s">
        <v>403</v>
      </c>
      <c r="C38" s="436" t="s">
        <v>1219</v>
      </c>
      <c r="D38" s="436" t="s">
        <v>403</v>
      </c>
      <c r="E38" s="436" t="s">
        <v>999</v>
      </c>
      <c r="F38" s="436" t="s">
        <v>403</v>
      </c>
      <c r="G38" s="436" t="s">
        <v>1071</v>
      </c>
      <c r="H38" s="990" t="s">
        <v>1191</v>
      </c>
      <c r="I38" s="990" t="s">
        <v>403</v>
      </c>
      <c r="J38" s="436" t="s">
        <v>403</v>
      </c>
      <c r="K38" s="436" t="s">
        <v>403</v>
      </c>
      <c r="L38" s="996" t="s">
        <v>403</v>
      </c>
      <c r="M38" s="990" t="s">
        <v>403</v>
      </c>
      <c r="N38" s="990" t="s">
        <v>403</v>
      </c>
      <c r="O38" s="436" t="s">
        <v>403</v>
      </c>
    </row>
    <row r="39" spans="1:15" x14ac:dyDescent="0.2">
      <c r="G39" s="439"/>
      <c r="H39" s="423"/>
      <c r="I39" s="423"/>
      <c r="J39" s="390"/>
      <c r="K39" s="390"/>
      <c r="L39" s="390"/>
      <c r="M39" s="390"/>
      <c r="N39" s="390"/>
      <c r="O39" s="390"/>
    </row>
    <row r="40" spans="1:15" x14ac:dyDescent="0.2">
      <c r="G40" s="439"/>
      <c r="H40" s="423"/>
      <c r="I40" s="423"/>
      <c r="J40" s="390"/>
      <c r="K40" s="390"/>
      <c r="L40" s="390"/>
      <c r="M40" s="390"/>
      <c r="N40" s="390"/>
      <c r="O40" s="390"/>
    </row>
    <row r="41" spans="1:15" x14ac:dyDescent="0.2">
      <c r="A41" s="438" t="s">
        <v>421</v>
      </c>
      <c r="G41" s="390"/>
      <c r="H41" s="390"/>
      <c r="I41" s="390"/>
      <c r="J41" s="390"/>
      <c r="K41" s="390"/>
      <c r="L41" s="390"/>
      <c r="M41" s="390"/>
      <c r="N41" s="390"/>
      <c r="O41" s="390"/>
    </row>
    <row r="42" spans="1:15" x14ac:dyDescent="0.2">
      <c r="A42" s="496" t="str">
        <f>$B$25</f>
        <v>SINDISERVIÇOS/SEAC-DF</v>
      </c>
      <c r="G42" s="390"/>
      <c r="H42" s="390"/>
      <c r="I42" s="390"/>
      <c r="J42" s="390"/>
      <c r="K42" s="390"/>
      <c r="L42" s="390"/>
      <c r="M42" s="390"/>
      <c r="N42" s="390"/>
      <c r="O42" s="390"/>
    </row>
    <row r="43" spans="1:15" hidden="1" x14ac:dyDescent="0.2">
      <c r="A43" s="807" t="s">
        <v>1006</v>
      </c>
      <c r="G43" s="390"/>
      <c r="H43" s="390"/>
      <c r="I43" s="390"/>
      <c r="J43" s="390"/>
      <c r="K43" s="390"/>
      <c r="L43" s="390"/>
      <c r="M43" s="390"/>
      <c r="N43" s="390"/>
      <c r="O43" s="390"/>
    </row>
    <row r="44" spans="1:15" x14ac:dyDescent="0.2">
      <c r="A44" s="807" t="s">
        <v>1214</v>
      </c>
      <c r="G44" s="390"/>
      <c r="H44" s="390"/>
      <c r="I44" s="390"/>
      <c r="J44" s="390"/>
      <c r="K44" s="390"/>
      <c r="L44" s="390"/>
      <c r="M44" s="390"/>
      <c r="N44" s="390"/>
      <c r="O44" s="390"/>
    </row>
    <row r="45" spans="1:15" x14ac:dyDescent="0.2">
      <c r="A45" s="496" t="str">
        <f>$C$25</f>
        <v>SIS/SEAC-DF</v>
      </c>
      <c r="G45" s="390" t="s">
        <v>0</v>
      </c>
      <c r="H45" s="390"/>
      <c r="I45" s="390"/>
      <c r="J45" s="390"/>
      <c r="K45" s="390"/>
      <c r="L45" s="390"/>
      <c r="M45" s="390"/>
      <c r="N45" s="390"/>
      <c r="O45" s="390"/>
    </row>
    <row r="46" spans="1:15" x14ac:dyDescent="0.2">
      <c r="A46" s="807" t="s">
        <v>1224</v>
      </c>
      <c r="G46" s="390"/>
      <c r="H46" s="390"/>
      <c r="I46" s="390"/>
      <c r="J46" s="390"/>
      <c r="K46" s="390"/>
      <c r="L46" s="390"/>
      <c r="M46" s="390"/>
      <c r="N46" s="390"/>
      <c r="O46" s="390"/>
    </row>
    <row r="47" spans="1:15" x14ac:dyDescent="0.2">
      <c r="A47" s="1029" t="s">
        <v>1225</v>
      </c>
      <c r="G47" s="390"/>
      <c r="H47" s="390"/>
      <c r="I47" s="390"/>
      <c r="J47" s="390"/>
      <c r="K47" s="390"/>
      <c r="L47" s="390"/>
      <c r="M47" s="390"/>
      <c r="N47" s="390"/>
      <c r="O47" s="390"/>
    </row>
    <row r="48" spans="1:15" x14ac:dyDescent="0.2">
      <c r="A48" s="807" t="s">
        <v>1226</v>
      </c>
      <c r="G48" s="390"/>
      <c r="H48" s="390"/>
      <c r="I48" s="390"/>
      <c r="J48" s="390"/>
      <c r="K48" s="390"/>
      <c r="L48" s="390"/>
      <c r="M48" s="390"/>
      <c r="N48" s="390"/>
      <c r="O48" s="390"/>
    </row>
    <row r="49" spans="1:15" x14ac:dyDescent="0.2">
      <c r="A49" s="1029" t="s">
        <v>1227</v>
      </c>
      <c r="G49" s="390"/>
      <c r="H49" s="390"/>
      <c r="I49" s="390"/>
      <c r="J49" s="390"/>
      <c r="K49" s="390"/>
      <c r="L49" s="390"/>
      <c r="M49" s="390"/>
      <c r="N49" s="390"/>
      <c r="O49" s="390"/>
    </row>
    <row r="50" spans="1:15" x14ac:dyDescent="0.2">
      <c r="A50" s="496" t="str">
        <f>$D$25</f>
        <v>SITTRATER/SEAC-DF</v>
      </c>
      <c r="G50" s="390"/>
      <c r="H50" s="390"/>
      <c r="I50" s="390"/>
      <c r="J50" s="390"/>
      <c r="K50" s="390"/>
      <c r="L50" s="390"/>
      <c r="M50" s="390"/>
      <c r="N50" s="390"/>
      <c r="O50" s="390"/>
    </row>
    <row r="51" spans="1:15" x14ac:dyDescent="0.2">
      <c r="A51" s="807" t="s">
        <v>1122</v>
      </c>
      <c r="G51" s="390"/>
      <c r="H51" s="390"/>
      <c r="I51" s="390"/>
      <c r="J51" s="390"/>
      <c r="K51" s="390"/>
      <c r="L51" s="390"/>
      <c r="M51" s="390"/>
      <c r="N51" s="390"/>
      <c r="O51" s="390"/>
    </row>
    <row r="52" spans="1:15" x14ac:dyDescent="0.2">
      <c r="A52" s="807" t="s">
        <v>1123</v>
      </c>
      <c r="G52" s="390"/>
      <c r="H52" s="390"/>
      <c r="I52" s="390"/>
      <c r="J52" s="390"/>
      <c r="K52" s="390"/>
      <c r="L52" s="390"/>
      <c r="M52" s="390"/>
      <c r="N52" s="390"/>
      <c r="O52" s="390"/>
    </row>
    <row r="53" spans="1:15" x14ac:dyDescent="0.2">
      <c r="A53" s="807" t="s">
        <v>1124</v>
      </c>
      <c r="G53" s="390"/>
      <c r="H53" s="390"/>
      <c r="I53" s="390"/>
      <c r="J53" s="390"/>
      <c r="K53" s="390"/>
      <c r="L53" s="390"/>
      <c r="M53" s="390"/>
      <c r="N53" s="390"/>
      <c r="O53" s="390"/>
    </row>
    <row r="54" spans="1:15" x14ac:dyDescent="0.2">
      <c r="A54" s="496" t="str">
        <f>$E$25</f>
        <v>SINTTEL/SEAC-DF</v>
      </c>
      <c r="G54" s="390"/>
      <c r="H54" s="390"/>
      <c r="I54" s="390"/>
      <c r="J54" s="390"/>
      <c r="K54" s="390"/>
      <c r="L54" s="390"/>
      <c r="M54" s="390"/>
      <c r="N54" s="390"/>
      <c r="O54" s="390"/>
    </row>
    <row r="55" spans="1:15" x14ac:dyDescent="0.2">
      <c r="A55" s="807" t="s">
        <v>1116</v>
      </c>
      <c r="G55" s="390"/>
      <c r="H55" s="390"/>
      <c r="I55" s="390"/>
      <c r="J55" s="390"/>
      <c r="K55" s="390"/>
      <c r="L55" s="390"/>
      <c r="M55" s="390"/>
      <c r="N55" s="390"/>
      <c r="O55" s="390"/>
    </row>
    <row r="56" spans="1:15" x14ac:dyDescent="0.2">
      <c r="A56" s="807" t="s">
        <v>1283</v>
      </c>
      <c r="G56" s="390"/>
      <c r="H56" s="390"/>
      <c r="I56" s="390"/>
      <c r="J56" s="390"/>
      <c r="K56" s="390"/>
      <c r="L56" s="390"/>
      <c r="M56" s="390"/>
      <c r="N56" s="390"/>
      <c r="O56" s="390"/>
    </row>
    <row r="57" spans="1:15" x14ac:dyDescent="0.2">
      <c r="A57" s="807" t="s">
        <v>1117</v>
      </c>
    </row>
    <row r="58" spans="1:15" x14ac:dyDescent="0.2">
      <c r="A58" s="496" t="str">
        <f>$F$25</f>
        <v>SINDPD/SINDESEI-DF</v>
      </c>
    </row>
    <row r="59" spans="1:15" x14ac:dyDescent="0.2">
      <c r="A59" s="427" t="s">
        <v>647</v>
      </c>
    </row>
    <row r="60" spans="1:15" x14ac:dyDescent="0.2">
      <c r="A60" s="807" t="s">
        <v>1076</v>
      </c>
    </row>
    <row r="61" spans="1:15" x14ac:dyDescent="0.2">
      <c r="A61" s="466" t="s">
        <v>445</v>
      </c>
      <c r="B61" s="901" t="s">
        <v>446</v>
      </c>
    </row>
    <row r="62" spans="1:15" x14ac:dyDescent="0.2">
      <c r="A62" s="466" t="s">
        <v>1197</v>
      </c>
      <c r="B62" s="902">
        <v>0</v>
      </c>
    </row>
    <row r="63" spans="1:15" x14ac:dyDescent="0.2">
      <c r="A63" s="466" t="s">
        <v>1198</v>
      </c>
      <c r="B63" s="902">
        <v>0.05</v>
      </c>
    </row>
    <row r="64" spans="1:15" x14ac:dyDescent="0.2">
      <c r="A64" s="466" t="s">
        <v>1199</v>
      </c>
      <c r="B64" s="903">
        <v>7.4999999999999997E-2</v>
      </c>
    </row>
    <row r="65" spans="1:15" x14ac:dyDescent="0.2">
      <c r="A65" s="466" t="s">
        <v>1200</v>
      </c>
      <c r="B65" s="902">
        <v>0.1</v>
      </c>
    </row>
    <row r="66" spans="1:15" x14ac:dyDescent="0.2">
      <c r="A66" s="466" t="s">
        <v>1201</v>
      </c>
      <c r="B66" s="902">
        <v>0.15</v>
      </c>
    </row>
    <row r="67" spans="1:15" ht="12.75" customHeight="1" x14ac:dyDescent="0.2">
      <c r="A67" s="466" t="s">
        <v>1202</v>
      </c>
      <c r="B67" s="902">
        <v>0.2</v>
      </c>
    </row>
    <row r="68" spans="1:15" ht="12.75" customHeight="1" x14ac:dyDescent="0.2">
      <c r="A68" s="1347" t="s">
        <v>949</v>
      </c>
      <c r="B68" s="1347"/>
      <c r="C68" s="1347"/>
      <c r="D68" s="1347"/>
      <c r="E68" s="1347"/>
      <c r="F68" s="1347"/>
      <c r="G68" s="1347"/>
      <c r="H68" s="1347"/>
      <c r="I68" s="1347"/>
      <c r="J68" s="1347"/>
      <c r="K68" s="1347"/>
      <c r="L68" s="1347"/>
      <c r="M68" s="1347"/>
      <c r="N68" s="1347"/>
      <c r="O68" s="1347"/>
    </row>
    <row r="69" spans="1:15" x14ac:dyDescent="0.2">
      <c r="A69" s="466" t="s">
        <v>441</v>
      </c>
      <c r="B69" s="901" t="s">
        <v>442</v>
      </c>
    </row>
    <row r="70" spans="1:15" x14ac:dyDescent="0.2">
      <c r="A70" s="467">
        <v>0.7</v>
      </c>
      <c r="B70" s="902" t="s">
        <v>1194</v>
      </c>
      <c r="D70" s="468"/>
    </row>
    <row r="71" spans="1:15" x14ac:dyDescent="0.2">
      <c r="A71" s="467">
        <v>0.6</v>
      </c>
      <c r="B71" s="902" t="s">
        <v>1195</v>
      </c>
    </row>
    <row r="72" spans="1:15" ht="12.75" customHeight="1" x14ac:dyDescent="0.2">
      <c r="A72" s="467">
        <v>0.5</v>
      </c>
      <c r="B72" s="903" t="s">
        <v>1196</v>
      </c>
    </row>
    <row r="73" spans="1:15" x14ac:dyDescent="0.2">
      <c r="A73" s="1347" t="s">
        <v>651</v>
      </c>
      <c r="B73" s="1347"/>
      <c r="C73" s="1347"/>
      <c r="D73" s="1347"/>
      <c r="E73" s="1347"/>
      <c r="F73" s="1347"/>
      <c r="G73" s="1347"/>
      <c r="H73" s="1347"/>
      <c r="I73" s="1347"/>
      <c r="J73" s="1347"/>
      <c r="K73" s="1347"/>
      <c r="L73" s="1347"/>
      <c r="M73" s="1347"/>
      <c r="N73" s="1347"/>
      <c r="O73" s="1347"/>
    </row>
    <row r="74" spans="1:15" x14ac:dyDescent="0.2">
      <c r="A74" s="466" t="s">
        <v>443</v>
      </c>
      <c r="B74" s="904"/>
    </row>
    <row r="75" spans="1:15" x14ac:dyDescent="0.2">
      <c r="A75" s="467">
        <v>0.05</v>
      </c>
      <c r="B75" s="905"/>
      <c r="C75" s="383" t="s">
        <v>0</v>
      </c>
    </row>
    <row r="76" spans="1:15" x14ac:dyDescent="0.2">
      <c r="A76" s="427" t="s">
        <v>648</v>
      </c>
    </row>
    <row r="77" spans="1:15" x14ac:dyDescent="0.2">
      <c r="A77" s="427" t="s">
        <v>950</v>
      </c>
    </row>
    <row r="78" spans="1:15" x14ac:dyDescent="0.2">
      <c r="A78" s="496" t="str">
        <f>$G$25</f>
        <v>SINDRAD/SEAC-DF</v>
      </c>
    </row>
    <row r="79" spans="1:15" x14ac:dyDescent="0.2">
      <c r="A79" s="807" t="s">
        <v>1092</v>
      </c>
    </row>
    <row r="80" spans="1:15" x14ac:dyDescent="0.2">
      <c r="A80" s="807" t="s">
        <v>1090</v>
      </c>
    </row>
    <row r="81" spans="1:15" x14ac:dyDescent="0.2">
      <c r="A81" s="807" t="s">
        <v>1091</v>
      </c>
    </row>
    <row r="82" spans="1:15" x14ac:dyDescent="0.2">
      <c r="A82" s="496" t="str">
        <f>$H$25</f>
        <v>SINDIGRAF/SEAC-DF</v>
      </c>
    </row>
    <row r="83" spans="1:15" x14ac:dyDescent="0.2">
      <c r="A83" s="807" t="s">
        <v>1243</v>
      </c>
    </row>
    <row r="84" spans="1:15" x14ac:dyDescent="0.2">
      <c r="A84" s="807" t="s">
        <v>1242</v>
      </c>
    </row>
    <row r="85" spans="1:15" x14ac:dyDescent="0.2">
      <c r="A85" s="496" t="str">
        <f>$I$25</f>
        <v>STICMB/SINDUSCON-DF</v>
      </c>
    </row>
    <row r="86" spans="1:15" ht="12.75" customHeight="1" x14ac:dyDescent="0.2">
      <c r="A86" s="427" t="s">
        <v>652</v>
      </c>
    </row>
    <row r="87" spans="1:15" ht="12.75" customHeight="1" x14ac:dyDescent="0.2">
      <c r="A87" s="1347" t="s">
        <v>814</v>
      </c>
      <c r="B87" s="1347"/>
      <c r="C87" s="1347"/>
      <c r="D87" s="1347"/>
      <c r="E87" s="1347"/>
      <c r="F87" s="1347"/>
      <c r="G87" s="1347"/>
      <c r="H87" s="1347"/>
      <c r="I87" s="1347"/>
      <c r="J87" s="1347"/>
      <c r="K87" s="1347"/>
      <c r="L87" s="1347"/>
      <c r="M87" s="1347"/>
      <c r="N87" s="1347"/>
      <c r="O87" s="1347"/>
    </row>
    <row r="88" spans="1:15" x14ac:dyDescent="0.2">
      <c r="A88" s="1348" t="s">
        <v>592</v>
      </c>
      <c r="B88" s="1348"/>
      <c r="C88" s="1348"/>
    </row>
    <row r="89" spans="1:15" x14ac:dyDescent="0.2">
      <c r="A89" s="466" t="s">
        <v>593</v>
      </c>
      <c r="B89" s="901" t="s">
        <v>594</v>
      </c>
      <c r="C89" s="466" t="s">
        <v>595</v>
      </c>
    </row>
    <row r="90" spans="1:15" x14ac:dyDescent="0.2">
      <c r="A90" s="483">
        <v>2</v>
      </c>
      <c r="B90" s="902" t="s">
        <v>596</v>
      </c>
      <c r="C90" s="467" t="s">
        <v>597</v>
      </c>
    </row>
    <row r="91" spans="1:15" x14ac:dyDescent="0.2">
      <c r="A91" s="484">
        <v>5</v>
      </c>
      <c r="B91" s="901" t="s">
        <v>596</v>
      </c>
      <c r="C91" s="466" t="s">
        <v>598</v>
      </c>
    </row>
    <row r="92" spans="1:15" x14ac:dyDescent="0.2">
      <c r="A92" s="483">
        <v>8</v>
      </c>
      <c r="B92" s="902" t="s">
        <v>596</v>
      </c>
      <c r="C92" s="467" t="s">
        <v>599</v>
      </c>
    </row>
    <row r="93" spans="1:15" x14ac:dyDescent="0.2">
      <c r="A93" s="484">
        <v>2</v>
      </c>
      <c r="B93" s="901" t="s">
        <v>596</v>
      </c>
      <c r="C93" s="466" t="s">
        <v>600</v>
      </c>
    </row>
    <row r="94" spans="1:15" x14ac:dyDescent="0.2">
      <c r="A94" s="483">
        <v>4</v>
      </c>
      <c r="B94" s="902" t="s">
        <v>596</v>
      </c>
      <c r="C94" s="467" t="s">
        <v>601</v>
      </c>
    </row>
    <row r="95" spans="1:15" x14ac:dyDescent="0.2">
      <c r="A95" s="484">
        <v>3</v>
      </c>
      <c r="B95" s="901" t="s">
        <v>596</v>
      </c>
      <c r="C95" s="466" t="s">
        <v>602</v>
      </c>
    </row>
    <row r="96" spans="1:15" x14ac:dyDescent="0.2">
      <c r="A96" s="483">
        <v>5</v>
      </c>
      <c r="B96" s="902" t="s">
        <v>596</v>
      </c>
      <c r="C96" s="467" t="s">
        <v>603</v>
      </c>
    </row>
    <row r="97" spans="1:15" x14ac:dyDescent="0.2">
      <c r="A97" s="484">
        <v>4</v>
      </c>
      <c r="B97" s="901" t="s">
        <v>596</v>
      </c>
      <c r="C97" s="466" t="s">
        <v>604</v>
      </c>
    </row>
    <row r="98" spans="1:15" x14ac:dyDescent="0.2">
      <c r="A98" s="483">
        <v>6</v>
      </c>
      <c r="B98" s="902" t="s">
        <v>605</v>
      </c>
      <c r="C98" s="467" t="s">
        <v>606</v>
      </c>
    </row>
    <row r="99" spans="1:15" x14ac:dyDescent="0.2">
      <c r="A99" s="484">
        <v>8</v>
      </c>
      <c r="B99" s="901" t="s">
        <v>605</v>
      </c>
      <c r="C99" s="466" t="s">
        <v>607</v>
      </c>
    </row>
    <row r="100" spans="1:15" x14ac:dyDescent="0.2">
      <c r="A100" s="483">
        <v>1</v>
      </c>
      <c r="B100" s="902" t="s">
        <v>608</v>
      </c>
      <c r="C100" s="467" t="s">
        <v>609</v>
      </c>
    </row>
    <row r="101" spans="1:15" x14ac:dyDescent="0.2">
      <c r="A101" s="484">
        <v>2</v>
      </c>
      <c r="B101" s="901" t="s">
        <v>608</v>
      </c>
      <c r="C101" s="466" t="s">
        <v>610</v>
      </c>
    </row>
    <row r="102" spans="1:15" x14ac:dyDescent="0.2">
      <c r="A102" s="483">
        <v>1</v>
      </c>
      <c r="B102" s="902" t="s">
        <v>596</v>
      </c>
      <c r="C102" s="467" t="s">
        <v>611</v>
      </c>
    </row>
    <row r="103" spans="1:15" x14ac:dyDescent="0.2">
      <c r="A103" s="484">
        <v>1</v>
      </c>
      <c r="B103" s="901" t="s">
        <v>596</v>
      </c>
      <c r="C103" s="466" t="s">
        <v>612</v>
      </c>
    </row>
    <row r="104" spans="1:15" x14ac:dyDescent="0.2">
      <c r="A104" s="483">
        <v>3</v>
      </c>
      <c r="B104" s="902" t="s">
        <v>77</v>
      </c>
      <c r="C104" s="467" t="s">
        <v>613</v>
      </c>
    </row>
    <row r="105" spans="1:15" x14ac:dyDescent="0.2">
      <c r="A105" s="484">
        <v>2</v>
      </c>
      <c r="B105" s="901" t="s">
        <v>614</v>
      </c>
      <c r="C105" s="466" t="s">
        <v>615</v>
      </c>
    </row>
    <row r="106" spans="1:15" x14ac:dyDescent="0.2">
      <c r="A106" s="483">
        <v>4</v>
      </c>
      <c r="B106" s="902" t="s">
        <v>616</v>
      </c>
      <c r="C106" s="467" t="s">
        <v>617</v>
      </c>
    </row>
    <row r="107" spans="1:15" x14ac:dyDescent="0.2">
      <c r="A107" s="484">
        <v>2</v>
      </c>
      <c r="B107" s="901" t="s">
        <v>618</v>
      </c>
      <c r="C107" s="466" t="s">
        <v>619</v>
      </c>
    </row>
    <row r="108" spans="1:15" x14ac:dyDescent="0.2">
      <c r="A108" s="483">
        <v>1</v>
      </c>
      <c r="B108" s="902" t="s">
        <v>605</v>
      </c>
      <c r="C108" s="467" t="s">
        <v>620</v>
      </c>
    </row>
    <row r="109" spans="1:15" x14ac:dyDescent="0.2">
      <c r="A109" s="484">
        <v>5</v>
      </c>
      <c r="B109" s="901" t="s">
        <v>621</v>
      </c>
      <c r="C109" s="466" t="s">
        <v>622</v>
      </c>
    </row>
    <row r="110" spans="1:15" x14ac:dyDescent="0.2">
      <c r="A110" s="483">
        <v>2</v>
      </c>
      <c r="B110" s="902" t="s">
        <v>596</v>
      </c>
      <c r="C110" s="467" t="s">
        <v>623</v>
      </c>
    </row>
    <row r="111" spans="1:15" ht="12.75" customHeight="1" x14ac:dyDescent="0.2">
      <c r="A111" s="484">
        <v>2</v>
      </c>
      <c r="B111" s="901" t="s">
        <v>596</v>
      </c>
      <c r="C111" s="466" t="s">
        <v>624</v>
      </c>
    </row>
    <row r="112" spans="1:15" ht="12.75" customHeight="1" x14ac:dyDescent="0.2">
      <c r="A112" s="1347" t="s">
        <v>810</v>
      </c>
      <c r="B112" s="1347"/>
      <c r="C112" s="1347"/>
      <c r="D112" s="1347"/>
      <c r="E112" s="1347"/>
      <c r="F112" s="1347"/>
      <c r="G112" s="1347"/>
      <c r="H112" s="1347"/>
      <c r="I112" s="1347"/>
      <c r="J112" s="1347"/>
      <c r="K112" s="1347"/>
      <c r="L112" s="1347"/>
      <c r="M112" s="1347"/>
      <c r="N112" s="1347"/>
      <c r="O112" s="1347"/>
    </row>
    <row r="113" spans="1:15" ht="12.75" customHeight="1" x14ac:dyDescent="0.2">
      <c r="A113" s="1347"/>
      <c r="B113" s="1347"/>
      <c r="C113" s="1347"/>
      <c r="D113" s="1347"/>
      <c r="E113" s="1347"/>
      <c r="F113" s="1347"/>
      <c r="G113" s="1347"/>
      <c r="H113" s="1347"/>
      <c r="I113" s="1347"/>
      <c r="J113" s="1347"/>
      <c r="K113" s="1347"/>
      <c r="L113" s="1347"/>
      <c r="M113" s="1347"/>
      <c r="N113" s="1347"/>
      <c r="O113" s="1347"/>
    </row>
    <row r="114" spans="1:15" ht="12.75" customHeight="1" x14ac:dyDescent="0.2">
      <c r="A114" s="1347" t="s">
        <v>811</v>
      </c>
      <c r="B114" s="1347"/>
      <c r="C114" s="1347"/>
      <c r="D114" s="1347"/>
      <c r="E114" s="1347"/>
      <c r="F114" s="1347"/>
      <c r="G114" s="1347"/>
      <c r="H114" s="1347"/>
      <c r="I114" s="1347"/>
      <c r="J114" s="1347"/>
      <c r="K114" s="1347"/>
      <c r="L114" s="1347"/>
      <c r="M114" s="1347"/>
      <c r="N114" s="1347"/>
      <c r="O114" s="1347"/>
    </row>
    <row r="115" spans="1:15" x14ac:dyDescent="0.2">
      <c r="A115" s="1347"/>
      <c r="B115" s="1347"/>
      <c r="C115" s="1347"/>
      <c r="D115" s="1347"/>
      <c r="E115" s="1347"/>
      <c r="F115" s="1347"/>
      <c r="G115" s="1347"/>
      <c r="H115" s="1347"/>
      <c r="I115" s="1347"/>
      <c r="J115" s="1347"/>
      <c r="K115" s="1347"/>
      <c r="L115" s="1347"/>
      <c r="M115" s="1347"/>
      <c r="N115" s="1347"/>
      <c r="O115" s="1347"/>
    </row>
    <row r="116" spans="1:15" ht="12.75" customHeight="1" x14ac:dyDescent="0.2">
      <c r="A116" s="1347"/>
      <c r="B116" s="1347"/>
      <c r="C116" s="1347"/>
      <c r="D116" s="1347"/>
      <c r="E116" s="1347"/>
      <c r="F116" s="1347"/>
      <c r="G116" s="1347"/>
      <c r="H116" s="1347"/>
      <c r="I116" s="1347"/>
      <c r="J116" s="1347"/>
      <c r="K116" s="1347"/>
      <c r="L116" s="1347"/>
      <c r="M116" s="1347"/>
      <c r="N116" s="1347"/>
      <c r="O116" s="1347"/>
    </row>
    <row r="117" spans="1:15" ht="12.75" customHeight="1" x14ac:dyDescent="0.2">
      <c r="A117" s="1347" t="s">
        <v>812</v>
      </c>
      <c r="B117" s="1347"/>
      <c r="C117" s="1347"/>
      <c r="D117" s="1347"/>
      <c r="E117" s="1347"/>
      <c r="F117" s="1347"/>
      <c r="G117" s="1347"/>
      <c r="H117" s="1347"/>
      <c r="I117" s="1347"/>
      <c r="J117" s="1347"/>
      <c r="K117" s="1347"/>
      <c r="L117" s="1347"/>
      <c r="M117" s="1347"/>
      <c r="N117" s="1347"/>
      <c r="O117" s="1347"/>
    </row>
    <row r="118" spans="1:15" ht="12.75" customHeight="1" x14ac:dyDescent="0.2">
      <c r="A118" s="1347"/>
      <c r="B118" s="1347"/>
      <c r="C118" s="1347"/>
      <c r="D118" s="1347"/>
      <c r="E118" s="1347"/>
      <c r="F118" s="1347"/>
      <c r="G118" s="1347"/>
      <c r="H118" s="1347"/>
      <c r="I118" s="1347"/>
      <c r="J118" s="1347"/>
      <c r="K118" s="1347"/>
      <c r="L118" s="1347"/>
      <c r="M118" s="1347"/>
      <c r="N118" s="1347"/>
      <c r="O118" s="1347"/>
    </row>
    <row r="119" spans="1:15" ht="12.75" customHeight="1" x14ac:dyDescent="0.2">
      <c r="A119" s="1347" t="s">
        <v>813</v>
      </c>
      <c r="B119" s="1347"/>
      <c r="C119" s="1347"/>
      <c r="D119" s="1347"/>
      <c r="E119" s="1347"/>
      <c r="F119" s="1347"/>
      <c r="G119" s="1347"/>
      <c r="H119" s="1347"/>
      <c r="I119" s="1347"/>
      <c r="J119" s="1347"/>
      <c r="K119" s="1347"/>
      <c r="L119" s="1347"/>
      <c r="M119" s="1347"/>
      <c r="N119" s="1347"/>
      <c r="O119" s="1347"/>
    </row>
    <row r="120" spans="1:15" x14ac:dyDescent="0.2">
      <c r="A120" s="1347"/>
      <c r="B120" s="1347"/>
      <c r="C120" s="1347"/>
      <c r="D120" s="1347"/>
      <c r="E120" s="1347"/>
      <c r="F120" s="1347"/>
      <c r="G120" s="1347"/>
      <c r="H120" s="1347"/>
      <c r="I120" s="1347"/>
      <c r="J120" s="1347"/>
      <c r="K120" s="1347"/>
      <c r="L120" s="1347"/>
      <c r="M120" s="1347"/>
      <c r="N120" s="1347"/>
      <c r="O120" s="1347"/>
    </row>
    <row r="121" spans="1:15" x14ac:dyDescent="0.2">
      <c r="A121" s="1347"/>
      <c r="B121" s="1347"/>
      <c r="C121" s="1347"/>
      <c r="D121" s="1347"/>
      <c r="E121" s="1347"/>
      <c r="F121" s="1347"/>
      <c r="G121" s="1347"/>
      <c r="H121" s="1347"/>
      <c r="I121" s="1347"/>
      <c r="J121" s="1347"/>
      <c r="K121" s="1347"/>
      <c r="L121" s="1347"/>
      <c r="M121" s="1347"/>
      <c r="N121" s="1347"/>
      <c r="O121" s="1347"/>
    </row>
    <row r="122" spans="1:15" x14ac:dyDescent="0.2">
      <c r="A122" s="496" t="str">
        <f>$J$25</f>
        <v>SINDMOTO/SINDIBRAS-DF</v>
      </c>
      <c r="B122" s="906"/>
      <c r="C122" s="607"/>
      <c r="D122" s="607"/>
      <c r="E122" s="607"/>
      <c r="F122" s="607"/>
      <c r="G122" s="911"/>
      <c r="H122" s="911"/>
      <c r="I122" s="607"/>
      <c r="J122" s="607"/>
      <c r="K122" s="607"/>
      <c r="L122" s="970"/>
      <c r="M122" s="970"/>
      <c r="N122" s="970"/>
      <c r="O122" s="607"/>
    </row>
    <row r="123" spans="1:15" ht="12.75" customHeight="1" x14ac:dyDescent="0.2">
      <c r="A123" s="427" t="s">
        <v>653</v>
      </c>
    </row>
    <row r="124" spans="1:15" ht="12.75" customHeight="1" x14ac:dyDescent="0.2">
      <c r="A124" s="1347" t="s">
        <v>913</v>
      </c>
      <c r="B124" s="1347"/>
      <c r="C124" s="1347"/>
      <c r="D124" s="1347"/>
      <c r="E124" s="1347"/>
      <c r="F124" s="1347"/>
      <c r="G124" s="1347"/>
      <c r="H124" s="1347"/>
      <c r="I124" s="1347"/>
      <c r="J124" s="1347"/>
      <c r="K124" s="1347"/>
      <c r="L124" s="1347"/>
      <c r="M124" s="1347"/>
      <c r="N124" s="1347"/>
      <c r="O124" s="1347"/>
    </row>
    <row r="125" spans="1:15" x14ac:dyDescent="0.2">
      <c r="A125" s="1347"/>
      <c r="B125" s="1347"/>
      <c r="C125" s="1347"/>
      <c r="D125" s="1347"/>
      <c r="E125" s="1347"/>
      <c r="F125" s="1347"/>
      <c r="G125" s="1347"/>
      <c r="H125" s="1347"/>
      <c r="I125" s="1347"/>
      <c r="J125" s="1347"/>
      <c r="K125" s="1347"/>
      <c r="L125" s="1347"/>
      <c r="M125" s="1347"/>
      <c r="N125" s="1347"/>
      <c r="O125" s="1347"/>
    </row>
    <row r="126" spans="1:15" x14ac:dyDescent="0.2">
      <c r="A126" s="1347"/>
      <c r="B126" s="1347"/>
      <c r="C126" s="1347"/>
      <c r="D126" s="1347"/>
      <c r="E126" s="1347"/>
      <c r="F126" s="1347"/>
      <c r="G126" s="1347"/>
      <c r="H126" s="1347"/>
      <c r="I126" s="1347"/>
      <c r="J126" s="1347"/>
      <c r="K126" s="1347"/>
      <c r="L126" s="1347"/>
      <c r="M126" s="1347"/>
      <c r="N126" s="1347"/>
      <c r="O126" s="1347"/>
    </row>
    <row r="127" spans="1:15" x14ac:dyDescent="0.2">
      <c r="A127" s="427" t="s">
        <v>654</v>
      </c>
    </row>
    <row r="128" spans="1:15" x14ac:dyDescent="0.2">
      <c r="A128" s="466" t="s">
        <v>643</v>
      </c>
    </row>
    <row r="129" spans="1:16" x14ac:dyDescent="0.2">
      <c r="A129" s="467">
        <v>0.1</v>
      </c>
    </row>
    <row r="130" spans="1:16" x14ac:dyDescent="0.2">
      <c r="A130" s="427" t="s">
        <v>649</v>
      </c>
    </row>
    <row r="131" spans="1:16" x14ac:dyDescent="0.2">
      <c r="A131" s="496" t="str">
        <f>$K$25</f>
        <v>SINDSAÚDE/SBH-DF</v>
      </c>
    </row>
    <row r="132" spans="1:16" ht="12.75" customHeight="1" x14ac:dyDescent="0.2">
      <c r="A132" s="807" t="s">
        <v>1099</v>
      </c>
      <c r="B132" s="907"/>
      <c r="C132" s="806"/>
      <c r="D132" s="806"/>
      <c r="E132" s="806"/>
      <c r="F132" s="806"/>
      <c r="G132" s="917"/>
      <c r="H132" s="917"/>
      <c r="I132" s="806"/>
      <c r="J132" s="806"/>
      <c r="K132" s="806"/>
      <c r="L132" s="806"/>
      <c r="M132" s="806"/>
      <c r="N132" s="806"/>
      <c r="O132" s="806"/>
    </row>
    <row r="133" spans="1:16" ht="12.75" customHeight="1" x14ac:dyDescent="0.2">
      <c r="A133" s="1347" t="s">
        <v>1100</v>
      </c>
      <c r="B133" s="1347"/>
      <c r="C133" s="1347"/>
      <c r="D133" s="1347"/>
      <c r="E133" s="1347"/>
      <c r="F133" s="1347"/>
      <c r="G133" s="1347"/>
      <c r="H133" s="1347"/>
      <c r="I133" s="1347"/>
      <c r="J133" s="1347"/>
      <c r="K133" s="1347"/>
      <c r="L133" s="1347"/>
      <c r="M133" s="1347"/>
      <c r="N133" s="1347"/>
      <c r="O133" s="1347"/>
    </row>
    <row r="134" spans="1:16" x14ac:dyDescent="0.2">
      <c r="A134" s="466" t="s">
        <v>443</v>
      </c>
      <c r="B134" s="904"/>
    </row>
    <row r="135" spans="1:16" x14ac:dyDescent="0.2">
      <c r="A135" s="467">
        <v>0.05</v>
      </c>
      <c r="B135" s="905"/>
      <c r="C135" s="383" t="s">
        <v>0</v>
      </c>
    </row>
    <row r="136" spans="1:16" ht="12.75" customHeight="1" x14ac:dyDescent="0.2">
      <c r="A136" s="496" t="str">
        <f>$O$25</f>
        <v>SINDBOMBEIROS/SEAC-DF</v>
      </c>
    </row>
    <row r="137" spans="1:16" ht="12.75" customHeight="1" x14ac:dyDescent="0.2">
      <c r="A137" s="1347" t="s">
        <v>1114</v>
      </c>
      <c r="B137" s="1347"/>
      <c r="C137" s="1347"/>
      <c r="D137" s="1347"/>
      <c r="E137" s="1347"/>
      <c r="F137" s="1347"/>
      <c r="G137" s="1347"/>
      <c r="H137" s="1347"/>
      <c r="I137" s="1347"/>
      <c r="J137" s="1347"/>
      <c r="K137" s="1347"/>
      <c r="L137" s="1347"/>
      <c r="M137" s="1347"/>
      <c r="N137" s="1347"/>
      <c r="O137" s="1347"/>
      <c r="P137" s="1347"/>
    </row>
    <row r="138" spans="1:16" ht="38.25" x14ac:dyDescent="0.2">
      <c r="A138" s="466" t="s">
        <v>110</v>
      </c>
      <c r="B138" s="901" t="s">
        <v>672</v>
      </c>
      <c r="C138" s="466" t="s">
        <v>673</v>
      </c>
      <c r="D138" s="466" t="s">
        <v>786</v>
      </c>
      <c r="E138" s="466" t="s">
        <v>881</v>
      </c>
    </row>
    <row r="139" spans="1:16" x14ac:dyDescent="0.2">
      <c r="A139" s="466" t="str">
        <f>SALÁRIOS!A323</f>
        <v>Bombeiro Civil Nível Básico</v>
      </c>
      <c r="B139" s="908">
        <f>SALÁRIOS!C323</f>
        <v>3044.5</v>
      </c>
      <c r="C139" s="508">
        <f>(((B139*20)*0.2732)/1000)+0.27</f>
        <v>16.91</v>
      </c>
      <c r="D139" s="508">
        <v>9.25</v>
      </c>
      <c r="E139" s="508">
        <f>D139</f>
        <v>9.25</v>
      </c>
    </row>
    <row r="140" spans="1:16" x14ac:dyDescent="0.2">
      <c r="A140" s="466" t="str">
        <f>SALÁRIOS!A324</f>
        <v xml:space="preserve">Bombeiro Civil Líder </v>
      </c>
      <c r="B140" s="908">
        <f>SALÁRIOS!C324</f>
        <v>3772.89</v>
      </c>
      <c r="C140" s="508">
        <f>(((B140*20)*0.2732)/1000)+0.27</f>
        <v>20.89</v>
      </c>
      <c r="D140" s="508">
        <v>9.25</v>
      </c>
      <c r="E140" s="508">
        <f>D140</f>
        <v>9.25</v>
      </c>
    </row>
    <row r="141" spans="1:16" x14ac:dyDescent="0.2">
      <c r="A141" s="466" t="str">
        <f>SALÁRIOS!A325</f>
        <v>Bombeiro Civil Mestre</v>
      </c>
      <c r="B141" s="908">
        <f>SALÁRIOS!C325</f>
        <v>7414.87</v>
      </c>
      <c r="C141" s="508">
        <f>(((B141*20)*0.2732)/1000)+0.27</f>
        <v>40.78</v>
      </c>
      <c r="D141" s="508">
        <v>9.25</v>
      </c>
      <c r="E141" s="508">
        <f t="shared" ref="E141:E145" si="1">D141</f>
        <v>9.25</v>
      </c>
      <c r="G141" s="383" t="s">
        <v>0</v>
      </c>
    </row>
    <row r="142" spans="1:16" x14ac:dyDescent="0.2">
      <c r="A142" s="466" t="str">
        <f>SALÁRIOS!A326</f>
        <v xml:space="preserve">Bombeiro Civil Aeródromo </v>
      </c>
      <c r="B142" s="908">
        <f>SALÁRIOS!C326</f>
        <v>3044.5</v>
      </c>
      <c r="C142" s="508">
        <f t="shared" ref="C142:C145" si="2">(((B142*20)*0.2732)/1000)+0.27</f>
        <v>16.91</v>
      </c>
      <c r="D142" s="508">
        <v>0</v>
      </c>
      <c r="E142" s="508">
        <f t="shared" si="1"/>
        <v>0</v>
      </c>
    </row>
    <row r="143" spans="1:16" x14ac:dyDescent="0.2">
      <c r="A143" s="466" t="str">
        <f>SALÁRIOS!A327</f>
        <v>Bombeiro Civil Instrutor</v>
      </c>
      <c r="B143" s="908">
        <f>SALÁRIOS!C327</f>
        <v>27.9</v>
      </c>
      <c r="C143" s="508">
        <f t="shared" si="2"/>
        <v>0.42</v>
      </c>
      <c r="D143" s="508">
        <v>0</v>
      </c>
      <c r="E143" s="508">
        <f t="shared" si="1"/>
        <v>0</v>
      </c>
    </row>
    <row r="144" spans="1:16" x14ac:dyDescent="0.2">
      <c r="A144" s="466" t="str">
        <f>SALÁRIOS!A328</f>
        <v>Bombeiro Civil em Eventos</v>
      </c>
      <c r="B144" s="908">
        <f>SALÁRIOS!C328</f>
        <v>156.22999999999999</v>
      </c>
      <c r="C144" s="508">
        <f t="shared" si="2"/>
        <v>1.1200000000000001</v>
      </c>
      <c r="D144" s="508">
        <v>0</v>
      </c>
      <c r="E144" s="508">
        <f t="shared" si="1"/>
        <v>0</v>
      </c>
    </row>
    <row r="145" spans="1:15" x14ac:dyDescent="0.2">
      <c r="A145" s="466" t="str">
        <f>SALÁRIOS!A329</f>
        <v xml:space="preserve">Bombeiro Civil Salva-vidas </v>
      </c>
      <c r="B145" s="908">
        <f>SALÁRIOS!C329</f>
        <v>3044.5</v>
      </c>
      <c r="C145" s="508">
        <f t="shared" si="2"/>
        <v>16.91</v>
      </c>
      <c r="D145" s="508">
        <v>9.25</v>
      </c>
      <c r="E145" s="508">
        <f t="shared" si="1"/>
        <v>9.25</v>
      </c>
    </row>
    <row r="146" spans="1:15" x14ac:dyDescent="0.2">
      <c r="A146" s="1347" t="s">
        <v>787</v>
      </c>
      <c r="B146" s="1347"/>
      <c r="C146" s="1347"/>
      <c r="D146" s="1347"/>
      <c r="E146" s="1347"/>
      <c r="F146" s="1347"/>
      <c r="G146" s="1347"/>
      <c r="H146" s="1347"/>
      <c r="I146" s="1347"/>
      <c r="J146" s="1347"/>
      <c r="K146" s="1347"/>
      <c r="L146" s="1347"/>
      <c r="M146" s="1347"/>
      <c r="N146" s="1347"/>
      <c r="O146" s="1347"/>
    </row>
    <row r="147" spans="1:15" x14ac:dyDescent="0.2">
      <c r="A147" s="466" t="s">
        <v>684</v>
      </c>
      <c r="B147" s="908">
        <v>283.75</v>
      </c>
      <c r="C147" s="515">
        <v>2</v>
      </c>
      <c r="D147" s="508">
        <f>C147*B147</f>
        <v>567.5</v>
      </c>
      <c r="E147" s="515">
        <v>2</v>
      </c>
      <c r="F147" s="508">
        <f>D147/(12*E147)</f>
        <v>23.65</v>
      </c>
    </row>
    <row r="148" spans="1:15" x14ac:dyDescent="0.2">
      <c r="A148" s="466" t="s">
        <v>685</v>
      </c>
      <c r="B148" s="908">
        <f>$O$9</f>
        <v>38</v>
      </c>
      <c r="C148" s="515">
        <v>20</v>
      </c>
      <c r="D148" s="508">
        <f t="shared" ref="D148:D149" si="3">C148*B148</f>
        <v>760</v>
      </c>
      <c r="E148" s="515">
        <v>2</v>
      </c>
      <c r="F148" s="508">
        <f t="shared" ref="F148:F149" si="4">D148/(12*E148)</f>
        <v>31.67</v>
      </c>
    </row>
    <row r="149" spans="1:15" x14ac:dyDescent="0.2">
      <c r="A149" s="466" t="s">
        <v>147</v>
      </c>
      <c r="B149" s="908">
        <f>Dados!J45</f>
        <v>9.64</v>
      </c>
      <c r="C149" s="515">
        <v>20</v>
      </c>
      <c r="D149" s="508">
        <f t="shared" si="3"/>
        <v>192.8</v>
      </c>
      <c r="E149" s="515">
        <v>2</v>
      </c>
      <c r="F149" s="508">
        <f t="shared" si="4"/>
        <v>8.0299999999999994</v>
      </c>
    </row>
    <row r="150" spans="1:15" x14ac:dyDescent="0.2">
      <c r="A150" s="1349" t="s">
        <v>682</v>
      </c>
      <c r="B150" s="1349"/>
      <c r="C150" s="1349"/>
      <c r="D150" s="1349"/>
      <c r="E150" s="1349"/>
      <c r="F150" s="508">
        <f>SUM(F147:F149)</f>
        <v>63.35</v>
      </c>
    </row>
    <row r="151" spans="1:15" x14ac:dyDescent="0.2">
      <c r="A151" s="1349" t="s">
        <v>683</v>
      </c>
      <c r="B151" s="1349"/>
      <c r="C151" s="1349"/>
      <c r="D151" s="1349"/>
      <c r="E151" s="1349"/>
      <c r="F151" s="508">
        <f>F150/2</f>
        <v>31.68</v>
      </c>
    </row>
    <row r="152" spans="1:15" x14ac:dyDescent="0.2">
      <c r="A152" s="517" t="s">
        <v>686</v>
      </c>
      <c r="B152" s="909"/>
      <c r="C152" s="516"/>
      <c r="D152" s="516"/>
      <c r="E152" s="516"/>
      <c r="F152" s="391"/>
    </row>
  </sheetData>
  <mergeCells count="15">
    <mergeCell ref="A150:E150"/>
    <mergeCell ref="A146:O146"/>
    <mergeCell ref="A151:E151"/>
    <mergeCell ref="A137:P137"/>
    <mergeCell ref="A114:O116"/>
    <mergeCell ref="A117:O118"/>
    <mergeCell ref="A119:O121"/>
    <mergeCell ref="A124:O126"/>
    <mergeCell ref="A133:O133"/>
    <mergeCell ref="A112:O113"/>
    <mergeCell ref="A2:O2"/>
    <mergeCell ref="A68:O68"/>
    <mergeCell ref="A73:O73"/>
    <mergeCell ref="A87:O87"/>
    <mergeCell ref="A88:C88"/>
  </mergeCells>
  <dataValidations count="1">
    <dataValidation type="list" allowBlank="1" showInputMessage="1" showErrorMessage="1" sqref="O16">
      <formula1>$E$139:$E$145</formula1>
    </dataValidation>
  </dataValidations>
  <printOptions horizontalCentered="1"/>
  <pageMargins left="0.21" right="0.2" top="0.7" bottom="0.19685039370078741" header="0.24" footer="0.19685039370078741"/>
  <pageSetup paperSize="9" fitToHeight="0" orientation="landscape" r:id="rId1"/>
  <headerFooter alignWithMargins="0"/>
  <drawing r:id="rId2"/>
  <mc:AlternateContent xmlns:mc="http://schemas.openxmlformats.org/markup-compatibility/2006">
    <mc:Choice Requires="v">
      <legacyDrawing r:id="rId3"/>
    </mc:Choice>
  </mc:AlternateContent>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8">
    <tabColor rgb="FFFF0000"/>
    <pageSetUpPr fitToPage="1"/>
  </sheetPr>
  <dimension ref="A1:Z60"/>
  <sheetViews>
    <sheetView topLeftCell="A20" zoomScaleNormal="100" zoomScaleSheetLayoutView="87" workbookViewId="0">
      <selection activeCell="AA44" sqref="AA44"/>
    </sheetView>
  </sheetViews>
  <sheetFormatPr defaultRowHeight="12.75" x14ac:dyDescent="0.2"/>
  <cols>
    <col min="1" max="1" width="3.140625" style="306" customWidth="1"/>
    <col min="2" max="2" width="5.140625" style="303" customWidth="1"/>
    <col min="3" max="3" width="43.140625" style="303" customWidth="1"/>
    <col min="4" max="4" width="12.42578125" style="303" hidden="1" customWidth="1"/>
    <col min="5" max="5" width="12.42578125" style="303" customWidth="1"/>
    <col min="6" max="6" width="14" style="303" hidden="1" customWidth="1"/>
    <col min="7" max="12" width="12" style="303" hidden="1" customWidth="1"/>
    <col min="13" max="13" width="23.7109375" style="303" hidden="1" customWidth="1"/>
    <col min="14" max="14" width="23.7109375" style="303" customWidth="1"/>
    <col min="15" max="15" width="24.5703125" style="303" hidden="1" customWidth="1"/>
    <col min="16" max="21" width="22.85546875" style="303" hidden="1" customWidth="1"/>
    <col min="22" max="22" width="51" style="303" customWidth="1"/>
    <col min="23" max="23" width="3" style="306" customWidth="1"/>
    <col min="24" max="24" width="9.140625" style="306"/>
    <col min="25" max="25" width="4.42578125" style="306" bestFit="1" customWidth="1"/>
    <col min="26" max="16384" width="9.140625" style="306"/>
  </cols>
  <sheetData>
    <row r="1" spans="1:23" ht="13.5" customHeight="1" x14ac:dyDescent="0.2">
      <c r="G1" s="304"/>
      <c r="H1" s="304"/>
      <c r="I1" s="304"/>
      <c r="J1" s="304"/>
      <c r="K1" s="304"/>
      <c r="L1" s="304"/>
      <c r="M1" s="304"/>
      <c r="N1" s="304"/>
      <c r="O1" s="304"/>
      <c r="P1" s="304"/>
      <c r="Q1" s="304"/>
      <c r="R1" s="304"/>
      <c r="S1" s="304"/>
      <c r="T1" s="304"/>
      <c r="U1" s="304"/>
      <c r="V1" s="305"/>
    </row>
    <row r="2" spans="1:23" ht="13.5" customHeight="1" x14ac:dyDescent="0.2">
      <c r="B2" s="1354" t="s">
        <v>197</v>
      </c>
      <c r="C2" s="1354"/>
      <c r="D2" s="1354"/>
      <c r="E2" s="1354"/>
      <c r="F2" s="1354"/>
      <c r="G2" s="1354"/>
      <c r="H2" s="1354"/>
      <c r="I2" s="1354"/>
      <c r="J2" s="1354"/>
      <c r="K2" s="1354"/>
      <c r="L2" s="1354"/>
      <c r="M2" s="1354"/>
      <c r="N2" s="1354"/>
      <c r="O2" s="1354"/>
      <c r="P2" s="1354"/>
      <c r="Q2" s="1354"/>
      <c r="R2" s="1354"/>
      <c r="S2" s="1354"/>
      <c r="T2" s="1354"/>
      <c r="U2" s="1354"/>
      <c r="V2" s="1354"/>
    </row>
    <row r="3" spans="1:23" ht="13.5" customHeight="1" x14ac:dyDescent="0.2">
      <c r="B3" s="550"/>
      <c r="C3" s="550"/>
      <c r="D3" s="550"/>
      <c r="E3" s="550"/>
      <c r="F3" s="550"/>
      <c r="G3" s="550"/>
      <c r="H3" s="550"/>
      <c r="I3" s="550"/>
      <c r="J3" s="550"/>
      <c r="K3" s="550"/>
      <c r="L3" s="550"/>
      <c r="M3" s="550"/>
      <c r="N3" s="550"/>
      <c r="O3" s="550"/>
      <c r="P3" s="550"/>
      <c r="Q3" s="550"/>
      <c r="R3" s="550"/>
      <c r="S3" s="550"/>
      <c r="T3" s="550"/>
      <c r="U3" s="550"/>
      <c r="V3" s="550"/>
    </row>
    <row r="4" spans="1:23" ht="13.5" customHeight="1" x14ac:dyDescent="0.2">
      <c r="B4" s="304" t="s">
        <v>708</v>
      </c>
      <c r="G4" s="304"/>
      <c r="H4" s="304"/>
      <c r="I4" s="304"/>
      <c r="J4" s="304"/>
      <c r="K4" s="304"/>
      <c r="L4" s="304"/>
      <c r="M4" s="304"/>
      <c r="N4" s="304"/>
      <c r="O4" s="304"/>
      <c r="P4" s="304"/>
      <c r="Q4" s="304"/>
      <c r="R4" s="304"/>
      <c r="S4" s="304"/>
      <c r="T4" s="304"/>
      <c r="U4" s="304"/>
      <c r="V4" s="305"/>
    </row>
    <row r="5" spans="1:23" ht="13.5" customHeight="1" x14ac:dyDescent="0.2">
      <c r="W5" s="303"/>
    </row>
    <row r="6" spans="1:23" ht="13.5" customHeight="1" x14ac:dyDescent="0.2">
      <c r="G6" s="304"/>
      <c r="H6" s="304"/>
      <c r="I6" s="304"/>
      <c r="J6" s="304"/>
      <c r="K6" s="304"/>
      <c r="L6" s="304"/>
      <c r="M6" s="307"/>
      <c r="N6" s="307"/>
      <c r="O6" s="307"/>
      <c r="P6" s="307"/>
      <c r="Q6" s="307"/>
      <c r="R6" s="307"/>
      <c r="S6" s="307"/>
      <c r="T6" s="307"/>
      <c r="U6" s="307"/>
      <c r="V6" s="305"/>
    </row>
    <row r="7" spans="1:23" ht="13.5" customHeight="1" x14ac:dyDescent="0.2">
      <c r="B7" s="1355" t="s">
        <v>143</v>
      </c>
      <c r="C7" s="1355"/>
      <c r="D7" s="648" t="s">
        <v>198</v>
      </c>
      <c r="E7" s="1356" t="s">
        <v>199</v>
      </c>
      <c r="F7" s="1356"/>
      <c r="G7" s="1356"/>
      <c r="H7" s="1356"/>
      <c r="I7" s="1356"/>
      <c r="J7" s="1356"/>
      <c r="K7" s="1356"/>
      <c r="L7" s="1356"/>
      <c r="M7" s="504"/>
      <c r="N7" s="308"/>
      <c r="O7" s="308"/>
      <c r="P7" s="308"/>
      <c r="Q7" s="308"/>
      <c r="R7" s="308"/>
      <c r="S7" s="308"/>
      <c r="T7" s="308"/>
      <c r="U7" s="308"/>
      <c r="V7" s="305"/>
    </row>
    <row r="8" spans="1:23" ht="13.5" customHeight="1" x14ac:dyDescent="0.2">
      <c r="B8" s="1361" t="s">
        <v>200</v>
      </c>
      <c r="C8" s="1361"/>
      <c r="D8" s="830">
        <f>D9*D10</f>
        <v>1.2200000000000001E-2</v>
      </c>
      <c r="E8" s="1359"/>
      <c r="F8" s="1359"/>
      <c r="G8" s="1359"/>
      <c r="H8" s="1359"/>
      <c r="I8" s="1359"/>
      <c r="J8" s="1359"/>
      <c r="K8" s="1359"/>
      <c r="L8" s="1359"/>
      <c r="M8" s="505"/>
      <c r="N8" s="309"/>
      <c r="O8" s="309"/>
      <c r="P8" s="309"/>
      <c r="Q8" s="309"/>
      <c r="R8" s="309"/>
      <c r="S8" s="309"/>
      <c r="T8" s="309"/>
      <c r="U8" s="309"/>
      <c r="V8" s="305"/>
    </row>
    <row r="9" spans="1:23" ht="12.75" customHeight="1" x14ac:dyDescent="0.2">
      <c r="B9" s="1353" t="s">
        <v>201</v>
      </c>
      <c r="C9" s="1353"/>
      <c r="D9" s="310">
        <v>0.01</v>
      </c>
      <c r="E9" s="1360" t="s">
        <v>788</v>
      </c>
      <c r="F9" s="1360"/>
      <c r="G9" s="1360"/>
      <c r="H9" s="1360"/>
      <c r="I9" s="1360"/>
      <c r="J9" s="1360"/>
      <c r="K9" s="1360"/>
      <c r="L9" s="1360"/>
      <c r="M9" s="506"/>
      <c r="N9" s="311"/>
      <c r="O9" s="311"/>
      <c r="P9" s="311"/>
      <c r="Q9" s="311"/>
      <c r="R9" s="311"/>
      <c r="S9" s="311"/>
      <c r="T9" s="311"/>
      <c r="U9" s="311"/>
      <c r="V9" s="305"/>
    </row>
    <row r="10" spans="1:23" ht="12.75" customHeight="1" x14ac:dyDescent="0.2">
      <c r="B10" s="1353" t="s">
        <v>202</v>
      </c>
      <c r="C10" s="1353"/>
      <c r="D10" s="1031">
        <v>1.22</v>
      </c>
      <c r="E10" s="1360" t="s">
        <v>1230</v>
      </c>
      <c r="F10" s="1360"/>
      <c r="G10" s="1360"/>
      <c r="H10" s="1360"/>
      <c r="I10" s="1360"/>
      <c r="J10" s="1360"/>
      <c r="K10" s="1360"/>
      <c r="L10" s="1360"/>
      <c r="M10" s="506"/>
      <c r="N10" s="311"/>
      <c r="O10" s="325" t="s">
        <v>0</v>
      </c>
      <c r="P10" s="325"/>
      <c r="Q10" s="325"/>
      <c r="R10" s="325"/>
      <c r="S10" s="325"/>
      <c r="T10" s="325"/>
      <c r="U10" s="325"/>
      <c r="V10" s="325"/>
    </row>
    <row r="11" spans="1:23" ht="13.5" customHeight="1" x14ac:dyDescent="0.2">
      <c r="G11" s="304"/>
      <c r="H11" s="304"/>
      <c r="I11" s="304"/>
      <c r="J11" s="304"/>
      <c r="K11" s="304"/>
      <c r="L11" s="304"/>
      <c r="M11" s="507"/>
      <c r="N11" s="507"/>
      <c r="O11" s="307"/>
      <c r="P11" s="307"/>
      <c r="Q11" s="307"/>
      <c r="R11" s="307"/>
      <c r="S11" s="307"/>
      <c r="T11" s="307"/>
      <c r="U11" s="307"/>
      <c r="V11" s="305"/>
    </row>
    <row r="12" spans="1:23" ht="13.5" customHeight="1" x14ac:dyDescent="0.2">
      <c r="G12" s="304"/>
      <c r="H12" s="304"/>
      <c r="I12" s="304"/>
      <c r="J12" s="304"/>
      <c r="K12" s="304"/>
      <c r="L12" s="304" t="s">
        <v>1287</v>
      </c>
      <c r="M12" s="307"/>
      <c r="N12" s="307"/>
      <c r="O12" s="307"/>
      <c r="P12" s="307"/>
      <c r="Q12" s="307"/>
      <c r="R12" s="307"/>
      <c r="S12" s="307"/>
      <c r="T12" s="307"/>
      <c r="U12" s="307"/>
      <c r="V12" s="312"/>
    </row>
    <row r="13" spans="1:23" ht="13.5" customHeight="1" x14ac:dyDescent="0.2">
      <c r="B13" s="1364" t="s">
        <v>143</v>
      </c>
      <c r="C13" s="1364"/>
      <c r="D13" s="711">
        <f>D45</f>
        <v>0.65669999999999995</v>
      </c>
      <c r="E13" s="711">
        <f t="shared" ref="E13:F13" si="0">E45</f>
        <v>0.63419999999999999</v>
      </c>
      <c r="F13" s="711">
        <f t="shared" si="0"/>
        <v>0.66690000000000005</v>
      </c>
      <c r="G13" s="711">
        <f t="shared" ref="G13:L13" si="1">G45</f>
        <v>0.66369999999999996</v>
      </c>
      <c r="H13" s="711">
        <f t="shared" si="1"/>
        <v>0.69740000000000002</v>
      </c>
      <c r="I13" s="711">
        <f t="shared" si="1"/>
        <v>0.6845</v>
      </c>
      <c r="J13" s="711">
        <f t="shared" si="1"/>
        <v>0.67100000000000004</v>
      </c>
      <c r="K13" s="711">
        <f t="shared" si="1"/>
        <v>0.65839999999999999</v>
      </c>
      <c r="L13" s="711">
        <f t="shared" si="1"/>
        <v>0.66379999999999995</v>
      </c>
      <c r="M13" s="313">
        <f t="shared" ref="M13:T13" si="2">D13</f>
        <v>0.65669999999999995</v>
      </c>
      <c r="N13" s="313">
        <f t="shared" si="2"/>
        <v>0.63419999999999999</v>
      </c>
      <c r="O13" s="313">
        <f t="shared" si="2"/>
        <v>0.66690000000000005</v>
      </c>
      <c r="P13" s="313">
        <f t="shared" si="2"/>
        <v>0.66369999999999996</v>
      </c>
      <c r="Q13" s="313">
        <f t="shared" si="2"/>
        <v>0.69740000000000002</v>
      </c>
      <c r="R13" s="313">
        <f t="shared" si="2"/>
        <v>0.6845</v>
      </c>
      <c r="S13" s="313">
        <f t="shared" si="2"/>
        <v>0.67100000000000004</v>
      </c>
      <c r="T13" s="313">
        <f t="shared" si="2"/>
        <v>0.65839999999999999</v>
      </c>
      <c r="U13" s="313">
        <f t="shared" ref="U13" si="3">L13</f>
        <v>0.66379999999999995</v>
      </c>
      <c r="V13" s="356" t="s">
        <v>199</v>
      </c>
    </row>
    <row r="14" spans="1:23" ht="13.5" customHeight="1" x14ac:dyDescent="0.2">
      <c r="B14" s="320" t="s">
        <v>732</v>
      </c>
      <c r="C14" s="343" t="s">
        <v>733</v>
      </c>
      <c r="D14" s="344"/>
      <c r="E14" s="344"/>
      <c r="F14" s="344"/>
      <c r="G14" s="345"/>
      <c r="H14" s="345"/>
      <c r="I14" s="345"/>
      <c r="J14" s="345"/>
      <c r="K14" s="345"/>
      <c r="L14" s="345"/>
      <c r="M14" s="316" t="s">
        <v>203</v>
      </c>
      <c r="N14" s="497" t="s">
        <v>203</v>
      </c>
      <c r="O14" s="316" t="s">
        <v>203</v>
      </c>
      <c r="P14" s="497" t="s">
        <v>203</v>
      </c>
      <c r="Q14" s="543" t="s">
        <v>203</v>
      </c>
      <c r="R14" s="544" t="s">
        <v>203</v>
      </c>
      <c r="S14" s="316" t="s">
        <v>203</v>
      </c>
      <c r="T14" s="316" t="s">
        <v>203</v>
      </c>
      <c r="U14" s="544" t="s">
        <v>203</v>
      </c>
      <c r="V14" s="315" t="s">
        <v>199</v>
      </c>
      <c r="W14" s="319"/>
    </row>
    <row r="15" spans="1:23" ht="38.25" x14ac:dyDescent="0.2">
      <c r="A15" s="306">
        <v>3</v>
      </c>
      <c r="B15" s="317" t="s">
        <v>1</v>
      </c>
      <c r="C15" s="321" t="s">
        <v>214</v>
      </c>
      <c r="D15" s="1092">
        <f t="shared" ref="D15:K15" si="4">1/11</f>
        <v>9.0899999999999995E-2</v>
      </c>
      <c r="E15" s="1092">
        <f>1/11</f>
        <v>9.0899999999999995E-2</v>
      </c>
      <c r="F15" s="1092">
        <f t="shared" si="4"/>
        <v>9.0899999999999995E-2</v>
      </c>
      <c r="G15" s="1092">
        <f t="shared" si="4"/>
        <v>9.0899999999999995E-2</v>
      </c>
      <c r="H15" s="1092">
        <f t="shared" si="4"/>
        <v>9.0899999999999995E-2</v>
      </c>
      <c r="I15" s="1092">
        <f t="shared" si="4"/>
        <v>9.0899999999999995E-2</v>
      </c>
      <c r="J15" s="1092">
        <f t="shared" si="4"/>
        <v>9.0899999999999995E-2</v>
      </c>
      <c r="K15" s="1092">
        <f t="shared" si="4"/>
        <v>9.0899999999999995E-2</v>
      </c>
      <c r="L15" s="1092">
        <f>1/11</f>
        <v>9.0899999999999995E-2</v>
      </c>
      <c r="M15" s="1091" t="s">
        <v>1015</v>
      </c>
      <c r="N15" s="1091" t="s">
        <v>1015</v>
      </c>
      <c r="O15" s="1091" t="s">
        <v>1015</v>
      </c>
      <c r="P15" s="1091" t="s">
        <v>1015</v>
      </c>
      <c r="Q15" s="1091" t="s">
        <v>1015</v>
      </c>
      <c r="R15" s="1091" t="s">
        <v>1015</v>
      </c>
      <c r="S15" s="1091" t="s">
        <v>1015</v>
      </c>
      <c r="T15" s="1091" t="s">
        <v>1015</v>
      </c>
      <c r="U15" s="818" t="s">
        <v>1015</v>
      </c>
      <c r="V15" s="323" t="s">
        <v>215</v>
      </c>
      <c r="W15" s="324"/>
    </row>
    <row r="16" spans="1:23" ht="25.5" x14ac:dyDescent="0.2">
      <c r="A16" s="306">
        <v>4</v>
      </c>
      <c r="B16" s="326" t="s">
        <v>2</v>
      </c>
      <c r="C16" s="318" t="s">
        <v>1300</v>
      </c>
      <c r="D16" s="884">
        <f t="shared" ref="D16:K16" si="5">((1/11)+(1/3)*D15)</f>
        <v>0.1212</v>
      </c>
      <c r="E16" s="884">
        <f>((1/11)+(1/3)*E15)</f>
        <v>0.1212</v>
      </c>
      <c r="F16" s="884">
        <f t="shared" si="5"/>
        <v>0.1212</v>
      </c>
      <c r="G16" s="884">
        <f t="shared" si="5"/>
        <v>0.1212</v>
      </c>
      <c r="H16" s="884">
        <f t="shared" si="5"/>
        <v>0.1212</v>
      </c>
      <c r="I16" s="884">
        <f t="shared" si="5"/>
        <v>0.1212</v>
      </c>
      <c r="J16" s="884">
        <f t="shared" si="5"/>
        <v>0.1212</v>
      </c>
      <c r="K16" s="884">
        <f t="shared" si="5"/>
        <v>0.1212</v>
      </c>
      <c r="L16" s="884">
        <f>((1/11)+(1/3)*L15)</f>
        <v>0.1212</v>
      </c>
      <c r="M16" s="559" t="s">
        <v>1299</v>
      </c>
      <c r="N16" s="1144" t="s">
        <v>1425</v>
      </c>
      <c r="O16" s="1144" t="s">
        <v>1299</v>
      </c>
      <c r="P16" s="1144" t="s">
        <v>1299</v>
      </c>
      <c r="Q16" s="1144" t="s">
        <v>1299</v>
      </c>
      <c r="R16" s="1144" t="s">
        <v>1299</v>
      </c>
      <c r="S16" s="1144" t="s">
        <v>1299</v>
      </c>
      <c r="T16" s="1144" t="s">
        <v>1299</v>
      </c>
      <c r="U16" s="1144" t="s">
        <v>1299</v>
      </c>
      <c r="V16" s="348" t="s">
        <v>220</v>
      </c>
      <c r="W16" s="324"/>
    </row>
    <row r="17" spans="1:24" ht="13.5" customHeight="1" x14ac:dyDescent="0.2">
      <c r="A17" s="306">
        <v>5</v>
      </c>
      <c r="B17" s="1365" t="s">
        <v>47</v>
      </c>
      <c r="C17" s="1366"/>
      <c r="D17" s="833">
        <f t="shared" ref="D17:F17" si="6">SUM(D15:D16)</f>
        <v>0.21210000000000001</v>
      </c>
      <c r="E17" s="833">
        <f t="shared" si="6"/>
        <v>0.21210000000000001</v>
      </c>
      <c r="F17" s="833">
        <f t="shared" si="6"/>
        <v>0.21210000000000001</v>
      </c>
      <c r="G17" s="833">
        <f t="shared" ref="G17:L17" si="7">SUM(G15:G16)</f>
        <v>0.21210000000000001</v>
      </c>
      <c r="H17" s="833">
        <f t="shared" si="7"/>
        <v>0.21210000000000001</v>
      </c>
      <c r="I17" s="833">
        <f t="shared" si="7"/>
        <v>0.21210000000000001</v>
      </c>
      <c r="J17" s="833">
        <f t="shared" si="7"/>
        <v>0.21210000000000001</v>
      </c>
      <c r="K17" s="833">
        <f t="shared" si="7"/>
        <v>0.21210000000000001</v>
      </c>
      <c r="L17" s="1093">
        <f t="shared" si="7"/>
        <v>0.21210000000000001</v>
      </c>
      <c r="M17" s="355" t="s">
        <v>233</v>
      </c>
      <c r="N17" s="355" t="s">
        <v>233</v>
      </c>
      <c r="O17" s="355" t="s">
        <v>233</v>
      </c>
      <c r="P17" s="355" t="s">
        <v>233</v>
      </c>
      <c r="Q17" s="355" t="s">
        <v>233</v>
      </c>
      <c r="R17" s="355" t="s">
        <v>233</v>
      </c>
      <c r="S17" s="355" t="s">
        <v>233</v>
      </c>
      <c r="T17" s="355" t="s">
        <v>233</v>
      </c>
      <c r="U17" s="355" t="s">
        <v>233</v>
      </c>
      <c r="V17" s="355" t="s">
        <v>233</v>
      </c>
    </row>
    <row r="18" spans="1:24" x14ac:dyDescent="0.2">
      <c r="A18" s="306">
        <v>6</v>
      </c>
      <c r="B18" s="314" t="s">
        <v>731</v>
      </c>
      <c r="C18" s="340" t="s">
        <v>735</v>
      </c>
      <c r="D18" s="341"/>
      <c r="E18" s="341"/>
      <c r="F18" s="341"/>
      <c r="G18" s="342"/>
      <c r="H18" s="342"/>
      <c r="I18" s="342"/>
      <c r="J18" s="342"/>
      <c r="K18" s="342"/>
      <c r="L18" s="1094"/>
      <c r="M18" s="316" t="s">
        <v>203</v>
      </c>
      <c r="N18" s="497" t="s">
        <v>203</v>
      </c>
      <c r="O18" s="316" t="s">
        <v>203</v>
      </c>
      <c r="P18" s="497" t="s">
        <v>203</v>
      </c>
      <c r="Q18" s="543" t="s">
        <v>203</v>
      </c>
      <c r="R18" s="544" t="s">
        <v>203</v>
      </c>
      <c r="S18" s="316" t="s">
        <v>203</v>
      </c>
      <c r="T18" s="316" t="s">
        <v>203</v>
      </c>
      <c r="U18" s="544" t="s">
        <v>203</v>
      </c>
      <c r="V18" s="357"/>
    </row>
    <row r="19" spans="1:24" x14ac:dyDescent="0.2">
      <c r="A19" s="306">
        <v>7</v>
      </c>
      <c r="B19" s="317" t="s">
        <v>1</v>
      </c>
      <c r="C19" s="318" t="s">
        <v>14</v>
      </c>
      <c r="D19" s="831">
        <v>0.2</v>
      </c>
      <c r="E19" s="831">
        <v>0.2</v>
      </c>
      <c r="F19" s="831">
        <f t="shared" ref="F19:F26" si="8">D19</f>
        <v>0.2</v>
      </c>
      <c r="G19" s="831">
        <f>E19</f>
        <v>0.2</v>
      </c>
      <c r="H19" s="831">
        <f>E19</f>
        <v>0.2</v>
      </c>
      <c r="I19" s="831">
        <f>D19</f>
        <v>0.2</v>
      </c>
      <c r="J19" s="831">
        <f>F19</f>
        <v>0.2</v>
      </c>
      <c r="K19" s="831">
        <f>D19</f>
        <v>0.2</v>
      </c>
      <c r="L19" s="1095">
        <f>E19</f>
        <v>0.2</v>
      </c>
      <c r="M19" s="355" t="s">
        <v>233</v>
      </c>
      <c r="N19" s="355" t="s">
        <v>233</v>
      </c>
      <c r="O19" s="355" t="s">
        <v>233</v>
      </c>
      <c r="P19" s="355" t="s">
        <v>233</v>
      </c>
      <c r="Q19" s="355" t="s">
        <v>233</v>
      </c>
      <c r="R19" s="355" t="s">
        <v>233</v>
      </c>
      <c r="S19" s="355" t="s">
        <v>233</v>
      </c>
      <c r="T19" s="355" t="s">
        <v>233</v>
      </c>
      <c r="U19" s="355" t="s">
        <v>233</v>
      </c>
      <c r="V19" s="346" t="s">
        <v>204</v>
      </c>
    </row>
    <row r="20" spans="1:24" ht="25.5" x14ac:dyDescent="0.2">
      <c r="A20" s="306">
        <v>8</v>
      </c>
      <c r="B20" s="317" t="s">
        <v>2</v>
      </c>
      <c r="C20" s="318" t="s">
        <v>208</v>
      </c>
      <c r="D20" s="831">
        <v>2.5000000000000001E-2</v>
      </c>
      <c r="E20" s="831">
        <v>2.5000000000000001E-2</v>
      </c>
      <c r="F20" s="831">
        <f>D20</f>
        <v>2.5000000000000001E-2</v>
      </c>
      <c r="G20" s="831">
        <f>E20</f>
        <v>2.5000000000000001E-2</v>
      </c>
      <c r="H20" s="831">
        <f>E20</f>
        <v>2.5000000000000001E-2</v>
      </c>
      <c r="I20" s="831">
        <f>D20</f>
        <v>2.5000000000000001E-2</v>
      </c>
      <c r="J20" s="831">
        <f>F20</f>
        <v>2.5000000000000001E-2</v>
      </c>
      <c r="K20" s="831">
        <f>D20</f>
        <v>2.5000000000000001E-2</v>
      </c>
      <c r="L20" s="1095">
        <f>E20</f>
        <v>2.5000000000000001E-2</v>
      </c>
      <c r="M20" s="355" t="s">
        <v>233</v>
      </c>
      <c r="N20" s="355" t="s">
        <v>233</v>
      </c>
      <c r="O20" s="355" t="s">
        <v>233</v>
      </c>
      <c r="P20" s="355" t="s">
        <v>233</v>
      </c>
      <c r="Q20" s="355" t="s">
        <v>233</v>
      </c>
      <c r="R20" s="355" t="s">
        <v>233</v>
      </c>
      <c r="S20" s="355" t="s">
        <v>233</v>
      </c>
      <c r="T20" s="355" t="s">
        <v>233</v>
      </c>
      <c r="U20" s="355" t="s">
        <v>233</v>
      </c>
      <c r="V20" s="346" t="s">
        <v>209</v>
      </c>
    </row>
    <row r="21" spans="1:24" ht="38.25" x14ac:dyDescent="0.2">
      <c r="A21" s="306">
        <v>9</v>
      </c>
      <c r="B21" s="317" t="s">
        <v>4</v>
      </c>
      <c r="C21" s="318" t="s">
        <v>716</v>
      </c>
      <c r="D21" s="832">
        <f>$D$8</f>
        <v>1.2200000000000001E-2</v>
      </c>
      <c r="E21" s="832">
        <f>$D$8</f>
        <v>1.2200000000000001E-2</v>
      </c>
      <c r="F21" s="832">
        <f t="shared" ref="F21:L21" si="9">$D$8</f>
        <v>1.2200000000000001E-2</v>
      </c>
      <c r="G21" s="832">
        <f t="shared" si="9"/>
        <v>1.2200000000000001E-2</v>
      </c>
      <c r="H21" s="832">
        <f t="shared" si="9"/>
        <v>1.2200000000000001E-2</v>
      </c>
      <c r="I21" s="832">
        <f t="shared" si="9"/>
        <v>1.2200000000000001E-2</v>
      </c>
      <c r="J21" s="832">
        <f t="shared" si="9"/>
        <v>1.2200000000000001E-2</v>
      </c>
      <c r="K21" s="832">
        <f t="shared" si="9"/>
        <v>1.2200000000000001E-2</v>
      </c>
      <c r="L21" s="1092">
        <f t="shared" si="9"/>
        <v>1.2200000000000001E-2</v>
      </c>
      <c r="M21" s="322" t="s">
        <v>211</v>
      </c>
      <c r="N21" s="498" t="s">
        <v>211</v>
      </c>
      <c r="O21" s="322" t="s">
        <v>211</v>
      </c>
      <c r="P21" s="498" t="s">
        <v>211</v>
      </c>
      <c r="Q21" s="542" t="s">
        <v>211</v>
      </c>
      <c r="R21" s="545" t="s">
        <v>211</v>
      </c>
      <c r="S21" s="322" t="s">
        <v>211</v>
      </c>
      <c r="T21" s="322" t="s">
        <v>211</v>
      </c>
      <c r="U21" s="545" t="s">
        <v>211</v>
      </c>
      <c r="V21" s="323" t="s">
        <v>212</v>
      </c>
      <c r="W21" s="319"/>
    </row>
    <row r="22" spans="1:24" x14ac:dyDescent="0.2">
      <c r="A22" s="306">
        <v>10</v>
      </c>
      <c r="B22" s="317" t="s">
        <v>5</v>
      </c>
      <c r="C22" s="318" t="s">
        <v>15</v>
      </c>
      <c r="D22" s="831">
        <v>1.4999999999999999E-2</v>
      </c>
      <c r="E22" s="831">
        <v>1.4999999999999999E-2</v>
      </c>
      <c r="F22" s="831">
        <f t="shared" si="8"/>
        <v>1.4999999999999999E-2</v>
      </c>
      <c r="G22" s="831">
        <f>E22</f>
        <v>1.4999999999999999E-2</v>
      </c>
      <c r="H22" s="831">
        <f>E22</f>
        <v>1.4999999999999999E-2</v>
      </c>
      <c r="I22" s="831">
        <f>D22</f>
        <v>1.4999999999999999E-2</v>
      </c>
      <c r="J22" s="831">
        <f>F22</f>
        <v>1.4999999999999999E-2</v>
      </c>
      <c r="K22" s="831">
        <f t="shared" ref="K22:L26" si="10">D22</f>
        <v>1.4999999999999999E-2</v>
      </c>
      <c r="L22" s="1095">
        <f t="shared" si="10"/>
        <v>1.4999999999999999E-2</v>
      </c>
      <c r="M22" s="355" t="s">
        <v>233</v>
      </c>
      <c r="N22" s="355" t="s">
        <v>233</v>
      </c>
      <c r="O22" s="355" t="s">
        <v>233</v>
      </c>
      <c r="P22" s="355" t="s">
        <v>233</v>
      </c>
      <c r="Q22" s="355" t="s">
        <v>233</v>
      </c>
      <c r="R22" s="355" t="s">
        <v>233</v>
      </c>
      <c r="S22" s="355" t="s">
        <v>233</v>
      </c>
      <c r="T22" s="355" t="s">
        <v>233</v>
      </c>
      <c r="U22" s="355" t="s">
        <v>233</v>
      </c>
      <c r="V22" s="347" t="s">
        <v>205</v>
      </c>
    </row>
    <row r="23" spans="1:24" x14ac:dyDescent="0.2">
      <c r="A23" s="306">
        <v>11</v>
      </c>
      <c r="B23" s="317" t="s">
        <v>6</v>
      </c>
      <c r="C23" s="318" t="s">
        <v>16</v>
      </c>
      <c r="D23" s="831">
        <v>0.01</v>
      </c>
      <c r="E23" s="831">
        <v>0.01</v>
      </c>
      <c r="F23" s="831">
        <f t="shared" si="8"/>
        <v>0.01</v>
      </c>
      <c r="G23" s="831">
        <f>E23</f>
        <v>0.01</v>
      </c>
      <c r="H23" s="831">
        <f>E23</f>
        <v>0.01</v>
      </c>
      <c r="I23" s="831">
        <f>D23</f>
        <v>0.01</v>
      </c>
      <c r="J23" s="831">
        <f>F23</f>
        <v>0.01</v>
      </c>
      <c r="K23" s="831">
        <f t="shared" si="10"/>
        <v>0.01</v>
      </c>
      <c r="L23" s="1095">
        <f t="shared" si="10"/>
        <v>0.01</v>
      </c>
      <c r="M23" s="355" t="s">
        <v>233</v>
      </c>
      <c r="N23" s="355" t="s">
        <v>233</v>
      </c>
      <c r="O23" s="355" t="s">
        <v>233</v>
      </c>
      <c r="P23" s="355" t="s">
        <v>233</v>
      </c>
      <c r="Q23" s="355" t="s">
        <v>233</v>
      </c>
      <c r="R23" s="355" t="s">
        <v>233</v>
      </c>
      <c r="S23" s="355" t="s">
        <v>233</v>
      </c>
      <c r="T23" s="355" t="s">
        <v>233</v>
      </c>
      <c r="U23" s="355" t="s">
        <v>233</v>
      </c>
      <c r="V23" s="346" t="s">
        <v>206</v>
      </c>
    </row>
    <row r="24" spans="1:24" x14ac:dyDescent="0.2">
      <c r="A24" s="306">
        <v>12</v>
      </c>
      <c r="B24" s="317" t="s">
        <v>7</v>
      </c>
      <c r="C24" s="318" t="s">
        <v>19</v>
      </c>
      <c r="D24" s="831">
        <v>6.0000000000000001E-3</v>
      </c>
      <c r="E24" s="831">
        <v>6.0000000000000001E-3</v>
      </c>
      <c r="F24" s="831">
        <f>D24</f>
        <v>6.0000000000000001E-3</v>
      </c>
      <c r="G24" s="831">
        <f>E24</f>
        <v>6.0000000000000001E-3</v>
      </c>
      <c r="H24" s="831">
        <f>E24</f>
        <v>6.0000000000000001E-3</v>
      </c>
      <c r="I24" s="831">
        <f>D24</f>
        <v>6.0000000000000001E-3</v>
      </c>
      <c r="J24" s="831">
        <f>F24</f>
        <v>6.0000000000000001E-3</v>
      </c>
      <c r="K24" s="831">
        <f t="shared" si="10"/>
        <v>6.0000000000000001E-3</v>
      </c>
      <c r="L24" s="1095">
        <f t="shared" si="10"/>
        <v>6.0000000000000001E-3</v>
      </c>
      <c r="M24" s="355" t="s">
        <v>233</v>
      </c>
      <c r="N24" s="355" t="s">
        <v>233</v>
      </c>
      <c r="O24" s="355" t="s">
        <v>233</v>
      </c>
      <c r="P24" s="355" t="s">
        <v>233</v>
      </c>
      <c r="Q24" s="355" t="s">
        <v>233</v>
      </c>
      <c r="R24" s="355" t="s">
        <v>233</v>
      </c>
      <c r="S24" s="355" t="s">
        <v>233</v>
      </c>
      <c r="T24" s="355" t="s">
        <v>233</v>
      </c>
      <c r="U24" s="355" t="s">
        <v>233</v>
      </c>
      <c r="V24" s="346" t="s">
        <v>213</v>
      </c>
      <c r="W24" s="319"/>
    </row>
    <row r="25" spans="1:24" x14ac:dyDescent="0.2">
      <c r="A25" s="306">
        <v>13</v>
      </c>
      <c r="B25" s="317" t="s">
        <v>8</v>
      </c>
      <c r="C25" s="318" t="s">
        <v>17</v>
      </c>
      <c r="D25" s="831">
        <v>2E-3</v>
      </c>
      <c r="E25" s="831">
        <v>2E-3</v>
      </c>
      <c r="F25" s="831">
        <f t="shared" si="8"/>
        <v>2E-3</v>
      </c>
      <c r="G25" s="831">
        <f>E25</f>
        <v>2E-3</v>
      </c>
      <c r="H25" s="831">
        <f>E25</f>
        <v>2E-3</v>
      </c>
      <c r="I25" s="831">
        <f>D25</f>
        <v>2E-3</v>
      </c>
      <c r="J25" s="831">
        <f>F25</f>
        <v>2E-3</v>
      </c>
      <c r="K25" s="831">
        <f t="shared" si="10"/>
        <v>2E-3</v>
      </c>
      <c r="L25" s="1095">
        <f t="shared" si="10"/>
        <v>2E-3</v>
      </c>
      <c r="M25" s="355" t="s">
        <v>233</v>
      </c>
      <c r="N25" s="355" t="s">
        <v>233</v>
      </c>
      <c r="O25" s="355" t="s">
        <v>233</v>
      </c>
      <c r="P25" s="355" t="s">
        <v>233</v>
      </c>
      <c r="Q25" s="355" t="s">
        <v>233</v>
      </c>
      <c r="R25" s="355" t="s">
        <v>233</v>
      </c>
      <c r="S25" s="355" t="s">
        <v>233</v>
      </c>
      <c r="T25" s="355" t="s">
        <v>233</v>
      </c>
      <c r="U25" s="355" t="s">
        <v>233</v>
      </c>
      <c r="V25" s="346" t="s">
        <v>207</v>
      </c>
      <c r="X25" s="319"/>
    </row>
    <row r="26" spans="1:24" x14ac:dyDescent="0.2">
      <c r="A26" s="306">
        <v>14</v>
      </c>
      <c r="B26" s="317" t="s">
        <v>9</v>
      </c>
      <c r="C26" s="318" t="s">
        <v>18</v>
      </c>
      <c r="D26" s="831">
        <v>0.08</v>
      </c>
      <c r="E26" s="831">
        <v>0.08</v>
      </c>
      <c r="F26" s="831">
        <f t="shared" si="8"/>
        <v>0.08</v>
      </c>
      <c r="G26" s="831">
        <f>E26</f>
        <v>0.08</v>
      </c>
      <c r="H26" s="831">
        <f>E26</f>
        <v>0.08</v>
      </c>
      <c r="I26" s="831">
        <f>D26</f>
        <v>0.08</v>
      </c>
      <c r="J26" s="831">
        <f>F26</f>
        <v>0.08</v>
      </c>
      <c r="K26" s="831">
        <f t="shared" si="10"/>
        <v>0.08</v>
      </c>
      <c r="L26" s="1095">
        <f t="shared" si="10"/>
        <v>0.08</v>
      </c>
      <c r="M26" s="355" t="s">
        <v>233</v>
      </c>
      <c r="N26" s="355" t="s">
        <v>233</v>
      </c>
      <c r="O26" s="355" t="s">
        <v>233</v>
      </c>
      <c r="P26" s="355" t="s">
        <v>233</v>
      </c>
      <c r="Q26" s="355" t="s">
        <v>233</v>
      </c>
      <c r="R26" s="355" t="s">
        <v>233</v>
      </c>
      <c r="S26" s="355" t="s">
        <v>233</v>
      </c>
      <c r="T26" s="355" t="s">
        <v>233</v>
      </c>
      <c r="U26" s="355" t="s">
        <v>233</v>
      </c>
      <c r="V26" s="346" t="s">
        <v>210</v>
      </c>
      <c r="X26" s="319"/>
    </row>
    <row r="27" spans="1:24" x14ac:dyDescent="0.2">
      <c r="A27" s="306">
        <v>15</v>
      </c>
      <c r="B27" s="1365" t="s">
        <v>47</v>
      </c>
      <c r="C27" s="1366"/>
      <c r="D27" s="833">
        <f>SUM(D19:D26)</f>
        <v>0.35020000000000001</v>
      </c>
      <c r="E27" s="833">
        <f t="shared" ref="E27:F27" si="11">SUM(E19:E26)</f>
        <v>0.35020000000000001</v>
      </c>
      <c r="F27" s="833">
        <f t="shared" si="11"/>
        <v>0.35020000000000001</v>
      </c>
      <c r="G27" s="833">
        <f t="shared" ref="G27:L27" si="12">SUM(G19:G26)</f>
        <v>0.35020000000000001</v>
      </c>
      <c r="H27" s="833">
        <f t="shared" si="12"/>
        <v>0.35020000000000001</v>
      </c>
      <c r="I27" s="833">
        <f t="shared" si="12"/>
        <v>0.35020000000000001</v>
      </c>
      <c r="J27" s="833">
        <f t="shared" si="12"/>
        <v>0.35020000000000001</v>
      </c>
      <c r="K27" s="833">
        <f t="shared" si="12"/>
        <v>0.35020000000000001</v>
      </c>
      <c r="L27" s="1093">
        <f t="shared" si="12"/>
        <v>0.35020000000000001</v>
      </c>
      <c r="M27" s="355" t="s">
        <v>233</v>
      </c>
      <c r="N27" s="355" t="s">
        <v>233</v>
      </c>
      <c r="O27" s="355" t="s">
        <v>233</v>
      </c>
      <c r="P27" s="355" t="s">
        <v>233</v>
      </c>
      <c r="Q27" s="355" t="s">
        <v>233</v>
      </c>
      <c r="R27" s="355" t="s">
        <v>233</v>
      </c>
      <c r="S27" s="355" t="s">
        <v>233</v>
      </c>
      <c r="T27" s="355" t="s">
        <v>233</v>
      </c>
      <c r="U27" s="355" t="s">
        <v>233</v>
      </c>
      <c r="V27" s="355" t="s">
        <v>233</v>
      </c>
      <c r="W27" s="319"/>
      <c r="X27" s="319"/>
    </row>
    <row r="28" spans="1:24" x14ac:dyDescent="0.2">
      <c r="A28" s="306">
        <v>16</v>
      </c>
      <c r="B28" s="320" t="s">
        <v>734</v>
      </c>
      <c r="C28" s="343" t="s">
        <v>55</v>
      </c>
      <c r="D28" s="344"/>
      <c r="E28" s="344"/>
      <c r="F28" s="344"/>
      <c r="G28" s="345"/>
      <c r="H28" s="345"/>
      <c r="I28" s="345"/>
      <c r="J28" s="345"/>
      <c r="K28" s="345"/>
      <c r="L28" s="1094"/>
      <c r="M28" s="316" t="s">
        <v>203</v>
      </c>
      <c r="N28" s="497" t="s">
        <v>203</v>
      </c>
      <c r="O28" s="316" t="s">
        <v>203</v>
      </c>
      <c r="P28" s="497" t="s">
        <v>203</v>
      </c>
      <c r="Q28" s="543" t="s">
        <v>203</v>
      </c>
      <c r="R28" s="544" t="s">
        <v>203</v>
      </c>
      <c r="S28" s="316" t="s">
        <v>203</v>
      </c>
      <c r="T28" s="316" t="s">
        <v>203</v>
      </c>
      <c r="U28" s="544" t="s">
        <v>203</v>
      </c>
      <c r="V28" s="315" t="s">
        <v>199</v>
      </c>
      <c r="X28" s="319"/>
    </row>
    <row r="29" spans="1:24" ht="51" x14ac:dyDescent="0.2">
      <c r="A29" s="306">
        <v>17</v>
      </c>
      <c r="B29" s="326" t="s">
        <v>1</v>
      </c>
      <c r="C29" s="318" t="s">
        <v>56</v>
      </c>
      <c r="D29" s="834">
        <f>(D15*0.035)+((D15+D16)*D15*0.035)</f>
        <v>3.8999999999999998E-3</v>
      </c>
      <c r="E29" s="834">
        <f>1/12*0.03</f>
        <v>2.5000000000000001E-3</v>
      </c>
      <c r="F29" s="834">
        <f>1/12*0.05</f>
        <v>4.1999999999999997E-3</v>
      </c>
      <c r="G29" s="834">
        <f t="shared" ref="G29:K29" si="13">1/12*0.05</f>
        <v>4.1999999999999997E-3</v>
      </c>
      <c r="H29" s="834">
        <f>33/365*0.2</f>
        <v>1.8100000000000002E-2</v>
      </c>
      <c r="I29" s="834">
        <f>1/12*0.163</f>
        <v>1.3599999999999999E-2</v>
      </c>
      <c r="J29" s="834">
        <f>1/12*0.18</f>
        <v>1.4999999999999999E-2</v>
      </c>
      <c r="K29" s="834">
        <f t="shared" si="13"/>
        <v>4.1999999999999997E-3</v>
      </c>
      <c r="L29" s="948">
        <f>1/12*0.05</f>
        <v>4.1999999999999997E-3</v>
      </c>
      <c r="M29" s="350" t="s">
        <v>1008</v>
      </c>
      <c r="N29" s="350" t="s">
        <v>1426</v>
      </c>
      <c r="O29" s="350" t="s">
        <v>1016</v>
      </c>
      <c r="P29" s="350" t="s">
        <v>1017</v>
      </c>
      <c r="Q29" s="350" t="s">
        <v>1018</v>
      </c>
      <c r="R29" s="350" t="s">
        <v>1019</v>
      </c>
      <c r="S29" s="350" t="s">
        <v>1020</v>
      </c>
      <c r="T29" s="350" t="s">
        <v>1016</v>
      </c>
      <c r="U29" s="350" t="s">
        <v>1017</v>
      </c>
      <c r="V29" s="1101" t="s">
        <v>217</v>
      </c>
      <c r="X29" s="319"/>
    </row>
    <row r="30" spans="1:24" x14ac:dyDescent="0.2">
      <c r="A30" s="306">
        <v>18</v>
      </c>
      <c r="B30" s="326" t="s">
        <v>2</v>
      </c>
      <c r="C30" s="318" t="s">
        <v>130</v>
      </c>
      <c r="D30" s="834">
        <f t="shared" ref="D30:K30" si="14">D26*D29</f>
        <v>2.9999999999999997E-4</v>
      </c>
      <c r="E30" s="834">
        <f>E26*E29</f>
        <v>2.0000000000000001E-4</v>
      </c>
      <c r="F30" s="834">
        <f t="shared" si="14"/>
        <v>2.9999999999999997E-4</v>
      </c>
      <c r="G30" s="834">
        <f t="shared" si="14"/>
        <v>2.9999999999999997E-4</v>
      </c>
      <c r="H30" s="834">
        <f t="shared" si="14"/>
        <v>1.4E-3</v>
      </c>
      <c r="I30" s="834">
        <f t="shared" si="14"/>
        <v>1.1000000000000001E-3</v>
      </c>
      <c r="J30" s="834">
        <f t="shared" si="14"/>
        <v>1.1999999999999999E-3</v>
      </c>
      <c r="K30" s="834">
        <f t="shared" si="14"/>
        <v>2.9999999999999997E-4</v>
      </c>
      <c r="L30" s="948">
        <f>L26*L29</f>
        <v>2.9999999999999997E-4</v>
      </c>
      <c r="M30" s="365" t="str">
        <f>$O$48&amp;" " &amp; $D$26&amp;" " &amp;$O$49&amp; " " &amp;$D$29&amp; " " &amp;$O$51&amp;" " &amp;$O$49&amp;" " &amp; $O$47</f>
        <v>( 0,08 x 0,0039 ) x 100</v>
      </c>
      <c r="N30" s="365" t="str">
        <f>$O$48&amp;" " &amp; $D$26&amp;" " &amp;$O$49&amp; " " &amp;$E$29&amp; " " &amp;$O$51&amp;" " &amp;$O$49&amp;" " &amp; $O$47</f>
        <v>( 0,08 x 0,0025 ) x 100</v>
      </c>
      <c r="O30" s="365" t="str">
        <f>$O$48&amp;" " &amp; $F$26&amp;" " &amp;$O$49&amp; " " &amp;$F$29&amp; " " &amp;$O$51&amp;" " &amp;$O$49&amp;" " &amp; $O$47</f>
        <v>( 0,08 x 0,0042 ) x 100</v>
      </c>
      <c r="P30" s="365" t="str">
        <f>$O$48&amp;" " &amp; $G$26&amp;" " &amp;$O$49&amp; " " &amp;$G$29&amp; " " &amp;$O$51&amp;" " &amp;$O$49&amp;" " &amp; $O$47</f>
        <v>( 0,08 x 0,0042 ) x 100</v>
      </c>
      <c r="Q30" s="365" t="str">
        <f>$O$48&amp;" " &amp; $H$26&amp;" " &amp;$O$49&amp; " " &amp;$H$29&amp; " " &amp;$O$51&amp;" " &amp;$O$49&amp;" " &amp; $O$47</f>
        <v>( 0,08 x 0,0181 ) x 100</v>
      </c>
      <c r="R30" s="365" t="str">
        <f>$O$48&amp;" " &amp; $I$26&amp;" " &amp;$O$49&amp; " " &amp;$I$29&amp; " " &amp;$O$51&amp;" " &amp;$O$49&amp;" " &amp; $O$47</f>
        <v>( 0,08 x 0,0136 ) x 100</v>
      </c>
      <c r="S30" s="365" t="str">
        <f>$O$48&amp;" " &amp; $J$26&amp;" " &amp;$O$49&amp; " " &amp;$J$29&amp; " " &amp;$O$51&amp;" " &amp;$O$49&amp;" " &amp; $O$47</f>
        <v>( 0,08 x 0,015 ) x 100</v>
      </c>
      <c r="T30" s="365" t="str">
        <f>$O$48&amp;" " &amp; $K$26&amp;" " &amp;$O$49&amp; " " &amp;$K$29&amp; " " &amp;$O$51&amp;" " &amp;$O$49&amp;" " &amp; $O$47</f>
        <v>( 0,08 x 0,0042 ) x 100</v>
      </c>
      <c r="U30" s="365" t="str">
        <f>$O$48&amp;" " &amp; $L$26&amp;" " &amp;$O$49&amp; " " &amp;$L$29&amp; " " &amp;$O$51&amp;" " &amp;$O$49&amp;" " &amp; $O$47</f>
        <v>( 0,08 x 0,0042 ) x 100</v>
      </c>
      <c r="V30" s="1102" t="s">
        <v>1305</v>
      </c>
      <c r="X30" s="319"/>
    </row>
    <row r="31" spans="1:24" s="888" customFormat="1" ht="25.5" x14ac:dyDescent="0.2">
      <c r="A31" s="306">
        <v>19</v>
      </c>
      <c r="B31" s="882" t="s">
        <v>4</v>
      </c>
      <c r="C31" s="883" t="s">
        <v>1301</v>
      </c>
      <c r="D31" s="1100">
        <f t="shared" ref="D31:K31" si="15">((D29+(0*D29))*D26)*D29</f>
        <v>9.9999999999999995E-7</v>
      </c>
      <c r="E31" s="1100">
        <f>((E29+(0*E29))*E26)*E29</f>
        <v>9.9999999999999995E-7</v>
      </c>
      <c r="F31" s="1100">
        <f t="shared" si="15"/>
        <v>9.9999999999999995E-7</v>
      </c>
      <c r="G31" s="1100">
        <f t="shared" si="15"/>
        <v>9.9999999999999995E-7</v>
      </c>
      <c r="H31" s="1100">
        <f t="shared" si="15"/>
        <v>2.5999999999999998E-5</v>
      </c>
      <c r="I31" s="1100">
        <f t="shared" si="15"/>
        <v>1.5E-5</v>
      </c>
      <c r="J31" s="1100">
        <f t="shared" si="15"/>
        <v>1.8E-5</v>
      </c>
      <c r="K31" s="1100">
        <f t="shared" si="15"/>
        <v>9.9999999999999995E-7</v>
      </c>
      <c r="L31" s="1100">
        <f>((L29+(0*L29))*L26)*L29</f>
        <v>9.9999999999999995E-7</v>
      </c>
      <c r="M31" s="885" t="s">
        <v>1406</v>
      </c>
      <c r="N31" s="1184" t="s">
        <v>1427</v>
      </c>
      <c r="O31" s="885" t="s">
        <v>1406</v>
      </c>
      <c r="P31" s="885" t="s">
        <v>1406</v>
      </c>
      <c r="Q31" s="885" t="s">
        <v>1406</v>
      </c>
      <c r="R31" s="885" t="s">
        <v>1406</v>
      </c>
      <c r="S31" s="885" t="s">
        <v>1406</v>
      </c>
      <c r="T31" s="885" t="s">
        <v>1406</v>
      </c>
      <c r="U31" s="885" t="s">
        <v>1406</v>
      </c>
      <c r="V31" s="1103" t="s">
        <v>1306</v>
      </c>
      <c r="W31" s="886"/>
      <c r="X31" s="887"/>
    </row>
    <row r="32" spans="1:24" ht="25.5" x14ac:dyDescent="0.2">
      <c r="A32" s="306">
        <v>20</v>
      </c>
      <c r="B32" s="326" t="s">
        <v>5</v>
      </c>
      <c r="C32" s="318" t="s">
        <v>218</v>
      </c>
      <c r="D32" s="834">
        <f>7/30/12</f>
        <v>1.9400000000000001E-2</v>
      </c>
      <c r="E32" s="834">
        <f>7/30/12</f>
        <v>1.9400000000000001E-2</v>
      </c>
      <c r="F32" s="834">
        <f t="shared" ref="F32:L32" si="16">7/30/12</f>
        <v>1.9400000000000001E-2</v>
      </c>
      <c r="G32" s="834">
        <f t="shared" si="16"/>
        <v>1.9400000000000001E-2</v>
      </c>
      <c r="H32" s="834">
        <f t="shared" si="16"/>
        <v>1.9400000000000001E-2</v>
      </c>
      <c r="I32" s="834">
        <f t="shared" si="16"/>
        <v>1.9400000000000001E-2</v>
      </c>
      <c r="J32" s="834">
        <f t="shared" si="16"/>
        <v>1.9400000000000001E-2</v>
      </c>
      <c r="K32" s="834">
        <f t="shared" si="16"/>
        <v>1.9400000000000001E-2</v>
      </c>
      <c r="L32" s="834">
        <f t="shared" si="16"/>
        <v>1.9400000000000001E-2</v>
      </c>
      <c r="M32" s="350" t="s">
        <v>1009</v>
      </c>
      <c r="N32" s="350" t="s">
        <v>1021</v>
      </c>
      <c r="O32" s="350" t="s">
        <v>1022</v>
      </c>
      <c r="P32" s="350" t="s">
        <v>1009</v>
      </c>
      <c r="Q32" s="350" t="s">
        <v>1023</v>
      </c>
      <c r="R32" s="350" t="s">
        <v>1023</v>
      </c>
      <c r="S32" s="350" t="s">
        <v>1009</v>
      </c>
      <c r="T32" s="350" t="s">
        <v>1023</v>
      </c>
      <c r="U32" s="350" t="s">
        <v>1023</v>
      </c>
      <c r="V32" s="1101" t="s">
        <v>219</v>
      </c>
      <c r="W32" s="324"/>
      <c r="X32" s="319"/>
    </row>
    <row r="33" spans="1:26" ht="25.5" x14ac:dyDescent="0.2">
      <c r="A33" s="306">
        <v>21</v>
      </c>
      <c r="B33" s="326" t="s">
        <v>6</v>
      </c>
      <c r="C33" s="890" t="s">
        <v>918</v>
      </c>
      <c r="D33" s="834">
        <f t="shared" ref="D33:K33" si="17">D32*D27</f>
        <v>6.7999999999999996E-3</v>
      </c>
      <c r="E33" s="834">
        <f>E32*E27</f>
        <v>6.7999999999999996E-3</v>
      </c>
      <c r="F33" s="834">
        <f t="shared" si="17"/>
        <v>6.7999999999999996E-3</v>
      </c>
      <c r="G33" s="834">
        <f t="shared" si="17"/>
        <v>6.7999999999999996E-3</v>
      </c>
      <c r="H33" s="834">
        <f t="shared" si="17"/>
        <v>6.7999999999999996E-3</v>
      </c>
      <c r="I33" s="834">
        <f t="shared" si="17"/>
        <v>6.7999999999999996E-3</v>
      </c>
      <c r="J33" s="834">
        <f t="shared" si="17"/>
        <v>6.7999999999999996E-3</v>
      </c>
      <c r="K33" s="834">
        <f t="shared" si="17"/>
        <v>6.7999999999999996E-3</v>
      </c>
      <c r="L33" s="948">
        <f>L32*L27</f>
        <v>6.7999999999999996E-3</v>
      </c>
      <c r="M33" s="365" t="str">
        <f>$O$48&amp;" " &amp; $D$27&amp;" " &amp;$O$49&amp; " " &amp;$D$32&amp; " " &amp;$O$51&amp;" " &amp;$O$49&amp;" " &amp; $O$47</f>
        <v>( 0,3502 x 0,0194 ) x 100</v>
      </c>
      <c r="N33" s="365" t="str">
        <f>$O$48&amp;" " &amp; $E$27&amp;" " &amp;$O$49&amp; " " &amp;$E$32&amp; " " &amp;$O$51&amp;" " &amp;$O$49&amp;" " &amp; $O$47</f>
        <v>( 0,3502 x 0,0194 ) x 100</v>
      </c>
      <c r="O33" s="365" t="str">
        <f>$O$48&amp;" " &amp; $F$27&amp;" " &amp;$O$49&amp; " " &amp;$F$32&amp; " " &amp;$O$51&amp;" " &amp;$O$49&amp;" " &amp; $O$47</f>
        <v>( 0,3502 x 0,0194 ) x 100</v>
      </c>
      <c r="P33" s="365" t="str">
        <f>$O$48&amp;" " &amp; $G$27&amp;" " &amp;$O$49&amp; " " &amp;$G$32&amp; " " &amp;$O$51&amp;" " &amp;$O$49&amp;" " &amp; $O$47</f>
        <v>( 0,3502 x 0,0194 ) x 100</v>
      </c>
      <c r="Q33" s="365" t="str">
        <f>$O$48&amp;" " &amp; $H$27&amp;" " &amp;$O$49&amp; " " &amp;$H$32&amp; " " &amp;$O$51&amp;" " &amp;$O$49&amp;" " &amp; $O$47</f>
        <v>( 0,3502 x 0,0194 ) x 100</v>
      </c>
      <c r="R33" s="365" t="str">
        <f>$O$48&amp;" " &amp; $I$27&amp;" " &amp;$O$49&amp; " " &amp;$I$32&amp; " " &amp;$O$51&amp;" " &amp;$O$49&amp;" " &amp; $O$47</f>
        <v>( 0,3502 x 0,0194 ) x 100</v>
      </c>
      <c r="S33" s="365" t="str">
        <f>$O$48&amp;" " &amp; $J$27&amp;" " &amp;$O$49&amp; " " &amp;$J$32&amp; " " &amp;$O$51&amp;" " &amp;$O$49&amp;" " &amp; $O$47</f>
        <v>( 0,3502 x 0,0194 ) x 100</v>
      </c>
      <c r="T33" s="365" t="str">
        <f>$O$48&amp;" " &amp; $K$27&amp;" " &amp;$O$49&amp; " " &amp;$K$32&amp; " " &amp;$O$51&amp;" " &amp;$O$49&amp;" " &amp; $O$47</f>
        <v>( 0,3502 x 0,0194 ) x 100</v>
      </c>
      <c r="U33" s="365" t="str">
        <f>$O$48&amp;" " &amp; $L$27&amp;" " &amp;$O$49&amp; " " &amp;$L$32&amp; " " &amp;$O$51&amp;" " &amp;$O$49&amp;" " &amp; $O$47</f>
        <v>( 0,3502 x 0,0194 ) x 100</v>
      </c>
      <c r="V33" s="1102" t="s">
        <v>1307</v>
      </c>
      <c r="W33" s="324"/>
      <c r="X33" s="319"/>
    </row>
    <row r="34" spans="1:26" s="888" customFormat="1" ht="25.5" x14ac:dyDescent="0.2">
      <c r="A34" s="306">
        <v>22</v>
      </c>
      <c r="B34" s="882" t="s">
        <v>7</v>
      </c>
      <c r="C34" s="883" t="s">
        <v>1302</v>
      </c>
      <c r="D34" s="884">
        <f t="shared" ref="D34:K34" si="18">(((0.4*$L$26*$L$29)))</f>
        <v>1E-4</v>
      </c>
      <c r="E34" s="884">
        <f>((E32+(0.4*E32))*E29)*E32+0.01%</f>
        <v>1E-4</v>
      </c>
      <c r="F34" s="884">
        <f t="shared" si="18"/>
        <v>1E-4</v>
      </c>
      <c r="G34" s="884">
        <f t="shared" si="18"/>
        <v>1E-4</v>
      </c>
      <c r="H34" s="884">
        <f t="shared" si="18"/>
        <v>1E-4</v>
      </c>
      <c r="I34" s="884">
        <f t="shared" si="18"/>
        <v>1E-4</v>
      </c>
      <c r="J34" s="884">
        <f t="shared" si="18"/>
        <v>1E-4</v>
      </c>
      <c r="K34" s="884">
        <f t="shared" si="18"/>
        <v>1E-4</v>
      </c>
      <c r="L34" s="884">
        <f>(((0.4*$L$26*$L$29)))</f>
        <v>1E-4</v>
      </c>
      <c r="M34" s="885" t="s">
        <v>1408</v>
      </c>
      <c r="N34" s="1184" t="s">
        <v>1428</v>
      </c>
      <c r="O34" s="885" t="s">
        <v>1408</v>
      </c>
      <c r="P34" s="885" t="s">
        <v>1408</v>
      </c>
      <c r="Q34" s="885" t="s">
        <v>1408</v>
      </c>
      <c r="R34" s="885" t="s">
        <v>1408</v>
      </c>
      <c r="S34" s="885" t="s">
        <v>1408</v>
      </c>
      <c r="T34" s="885" t="s">
        <v>1408</v>
      </c>
      <c r="U34" s="885" t="s">
        <v>1408</v>
      </c>
      <c r="V34" s="1101" t="s">
        <v>1308</v>
      </c>
      <c r="W34" s="886"/>
      <c r="X34" s="887"/>
    </row>
    <row r="35" spans="1:26" s="888" customFormat="1" ht="25.5" x14ac:dyDescent="0.2">
      <c r="A35" s="306">
        <v>23</v>
      </c>
      <c r="B35" s="1099" t="s">
        <v>8</v>
      </c>
      <c r="C35" s="883" t="s">
        <v>1303</v>
      </c>
      <c r="D35" s="884">
        <f t="shared" ref="D35:K35" si="19">(0.4*D26*0.9)*(1+D17)</f>
        <v>3.49E-2</v>
      </c>
      <c r="E35" s="884">
        <f>(0.4*E26*0.9)*(1+E17)</f>
        <v>3.49E-2</v>
      </c>
      <c r="F35" s="884">
        <f t="shared" si="19"/>
        <v>3.49E-2</v>
      </c>
      <c r="G35" s="884">
        <f t="shared" si="19"/>
        <v>3.49E-2</v>
      </c>
      <c r="H35" s="884">
        <f t="shared" si="19"/>
        <v>3.49E-2</v>
      </c>
      <c r="I35" s="884">
        <f t="shared" si="19"/>
        <v>3.49E-2</v>
      </c>
      <c r="J35" s="884">
        <f t="shared" si="19"/>
        <v>3.49E-2</v>
      </c>
      <c r="K35" s="884">
        <f t="shared" si="19"/>
        <v>3.49E-2</v>
      </c>
      <c r="L35" s="884">
        <f>(0.4*L26*0.9)*(1+L17)</f>
        <v>3.49E-2</v>
      </c>
      <c r="M35" s="885" t="s">
        <v>1407</v>
      </c>
      <c r="N35" s="885" t="s">
        <v>1304</v>
      </c>
      <c r="O35" s="885" t="s">
        <v>1304</v>
      </c>
      <c r="P35" s="885" t="s">
        <v>1304</v>
      </c>
      <c r="Q35" s="885" t="s">
        <v>1304</v>
      </c>
      <c r="R35" s="885" t="s">
        <v>1304</v>
      </c>
      <c r="S35" s="885" t="s">
        <v>1304</v>
      </c>
      <c r="T35" s="885" t="s">
        <v>1304</v>
      </c>
      <c r="U35" s="885" t="s">
        <v>1304</v>
      </c>
      <c r="V35" s="1101" t="s">
        <v>1308</v>
      </c>
      <c r="W35" s="886"/>
      <c r="X35" s="887"/>
    </row>
    <row r="36" spans="1:26" x14ac:dyDescent="0.2">
      <c r="A36" s="306">
        <v>24</v>
      </c>
      <c r="B36" s="1365" t="s">
        <v>47</v>
      </c>
      <c r="C36" s="1366"/>
      <c r="D36" s="833">
        <f>SUM(D29:D35)</f>
        <v>6.54E-2</v>
      </c>
      <c r="E36" s="833">
        <f>SUM(E29:E35)</f>
        <v>6.3899999999999998E-2</v>
      </c>
      <c r="F36" s="833">
        <f t="shared" ref="F36:L36" si="20">SUM(F29:F35)</f>
        <v>6.5699999999999995E-2</v>
      </c>
      <c r="G36" s="833">
        <f t="shared" si="20"/>
        <v>6.5699999999999995E-2</v>
      </c>
      <c r="H36" s="833">
        <f t="shared" si="20"/>
        <v>8.0699999999999994E-2</v>
      </c>
      <c r="I36" s="833">
        <f t="shared" si="20"/>
        <v>7.5899999999999995E-2</v>
      </c>
      <c r="J36" s="833">
        <f t="shared" si="20"/>
        <v>7.7399999999999997E-2</v>
      </c>
      <c r="K36" s="833">
        <f t="shared" si="20"/>
        <v>6.5699999999999995E-2</v>
      </c>
      <c r="L36" s="833">
        <f t="shared" si="20"/>
        <v>6.5699999999999995E-2</v>
      </c>
      <c r="M36" s="355" t="s">
        <v>233</v>
      </c>
      <c r="N36" s="355" t="s">
        <v>233</v>
      </c>
      <c r="O36" s="355" t="s">
        <v>233</v>
      </c>
      <c r="P36" s="355" t="s">
        <v>233</v>
      </c>
      <c r="Q36" s="355" t="s">
        <v>233</v>
      </c>
      <c r="R36" s="355" t="s">
        <v>233</v>
      </c>
      <c r="S36" s="355" t="s">
        <v>233</v>
      </c>
      <c r="T36" s="355" t="s">
        <v>233</v>
      </c>
      <c r="U36" s="355" t="s">
        <v>233</v>
      </c>
      <c r="V36" s="355" t="s">
        <v>233</v>
      </c>
      <c r="W36" s="324"/>
      <c r="X36" s="319"/>
    </row>
    <row r="37" spans="1:26" x14ac:dyDescent="0.2">
      <c r="A37" s="306">
        <v>25</v>
      </c>
      <c r="B37" s="320" t="s">
        <v>48</v>
      </c>
      <c r="C37" s="343" t="s">
        <v>920</v>
      </c>
      <c r="D37" s="344"/>
      <c r="E37" s="344"/>
      <c r="F37" s="344"/>
      <c r="G37" s="345"/>
      <c r="H37" s="345"/>
      <c r="I37" s="345"/>
      <c r="J37" s="345"/>
      <c r="K37" s="345"/>
      <c r="L37" s="1094"/>
      <c r="M37" s="316" t="s">
        <v>203</v>
      </c>
      <c r="N37" s="497" t="s">
        <v>203</v>
      </c>
      <c r="O37" s="316" t="s">
        <v>203</v>
      </c>
      <c r="P37" s="497" t="s">
        <v>203</v>
      </c>
      <c r="Q37" s="543" t="s">
        <v>203</v>
      </c>
      <c r="R37" s="544" t="s">
        <v>203</v>
      </c>
      <c r="S37" s="316" t="s">
        <v>203</v>
      </c>
      <c r="T37" s="316" t="s">
        <v>203</v>
      </c>
      <c r="U37" s="544" t="s">
        <v>203</v>
      </c>
      <c r="V37" s="315" t="s">
        <v>199</v>
      </c>
      <c r="W37" s="324"/>
      <c r="X37" s="319"/>
    </row>
    <row r="38" spans="1:26" ht="25.5" x14ac:dyDescent="0.2">
      <c r="A38" s="306">
        <v>26</v>
      </c>
      <c r="B38" s="326" t="s">
        <v>1</v>
      </c>
      <c r="C38" s="318" t="s">
        <v>921</v>
      </c>
      <c r="D38" s="832">
        <f>D16/12</f>
        <v>1.01E-2</v>
      </c>
      <c r="E38" s="832">
        <v>7.6E-3</v>
      </c>
      <c r="F38" s="832">
        <f t="shared" ref="F38:K38" si="21">F16/12</f>
        <v>1.01E-2</v>
      </c>
      <c r="G38" s="832">
        <f t="shared" si="21"/>
        <v>1.01E-2</v>
      </c>
      <c r="H38" s="832">
        <f t="shared" si="21"/>
        <v>1.01E-2</v>
      </c>
      <c r="I38" s="832">
        <f t="shared" si="21"/>
        <v>1.01E-2</v>
      </c>
      <c r="J38" s="832">
        <f t="shared" si="21"/>
        <v>1.01E-2</v>
      </c>
      <c r="K38" s="832">
        <f t="shared" si="21"/>
        <v>1.01E-2</v>
      </c>
      <c r="L38" s="1092">
        <v>7.6E-3</v>
      </c>
      <c r="M38" s="790" t="s">
        <v>1010</v>
      </c>
      <c r="N38" s="790" t="s">
        <v>1429</v>
      </c>
      <c r="O38" s="790" t="s">
        <v>1024</v>
      </c>
      <c r="P38" s="790" t="s">
        <v>1025</v>
      </c>
      <c r="Q38" s="818" t="s">
        <v>1025</v>
      </c>
      <c r="R38" s="818" t="s">
        <v>1025</v>
      </c>
      <c r="S38" s="818" t="s">
        <v>1025</v>
      </c>
      <c r="T38" s="818" t="s">
        <v>1025</v>
      </c>
      <c r="U38" s="818" t="s">
        <v>1309</v>
      </c>
      <c r="V38" s="348" t="s">
        <v>220</v>
      </c>
      <c r="W38" s="324"/>
      <c r="X38" s="319"/>
    </row>
    <row r="39" spans="1:26" x14ac:dyDescent="0.2">
      <c r="A39" s="306">
        <v>27</v>
      </c>
      <c r="B39" s="326" t="s">
        <v>2</v>
      </c>
      <c r="C39" s="318" t="s">
        <v>922</v>
      </c>
      <c r="D39" s="834">
        <f>5.14/30/12</f>
        <v>1.43E-2</v>
      </c>
      <c r="E39" s="834">
        <f>5/30/12*0.01</f>
        <v>1E-4</v>
      </c>
      <c r="F39" s="834">
        <f>6.97/30/12</f>
        <v>1.9400000000000001E-2</v>
      </c>
      <c r="G39" s="834">
        <f>8.92/30/12</f>
        <v>2.4799999999999999E-2</v>
      </c>
      <c r="H39" s="834">
        <f>14/30/12</f>
        <v>3.8899999999999997E-2</v>
      </c>
      <c r="I39" s="834">
        <f>8/30/12</f>
        <v>2.2200000000000001E-2</v>
      </c>
      <c r="J39" s="834">
        <f>6.4/30/12</f>
        <v>1.78E-2</v>
      </c>
      <c r="K39" s="834">
        <f>6.97/30/12</f>
        <v>1.9400000000000001E-2</v>
      </c>
      <c r="L39" s="948">
        <f>5/30/12*0.59</f>
        <v>8.2000000000000007E-3</v>
      </c>
      <c r="M39" s="350" t="s">
        <v>1011</v>
      </c>
      <c r="N39" s="350" t="s">
        <v>1430</v>
      </c>
      <c r="O39" s="350" t="s">
        <v>1026</v>
      </c>
      <c r="P39" s="350" t="s">
        <v>1027</v>
      </c>
      <c r="Q39" s="350" t="s">
        <v>1028</v>
      </c>
      <c r="R39" s="350" t="s">
        <v>1029</v>
      </c>
      <c r="S39" s="350" t="s">
        <v>1030</v>
      </c>
      <c r="T39" s="350" t="s">
        <v>1031</v>
      </c>
      <c r="U39" s="350" t="s">
        <v>1409</v>
      </c>
      <c r="V39" s="349" t="s">
        <v>222</v>
      </c>
      <c r="W39" s="319"/>
      <c r="X39" s="319"/>
    </row>
    <row r="40" spans="1:26" ht="25.5" customHeight="1" x14ac:dyDescent="0.2">
      <c r="A40" s="306">
        <v>28</v>
      </c>
      <c r="B40" s="326" t="s">
        <v>4</v>
      </c>
      <c r="C40" s="318" t="s">
        <v>923</v>
      </c>
      <c r="D40" s="834">
        <f>5/30/12*1.5%</f>
        <v>2.0000000000000001E-4</v>
      </c>
      <c r="E40" s="834">
        <f>5/30/12*0.01</f>
        <v>1E-4</v>
      </c>
      <c r="F40" s="834">
        <f t="shared" ref="F40:K40" si="22">5/30/12*1.5%</f>
        <v>2.0000000000000001E-4</v>
      </c>
      <c r="G40" s="834">
        <f t="shared" si="22"/>
        <v>2.0000000000000001E-4</v>
      </c>
      <c r="H40" s="834">
        <f>5/30/12*7.5%</f>
        <v>1E-3</v>
      </c>
      <c r="I40" s="834">
        <f>5/30/12*45%</f>
        <v>6.3E-3</v>
      </c>
      <c r="J40" s="834">
        <f>5/30/12*2%</f>
        <v>2.9999999999999997E-4</v>
      </c>
      <c r="K40" s="834">
        <f t="shared" si="22"/>
        <v>2.0000000000000001E-4</v>
      </c>
      <c r="L40" s="948">
        <f>5/30/12*0.015</f>
        <v>2.0000000000000001E-4</v>
      </c>
      <c r="M40" s="350" t="s">
        <v>1012</v>
      </c>
      <c r="N40" s="350" t="s">
        <v>1430</v>
      </c>
      <c r="O40" s="350" t="s">
        <v>1012</v>
      </c>
      <c r="P40" s="350" t="s">
        <v>1032</v>
      </c>
      <c r="Q40" s="350" t="s">
        <v>1033</v>
      </c>
      <c r="R40" s="350" t="s">
        <v>1034</v>
      </c>
      <c r="S40" s="350" t="s">
        <v>1035</v>
      </c>
      <c r="T40" s="350" t="s">
        <v>1012</v>
      </c>
      <c r="U40" s="350" t="s">
        <v>1012</v>
      </c>
      <c r="V40" s="346" t="s">
        <v>221</v>
      </c>
      <c r="W40" s="319"/>
      <c r="X40" s="319"/>
    </row>
    <row r="41" spans="1:26" ht="25.5" x14ac:dyDescent="0.2">
      <c r="A41" s="306">
        <v>29</v>
      </c>
      <c r="B41" s="326" t="s">
        <v>5</v>
      </c>
      <c r="C41" s="318" t="s">
        <v>924</v>
      </c>
      <c r="D41" s="835">
        <f>15/30/12*8%</f>
        <v>3.3E-3</v>
      </c>
      <c r="E41" s="835">
        <f>15/30/12*0.003</f>
        <v>1E-4</v>
      </c>
      <c r="F41" s="835">
        <f>15/30/12*0.78%</f>
        <v>2.9999999999999997E-4</v>
      </c>
      <c r="G41" s="835">
        <f>15/30/12*0.78%</f>
        <v>2.9999999999999997E-4</v>
      </c>
      <c r="H41" s="835">
        <f>15/30/12*10%</f>
        <v>4.1999999999999997E-3</v>
      </c>
      <c r="I41" s="835">
        <f>15/30/12*10%</f>
        <v>4.1999999999999997E-3</v>
      </c>
      <c r="J41" s="835">
        <f>15/30/12*6.7%</f>
        <v>2.8E-3</v>
      </c>
      <c r="K41" s="835">
        <f>15/30/12*0.78%</f>
        <v>2.9999999999999997E-4</v>
      </c>
      <c r="L41" s="1096">
        <f>15/30/12*0.78%</f>
        <v>2.9999999999999997E-4</v>
      </c>
      <c r="M41" s="350" t="s">
        <v>1013</v>
      </c>
      <c r="N41" s="350" t="s">
        <v>1431</v>
      </c>
      <c r="O41" s="350" t="s">
        <v>1036</v>
      </c>
      <c r="P41" s="350" t="s">
        <v>1036</v>
      </c>
      <c r="Q41" s="350" t="s">
        <v>1039</v>
      </c>
      <c r="R41" s="350" t="s">
        <v>1041</v>
      </c>
      <c r="S41" s="350" t="s">
        <v>1043</v>
      </c>
      <c r="T41" s="350" t="s">
        <v>1044</v>
      </c>
      <c r="U41" s="350" t="s">
        <v>1410</v>
      </c>
      <c r="V41" s="348" t="s">
        <v>223</v>
      </c>
      <c r="W41" s="319"/>
      <c r="X41" s="319"/>
    </row>
    <row r="42" spans="1:26" ht="25.5" x14ac:dyDescent="0.2">
      <c r="A42" s="306">
        <v>30</v>
      </c>
      <c r="B42" s="317" t="s">
        <v>6</v>
      </c>
      <c r="C42" s="318" t="s">
        <v>925</v>
      </c>
      <c r="D42" s="820">
        <f>(((D16*4)+(D15*4))/12)*1.5%</f>
        <v>1.1000000000000001E-3</v>
      </c>
      <c r="E42" s="820">
        <f>(((L16*4)+(L15*4))/12)*0.1%</f>
        <v>1E-4</v>
      </c>
      <c r="F42" s="820">
        <f>(((F16*4)+(F15*4))/12)*12.6%</f>
        <v>8.8999999999999999E-3</v>
      </c>
      <c r="G42" s="820">
        <f>(((G16*4)+(G15*4))/12)*0.4%</f>
        <v>2.9999999999999997E-4</v>
      </c>
      <c r="H42" s="820">
        <f>(((H16*4)+(H15*4))/12)*0.25%</f>
        <v>2.0000000000000001E-4</v>
      </c>
      <c r="I42" s="820">
        <f>(((I16*4)+(I15*4))/12)*5%</f>
        <v>3.5000000000000001E-3</v>
      </c>
      <c r="J42" s="820">
        <f>(((J16*4)+(J15*4))/12)*0.4%</f>
        <v>2.9999999999999997E-4</v>
      </c>
      <c r="K42" s="820">
        <f>(((K16*4)+(K15*4))/12)*0.5%</f>
        <v>4.0000000000000002E-4</v>
      </c>
      <c r="L42" s="948">
        <f>(((L16*4)+(L15*4))/12)*4.1%</f>
        <v>2.8999999999999998E-3</v>
      </c>
      <c r="M42" s="350" t="s">
        <v>1014</v>
      </c>
      <c r="N42" s="350" t="s">
        <v>1432</v>
      </c>
      <c r="O42" s="350" t="s">
        <v>1037</v>
      </c>
      <c r="P42" s="350" t="s">
        <v>1038</v>
      </c>
      <c r="Q42" s="350" t="s">
        <v>1040</v>
      </c>
      <c r="R42" s="350" t="s">
        <v>1042</v>
      </c>
      <c r="S42" s="350" t="s">
        <v>1038</v>
      </c>
      <c r="T42" s="350" t="s">
        <v>1045</v>
      </c>
      <c r="U42" s="350" t="s">
        <v>1411</v>
      </c>
      <c r="V42" s="346" t="s">
        <v>216</v>
      </c>
      <c r="W42" s="319"/>
      <c r="X42" s="319"/>
    </row>
    <row r="43" spans="1:26" x14ac:dyDescent="0.2">
      <c r="A43" s="306">
        <v>31</v>
      </c>
      <c r="B43" s="326" t="s">
        <v>7</v>
      </c>
      <c r="C43" s="318" t="s">
        <v>1311</v>
      </c>
      <c r="D43" s="834">
        <v>0</v>
      </c>
      <c r="E43" s="834">
        <v>0</v>
      </c>
      <c r="F43" s="834">
        <f>D43</f>
        <v>0</v>
      </c>
      <c r="G43" s="834">
        <f>E43</f>
        <v>0</v>
      </c>
      <c r="H43" s="834">
        <f>E43</f>
        <v>0</v>
      </c>
      <c r="I43" s="834">
        <f>D43</f>
        <v>0</v>
      </c>
      <c r="J43" s="834">
        <f>F43</f>
        <v>0</v>
      </c>
      <c r="K43" s="834">
        <f>D43</f>
        <v>0</v>
      </c>
      <c r="L43" s="948">
        <v>1.66E-2</v>
      </c>
      <c r="M43" s="355" t="s">
        <v>233</v>
      </c>
      <c r="N43" s="355" t="s">
        <v>233</v>
      </c>
      <c r="O43" s="355" t="s">
        <v>233</v>
      </c>
      <c r="P43" s="355" t="s">
        <v>233</v>
      </c>
      <c r="Q43" s="355" t="s">
        <v>233</v>
      </c>
      <c r="R43" s="355" t="s">
        <v>233</v>
      </c>
      <c r="S43" s="355" t="s">
        <v>233</v>
      </c>
      <c r="T43" s="355" t="s">
        <v>233</v>
      </c>
      <c r="U43" s="1085">
        <v>1.6500000000000001E-2</v>
      </c>
      <c r="V43" s="355" t="s">
        <v>233</v>
      </c>
      <c r="W43" s="319"/>
      <c r="X43" s="319"/>
    </row>
    <row r="44" spans="1:26" ht="13.5" thickBot="1" x14ac:dyDescent="0.25">
      <c r="A44" s="306">
        <v>32</v>
      </c>
      <c r="B44" s="1367" t="s">
        <v>47</v>
      </c>
      <c r="C44" s="1368"/>
      <c r="D44" s="836">
        <f t="shared" ref="D44:F44" si="23">SUM(D38:D43)</f>
        <v>2.9000000000000001E-2</v>
      </c>
      <c r="E44" s="836">
        <f t="shared" si="23"/>
        <v>8.0000000000000002E-3</v>
      </c>
      <c r="F44" s="836">
        <f t="shared" si="23"/>
        <v>3.8899999999999997E-2</v>
      </c>
      <c r="G44" s="836">
        <f>SUM(G38:G43)</f>
        <v>3.5700000000000003E-2</v>
      </c>
      <c r="H44" s="836">
        <f>SUM(H38:H43)</f>
        <v>5.4399999999999997E-2</v>
      </c>
      <c r="I44" s="836">
        <f t="shared" ref="I44" si="24">SUM(I38:I43)</f>
        <v>4.6300000000000001E-2</v>
      </c>
      <c r="J44" s="836">
        <f>SUM(J38:J43)</f>
        <v>3.1300000000000001E-2</v>
      </c>
      <c r="K44" s="836">
        <f>SUM(K38:K43)</f>
        <v>3.04E-2</v>
      </c>
      <c r="L44" s="1097">
        <f>SUM(L38:L43)</f>
        <v>3.5799999999999998E-2</v>
      </c>
      <c r="M44" s="355" t="s">
        <v>233</v>
      </c>
      <c r="N44" s="355" t="s">
        <v>233</v>
      </c>
      <c r="O44" s="355" t="s">
        <v>233</v>
      </c>
      <c r="P44" s="355" t="s">
        <v>233</v>
      </c>
      <c r="Q44" s="355" t="s">
        <v>233</v>
      </c>
      <c r="R44" s="355" t="s">
        <v>233</v>
      </c>
      <c r="S44" s="355" t="s">
        <v>233</v>
      </c>
      <c r="T44" s="355" t="s">
        <v>233</v>
      </c>
      <c r="U44" s="355" t="s">
        <v>233</v>
      </c>
      <c r="V44" s="355" t="s">
        <v>233</v>
      </c>
      <c r="W44" s="319"/>
      <c r="X44" s="327"/>
      <c r="Z44" s="328"/>
    </row>
    <row r="45" spans="1:26" ht="13.5" thickBot="1" x14ac:dyDescent="0.25">
      <c r="A45" s="306">
        <v>33</v>
      </c>
      <c r="B45" s="1369" t="s">
        <v>58</v>
      </c>
      <c r="C45" s="1370"/>
      <c r="D45" s="837">
        <f>(D27+D17+D36+D44)</f>
        <v>0.65669999999999995</v>
      </c>
      <c r="E45" s="837">
        <f t="shared" ref="E45:L45" si="25">(E27+E17+E36+E44)</f>
        <v>0.63419999999999999</v>
      </c>
      <c r="F45" s="837">
        <f t="shared" si="25"/>
        <v>0.66690000000000005</v>
      </c>
      <c r="G45" s="837">
        <f t="shared" si="25"/>
        <v>0.66369999999999996</v>
      </c>
      <c r="H45" s="837">
        <f t="shared" si="25"/>
        <v>0.69740000000000002</v>
      </c>
      <c r="I45" s="837">
        <f t="shared" si="25"/>
        <v>0.6845</v>
      </c>
      <c r="J45" s="837">
        <f t="shared" si="25"/>
        <v>0.67100000000000004</v>
      </c>
      <c r="K45" s="837">
        <f t="shared" si="25"/>
        <v>0.65839999999999999</v>
      </c>
      <c r="L45" s="1098">
        <f t="shared" si="25"/>
        <v>0.66379999999999995</v>
      </c>
      <c r="M45" s="638" t="s">
        <v>233</v>
      </c>
      <c r="N45" s="355" t="s">
        <v>233</v>
      </c>
      <c r="O45" s="355" t="s">
        <v>233</v>
      </c>
      <c r="P45" s="355" t="s">
        <v>233</v>
      </c>
      <c r="Q45" s="355" t="s">
        <v>233</v>
      </c>
      <c r="R45" s="355" t="s">
        <v>233</v>
      </c>
      <c r="S45" s="355" t="s">
        <v>233</v>
      </c>
      <c r="T45" s="355" t="s">
        <v>233</v>
      </c>
      <c r="U45" s="355" t="s">
        <v>233</v>
      </c>
      <c r="V45" s="355" t="s">
        <v>233</v>
      </c>
      <c r="Z45" s="329"/>
    </row>
    <row r="46" spans="1:26" ht="14.25" x14ac:dyDescent="0.2">
      <c r="B46" s="616"/>
      <c r="C46" s="330"/>
      <c r="D46" s="838"/>
      <c r="E46" s="838"/>
      <c r="F46" s="839"/>
      <c r="G46" s="840"/>
      <c r="H46" s="840"/>
      <c r="I46" s="840"/>
      <c r="J46" s="840"/>
      <c r="K46" s="840"/>
      <c r="L46" s="840"/>
      <c r="M46" s="331"/>
      <c r="N46" s="331"/>
      <c r="O46" s="331"/>
      <c r="P46" s="331"/>
      <c r="Q46" s="331"/>
      <c r="R46" s="331"/>
      <c r="S46" s="331"/>
      <c r="T46" s="331"/>
      <c r="U46" s="331"/>
    </row>
    <row r="47" spans="1:26" x14ac:dyDescent="0.2">
      <c r="B47" s="306"/>
      <c r="C47" s="306"/>
      <c r="D47" s="332"/>
      <c r="E47" s="332"/>
      <c r="F47" s="332"/>
      <c r="G47" s="331"/>
      <c r="H47" s="331"/>
      <c r="I47" s="331"/>
      <c r="J47" s="331"/>
      <c r="K47" s="331"/>
      <c r="L47" s="331"/>
      <c r="M47" s="331"/>
      <c r="N47" s="331"/>
      <c r="O47" s="367">
        <v>100</v>
      </c>
      <c r="P47" s="331"/>
      <c r="Q47" s="331"/>
      <c r="R47" s="331"/>
      <c r="S47" s="331"/>
      <c r="T47" s="331"/>
      <c r="U47" s="331"/>
    </row>
    <row r="48" spans="1:26" x14ac:dyDescent="0.2">
      <c r="B48" s="1363" t="s">
        <v>224</v>
      </c>
      <c r="C48" s="1363"/>
      <c r="D48" s="1363"/>
      <c r="E48" s="1363"/>
      <c r="F48" s="1363"/>
      <c r="G48" s="1363"/>
      <c r="H48" s="1363"/>
      <c r="I48" s="1363"/>
      <c r="J48" s="1363"/>
      <c r="K48" s="1363"/>
      <c r="L48" s="1363"/>
      <c r="M48" s="333"/>
      <c r="N48" s="333"/>
      <c r="O48" s="367" t="s">
        <v>251</v>
      </c>
      <c r="P48" s="366"/>
      <c r="Q48" s="366"/>
      <c r="R48" s="366"/>
      <c r="S48" s="366"/>
      <c r="T48" s="366"/>
      <c r="U48" s="333"/>
    </row>
    <row r="49" spans="2:23" ht="12.75" customHeight="1" x14ac:dyDescent="0.2">
      <c r="B49" s="1357" t="s">
        <v>143</v>
      </c>
      <c r="C49" s="1357"/>
      <c r="D49" s="1362" t="s">
        <v>198</v>
      </c>
      <c r="E49" s="1362"/>
      <c r="F49" s="1362"/>
      <c r="G49" s="1362"/>
      <c r="H49" s="1362"/>
      <c r="I49" s="1362"/>
      <c r="J49" s="1362"/>
      <c r="K49" s="1362"/>
      <c r="L49" s="1362"/>
      <c r="M49" s="334"/>
      <c r="N49" s="334"/>
      <c r="O49" s="367" t="s">
        <v>249</v>
      </c>
      <c r="P49" s="334"/>
      <c r="Q49" s="334"/>
      <c r="R49" s="334"/>
      <c r="S49" s="334"/>
      <c r="T49" s="334"/>
      <c r="U49" s="334"/>
    </row>
    <row r="50" spans="2:23" x14ac:dyDescent="0.2">
      <c r="B50" s="1358" t="s">
        <v>225</v>
      </c>
      <c r="C50" s="1358"/>
      <c r="D50" s="335">
        <f>$D$9</f>
        <v>0.01</v>
      </c>
      <c r="E50" s="335">
        <f>$D$9</f>
        <v>0.01</v>
      </c>
      <c r="F50" s="335">
        <f t="shared" ref="F50:L50" si="26">$D$9</f>
        <v>0.01</v>
      </c>
      <c r="G50" s="335">
        <f t="shared" si="26"/>
        <v>0.01</v>
      </c>
      <c r="H50" s="335">
        <f t="shared" si="26"/>
        <v>0.01</v>
      </c>
      <c r="I50" s="335">
        <f t="shared" si="26"/>
        <v>0.01</v>
      </c>
      <c r="J50" s="335">
        <f t="shared" si="26"/>
        <v>0.01</v>
      </c>
      <c r="K50" s="335">
        <f t="shared" si="26"/>
        <v>0.01</v>
      </c>
      <c r="L50" s="335">
        <f t="shared" si="26"/>
        <v>0.01</v>
      </c>
      <c r="M50" s="336"/>
      <c r="N50" s="336"/>
      <c r="O50" s="367" t="s">
        <v>250</v>
      </c>
      <c r="P50" s="336"/>
      <c r="Q50" s="336"/>
      <c r="R50" s="336"/>
      <c r="S50" s="336"/>
      <c r="T50" s="336"/>
      <c r="U50" s="336"/>
    </row>
    <row r="51" spans="2:23" x14ac:dyDescent="0.2">
      <c r="B51" s="1353" t="s">
        <v>226</v>
      </c>
      <c r="C51" s="1353"/>
      <c r="D51" s="310">
        <f t="shared" ref="D51:G51" si="27">SUM(D19:D20,D22:D26,D50)</f>
        <v>0.34799999999999998</v>
      </c>
      <c r="E51" s="310">
        <f t="shared" si="27"/>
        <v>0.34799999999999998</v>
      </c>
      <c r="F51" s="310">
        <f t="shared" si="27"/>
        <v>0.34799999999999998</v>
      </c>
      <c r="G51" s="310">
        <f t="shared" si="27"/>
        <v>0.34799999999999998</v>
      </c>
      <c r="H51" s="310">
        <f>SUM(I19:I20,I22:I26,H50)</f>
        <v>0.34799999999999998</v>
      </c>
      <c r="I51" s="310">
        <f>SUM(H19:H20,H22:H26,I50)</f>
        <v>0.34799999999999998</v>
      </c>
      <c r="J51" s="310">
        <f>SUM(J19:J20,J22:J26,J50)</f>
        <v>0.34799999999999998</v>
      </c>
      <c r="K51" s="310">
        <f>SUM(L19:L20,L22:L26,K50)</f>
        <v>0.34799999999999998</v>
      </c>
      <c r="L51" s="310">
        <f>SUM(K19:K20,K22:K26,L50)</f>
        <v>0.34799999999999998</v>
      </c>
      <c r="M51" s="337" t="s">
        <v>0</v>
      </c>
      <c r="N51" s="337"/>
      <c r="O51" s="367" t="s">
        <v>252</v>
      </c>
      <c r="P51" s="337"/>
      <c r="Q51" s="337"/>
      <c r="R51" s="337"/>
      <c r="S51" s="337"/>
      <c r="T51" s="337"/>
      <c r="U51" s="337"/>
    </row>
    <row r="52" spans="2:23" x14ac:dyDescent="0.2">
      <c r="B52" s="1353" t="s">
        <v>227</v>
      </c>
      <c r="C52" s="1353"/>
      <c r="D52" s="310">
        <f t="shared" ref="D52:G52" si="28">D15</f>
        <v>9.0899999999999995E-2</v>
      </c>
      <c r="E52" s="310">
        <f t="shared" si="28"/>
        <v>9.0899999999999995E-2</v>
      </c>
      <c r="F52" s="310">
        <f t="shared" si="28"/>
        <v>9.0899999999999995E-2</v>
      </c>
      <c r="G52" s="310">
        <f t="shared" si="28"/>
        <v>9.0899999999999995E-2</v>
      </c>
      <c r="H52" s="310">
        <f>I15</f>
        <v>9.0899999999999995E-2</v>
      </c>
      <c r="I52" s="310">
        <f>H15</f>
        <v>9.0899999999999995E-2</v>
      </c>
      <c r="J52" s="310">
        <f>J15</f>
        <v>9.0899999999999995E-2</v>
      </c>
      <c r="K52" s="310">
        <f>L15</f>
        <v>9.0899999999999995E-2</v>
      </c>
      <c r="L52" s="310">
        <f>K15</f>
        <v>9.0899999999999995E-2</v>
      </c>
      <c r="M52" s="337"/>
      <c r="N52" s="337"/>
      <c r="O52" s="368"/>
      <c r="P52" s="337"/>
      <c r="Q52" s="337"/>
      <c r="R52" s="337"/>
      <c r="S52" s="337"/>
      <c r="T52" s="337"/>
      <c r="U52" s="337"/>
    </row>
    <row r="53" spans="2:23" x14ac:dyDescent="0.2">
      <c r="B53" s="1353" t="s">
        <v>228</v>
      </c>
      <c r="C53" s="1353"/>
      <c r="D53" s="310">
        <f t="shared" ref="D53:G53" si="29">D16</f>
        <v>0.1212</v>
      </c>
      <c r="E53" s="310">
        <f t="shared" si="29"/>
        <v>0.1212</v>
      </c>
      <c r="F53" s="310">
        <f t="shared" si="29"/>
        <v>0.1212</v>
      </c>
      <c r="G53" s="310">
        <f t="shared" si="29"/>
        <v>0.1212</v>
      </c>
      <c r="H53" s="310">
        <f>I16</f>
        <v>0.1212</v>
      </c>
      <c r="I53" s="310">
        <f>H16</f>
        <v>0.1212</v>
      </c>
      <c r="J53" s="310">
        <f>J16</f>
        <v>0.1212</v>
      </c>
      <c r="K53" s="310">
        <f>L16</f>
        <v>0.1212</v>
      </c>
      <c r="L53" s="310">
        <f>K16</f>
        <v>0.1212</v>
      </c>
      <c r="M53" s="337"/>
      <c r="N53" s="337"/>
      <c r="O53" s="337"/>
      <c r="P53" s="337"/>
      <c r="Q53" s="337"/>
      <c r="R53" s="337"/>
      <c r="S53" s="337"/>
      <c r="T53" s="337"/>
      <c r="U53" s="337"/>
    </row>
    <row r="54" spans="2:23" ht="25.5" customHeight="1" x14ac:dyDescent="0.2">
      <c r="B54" s="1353" t="s">
        <v>229</v>
      </c>
      <c r="C54" s="1353"/>
      <c r="D54" s="310">
        <f>D31+D34</f>
        <v>1E-4</v>
      </c>
      <c r="E54" s="310">
        <f t="shared" ref="E54:G54" si="30">E31+E34</f>
        <v>1E-4</v>
      </c>
      <c r="F54" s="310">
        <f t="shared" si="30"/>
        <v>1E-4</v>
      </c>
      <c r="G54" s="310">
        <f t="shared" si="30"/>
        <v>1E-4</v>
      </c>
      <c r="H54" s="310">
        <f>I31+I34</f>
        <v>1E-4</v>
      </c>
      <c r="I54" s="310">
        <f>H31+H34</f>
        <v>1E-4</v>
      </c>
      <c r="J54" s="310">
        <f>J31+J34</f>
        <v>1E-4</v>
      </c>
      <c r="K54" s="310">
        <f>L31+L34</f>
        <v>1E-4</v>
      </c>
      <c r="L54" s="310">
        <f>K31+K34</f>
        <v>1E-4</v>
      </c>
      <c r="M54" s="337"/>
      <c r="N54" s="337" t="s">
        <v>0</v>
      </c>
      <c r="O54" s="337"/>
      <c r="P54" s="337"/>
      <c r="Q54" s="337"/>
      <c r="R54" s="337"/>
      <c r="S54" s="337"/>
      <c r="T54" s="337"/>
      <c r="U54" s="337"/>
    </row>
    <row r="55" spans="2:23" x14ac:dyDescent="0.2">
      <c r="B55" s="1352" t="s">
        <v>230</v>
      </c>
      <c r="C55" s="1352"/>
      <c r="D55" s="841">
        <f>SUM(D52:D54)</f>
        <v>0.2122</v>
      </c>
      <c r="E55" s="841">
        <f>SUM(E52:E54)</f>
        <v>0.2122</v>
      </c>
      <c r="F55" s="841">
        <f t="shared" ref="F55:G55" si="31">SUM(F52:F54)</f>
        <v>0.2122</v>
      </c>
      <c r="G55" s="841">
        <f t="shared" si="31"/>
        <v>0.2122</v>
      </c>
      <c r="H55" s="841">
        <f t="shared" ref="H55" si="32">SUM(H52:H54)</f>
        <v>0.2122</v>
      </c>
      <c r="I55" s="841">
        <f t="shared" ref="I55:L55" si="33">SUM(I52:I54)</f>
        <v>0.2122</v>
      </c>
      <c r="J55" s="841">
        <f>SUM(J52:J54)</f>
        <v>0.2122</v>
      </c>
      <c r="K55" s="841">
        <f t="shared" ref="K55" si="34">SUM(K52:K54)</f>
        <v>0.2122</v>
      </c>
      <c r="L55" s="841">
        <f t="shared" si="33"/>
        <v>0.2122</v>
      </c>
      <c r="M55" s="338"/>
      <c r="N55" s="338"/>
      <c r="O55" s="338"/>
      <c r="P55" s="338"/>
      <c r="Q55" s="338"/>
      <c r="R55" s="338"/>
      <c r="S55" s="338"/>
      <c r="T55" s="338"/>
      <c r="U55" s="338"/>
    </row>
    <row r="56" spans="2:23" ht="12" customHeight="1" x14ac:dyDescent="0.2">
      <c r="B56" s="1353" t="s">
        <v>231</v>
      </c>
      <c r="C56" s="1353"/>
      <c r="D56" s="841">
        <f>SUM(D52:D53)*D51</f>
        <v>7.3800000000000004E-2</v>
      </c>
      <c r="E56" s="841">
        <f>SUM(E52:E53)*E51</f>
        <v>7.3800000000000004E-2</v>
      </c>
      <c r="F56" s="841">
        <f t="shared" ref="F56:G56" si="35">SUM(F52:F53)*F51</f>
        <v>7.3800000000000004E-2</v>
      </c>
      <c r="G56" s="841">
        <f t="shared" si="35"/>
        <v>7.3800000000000004E-2</v>
      </c>
      <c r="H56" s="841">
        <f t="shared" ref="H56" si="36">SUM(H52:H53)*H51</f>
        <v>7.3800000000000004E-2</v>
      </c>
      <c r="I56" s="841">
        <f>SUM(I52:I53)*I51</f>
        <v>7.3800000000000004E-2</v>
      </c>
      <c r="J56" s="841">
        <f>SUM(J52:J53)*J51</f>
        <v>7.3800000000000004E-2</v>
      </c>
      <c r="K56" s="841">
        <f>SUM(K52:K53)*K51</f>
        <v>7.3800000000000004E-2</v>
      </c>
      <c r="L56" s="841">
        <f>SUM(L52:L53)*L51</f>
        <v>7.3800000000000004E-2</v>
      </c>
      <c r="M56" s="338"/>
      <c r="N56" s="338"/>
      <c r="O56" s="338"/>
      <c r="P56" s="338"/>
      <c r="Q56" s="338"/>
      <c r="R56" s="338"/>
      <c r="S56" s="338"/>
      <c r="T56" s="338"/>
      <c r="U56" s="338"/>
    </row>
    <row r="57" spans="2:23" ht="28.5" customHeight="1" x14ac:dyDescent="0.2">
      <c r="B57" s="1353"/>
      <c r="C57" s="1353"/>
      <c r="D57" s="1350" t="s">
        <v>780</v>
      </c>
      <c r="E57" s="1350" t="s">
        <v>780</v>
      </c>
      <c r="F57" s="1350" t="s">
        <v>781</v>
      </c>
      <c r="G57" s="1350" t="s">
        <v>783</v>
      </c>
      <c r="H57" s="1350" t="s">
        <v>782</v>
      </c>
      <c r="I57" s="1350" t="s">
        <v>782</v>
      </c>
      <c r="J57" s="1350" t="s">
        <v>782</v>
      </c>
      <c r="K57" s="1350" t="s">
        <v>782</v>
      </c>
      <c r="L57" s="1350" t="s">
        <v>782</v>
      </c>
      <c r="M57" s="338"/>
      <c r="N57" s="338"/>
      <c r="O57" s="338"/>
      <c r="P57" s="338"/>
      <c r="Q57" s="338"/>
      <c r="R57" s="338"/>
      <c r="S57" s="338"/>
      <c r="T57" s="338"/>
      <c r="U57" s="338"/>
    </row>
    <row r="58" spans="2:23" ht="30.75" customHeight="1" x14ac:dyDescent="0.2">
      <c r="B58" s="1353"/>
      <c r="C58" s="1353"/>
      <c r="D58" s="1351"/>
      <c r="E58" s="1351"/>
      <c r="F58" s="1351"/>
      <c r="G58" s="1351"/>
      <c r="H58" s="1351"/>
      <c r="I58" s="1351"/>
      <c r="J58" s="1351"/>
      <c r="K58" s="1351"/>
      <c r="L58" s="1351"/>
      <c r="M58" s="339"/>
      <c r="N58" s="339"/>
      <c r="O58" s="339"/>
      <c r="P58" s="339"/>
      <c r="Q58" s="339"/>
      <c r="R58" s="339"/>
      <c r="S58" s="339"/>
      <c r="T58" s="339"/>
      <c r="U58" s="339"/>
      <c r="W58" s="306" t="s">
        <v>0</v>
      </c>
    </row>
    <row r="59" spans="2:23" x14ac:dyDescent="0.2">
      <c r="B59" s="1352" t="s">
        <v>232</v>
      </c>
      <c r="C59" s="1352"/>
      <c r="D59" s="841">
        <f>SUM(D55+D56)</f>
        <v>0.28599999999999998</v>
      </c>
      <c r="E59" s="841">
        <f>SUM(E55+E56)</f>
        <v>0.28599999999999998</v>
      </c>
      <c r="F59" s="841">
        <f t="shared" ref="F59:L59" si="37">F55+F56</f>
        <v>0.28599999999999998</v>
      </c>
      <c r="G59" s="841">
        <f t="shared" si="37"/>
        <v>0.28599999999999998</v>
      </c>
      <c r="H59" s="841">
        <f t="shared" si="37"/>
        <v>0.28599999999999998</v>
      </c>
      <c r="I59" s="841">
        <f t="shared" si="37"/>
        <v>0.28599999999999998</v>
      </c>
      <c r="J59" s="841">
        <f t="shared" si="37"/>
        <v>0.28599999999999998</v>
      </c>
      <c r="K59" s="841">
        <f t="shared" si="37"/>
        <v>0.28599999999999998</v>
      </c>
      <c r="L59" s="841">
        <f t="shared" si="37"/>
        <v>0.28599999999999998</v>
      </c>
      <c r="M59" s="338"/>
      <c r="N59" s="338"/>
      <c r="O59" s="338"/>
      <c r="P59" s="338"/>
      <c r="Q59" s="338"/>
      <c r="R59" s="338"/>
      <c r="S59" s="338"/>
      <c r="T59" s="338"/>
      <c r="U59" s="338"/>
    </row>
    <row r="60" spans="2:23" x14ac:dyDescent="0.2">
      <c r="D60" s="842"/>
      <c r="E60" s="842"/>
      <c r="F60" s="842"/>
      <c r="G60" s="842"/>
      <c r="H60" s="842"/>
      <c r="I60" s="842"/>
      <c r="J60" s="842"/>
      <c r="K60" s="842"/>
      <c r="L60" s="842"/>
    </row>
  </sheetData>
  <mergeCells count="35">
    <mergeCell ref="L57:L58"/>
    <mergeCell ref="D49:L49"/>
    <mergeCell ref="B48:L48"/>
    <mergeCell ref="B9:C9"/>
    <mergeCell ref="B10:C10"/>
    <mergeCell ref="B13:C13"/>
    <mergeCell ref="B27:C27"/>
    <mergeCell ref="B17:C17"/>
    <mergeCell ref="B36:C36"/>
    <mergeCell ref="B52:C52"/>
    <mergeCell ref="B44:C44"/>
    <mergeCell ref="B45:C45"/>
    <mergeCell ref="I57:I58"/>
    <mergeCell ref="K57:K58"/>
    <mergeCell ref="J57:J58"/>
    <mergeCell ref="B51:C51"/>
    <mergeCell ref="B2:V2"/>
    <mergeCell ref="B7:C7"/>
    <mergeCell ref="E7:L7"/>
    <mergeCell ref="B49:C49"/>
    <mergeCell ref="B50:C50"/>
    <mergeCell ref="E8:L8"/>
    <mergeCell ref="E9:L9"/>
    <mergeCell ref="E10:L10"/>
    <mergeCell ref="B8:C8"/>
    <mergeCell ref="B59:C59"/>
    <mergeCell ref="B53:C53"/>
    <mergeCell ref="B54:C54"/>
    <mergeCell ref="B55:C55"/>
    <mergeCell ref="B56:C58"/>
    <mergeCell ref="G57:G58"/>
    <mergeCell ref="D57:D58"/>
    <mergeCell ref="F57:F58"/>
    <mergeCell ref="E57:E58"/>
    <mergeCell ref="H57:H58"/>
  </mergeCells>
  <phoneticPr fontId="95" type="noConversion"/>
  <dataValidations count="1">
    <dataValidation allowBlank="1" showInputMessage="1" showErrorMessage="1" errorTitle="Atenção" error="- Não alterar manualmente." promptTitle="Encagos Sociais e Trabalhistas" prompt="- Não alterar manualmente. Os percentuais e as memórias de cálculos serão automaticamente alterados assim que escolher os Encargos nos &quot;Dados&quot;." sqref="B46 V32:V33 V29:V30 V35"/>
  </dataValidations>
  <printOptions horizontalCentered="1"/>
  <pageMargins left="0.27559055118110237" right="0.27559055118110237" top="0.62992125984251968" bottom="0.19685039370078741" header="0.51181102362204722" footer="0.19685039370078741"/>
  <pageSetup paperSize="9" scale="34" fitToHeight="0" orientation="landscape" r:id="rId1"/>
  <headerFooter alignWithMargins="0"/>
  <rowBreaks count="1" manualBreakCount="1">
    <brk id="62" min="1" max="6" man="1"/>
  </rowBreaks>
  <ignoredErrors>
    <ignoredError sqref="H56 T46:T48 L21 F21:G21 J21 I21 H21 K21" formula="1"/>
  </ignoredError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18">
    <tabColor rgb="FFFF0000"/>
  </sheetPr>
  <dimension ref="B1:O81"/>
  <sheetViews>
    <sheetView view="pageBreakPreview" zoomScale="80" zoomScaleNormal="100" zoomScaleSheetLayoutView="80" workbookViewId="0">
      <selection activeCell="K8" sqref="K8:K21"/>
    </sheetView>
  </sheetViews>
  <sheetFormatPr defaultRowHeight="12.75" x14ac:dyDescent="0.2"/>
  <cols>
    <col min="1" max="1" width="3.140625" style="306" customWidth="1"/>
    <col min="2" max="2" width="17.28515625" style="303" customWidth="1"/>
    <col min="3" max="3" width="69.5703125" style="303" customWidth="1"/>
    <col min="4" max="4" width="22.28515625" style="303" bestFit="1" customWidth="1"/>
    <col min="5" max="12" width="22.28515625" style="303" customWidth="1"/>
    <col min="13" max="13" width="22.28515625" style="303" bestFit="1" customWidth="1"/>
    <col min="14" max="14" width="3" style="306" customWidth="1"/>
    <col min="15" max="15" width="9.140625" style="306"/>
    <col min="16" max="16" width="4.42578125" style="306" bestFit="1" customWidth="1"/>
    <col min="17" max="16384" width="9.140625" style="306"/>
  </cols>
  <sheetData>
    <row r="1" spans="2:14" ht="13.5" customHeight="1" x14ac:dyDescent="0.2"/>
    <row r="2" spans="2:14" ht="13.5" customHeight="1" x14ac:dyDescent="0.2">
      <c r="B2" s="1354" t="s">
        <v>197</v>
      </c>
      <c r="C2" s="1354"/>
      <c r="D2" s="1354"/>
      <c r="E2" s="1354"/>
      <c r="F2" s="1354"/>
      <c r="G2" s="1354"/>
      <c r="H2" s="1354"/>
      <c r="I2" s="1354"/>
      <c r="J2" s="1354"/>
      <c r="K2" s="1354"/>
      <c r="L2" s="1354"/>
      <c r="M2" s="1354"/>
    </row>
    <row r="3" spans="2:14" ht="13.5" customHeight="1" x14ac:dyDescent="0.2">
      <c r="B3" s="550"/>
      <c r="C3" s="550"/>
      <c r="D3" s="550"/>
      <c r="E3" s="550"/>
      <c r="F3" s="550"/>
      <c r="G3" s="550"/>
      <c r="H3" s="550"/>
      <c r="I3" s="550"/>
      <c r="J3" s="550"/>
      <c r="K3" s="550"/>
      <c r="L3" s="550"/>
      <c r="M3" s="550"/>
    </row>
    <row r="4" spans="2:14" ht="13.5" customHeight="1" x14ac:dyDescent="0.2">
      <c r="B4" s="304" t="s">
        <v>885</v>
      </c>
    </row>
    <row r="5" spans="2:14" ht="13.5" customHeight="1" x14ac:dyDescent="0.2">
      <c r="E5" s="757">
        <f>(1+10%)</f>
        <v>1.1000000000000001</v>
      </c>
      <c r="F5" s="757">
        <f>(1+15%)</f>
        <v>1.1499999999999999</v>
      </c>
      <c r="G5" s="757">
        <f>(1+20%)</f>
        <v>1.2</v>
      </c>
      <c r="H5" s="757">
        <f>(1+25%)</f>
        <v>1.25</v>
      </c>
      <c r="I5" s="757">
        <f>(1+30%)</f>
        <v>1.3</v>
      </c>
      <c r="J5" s="757">
        <f>(1+35%)</f>
        <v>1.35</v>
      </c>
      <c r="K5" s="757">
        <f>(1+40%)</f>
        <v>1.4</v>
      </c>
      <c r="L5" s="757">
        <f>(1+45%)</f>
        <v>1.45</v>
      </c>
      <c r="M5" s="757">
        <f>(1+50%)</f>
        <v>1.5</v>
      </c>
      <c r="N5" s="303"/>
    </row>
    <row r="6" spans="2:14" ht="13.5" customHeight="1" x14ac:dyDescent="0.2">
      <c r="B6" s="1364" t="s">
        <v>143</v>
      </c>
      <c r="C6" s="1364"/>
      <c r="D6" s="711" t="s">
        <v>890</v>
      </c>
      <c r="E6" s="711" t="s">
        <v>896</v>
      </c>
      <c r="F6" s="711" t="s">
        <v>897</v>
      </c>
      <c r="G6" s="711" t="s">
        <v>898</v>
      </c>
      <c r="H6" s="711" t="s">
        <v>899</v>
      </c>
      <c r="I6" s="711" t="s">
        <v>900</v>
      </c>
      <c r="J6" s="711" t="s">
        <v>901</v>
      </c>
      <c r="K6" s="711" t="s">
        <v>902</v>
      </c>
      <c r="L6" s="711" t="s">
        <v>903</v>
      </c>
      <c r="M6" s="711" t="s">
        <v>891</v>
      </c>
    </row>
    <row r="7" spans="2:14" x14ac:dyDescent="0.2">
      <c r="B7" s="1371" t="s">
        <v>892</v>
      </c>
      <c r="C7" s="797" t="s">
        <v>959</v>
      </c>
      <c r="D7" s="753">
        <v>800</v>
      </c>
      <c r="E7" s="753">
        <f>$D$7*E5</f>
        <v>880</v>
      </c>
      <c r="F7" s="753">
        <f t="shared" ref="F7:M7" si="0">$D$7*F5</f>
        <v>920</v>
      </c>
      <c r="G7" s="753">
        <f t="shared" si="0"/>
        <v>960</v>
      </c>
      <c r="H7" s="753">
        <f t="shared" si="0"/>
        <v>1000</v>
      </c>
      <c r="I7" s="753">
        <f t="shared" si="0"/>
        <v>1040</v>
      </c>
      <c r="J7" s="753">
        <f t="shared" si="0"/>
        <v>1080</v>
      </c>
      <c r="K7" s="753">
        <f t="shared" si="0"/>
        <v>1120</v>
      </c>
      <c r="L7" s="753">
        <f t="shared" si="0"/>
        <v>1160</v>
      </c>
      <c r="M7" s="753">
        <f t="shared" si="0"/>
        <v>1200</v>
      </c>
    </row>
    <row r="8" spans="2:14" x14ac:dyDescent="0.2">
      <c r="B8" s="1372"/>
      <c r="C8" s="797" t="s">
        <v>960</v>
      </c>
      <c r="D8" s="753">
        <v>800</v>
      </c>
      <c r="E8" s="753">
        <f>$D$8*E5</f>
        <v>880</v>
      </c>
      <c r="F8" s="753">
        <f t="shared" ref="F8:M8" si="1">$D$8*F5</f>
        <v>920</v>
      </c>
      <c r="G8" s="753">
        <f t="shared" si="1"/>
        <v>960</v>
      </c>
      <c r="H8" s="753">
        <f t="shared" si="1"/>
        <v>1000</v>
      </c>
      <c r="I8" s="753">
        <f t="shared" si="1"/>
        <v>1040</v>
      </c>
      <c r="J8" s="753">
        <f t="shared" si="1"/>
        <v>1080</v>
      </c>
      <c r="K8" s="753">
        <f t="shared" si="1"/>
        <v>1120</v>
      </c>
      <c r="L8" s="753">
        <f t="shared" si="1"/>
        <v>1160</v>
      </c>
      <c r="M8" s="753">
        <f t="shared" si="1"/>
        <v>1200</v>
      </c>
    </row>
    <row r="9" spans="2:14" x14ac:dyDescent="0.2">
      <c r="B9" s="1372"/>
      <c r="C9" s="797" t="s">
        <v>961</v>
      </c>
      <c r="D9" s="753">
        <v>360</v>
      </c>
      <c r="E9" s="753">
        <f>$D$9*E5</f>
        <v>396</v>
      </c>
      <c r="F9" s="753">
        <f t="shared" ref="F9:H9" si="2">$D$9*F5</f>
        <v>414</v>
      </c>
      <c r="G9" s="753">
        <f t="shared" si="2"/>
        <v>432</v>
      </c>
      <c r="H9" s="753">
        <f t="shared" si="2"/>
        <v>450</v>
      </c>
      <c r="I9" s="753">
        <f>$H$9</f>
        <v>450</v>
      </c>
      <c r="J9" s="753">
        <f t="shared" ref="J9:M9" si="3">$H$9</f>
        <v>450</v>
      </c>
      <c r="K9" s="753">
        <f t="shared" si="3"/>
        <v>450</v>
      </c>
      <c r="L9" s="753">
        <f t="shared" si="3"/>
        <v>450</v>
      </c>
      <c r="M9" s="753">
        <f t="shared" si="3"/>
        <v>450</v>
      </c>
    </row>
    <row r="10" spans="2:14" x14ac:dyDescent="0.2">
      <c r="B10" s="1372"/>
      <c r="C10" s="797" t="s">
        <v>962</v>
      </c>
      <c r="D10" s="753">
        <v>1500</v>
      </c>
      <c r="E10" s="753">
        <f>$D$10*E5</f>
        <v>1650</v>
      </c>
      <c r="F10" s="753">
        <f t="shared" ref="F10:L10" si="4">$D$10*F5</f>
        <v>1725</v>
      </c>
      <c r="G10" s="753">
        <f t="shared" si="4"/>
        <v>1800</v>
      </c>
      <c r="H10" s="753">
        <f t="shared" si="4"/>
        <v>1875</v>
      </c>
      <c r="I10" s="753">
        <f t="shared" si="4"/>
        <v>1950</v>
      </c>
      <c r="J10" s="753">
        <f t="shared" si="4"/>
        <v>2025</v>
      </c>
      <c r="K10" s="753">
        <f t="shared" si="4"/>
        <v>2100</v>
      </c>
      <c r="L10" s="753">
        <f t="shared" si="4"/>
        <v>2175</v>
      </c>
      <c r="M10" s="753">
        <v>2500</v>
      </c>
    </row>
    <row r="11" spans="2:14" x14ac:dyDescent="0.2">
      <c r="B11" s="1372"/>
      <c r="C11" s="797" t="s">
        <v>963</v>
      </c>
      <c r="D11" s="753">
        <v>1200</v>
      </c>
      <c r="E11" s="753">
        <f>$D$11*E5</f>
        <v>1320</v>
      </c>
      <c r="F11" s="753">
        <f t="shared" ref="F11:M11" si="5">$D$11*F5</f>
        <v>1380</v>
      </c>
      <c r="G11" s="753">
        <f t="shared" si="5"/>
        <v>1440</v>
      </c>
      <c r="H11" s="753">
        <f t="shared" si="5"/>
        <v>1500</v>
      </c>
      <c r="I11" s="753">
        <f t="shared" si="5"/>
        <v>1560</v>
      </c>
      <c r="J11" s="753">
        <f t="shared" si="5"/>
        <v>1620</v>
      </c>
      <c r="K11" s="753">
        <f t="shared" si="5"/>
        <v>1680</v>
      </c>
      <c r="L11" s="753">
        <f t="shared" si="5"/>
        <v>1740</v>
      </c>
      <c r="M11" s="753">
        <f t="shared" si="5"/>
        <v>1800</v>
      </c>
    </row>
    <row r="12" spans="2:14" x14ac:dyDescent="0.2">
      <c r="B12" s="1372"/>
      <c r="C12" s="797" t="s">
        <v>964</v>
      </c>
      <c r="D12" s="753">
        <v>1000</v>
      </c>
      <c r="E12" s="753">
        <f>$D$12*E5</f>
        <v>1100</v>
      </c>
      <c r="F12" s="753">
        <f t="shared" ref="F12:M12" si="6">$D$12*F5</f>
        <v>1150</v>
      </c>
      <c r="G12" s="753">
        <f t="shared" si="6"/>
        <v>1200</v>
      </c>
      <c r="H12" s="753">
        <f t="shared" si="6"/>
        <v>1250</v>
      </c>
      <c r="I12" s="753">
        <f t="shared" si="6"/>
        <v>1300</v>
      </c>
      <c r="J12" s="753">
        <f t="shared" si="6"/>
        <v>1350</v>
      </c>
      <c r="K12" s="753">
        <f t="shared" si="6"/>
        <v>1400</v>
      </c>
      <c r="L12" s="753">
        <f t="shared" si="6"/>
        <v>1450</v>
      </c>
      <c r="M12" s="753">
        <f t="shared" si="6"/>
        <v>1500</v>
      </c>
    </row>
    <row r="13" spans="2:14" x14ac:dyDescent="0.2">
      <c r="B13" s="1372"/>
      <c r="C13" s="797" t="s">
        <v>965</v>
      </c>
      <c r="D13" s="753">
        <v>200</v>
      </c>
      <c r="E13" s="753">
        <f>$D$13*E5</f>
        <v>220</v>
      </c>
      <c r="F13" s="753">
        <f t="shared" ref="F13:M13" si="7">$D$13*F5</f>
        <v>230</v>
      </c>
      <c r="G13" s="753">
        <f t="shared" si="7"/>
        <v>240</v>
      </c>
      <c r="H13" s="753">
        <f t="shared" si="7"/>
        <v>250</v>
      </c>
      <c r="I13" s="753">
        <f t="shared" si="7"/>
        <v>260</v>
      </c>
      <c r="J13" s="753">
        <f t="shared" si="7"/>
        <v>270</v>
      </c>
      <c r="K13" s="753">
        <f t="shared" si="7"/>
        <v>280</v>
      </c>
      <c r="L13" s="753">
        <f t="shared" si="7"/>
        <v>290</v>
      </c>
      <c r="M13" s="753">
        <f t="shared" si="7"/>
        <v>300</v>
      </c>
    </row>
    <row r="14" spans="2:14" x14ac:dyDescent="0.2">
      <c r="B14" s="1371" t="s">
        <v>847</v>
      </c>
      <c r="C14" s="797" t="s">
        <v>966</v>
      </c>
      <c r="D14" s="753">
        <v>1800</v>
      </c>
      <c r="E14" s="753">
        <f t="shared" ref="E14:M14" si="8">$D$14*E5</f>
        <v>1980</v>
      </c>
      <c r="F14" s="753">
        <f t="shared" si="8"/>
        <v>2070</v>
      </c>
      <c r="G14" s="753">
        <f t="shared" si="8"/>
        <v>2160</v>
      </c>
      <c r="H14" s="753">
        <f t="shared" si="8"/>
        <v>2250</v>
      </c>
      <c r="I14" s="753">
        <f t="shared" si="8"/>
        <v>2340</v>
      </c>
      <c r="J14" s="753">
        <f t="shared" si="8"/>
        <v>2430</v>
      </c>
      <c r="K14" s="753">
        <f t="shared" si="8"/>
        <v>2520</v>
      </c>
      <c r="L14" s="753">
        <f t="shared" si="8"/>
        <v>2610</v>
      </c>
      <c r="M14" s="753">
        <f t="shared" si="8"/>
        <v>2700</v>
      </c>
    </row>
    <row r="15" spans="2:14" x14ac:dyDescent="0.2">
      <c r="B15" s="1372"/>
      <c r="C15" s="797" t="s">
        <v>967</v>
      </c>
      <c r="D15" s="753">
        <v>6000</v>
      </c>
      <c r="E15" s="753">
        <f>$D$15*E5</f>
        <v>6600</v>
      </c>
      <c r="F15" s="753">
        <f t="shared" ref="F15:M15" si="9">$D$15*F5</f>
        <v>6900</v>
      </c>
      <c r="G15" s="753">
        <f t="shared" si="9"/>
        <v>7200</v>
      </c>
      <c r="H15" s="753">
        <f t="shared" si="9"/>
        <v>7500</v>
      </c>
      <c r="I15" s="753">
        <f t="shared" si="9"/>
        <v>7800</v>
      </c>
      <c r="J15" s="753">
        <f t="shared" si="9"/>
        <v>8100</v>
      </c>
      <c r="K15" s="753">
        <f t="shared" si="9"/>
        <v>8400</v>
      </c>
      <c r="L15" s="753">
        <f t="shared" si="9"/>
        <v>8700</v>
      </c>
      <c r="M15" s="753">
        <f t="shared" si="9"/>
        <v>9000</v>
      </c>
    </row>
    <row r="16" spans="2:14" x14ac:dyDescent="0.2">
      <c r="B16" s="1372"/>
      <c r="C16" s="797" t="s">
        <v>968</v>
      </c>
      <c r="D16" s="753">
        <v>1800</v>
      </c>
      <c r="E16" s="753">
        <f>$D$16*E5</f>
        <v>1980</v>
      </c>
      <c r="F16" s="753">
        <f t="shared" ref="F16:M16" si="10">$D$16*F5</f>
        <v>2070</v>
      </c>
      <c r="G16" s="753">
        <f t="shared" si="10"/>
        <v>2160</v>
      </c>
      <c r="H16" s="753">
        <f t="shared" si="10"/>
        <v>2250</v>
      </c>
      <c r="I16" s="753">
        <f t="shared" si="10"/>
        <v>2340</v>
      </c>
      <c r="J16" s="753">
        <f t="shared" si="10"/>
        <v>2430</v>
      </c>
      <c r="K16" s="753">
        <f t="shared" si="10"/>
        <v>2520</v>
      </c>
      <c r="L16" s="753">
        <f t="shared" si="10"/>
        <v>2610</v>
      </c>
      <c r="M16" s="753">
        <f t="shared" si="10"/>
        <v>2700</v>
      </c>
    </row>
    <row r="17" spans="2:15" x14ac:dyDescent="0.2">
      <c r="B17" s="1372"/>
      <c r="C17" s="797" t="s">
        <v>969</v>
      </c>
      <c r="D17" s="753">
        <v>1800</v>
      </c>
      <c r="E17" s="753">
        <f>$D$17*E5</f>
        <v>1980</v>
      </c>
      <c r="F17" s="753">
        <f t="shared" ref="F17:M17" si="11">$D$17*F5</f>
        <v>2070</v>
      </c>
      <c r="G17" s="753">
        <f t="shared" si="11"/>
        <v>2160</v>
      </c>
      <c r="H17" s="753">
        <f t="shared" si="11"/>
        <v>2250</v>
      </c>
      <c r="I17" s="753">
        <f t="shared" si="11"/>
        <v>2340</v>
      </c>
      <c r="J17" s="753">
        <f t="shared" si="11"/>
        <v>2430</v>
      </c>
      <c r="K17" s="753">
        <f t="shared" si="11"/>
        <v>2520</v>
      </c>
      <c r="L17" s="753">
        <f t="shared" si="11"/>
        <v>2610</v>
      </c>
      <c r="M17" s="753">
        <f t="shared" si="11"/>
        <v>2700</v>
      </c>
    </row>
    <row r="18" spans="2:15" x14ac:dyDescent="0.2">
      <c r="B18" s="1372"/>
      <c r="C18" s="797" t="s">
        <v>970</v>
      </c>
      <c r="D18" s="753">
        <v>1800</v>
      </c>
      <c r="E18" s="753">
        <f>$D$18*E5</f>
        <v>1980</v>
      </c>
      <c r="F18" s="753">
        <f t="shared" ref="F18:M18" si="12">$D$18*F5</f>
        <v>2070</v>
      </c>
      <c r="G18" s="753">
        <f t="shared" si="12"/>
        <v>2160</v>
      </c>
      <c r="H18" s="753">
        <f t="shared" si="12"/>
        <v>2250</v>
      </c>
      <c r="I18" s="753">
        <f t="shared" si="12"/>
        <v>2340</v>
      </c>
      <c r="J18" s="753">
        <f t="shared" si="12"/>
        <v>2430</v>
      </c>
      <c r="K18" s="753">
        <f t="shared" si="12"/>
        <v>2520</v>
      </c>
      <c r="L18" s="753">
        <f t="shared" si="12"/>
        <v>2610</v>
      </c>
      <c r="M18" s="753">
        <f t="shared" si="12"/>
        <v>2700</v>
      </c>
    </row>
    <row r="19" spans="2:15" x14ac:dyDescent="0.2">
      <c r="B19" s="1372"/>
      <c r="C19" s="797" t="s">
        <v>971</v>
      </c>
      <c r="D19" s="753">
        <v>100000</v>
      </c>
      <c r="E19" s="753">
        <v>100000</v>
      </c>
      <c r="F19" s="753">
        <v>100000</v>
      </c>
      <c r="G19" s="753">
        <v>100000</v>
      </c>
      <c r="H19" s="753">
        <v>100000</v>
      </c>
      <c r="I19" s="753">
        <v>100000</v>
      </c>
      <c r="J19" s="753">
        <v>100000</v>
      </c>
      <c r="K19" s="753">
        <v>100000</v>
      </c>
      <c r="L19" s="753">
        <v>100000</v>
      </c>
      <c r="M19" s="753">
        <v>100000</v>
      </c>
    </row>
    <row r="20" spans="2:15" x14ac:dyDescent="0.2">
      <c r="B20" s="1373" t="s">
        <v>894</v>
      </c>
      <c r="C20" s="797" t="s">
        <v>972</v>
      </c>
      <c r="D20" s="753">
        <v>130</v>
      </c>
      <c r="E20" s="753">
        <f t="shared" ref="E20:G20" si="13">$D$20*E5</f>
        <v>143</v>
      </c>
      <c r="F20" s="753">
        <f t="shared" si="13"/>
        <v>150</v>
      </c>
      <c r="G20" s="753">
        <f t="shared" si="13"/>
        <v>156</v>
      </c>
      <c r="H20" s="753">
        <v>160</v>
      </c>
      <c r="I20" s="753">
        <f>$H$20</f>
        <v>160</v>
      </c>
      <c r="J20" s="753">
        <f t="shared" ref="J20:M20" si="14">$H$20</f>
        <v>160</v>
      </c>
      <c r="K20" s="753">
        <f t="shared" si="14"/>
        <v>160</v>
      </c>
      <c r="L20" s="753">
        <f t="shared" si="14"/>
        <v>160</v>
      </c>
      <c r="M20" s="753">
        <f t="shared" si="14"/>
        <v>160</v>
      </c>
      <c r="O20" s="319"/>
    </row>
    <row r="21" spans="2:15" x14ac:dyDescent="0.2">
      <c r="B21" s="1374"/>
      <c r="C21" s="797" t="s">
        <v>973</v>
      </c>
      <c r="D21" s="753">
        <v>300</v>
      </c>
      <c r="E21" s="753">
        <f>$D$21*E5</f>
        <v>330</v>
      </c>
      <c r="F21" s="753">
        <f t="shared" ref="F21:H21" si="15">$D$21*F5</f>
        <v>345</v>
      </c>
      <c r="G21" s="753">
        <f t="shared" si="15"/>
        <v>360</v>
      </c>
      <c r="H21" s="753">
        <f t="shared" si="15"/>
        <v>375</v>
      </c>
      <c r="I21" s="753">
        <v>380</v>
      </c>
      <c r="J21" s="753">
        <f>$I$21</f>
        <v>380</v>
      </c>
      <c r="K21" s="753">
        <f t="shared" ref="K21:M21" si="16">$I$21</f>
        <v>380</v>
      </c>
      <c r="L21" s="753">
        <f t="shared" si="16"/>
        <v>380</v>
      </c>
      <c r="M21" s="753">
        <f t="shared" si="16"/>
        <v>380</v>
      </c>
      <c r="O21" s="319"/>
    </row>
    <row r="22" spans="2:15" x14ac:dyDescent="0.2">
      <c r="B22" s="1374"/>
      <c r="C22" s="797" t="s">
        <v>974</v>
      </c>
      <c r="D22" s="753">
        <v>300</v>
      </c>
      <c r="E22" s="753">
        <f>$D$22*E5</f>
        <v>330</v>
      </c>
      <c r="F22" s="753">
        <f t="shared" ref="F22:H22" si="17">$D$22*F5</f>
        <v>345</v>
      </c>
      <c r="G22" s="753">
        <f t="shared" si="17"/>
        <v>360</v>
      </c>
      <c r="H22" s="753">
        <f t="shared" si="17"/>
        <v>375</v>
      </c>
      <c r="I22" s="753">
        <v>380</v>
      </c>
      <c r="J22" s="753">
        <f>$I$22</f>
        <v>380</v>
      </c>
      <c r="K22" s="753">
        <f t="shared" ref="K22:M22" si="18">$I$22</f>
        <v>380</v>
      </c>
      <c r="L22" s="753">
        <f t="shared" si="18"/>
        <v>380</v>
      </c>
      <c r="M22" s="753">
        <f t="shared" si="18"/>
        <v>380</v>
      </c>
      <c r="O22" s="319"/>
    </row>
    <row r="23" spans="2:15" ht="25.5" x14ac:dyDescent="0.2">
      <c r="B23" s="796" t="s">
        <v>895</v>
      </c>
      <c r="C23" s="797" t="s">
        <v>895</v>
      </c>
      <c r="D23" s="753">
        <v>130</v>
      </c>
      <c r="E23" s="753">
        <f t="shared" ref="E23:G23" si="19">$D$23*E5</f>
        <v>143</v>
      </c>
      <c r="F23" s="753">
        <f t="shared" si="19"/>
        <v>150</v>
      </c>
      <c r="G23" s="753">
        <f t="shared" si="19"/>
        <v>156</v>
      </c>
      <c r="H23" s="753">
        <v>160</v>
      </c>
      <c r="I23" s="753">
        <f>$H$20</f>
        <v>160</v>
      </c>
      <c r="J23" s="753">
        <f t="shared" ref="J23:M23" si="20">$H$20</f>
        <v>160</v>
      </c>
      <c r="K23" s="753">
        <f t="shared" si="20"/>
        <v>160</v>
      </c>
      <c r="L23" s="753">
        <f t="shared" si="20"/>
        <v>160</v>
      </c>
      <c r="M23" s="753">
        <f t="shared" si="20"/>
        <v>160</v>
      </c>
    </row>
    <row r="24" spans="2:15" ht="38.25" x14ac:dyDescent="0.2">
      <c r="B24" s="796" t="s">
        <v>975</v>
      </c>
      <c r="C24" s="797" t="s">
        <v>975</v>
      </c>
      <c r="D24" s="753">
        <v>360</v>
      </c>
      <c r="E24" s="753">
        <f>$D$24*E5</f>
        <v>396</v>
      </c>
      <c r="F24" s="753">
        <f t="shared" ref="F24:H24" si="21">$D$24*F5</f>
        <v>414</v>
      </c>
      <c r="G24" s="753">
        <f t="shared" si="21"/>
        <v>432</v>
      </c>
      <c r="H24" s="753">
        <f t="shared" si="21"/>
        <v>450</v>
      </c>
      <c r="I24" s="753">
        <f>$H$24</f>
        <v>450</v>
      </c>
      <c r="J24" s="753">
        <f t="shared" ref="J24:M24" si="22">$H$24</f>
        <v>450</v>
      </c>
      <c r="K24" s="753">
        <f t="shared" si="22"/>
        <v>450</v>
      </c>
      <c r="L24" s="753">
        <f t="shared" si="22"/>
        <v>450</v>
      </c>
      <c r="M24" s="753">
        <f t="shared" si="22"/>
        <v>450</v>
      </c>
    </row>
    <row r="27" spans="2:15" x14ac:dyDescent="0.2">
      <c r="B27" s="1364" t="s">
        <v>143</v>
      </c>
      <c r="C27" s="1364"/>
      <c r="D27" s="313" t="str">
        <f t="shared" ref="D27:M27" si="23">D6</f>
        <v>Mínimo</v>
      </c>
      <c r="E27" s="313" t="str">
        <f t="shared" si="23"/>
        <v>Mínimo + 10%</v>
      </c>
      <c r="F27" s="313" t="str">
        <f t="shared" si="23"/>
        <v>Mínimo + 15%</v>
      </c>
      <c r="G27" s="313" t="str">
        <f t="shared" si="23"/>
        <v>Mínimo + 20%</v>
      </c>
      <c r="H27" s="313" t="str">
        <f t="shared" si="23"/>
        <v>Mínimo + 25%</v>
      </c>
      <c r="I27" s="313" t="str">
        <f t="shared" si="23"/>
        <v>Mínimo + 30%</v>
      </c>
      <c r="J27" s="313" t="str">
        <f t="shared" si="23"/>
        <v>Mínimo + 35%</v>
      </c>
      <c r="K27" s="313" t="str">
        <f t="shared" si="23"/>
        <v>Mínimo + 40%</v>
      </c>
      <c r="L27" s="313" t="str">
        <f t="shared" si="23"/>
        <v>Mínimo + 45%</v>
      </c>
      <c r="M27" s="313" t="str">
        <f t="shared" si="23"/>
        <v>Máximo</v>
      </c>
    </row>
    <row r="28" spans="2:15" x14ac:dyDescent="0.2">
      <c r="B28" s="1371" t="s">
        <v>892</v>
      </c>
      <c r="C28" s="794" t="str">
        <f>C7</f>
        <v>PISOS ACARPETADOS</v>
      </c>
      <c r="D28" s="751" t="s">
        <v>203</v>
      </c>
      <c r="E28" s="751" t="s">
        <v>203</v>
      </c>
      <c r="F28" s="751" t="s">
        <v>203</v>
      </c>
      <c r="G28" s="751" t="s">
        <v>203</v>
      </c>
      <c r="H28" s="751" t="s">
        <v>203</v>
      </c>
      <c r="I28" s="751" t="s">
        <v>203</v>
      </c>
      <c r="J28" s="751" t="s">
        <v>203</v>
      </c>
      <c r="K28" s="751" t="s">
        <v>203</v>
      </c>
      <c r="L28" s="751" t="s">
        <v>203</v>
      </c>
      <c r="M28" s="751" t="s">
        <v>203</v>
      </c>
    </row>
    <row r="29" spans="2:15" ht="14.25" x14ac:dyDescent="0.2">
      <c r="B29" s="1372"/>
      <c r="C29" s="754" t="s">
        <v>893</v>
      </c>
      <c r="D29" s="752" t="str">
        <f t="shared" ref="D29:M29" si="24">"1/(30 x" &amp; " " &amp; D7 &amp; "" &amp; ")"</f>
        <v>1/(30 x 800)</v>
      </c>
      <c r="E29" s="752" t="str">
        <f t="shared" si="24"/>
        <v>1/(30 x 880)</v>
      </c>
      <c r="F29" s="752" t="str">
        <f t="shared" si="24"/>
        <v>1/(30 x 920)</v>
      </c>
      <c r="G29" s="752" t="str">
        <f t="shared" si="24"/>
        <v>1/(30 x 960)</v>
      </c>
      <c r="H29" s="752" t="str">
        <f t="shared" si="24"/>
        <v>1/(30 x 1000)</v>
      </c>
      <c r="I29" s="752" t="str">
        <f t="shared" si="24"/>
        <v>1/(30 x 1040)</v>
      </c>
      <c r="J29" s="752" t="str">
        <f t="shared" si="24"/>
        <v>1/(30 x 1080)</v>
      </c>
      <c r="K29" s="752" t="str">
        <f t="shared" si="24"/>
        <v>1/(30 x 1120)</v>
      </c>
      <c r="L29" s="752" t="str">
        <f t="shared" si="24"/>
        <v>1/(30 x 1160)</v>
      </c>
      <c r="M29" s="752" t="str">
        <f t="shared" si="24"/>
        <v>1/(30 x 1200)</v>
      </c>
    </row>
    <row r="30" spans="2:15" ht="14.25" x14ac:dyDescent="0.2">
      <c r="B30" s="1372"/>
      <c r="C30" s="754" t="s">
        <v>846</v>
      </c>
      <c r="D30" s="752" t="str">
        <f t="shared" ref="D30:M30" si="25">"1 /" &amp; "" &amp; D7</f>
        <v>1 /800</v>
      </c>
      <c r="E30" s="752" t="str">
        <f t="shared" si="25"/>
        <v>1 /880</v>
      </c>
      <c r="F30" s="752" t="str">
        <f t="shared" si="25"/>
        <v>1 /920</v>
      </c>
      <c r="G30" s="752" t="str">
        <f t="shared" si="25"/>
        <v>1 /960</v>
      </c>
      <c r="H30" s="752" t="str">
        <f t="shared" si="25"/>
        <v>1 /1000</v>
      </c>
      <c r="I30" s="752" t="str">
        <f t="shared" si="25"/>
        <v>1 /1040</v>
      </c>
      <c r="J30" s="752" t="str">
        <f t="shared" si="25"/>
        <v>1 /1080</v>
      </c>
      <c r="K30" s="752" t="str">
        <f t="shared" si="25"/>
        <v>1 /1120</v>
      </c>
      <c r="L30" s="752" t="str">
        <f t="shared" si="25"/>
        <v>1 /1160</v>
      </c>
      <c r="M30" s="752" t="str">
        <f t="shared" si="25"/>
        <v>1 /1200</v>
      </c>
    </row>
    <row r="31" spans="2:15" x14ac:dyDescent="0.2">
      <c r="B31" s="1372"/>
      <c r="C31" s="794" t="str">
        <f>C8</f>
        <v>PISOS FRIOS</v>
      </c>
      <c r="D31" s="792" t="s">
        <v>203</v>
      </c>
      <c r="E31" s="792" t="s">
        <v>203</v>
      </c>
      <c r="F31" s="792" t="s">
        <v>203</v>
      </c>
      <c r="G31" s="792" t="s">
        <v>203</v>
      </c>
      <c r="H31" s="792" t="s">
        <v>203</v>
      </c>
      <c r="I31" s="792" t="s">
        <v>203</v>
      </c>
      <c r="J31" s="792" t="s">
        <v>203</v>
      </c>
      <c r="K31" s="792" t="s">
        <v>203</v>
      </c>
      <c r="L31" s="792" t="s">
        <v>203</v>
      </c>
      <c r="M31" s="792" t="s">
        <v>203</v>
      </c>
    </row>
    <row r="32" spans="2:15" ht="14.25" x14ac:dyDescent="0.2">
      <c r="B32" s="1372"/>
      <c r="C32" s="754" t="s">
        <v>893</v>
      </c>
      <c r="D32" s="752" t="str">
        <f>"1/(30 x" &amp; " " &amp; D8 &amp; "" &amp; ")"</f>
        <v>1/(30 x 800)</v>
      </c>
      <c r="E32" s="752" t="str">
        <f t="shared" ref="E32:M32" si="26">"1/(30 x" &amp; " " &amp; E8 &amp; "" &amp; ")"</f>
        <v>1/(30 x 880)</v>
      </c>
      <c r="F32" s="752" t="str">
        <f t="shared" si="26"/>
        <v>1/(30 x 920)</v>
      </c>
      <c r="G32" s="752" t="str">
        <f t="shared" si="26"/>
        <v>1/(30 x 960)</v>
      </c>
      <c r="H32" s="752" t="str">
        <f t="shared" si="26"/>
        <v>1/(30 x 1000)</v>
      </c>
      <c r="I32" s="752" t="str">
        <f t="shared" si="26"/>
        <v>1/(30 x 1040)</v>
      </c>
      <c r="J32" s="752" t="str">
        <f t="shared" si="26"/>
        <v>1/(30 x 1080)</v>
      </c>
      <c r="K32" s="752" t="str">
        <f t="shared" si="26"/>
        <v>1/(30 x 1120)</v>
      </c>
      <c r="L32" s="752" t="str">
        <f t="shared" si="26"/>
        <v>1/(30 x 1160)</v>
      </c>
      <c r="M32" s="752" t="str">
        <f t="shared" si="26"/>
        <v>1/(30 x 1200)</v>
      </c>
    </row>
    <row r="33" spans="2:13" ht="14.25" x14ac:dyDescent="0.2">
      <c r="B33" s="1372"/>
      <c r="C33" s="754" t="s">
        <v>846</v>
      </c>
      <c r="D33" s="752" t="str">
        <f>"1 /" &amp; "" &amp; D8</f>
        <v>1 /800</v>
      </c>
      <c r="E33" s="752" t="str">
        <f t="shared" ref="E33:M33" si="27">"1 /" &amp; "" &amp; E8</f>
        <v>1 /880</v>
      </c>
      <c r="F33" s="752" t="str">
        <f t="shared" si="27"/>
        <v>1 /920</v>
      </c>
      <c r="G33" s="752" t="str">
        <f t="shared" si="27"/>
        <v>1 /960</v>
      </c>
      <c r="H33" s="752" t="str">
        <f t="shared" si="27"/>
        <v>1 /1000</v>
      </c>
      <c r="I33" s="752" t="str">
        <f t="shared" si="27"/>
        <v>1 /1040</v>
      </c>
      <c r="J33" s="752" t="str">
        <f t="shared" si="27"/>
        <v>1 /1080</v>
      </c>
      <c r="K33" s="752" t="str">
        <f t="shared" si="27"/>
        <v>1 /1120</v>
      </c>
      <c r="L33" s="752" t="str">
        <f t="shared" si="27"/>
        <v>1 /1160</v>
      </c>
      <c r="M33" s="752" t="str">
        <f t="shared" si="27"/>
        <v>1 /1200</v>
      </c>
    </row>
    <row r="34" spans="2:13" x14ac:dyDescent="0.2">
      <c r="B34" s="1372"/>
      <c r="C34" s="794" t="str">
        <f>C9</f>
        <v>LABORATÓRIOS</v>
      </c>
      <c r="D34" s="792" t="s">
        <v>203</v>
      </c>
      <c r="E34" s="792" t="s">
        <v>203</v>
      </c>
      <c r="F34" s="792" t="s">
        <v>203</v>
      </c>
      <c r="G34" s="792" t="s">
        <v>203</v>
      </c>
      <c r="H34" s="792" t="s">
        <v>203</v>
      </c>
      <c r="I34" s="792" t="s">
        <v>203</v>
      </c>
      <c r="J34" s="792" t="s">
        <v>203</v>
      </c>
      <c r="K34" s="792" t="s">
        <v>203</v>
      </c>
      <c r="L34" s="792" t="s">
        <v>203</v>
      </c>
      <c r="M34" s="792" t="s">
        <v>203</v>
      </c>
    </row>
    <row r="35" spans="2:13" ht="14.25" x14ac:dyDescent="0.2">
      <c r="B35" s="1372"/>
      <c r="C35" s="754" t="s">
        <v>893</v>
      </c>
      <c r="D35" s="752" t="str">
        <f>"1/(30 x" &amp; " " &amp; D9 &amp; "" &amp; ")"</f>
        <v>1/(30 x 360)</v>
      </c>
      <c r="E35" s="752" t="str">
        <f t="shared" ref="E35:M35" si="28">"1/(30 x" &amp; " " &amp; E9 &amp; "" &amp; ")"</f>
        <v>1/(30 x 396)</v>
      </c>
      <c r="F35" s="752" t="str">
        <f t="shared" si="28"/>
        <v>1/(30 x 414)</v>
      </c>
      <c r="G35" s="752" t="str">
        <f t="shared" si="28"/>
        <v>1/(30 x 432)</v>
      </c>
      <c r="H35" s="752" t="str">
        <f t="shared" si="28"/>
        <v>1/(30 x 450)</v>
      </c>
      <c r="I35" s="752" t="str">
        <f t="shared" si="28"/>
        <v>1/(30 x 450)</v>
      </c>
      <c r="J35" s="752" t="str">
        <f t="shared" si="28"/>
        <v>1/(30 x 450)</v>
      </c>
      <c r="K35" s="752" t="str">
        <f t="shared" si="28"/>
        <v>1/(30 x 450)</v>
      </c>
      <c r="L35" s="752" t="str">
        <f t="shared" si="28"/>
        <v>1/(30 x 450)</v>
      </c>
      <c r="M35" s="752" t="str">
        <f t="shared" si="28"/>
        <v>1/(30 x 450)</v>
      </c>
    </row>
    <row r="36" spans="2:13" ht="14.25" x14ac:dyDescent="0.2">
      <c r="B36" s="1372"/>
      <c r="C36" s="754" t="s">
        <v>846</v>
      </c>
      <c r="D36" s="752" t="str">
        <f>"1 /" &amp; "" &amp; D9</f>
        <v>1 /360</v>
      </c>
      <c r="E36" s="752" t="str">
        <f t="shared" ref="E36:M36" si="29">"1 /" &amp; "" &amp; E9</f>
        <v>1 /396</v>
      </c>
      <c r="F36" s="752" t="str">
        <f t="shared" si="29"/>
        <v>1 /414</v>
      </c>
      <c r="G36" s="752" t="str">
        <f t="shared" si="29"/>
        <v>1 /432</v>
      </c>
      <c r="H36" s="752" t="str">
        <f t="shared" si="29"/>
        <v>1 /450</v>
      </c>
      <c r="I36" s="752" t="str">
        <f t="shared" si="29"/>
        <v>1 /450</v>
      </c>
      <c r="J36" s="752" t="str">
        <f t="shared" si="29"/>
        <v>1 /450</v>
      </c>
      <c r="K36" s="752" t="str">
        <f t="shared" si="29"/>
        <v>1 /450</v>
      </c>
      <c r="L36" s="752" t="str">
        <f t="shared" si="29"/>
        <v>1 /450</v>
      </c>
      <c r="M36" s="752" t="str">
        <f t="shared" si="29"/>
        <v>1 /450</v>
      </c>
    </row>
    <row r="37" spans="2:13" x14ac:dyDescent="0.2">
      <c r="B37" s="1372"/>
      <c r="C37" s="794" t="str">
        <f>C10</f>
        <v>ALMOXARIFADOS/GALPÕES</v>
      </c>
      <c r="D37" s="792" t="s">
        <v>203</v>
      </c>
      <c r="E37" s="792" t="s">
        <v>203</v>
      </c>
      <c r="F37" s="792" t="s">
        <v>203</v>
      </c>
      <c r="G37" s="792" t="s">
        <v>203</v>
      </c>
      <c r="H37" s="792" t="s">
        <v>203</v>
      </c>
      <c r="I37" s="792" t="s">
        <v>203</v>
      </c>
      <c r="J37" s="792" t="s">
        <v>203</v>
      </c>
      <c r="K37" s="792" t="s">
        <v>203</v>
      </c>
      <c r="L37" s="792" t="s">
        <v>203</v>
      </c>
      <c r="M37" s="792" t="s">
        <v>203</v>
      </c>
    </row>
    <row r="38" spans="2:13" ht="14.25" x14ac:dyDescent="0.2">
      <c r="B38" s="1372"/>
      <c r="C38" s="754" t="s">
        <v>893</v>
      </c>
      <c r="D38" s="752" t="str">
        <f>"1/(30 x" &amp; " " &amp; D10 &amp; "" &amp; ")"</f>
        <v>1/(30 x 1500)</v>
      </c>
      <c r="E38" s="752" t="str">
        <f t="shared" ref="E38:M38" si="30">"1/(30 x" &amp; " " &amp; E10 &amp; "" &amp; ")"</f>
        <v>1/(30 x 1650)</v>
      </c>
      <c r="F38" s="752" t="str">
        <f t="shared" si="30"/>
        <v>1/(30 x 1725)</v>
      </c>
      <c r="G38" s="752" t="str">
        <f t="shared" si="30"/>
        <v>1/(30 x 1800)</v>
      </c>
      <c r="H38" s="752" t="str">
        <f t="shared" si="30"/>
        <v>1/(30 x 1875)</v>
      </c>
      <c r="I38" s="752" t="str">
        <f t="shared" si="30"/>
        <v>1/(30 x 1950)</v>
      </c>
      <c r="J38" s="752" t="str">
        <f t="shared" si="30"/>
        <v>1/(30 x 2025)</v>
      </c>
      <c r="K38" s="752" t="str">
        <f t="shared" si="30"/>
        <v>1/(30 x 2100)</v>
      </c>
      <c r="L38" s="752" t="str">
        <f t="shared" si="30"/>
        <v>1/(30 x 2175)</v>
      </c>
      <c r="M38" s="752" t="str">
        <f t="shared" si="30"/>
        <v>1/(30 x 2500)</v>
      </c>
    </row>
    <row r="39" spans="2:13" ht="14.25" x14ac:dyDescent="0.2">
      <c r="B39" s="1372"/>
      <c r="C39" s="754" t="s">
        <v>846</v>
      </c>
      <c r="D39" s="752" t="str">
        <f>"1 /" &amp; "" &amp; D10</f>
        <v>1 /1500</v>
      </c>
      <c r="E39" s="752" t="str">
        <f t="shared" ref="E39:M39" si="31">"1 /" &amp; "" &amp; E10</f>
        <v>1 /1650</v>
      </c>
      <c r="F39" s="752" t="str">
        <f t="shared" si="31"/>
        <v>1 /1725</v>
      </c>
      <c r="G39" s="752" t="str">
        <f t="shared" si="31"/>
        <v>1 /1800</v>
      </c>
      <c r="H39" s="752" t="str">
        <f t="shared" si="31"/>
        <v>1 /1875</v>
      </c>
      <c r="I39" s="752" t="str">
        <f t="shared" si="31"/>
        <v>1 /1950</v>
      </c>
      <c r="J39" s="752" t="str">
        <f t="shared" si="31"/>
        <v>1 /2025</v>
      </c>
      <c r="K39" s="752" t="str">
        <f t="shared" si="31"/>
        <v>1 /2100</v>
      </c>
      <c r="L39" s="752" t="str">
        <f t="shared" si="31"/>
        <v>1 /2175</v>
      </c>
      <c r="M39" s="752" t="str">
        <f t="shared" si="31"/>
        <v>1 /2500</v>
      </c>
    </row>
    <row r="40" spans="2:13" x14ac:dyDescent="0.2">
      <c r="B40" s="1372"/>
      <c r="C40" s="794" t="str">
        <f>C11</f>
        <v>OFICINAS</v>
      </c>
      <c r="D40" s="792" t="s">
        <v>203</v>
      </c>
      <c r="E40" s="792" t="s">
        <v>203</v>
      </c>
      <c r="F40" s="792" t="s">
        <v>203</v>
      </c>
      <c r="G40" s="792" t="s">
        <v>203</v>
      </c>
      <c r="H40" s="792" t="s">
        <v>203</v>
      </c>
      <c r="I40" s="792" t="s">
        <v>203</v>
      </c>
      <c r="J40" s="792" t="s">
        <v>203</v>
      </c>
      <c r="K40" s="792" t="s">
        <v>203</v>
      </c>
      <c r="L40" s="792" t="s">
        <v>203</v>
      </c>
      <c r="M40" s="792" t="s">
        <v>203</v>
      </c>
    </row>
    <row r="41" spans="2:13" ht="14.25" x14ac:dyDescent="0.2">
      <c r="B41" s="1372"/>
      <c r="C41" s="754" t="s">
        <v>893</v>
      </c>
      <c r="D41" s="752" t="str">
        <f>"1/(30 x" &amp; " " &amp; D11 &amp; "" &amp; ")"</f>
        <v>1/(30 x 1200)</v>
      </c>
      <c r="E41" s="752" t="str">
        <f t="shared" ref="E41:M41" si="32">"1/(30 x" &amp; " " &amp; E11 &amp; "" &amp; ")"</f>
        <v>1/(30 x 1320)</v>
      </c>
      <c r="F41" s="752" t="str">
        <f t="shared" si="32"/>
        <v>1/(30 x 1380)</v>
      </c>
      <c r="G41" s="752" t="str">
        <f t="shared" si="32"/>
        <v>1/(30 x 1440)</v>
      </c>
      <c r="H41" s="752" t="str">
        <f t="shared" si="32"/>
        <v>1/(30 x 1500)</v>
      </c>
      <c r="I41" s="752" t="str">
        <f t="shared" si="32"/>
        <v>1/(30 x 1560)</v>
      </c>
      <c r="J41" s="752" t="str">
        <f t="shared" si="32"/>
        <v>1/(30 x 1620)</v>
      </c>
      <c r="K41" s="752" t="str">
        <f t="shared" si="32"/>
        <v>1/(30 x 1680)</v>
      </c>
      <c r="L41" s="752" t="str">
        <f t="shared" si="32"/>
        <v>1/(30 x 1740)</v>
      </c>
      <c r="M41" s="752" t="str">
        <f t="shared" si="32"/>
        <v>1/(30 x 1800)</v>
      </c>
    </row>
    <row r="42" spans="2:13" ht="14.25" x14ac:dyDescent="0.2">
      <c r="B42" s="1372"/>
      <c r="C42" s="754" t="s">
        <v>846</v>
      </c>
      <c r="D42" s="752" t="str">
        <f>"1 /" &amp; "" &amp; D11</f>
        <v>1 /1200</v>
      </c>
      <c r="E42" s="752" t="str">
        <f t="shared" ref="E42:M42" si="33">"1 /" &amp; "" &amp; E11</f>
        <v>1 /1320</v>
      </c>
      <c r="F42" s="752" t="str">
        <f t="shared" si="33"/>
        <v>1 /1380</v>
      </c>
      <c r="G42" s="752" t="str">
        <f t="shared" si="33"/>
        <v>1 /1440</v>
      </c>
      <c r="H42" s="752" t="str">
        <f t="shared" si="33"/>
        <v>1 /1500</v>
      </c>
      <c r="I42" s="752" t="str">
        <f t="shared" si="33"/>
        <v>1 /1560</v>
      </c>
      <c r="J42" s="752" t="str">
        <f t="shared" si="33"/>
        <v>1 /1620</v>
      </c>
      <c r="K42" s="752" t="str">
        <f t="shared" si="33"/>
        <v>1 /1680</v>
      </c>
      <c r="L42" s="752" t="str">
        <f t="shared" si="33"/>
        <v>1 /1740</v>
      </c>
      <c r="M42" s="752" t="str">
        <f t="shared" si="33"/>
        <v>1 /1800</v>
      </c>
    </row>
    <row r="43" spans="2:13" x14ac:dyDescent="0.2">
      <c r="B43" s="1372"/>
      <c r="C43" s="794" t="str">
        <f>C12</f>
        <v>ÁREAS COM ESPAÇOS LIVRES - SAGUÃO, HALL E SALÃO</v>
      </c>
      <c r="D43" s="792" t="s">
        <v>203</v>
      </c>
      <c r="E43" s="792" t="s">
        <v>203</v>
      </c>
      <c r="F43" s="792" t="s">
        <v>203</v>
      </c>
      <c r="G43" s="792" t="s">
        <v>203</v>
      </c>
      <c r="H43" s="792" t="s">
        <v>203</v>
      </c>
      <c r="I43" s="792" t="s">
        <v>203</v>
      </c>
      <c r="J43" s="792" t="s">
        <v>203</v>
      </c>
      <c r="K43" s="792" t="s">
        <v>203</v>
      </c>
      <c r="L43" s="792" t="s">
        <v>203</v>
      </c>
      <c r="M43" s="792" t="s">
        <v>203</v>
      </c>
    </row>
    <row r="44" spans="2:13" ht="14.25" x14ac:dyDescent="0.2">
      <c r="B44" s="1372"/>
      <c r="C44" s="754" t="s">
        <v>893</v>
      </c>
      <c r="D44" s="752" t="str">
        <f>"1/(30 x" &amp; " " &amp;D12 &amp; "" &amp; ")"</f>
        <v>1/(30 x 1000)</v>
      </c>
      <c r="E44" s="752" t="str">
        <f t="shared" ref="E44:M44" si="34">"1/(30 x" &amp; " " &amp;E12 &amp; "" &amp; ")"</f>
        <v>1/(30 x 1100)</v>
      </c>
      <c r="F44" s="752" t="str">
        <f t="shared" si="34"/>
        <v>1/(30 x 1150)</v>
      </c>
      <c r="G44" s="752" t="str">
        <f t="shared" si="34"/>
        <v>1/(30 x 1200)</v>
      </c>
      <c r="H44" s="752" t="str">
        <f t="shared" si="34"/>
        <v>1/(30 x 1250)</v>
      </c>
      <c r="I44" s="752" t="str">
        <f t="shared" si="34"/>
        <v>1/(30 x 1300)</v>
      </c>
      <c r="J44" s="752" t="str">
        <f t="shared" si="34"/>
        <v>1/(30 x 1350)</v>
      </c>
      <c r="K44" s="752" t="str">
        <f t="shared" si="34"/>
        <v>1/(30 x 1400)</v>
      </c>
      <c r="L44" s="752" t="str">
        <f t="shared" si="34"/>
        <v>1/(30 x 1450)</v>
      </c>
      <c r="M44" s="752" t="str">
        <f t="shared" si="34"/>
        <v>1/(30 x 1500)</v>
      </c>
    </row>
    <row r="45" spans="2:13" ht="14.25" x14ac:dyDescent="0.2">
      <c r="B45" s="1372"/>
      <c r="C45" s="754" t="s">
        <v>846</v>
      </c>
      <c r="D45" s="752" t="str">
        <f>"1 /" &amp; "" &amp;D12</f>
        <v>1 /1000</v>
      </c>
      <c r="E45" s="752" t="str">
        <f t="shared" ref="E45:M45" si="35">"1 /" &amp; "" &amp;E12</f>
        <v>1 /1100</v>
      </c>
      <c r="F45" s="752" t="str">
        <f t="shared" si="35"/>
        <v>1 /1150</v>
      </c>
      <c r="G45" s="752" t="str">
        <f t="shared" si="35"/>
        <v>1 /1200</v>
      </c>
      <c r="H45" s="752" t="str">
        <f t="shared" si="35"/>
        <v>1 /1250</v>
      </c>
      <c r="I45" s="752" t="str">
        <f t="shared" si="35"/>
        <v>1 /1300</v>
      </c>
      <c r="J45" s="752" t="str">
        <f t="shared" si="35"/>
        <v>1 /1350</v>
      </c>
      <c r="K45" s="752" t="str">
        <f t="shared" si="35"/>
        <v>1 /1400</v>
      </c>
      <c r="L45" s="752" t="str">
        <f t="shared" si="35"/>
        <v>1 /1450</v>
      </c>
      <c r="M45" s="752" t="str">
        <f t="shared" si="35"/>
        <v>1 /1500</v>
      </c>
    </row>
    <row r="46" spans="2:13" x14ac:dyDescent="0.2">
      <c r="B46" s="1372"/>
      <c r="C46" s="794" t="str">
        <f>C13</f>
        <v>BANHEIROS</v>
      </c>
      <c r="D46" s="792" t="s">
        <v>203</v>
      </c>
      <c r="E46" s="792" t="s">
        <v>203</v>
      </c>
      <c r="F46" s="792" t="s">
        <v>203</v>
      </c>
      <c r="G46" s="792" t="s">
        <v>203</v>
      </c>
      <c r="H46" s="792" t="s">
        <v>203</v>
      </c>
      <c r="I46" s="792" t="s">
        <v>203</v>
      </c>
      <c r="J46" s="792" t="s">
        <v>203</v>
      </c>
      <c r="K46" s="792" t="s">
        <v>203</v>
      </c>
      <c r="L46" s="792" t="s">
        <v>203</v>
      </c>
      <c r="M46" s="792" t="s">
        <v>203</v>
      </c>
    </row>
    <row r="47" spans="2:13" ht="14.25" x14ac:dyDescent="0.2">
      <c r="B47" s="1372"/>
      <c r="C47" s="754" t="s">
        <v>893</v>
      </c>
      <c r="D47" s="752" t="str">
        <f>"1/(30 x" &amp; " " &amp; D13 &amp; "" &amp; ")"</f>
        <v>1/(30 x 200)</v>
      </c>
      <c r="E47" s="752" t="str">
        <f t="shared" ref="E47:M47" si="36">"1/(30 x" &amp; " " &amp; E13 &amp; "" &amp; ")"</f>
        <v>1/(30 x 220)</v>
      </c>
      <c r="F47" s="752" t="str">
        <f t="shared" si="36"/>
        <v>1/(30 x 230)</v>
      </c>
      <c r="G47" s="752" t="str">
        <f t="shared" si="36"/>
        <v>1/(30 x 240)</v>
      </c>
      <c r="H47" s="752" t="str">
        <f t="shared" si="36"/>
        <v>1/(30 x 250)</v>
      </c>
      <c r="I47" s="752" t="str">
        <f t="shared" si="36"/>
        <v>1/(30 x 260)</v>
      </c>
      <c r="J47" s="752" t="str">
        <f t="shared" si="36"/>
        <v>1/(30 x 270)</v>
      </c>
      <c r="K47" s="752" t="str">
        <f t="shared" si="36"/>
        <v>1/(30 x 280)</v>
      </c>
      <c r="L47" s="752" t="str">
        <f t="shared" si="36"/>
        <v>1/(30 x 290)</v>
      </c>
      <c r="M47" s="752" t="str">
        <f t="shared" si="36"/>
        <v>1/(30 x 300)</v>
      </c>
    </row>
    <row r="48" spans="2:13" ht="14.25" x14ac:dyDescent="0.2">
      <c r="B48" s="1375"/>
      <c r="C48" s="754" t="s">
        <v>846</v>
      </c>
      <c r="D48" s="752" t="str">
        <f>"1 /" &amp; "" &amp; D13</f>
        <v>1 /200</v>
      </c>
      <c r="E48" s="752" t="str">
        <f t="shared" ref="E48:M48" si="37">"1 /" &amp; "" &amp; E13</f>
        <v>1 /220</v>
      </c>
      <c r="F48" s="752" t="str">
        <f t="shared" si="37"/>
        <v>1 /230</v>
      </c>
      <c r="G48" s="752" t="str">
        <f t="shared" si="37"/>
        <v>1 /240</v>
      </c>
      <c r="H48" s="752" t="str">
        <f t="shared" si="37"/>
        <v>1 /250</v>
      </c>
      <c r="I48" s="752" t="str">
        <f t="shared" si="37"/>
        <v>1 /260</v>
      </c>
      <c r="J48" s="752" t="str">
        <f t="shared" si="37"/>
        <v>1 /270</v>
      </c>
      <c r="K48" s="752" t="str">
        <f t="shared" si="37"/>
        <v>1 /280</v>
      </c>
      <c r="L48" s="752" t="str">
        <f t="shared" si="37"/>
        <v>1 /290</v>
      </c>
      <c r="M48" s="752" t="str">
        <f t="shared" si="37"/>
        <v>1 /300</v>
      </c>
    </row>
    <row r="49" spans="2:13" x14ac:dyDescent="0.2">
      <c r="B49" s="1371" t="s">
        <v>847</v>
      </c>
      <c r="C49" s="794" t="str">
        <f>C14</f>
        <v>PISOS PAVIMENTADOS ADJACENTES/CONTÍGUOS ÀS EDIFICAÇÕES</v>
      </c>
      <c r="D49" s="792" t="s">
        <v>203</v>
      </c>
      <c r="E49" s="792" t="s">
        <v>203</v>
      </c>
      <c r="F49" s="792" t="s">
        <v>203</v>
      </c>
      <c r="G49" s="792" t="s">
        <v>203</v>
      </c>
      <c r="H49" s="792" t="s">
        <v>203</v>
      </c>
      <c r="I49" s="792" t="s">
        <v>203</v>
      </c>
      <c r="J49" s="792" t="s">
        <v>203</v>
      </c>
      <c r="K49" s="792" t="s">
        <v>203</v>
      </c>
      <c r="L49" s="792" t="s">
        <v>203</v>
      </c>
      <c r="M49" s="792" t="s">
        <v>203</v>
      </c>
    </row>
    <row r="50" spans="2:13" ht="14.25" x14ac:dyDescent="0.2">
      <c r="B50" s="1372"/>
      <c r="C50" s="754" t="s">
        <v>893</v>
      </c>
      <c r="D50" s="752" t="str">
        <f>"1/(30 x" &amp; " " &amp; D14 &amp; "" &amp; ")"</f>
        <v>1/(30 x 1800)</v>
      </c>
      <c r="E50" s="752" t="str">
        <f t="shared" ref="E50:M50" si="38">"1/(30 x" &amp; " " &amp; E14 &amp; "" &amp; ")"</f>
        <v>1/(30 x 1980)</v>
      </c>
      <c r="F50" s="752" t="str">
        <f t="shared" si="38"/>
        <v>1/(30 x 2070)</v>
      </c>
      <c r="G50" s="752" t="str">
        <f t="shared" si="38"/>
        <v>1/(30 x 2160)</v>
      </c>
      <c r="H50" s="752" t="str">
        <f t="shared" si="38"/>
        <v>1/(30 x 2250)</v>
      </c>
      <c r="I50" s="752" t="str">
        <f t="shared" si="38"/>
        <v>1/(30 x 2340)</v>
      </c>
      <c r="J50" s="752" t="str">
        <f t="shared" si="38"/>
        <v>1/(30 x 2430)</v>
      </c>
      <c r="K50" s="752" t="str">
        <f t="shared" si="38"/>
        <v>1/(30 x 2520)</v>
      </c>
      <c r="L50" s="752" t="str">
        <f t="shared" si="38"/>
        <v>1/(30 x 2610)</v>
      </c>
      <c r="M50" s="752" t="str">
        <f t="shared" si="38"/>
        <v>1/(30 x 2700)</v>
      </c>
    </row>
    <row r="51" spans="2:13" ht="14.25" x14ac:dyDescent="0.2">
      <c r="B51" s="1372"/>
      <c r="C51" s="754" t="s">
        <v>846</v>
      </c>
      <c r="D51" s="752" t="str">
        <f>"1 /" &amp; "" &amp; D14</f>
        <v>1 /1800</v>
      </c>
      <c r="E51" s="752" t="str">
        <f t="shared" ref="E51:M51" si="39">"1 /" &amp; "" &amp; E14</f>
        <v>1 /1980</v>
      </c>
      <c r="F51" s="752" t="str">
        <f t="shared" si="39"/>
        <v>1 /2070</v>
      </c>
      <c r="G51" s="752" t="str">
        <f t="shared" si="39"/>
        <v>1 /2160</v>
      </c>
      <c r="H51" s="752" t="str">
        <f t="shared" si="39"/>
        <v>1 /2250</v>
      </c>
      <c r="I51" s="752" t="str">
        <f t="shared" si="39"/>
        <v>1 /2340</v>
      </c>
      <c r="J51" s="752" t="str">
        <f t="shared" si="39"/>
        <v>1 /2430</v>
      </c>
      <c r="K51" s="752" t="str">
        <f t="shared" si="39"/>
        <v>1 /2520</v>
      </c>
      <c r="L51" s="752" t="str">
        <f t="shared" si="39"/>
        <v>1 /2610</v>
      </c>
      <c r="M51" s="752" t="str">
        <f t="shared" si="39"/>
        <v>1 /2700</v>
      </c>
    </row>
    <row r="52" spans="2:13" x14ac:dyDescent="0.2">
      <c r="B52" s="1372"/>
      <c r="C52" s="794" t="str">
        <f>C15</f>
        <v>VARRIAÇÃO DE PASSEIOS E ARRUAMENTOS</v>
      </c>
      <c r="D52" s="792" t="s">
        <v>203</v>
      </c>
      <c r="E52" s="792" t="s">
        <v>203</v>
      </c>
      <c r="F52" s="792" t="s">
        <v>203</v>
      </c>
      <c r="G52" s="792" t="s">
        <v>203</v>
      </c>
      <c r="H52" s="792" t="s">
        <v>203</v>
      </c>
      <c r="I52" s="792" t="s">
        <v>203</v>
      </c>
      <c r="J52" s="792" t="s">
        <v>203</v>
      </c>
      <c r="K52" s="792" t="s">
        <v>203</v>
      </c>
      <c r="L52" s="792" t="s">
        <v>203</v>
      </c>
      <c r="M52" s="792" t="s">
        <v>203</v>
      </c>
    </row>
    <row r="53" spans="2:13" ht="14.25" x14ac:dyDescent="0.2">
      <c r="B53" s="1372"/>
      <c r="C53" s="754" t="s">
        <v>893</v>
      </c>
      <c r="D53" s="752" t="str">
        <f>"1/(30 x" &amp; " " &amp; D15 &amp; "" &amp; ")"</f>
        <v>1/(30 x 6000)</v>
      </c>
      <c r="E53" s="752" t="str">
        <f t="shared" ref="E53:M53" si="40">"1/(30 x" &amp; " " &amp; E15 &amp; "" &amp; ")"</f>
        <v>1/(30 x 6600)</v>
      </c>
      <c r="F53" s="752" t="str">
        <f t="shared" si="40"/>
        <v>1/(30 x 6900)</v>
      </c>
      <c r="G53" s="752" t="str">
        <f t="shared" si="40"/>
        <v>1/(30 x 7200)</v>
      </c>
      <c r="H53" s="752" t="str">
        <f t="shared" si="40"/>
        <v>1/(30 x 7500)</v>
      </c>
      <c r="I53" s="752" t="str">
        <f t="shared" si="40"/>
        <v>1/(30 x 7800)</v>
      </c>
      <c r="J53" s="752" t="str">
        <f t="shared" si="40"/>
        <v>1/(30 x 8100)</v>
      </c>
      <c r="K53" s="752" t="str">
        <f t="shared" si="40"/>
        <v>1/(30 x 8400)</v>
      </c>
      <c r="L53" s="752" t="str">
        <f t="shared" si="40"/>
        <v>1/(30 x 8700)</v>
      </c>
      <c r="M53" s="752" t="str">
        <f t="shared" si="40"/>
        <v>1/(30 x 9000)</v>
      </c>
    </row>
    <row r="54" spans="2:13" ht="14.25" x14ac:dyDescent="0.2">
      <c r="B54" s="1372"/>
      <c r="C54" s="754" t="s">
        <v>846</v>
      </c>
      <c r="D54" s="752" t="str">
        <f>"1 /" &amp; "" &amp; D15</f>
        <v>1 /6000</v>
      </c>
      <c r="E54" s="752" t="str">
        <f t="shared" ref="E54:M54" si="41">"1 /" &amp; "" &amp; E15</f>
        <v>1 /6600</v>
      </c>
      <c r="F54" s="752" t="str">
        <f t="shared" si="41"/>
        <v>1 /6900</v>
      </c>
      <c r="G54" s="752" t="str">
        <f t="shared" si="41"/>
        <v>1 /7200</v>
      </c>
      <c r="H54" s="752" t="str">
        <f t="shared" si="41"/>
        <v>1 /7500</v>
      </c>
      <c r="I54" s="752" t="str">
        <f t="shared" si="41"/>
        <v>1 /7800</v>
      </c>
      <c r="J54" s="752" t="str">
        <f t="shared" si="41"/>
        <v>1 /8100</v>
      </c>
      <c r="K54" s="752" t="str">
        <f t="shared" si="41"/>
        <v>1 /8400</v>
      </c>
      <c r="L54" s="752" t="str">
        <f t="shared" si="41"/>
        <v>1 /8700</v>
      </c>
      <c r="M54" s="752" t="str">
        <f t="shared" si="41"/>
        <v>1 /9000</v>
      </c>
    </row>
    <row r="55" spans="2:13" x14ac:dyDescent="0.2">
      <c r="B55" s="1372"/>
      <c r="C55" s="794" t="str">
        <f>C16</f>
        <v>PÁTIOS E ÁREAS VERDES COM ALTA FREQUÊNCIA</v>
      </c>
      <c r="D55" s="792" t="s">
        <v>203</v>
      </c>
      <c r="E55" s="792" t="s">
        <v>203</v>
      </c>
      <c r="F55" s="792" t="s">
        <v>203</v>
      </c>
      <c r="G55" s="792" t="s">
        <v>203</v>
      </c>
      <c r="H55" s="792" t="s">
        <v>203</v>
      </c>
      <c r="I55" s="792" t="s">
        <v>203</v>
      </c>
      <c r="J55" s="792" t="s">
        <v>203</v>
      </c>
      <c r="K55" s="792" t="s">
        <v>203</v>
      </c>
      <c r="L55" s="792" t="s">
        <v>203</v>
      </c>
      <c r="M55" s="792" t="s">
        <v>203</v>
      </c>
    </row>
    <row r="56" spans="2:13" ht="14.25" x14ac:dyDescent="0.2">
      <c r="B56" s="1372"/>
      <c r="C56" s="754" t="s">
        <v>893</v>
      </c>
      <c r="D56" s="752" t="str">
        <f>"1/(30 x" &amp; " " &amp; D16 &amp; "" &amp; ")"</f>
        <v>1/(30 x 1800)</v>
      </c>
      <c r="E56" s="752" t="str">
        <f t="shared" ref="E56:M56" si="42">"1/(30 x" &amp; " " &amp; E16 &amp; "" &amp; ")"</f>
        <v>1/(30 x 1980)</v>
      </c>
      <c r="F56" s="752" t="str">
        <f t="shared" si="42"/>
        <v>1/(30 x 2070)</v>
      </c>
      <c r="G56" s="752" t="str">
        <f t="shared" si="42"/>
        <v>1/(30 x 2160)</v>
      </c>
      <c r="H56" s="752" t="str">
        <f t="shared" si="42"/>
        <v>1/(30 x 2250)</v>
      </c>
      <c r="I56" s="752" t="str">
        <f t="shared" si="42"/>
        <v>1/(30 x 2340)</v>
      </c>
      <c r="J56" s="752" t="str">
        <f t="shared" si="42"/>
        <v>1/(30 x 2430)</v>
      </c>
      <c r="K56" s="752" t="str">
        <f t="shared" si="42"/>
        <v>1/(30 x 2520)</v>
      </c>
      <c r="L56" s="752" t="str">
        <f t="shared" si="42"/>
        <v>1/(30 x 2610)</v>
      </c>
      <c r="M56" s="752" t="str">
        <f t="shared" si="42"/>
        <v>1/(30 x 2700)</v>
      </c>
    </row>
    <row r="57" spans="2:13" ht="14.25" x14ac:dyDescent="0.2">
      <c r="B57" s="1372"/>
      <c r="C57" s="754" t="s">
        <v>846</v>
      </c>
      <c r="D57" s="752" t="str">
        <f>"1 /" &amp; "" &amp; D16</f>
        <v>1 /1800</v>
      </c>
      <c r="E57" s="752" t="str">
        <f t="shared" ref="E57:M57" si="43">"1 /" &amp; "" &amp; E16</f>
        <v>1 /1980</v>
      </c>
      <c r="F57" s="752" t="str">
        <f t="shared" si="43"/>
        <v>1 /2070</v>
      </c>
      <c r="G57" s="752" t="str">
        <f t="shared" si="43"/>
        <v>1 /2160</v>
      </c>
      <c r="H57" s="752" t="str">
        <f t="shared" si="43"/>
        <v>1 /2250</v>
      </c>
      <c r="I57" s="752" t="str">
        <f t="shared" si="43"/>
        <v>1 /2340</v>
      </c>
      <c r="J57" s="752" t="str">
        <f t="shared" si="43"/>
        <v>1 /2430</v>
      </c>
      <c r="K57" s="752" t="str">
        <f t="shared" si="43"/>
        <v>1 /2520</v>
      </c>
      <c r="L57" s="752" t="str">
        <f t="shared" si="43"/>
        <v>1 /2610</v>
      </c>
      <c r="M57" s="752" t="str">
        <f t="shared" si="43"/>
        <v>1 /2700</v>
      </c>
    </row>
    <row r="58" spans="2:13" x14ac:dyDescent="0.2">
      <c r="B58" s="1372"/>
      <c r="C58" s="794" t="str">
        <f>C17</f>
        <v>PÁTIOS E ÁREAS VERDES COM MÉDIA FREQUÊNCIA</v>
      </c>
      <c r="D58" s="792" t="s">
        <v>203</v>
      </c>
      <c r="E58" s="792" t="s">
        <v>203</v>
      </c>
      <c r="F58" s="792" t="s">
        <v>203</v>
      </c>
      <c r="G58" s="792" t="s">
        <v>203</v>
      </c>
      <c r="H58" s="792" t="s">
        <v>203</v>
      </c>
      <c r="I58" s="792" t="s">
        <v>203</v>
      </c>
      <c r="J58" s="792" t="s">
        <v>203</v>
      </c>
      <c r="K58" s="792" t="s">
        <v>203</v>
      </c>
      <c r="L58" s="792" t="s">
        <v>203</v>
      </c>
      <c r="M58" s="792" t="s">
        <v>203</v>
      </c>
    </row>
    <row r="59" spans="2:13" ht="14.25" x14ac:dyDescent="0.2">
      <c r="B59" s="1372"/>
      <c r="C59" s="754" t="s">
        <v>893</v>
      </c>
      <c r="D59" s="752" t="str">
        <f>"1/(30 x" &amp; " " &amp; D17 &amp; "" &amp; ")"</f>
        <v>1/(30 x 1800)</v>
      </c>
      <c r="E59" s="752" t="str">
        <f t="shared" ref="E59:M59" si="44">"1/(30 x" &amp; " " &amp; E17 &amp; "" &amp; ")"</f>
        <v>1/(30 x 1980)</v>
      </c>
      <c r="F59" s="752" t="str">
        <f t="shared" si="44"/>
        <v>1/(30 x 2070)</v>
      </c>
      <c r="G59" s="752" t="str">
        <f t="shared" si="44"/>
        <v>1/(30 x 2160)</v>
      </c>
      <c r="H59" s="752" t="str">
        <f t="shared" si="44"/>
        <v>1/(30 x 2250)</v>
      </c>
      <c r="I59" s="752" t="str">
        <f t="shared" si="44"/>
        <v>1/(30 x 2340)</v>
      </c>
      <c r="J59" s="752" t="str">
        <f t="shared" si="44"/>
        <v>1/(30 x 2430)</v>
      </c>
      <c r="K59" s="752" t="str">
        <f t="shared" si="44"/>
        <v>1/(30 x 2520)</v>
      </c>
      <c r="L59" s="752" t="str">
        <f t="shared" si="44"/>
        <v>1/(30 x 2610)</v>
      </c>
      <c r="M59" s="752" t="str">
        <f t="shared" si="44"/>
        <v>1/(30 x 2700)</v>
      </c>
    </row>
    <row r="60" spans="2:13" ht="14.25" x14ac:dyDescent="0.2">
      <c r="B60" s="1372"/>
      <c r="C60" s="754" t="s">
        <v>846</v>
      </c>
      <c r="D60" s="752" t="str">
        <f>"1 /" &amp; "" &amp; D17</f>
        <v>1 /1800</v>
      </c>
      <c r="E60" s="752" t="str">
        <f t="shared" ref="E60:M60" si="45">"1 /" &amp; "" &amp; E17</f>
        <v>1 /1980</v>
      </c>
      <c r="F60" s="752" t="str">
        <f t="shared" si="45"/>
        <v>1 /2070</v>
      </c>
      <c r="G60" s="752" t="str">
        <f t="shared" si="45"/>
        <v>1 /2160</v>
      </c>
      <c r="H60" s="752" t="str">
        <f t="shared" si="45"/>
        <v>1 /2250</v>
      </c>
      <c r="I60" s="752" t="str">
        <f t="shared" si="45"/>
        <v>1 /2340</v>
      </c>
      <c r="J60" s="752" t="str">
        <f t="shared" si="45"/>
        <v>1 /2430</v>
      </c>
      <c r="K60" s="752" t="str">
        <f t="shared" si="45"/>
        <v>1 /2520</v>
      </c>
      <c r="L60" s="752" t="str">
        <f t="shared" si="45"/>
        <v>1 /2610</v>
      </c>
      <c r="M60" s="752" t="str">
        <f t="shared" si="45"/>
        <v>1 /2700</v>
      </c>
    </row>
    <row r="61" spans="2:13" x14ac:dyDescent="0.2">
      <c r="B61" s="1372"/>
      <c r="C61" s="794" t="str">
        <f>C18</f>
        <v>PÁTIOS E ÁREAS VERDES COM BAIXA FREQUÊNCIA</v>
      </c>
      <c r="D61" s="792" t="s">
        <v>203</v>
      </c>
      <c r="E61" s="792" t="s">
        <v>203</v>
      </c>
      <c r="F61" s="792" t="s">
        <v>203</v>
      </c>
      <c r="G61" s="792" t="s">
        <v>203</v>
      </c>
      <c r="H61" s="792" t="s">
        <v>203</v>
      </c>
      <c r="I61" s="792" t="s">
        <v>203</v>
      </c>
      <c r="J61" s="792" t="s">
        <v>203</v>
      </c>
      <c r="K61" s="792" t="s">
        <v>203</v>
      </c>
      <c r="L61" s="792" t="s">
        <v>203</v>
      </c>
      <c r="M61" s="792" t="s">
        <v>203</v>
      </c>
    </row>
    <row r="62" spans="2:13" ht="14.25" x14ac:dyDescent="0.2">
      <c r="B62" s="1372"/>
      <c r="C62" s="754" t="s">
        <v>893</v>
      </c>
      <c r="D62" s="752" t="str">
        <f>"1/(30 x" &amp; " " &amp; D18 &amp; "" &amp; ")"</f>
        <v>1/(30 x 1800)</v>
      </c>
      <c r="E62" s="752" t="str">
        <f t="shared" ref="E62:M62" si="46">"1/(30 x" &amp; " " &amp; E18 &amp; "" &amp; ")"</f>
        <v>1/(30 x 1980)</v>
      </c>
      <c r="F62" s="752" t="str">
        <f t="shared" si="46"/>
        <v>1/(30 x 2070)</v>
      </c>
      <c r="G62" s="752" t="str">
        <f t="shared" si="46"/>
        <v>1/(30 x 2160)</v>
      </c>
      <c r="H62" s="752" t="str">
        <f t="shared" si="46"/>
        <v>1/(30 x 2250)</v>
      </c>
      <c r="I62" s="752" t="str">
        <f t="shared" si="46"/>
        <v>1/(30 x 2340)</v>
      </c>
      <c r="J62" s="752" t="str">
        <f t="shared" si="46"/>
        <v>1/(30 x 2430)</v>
      </c>
      <c r="K62" s="752" t="str">
        <f t="shared" si="46"/>
        <v>1/(30 x 2520)</v>
      </c>
      <c r="L62" s="752" t="str">
        <f t="shared" si="46"/>
        <v>1/(30 x 2610)</v>
      </c>
      <c r="M62" s="752" t="str">
        <f t="shared" si="46"/>
        <v>1/(30 x 2700)</v>
      </c>
    </row>
    <row r="63" spans="2:13" ht="14.25" x14ac:dyDescent="0.2">
      <c r="B63" s="1372"/>
      <c r="C63" s="754" t="s">
        <v>846</v>
      </c>
      <c r="D63" s="752" t="str">
        <f>"1 /" &amp; "" &amp; D18</f>
        <v>1 /1800</v>
      </c>
      <c r="E63" s="752" t="str">
        <f t="shared" ref="E63:M63" si="47">"1 /" &amp; "" &amp; E18</f>
        <v>1 /1980</v>
      </c>
      <c r="F63" s="752" t="str">
        <f t="shared" si="47"/>
        <v>1 /2070</v>
      </c>
      <c r="G63" s="752" t="str">
        <f t="shared" si="47"/>
        <v>1 /2160</v>
      </c>
      <c r="H63" s="752" t="str">
        <f t="shared" si="47"/>
        <v>1 /2250</v>
      </c>
      <c r="I63" s="752" t="str">
        <f t="shared" si="47"/>
        <v>1 /2340</v>
      </c>
      <c r="J63" s="752" t="str">
        <f t="shared" si="47"/>
        <v>1 /2430</v>
      </c>
      <c r="K63" s="752" t="str">
        <f t="shared" si="47"/>
        <v>1 /2520</v>
      </c>
      <c r="L63" s="752" t="str">
        <f t="shared" si="47"/>
        <v>1 /2610</v>
      </c>
      <c r="M63" s="752" t="str">
        <f t="shared" si="47"/>
        <v>1 /2700</v>
      </c>
    </row>
    <row r="64" spans="2:13" x14ac:dyDescent="0.2">
      <c r="B64" s="1372"/>
      <c r="C64" s="794" t="str">
        <f>C19</f>
        <v>COLETA DE DETRITOS EM PÁTIOS E ÁREAS VERDES COM FREQUÊNCIA DIÁRIA</v>
      </c>
      <c r="D64" s="792" t="s">
        <v>203</v>
      </c>
      <c r="E64" s="792" t="s">
        <v>203</v>
      </c>
      <c r="F64" s="792" t="s">
        <v>203</v>
      </c>
      <c r="G64" s="792" t="s">
        <v>203</v>
      </c>
      <c r="H64" s="792" t="s">
        <v>203</v>
      </c>
      <c r="I64" s="792" t="s">
        <v>203</v>
      </c>
      <c r="J64" s="792" t="s">
        <v>203</v>
      </c>
      <c r="K64" s="792" t="s">
        <v>203</v>
      </c>
      <c r="L64" s="792" t="s">
        <v>203</v>
      </c>
      <c r="M64" s="792" t="s">
        <v>203</v>
      </c>
    </row>
    <row r="65" spans="2:13" ht="14.25" x14ac:dyDescent="0.2">
      <c r="B65" s="1372"/>
      <c r="C65" s="754" t="s">
        <v>893</v>
      </c>
      <c r="D65" s="752" t="str">
        <f>"1/(30 x" &amp; " " &amp;D19 &amp; "" &amp; ")"</f>
        <v>1/(30 x 100000)</v>
      </c>
      <c r="E65" s="752" t="str">
        <f t="shared" ref="E65:M65" si="48">"1/(30 x" &amp; " " &amp;E19 &amp; "" &amp; ")"</f>
        <v>1/(30 x 100000)</v>
      </c>
      <c r="F65" s="752" t="str">
        <f t="shared" si="48"/>
        <v>1/(30 x 100000)</v>
      </c>
      <c r="G65" s="752" t="str">
        <f t="shared" si="48"/>
        <v>1/(30 x 100000)</v>
      </c>
      <c r="H65" s="752" t="str">
        <f t="shared" si="48"/>
        <v>1/(30 x 100000)</v>
      </c>
      <c r="I65" s="752" t="str">
        <f t="shared" si="48"/>
        <v>1/(30 x 100000)</v>
      </c>
      <c r="J65" s="752" t="str">
        <f t="shared" si="48"/>
        <v>1/(30 x 100000)</v>
      </c>
      <c r="K65" s="752" t="str">
        <f t="shared" si="48"/>
        <v>1/(30 x 100000)</v>
      </c>
      <c r="L65" s="752" t="str">
        <f t="shared" si="48"/>
        <v>1/(30 x 100000)</v>
      </c>
      <c r="M65" s="752" t="str">
        <f t="shared" si="48"/>
        <v>1/(30 x 100000)</v>
      </c>
    </row>
    <row r="66" spans="2:13" ht="14.25" x14ac:dyDescent="0.2">
      <c r="B66" s="1372"/>
      <c r="C66" s="754" t="s">
        <v>846</v>
      </c>
      <c r="D66" s="752" t="str">
        <f>"1 /" &amp; "" &amp;D19</f>
        <v>1 /100000</v>
      </c>
      <c r="E66" s="752" t="str">
        <f t="shared" ref="E66:M66" si="49">"1 /" &amp; "" &amp;E19</f>
        <v>1 /100000</v>
      </c>
      <c r="F66" s="752" t="str">
        <f t="shared" si="49"/>
        <v>1 /100000</v>
      </c>
      <c r="G66" s="752" t="str">
        <f t="shared" si="49"/>
        <v>1 /100000</v>
      </c>
      <c r="H66" s="752" t="str">
        <f t="shared" si="49"/>
        <v>1 /100000</v>
      </c>
      <c r="I66" s="752" t="str">
        <f t="shared" si="49"/>
        <v>1 /100000</v>
      </c>
      <c r="J66" s="752" t="str">
        <f t="shared" si="49"/>
        <v>1 /100000</v>
      </c>
      <c r="K66" s="752" t="str">
        <f t="shared" si="49"/>
        <v>1 /100000</v>
      </c>
      <c r="L66" s="752" t="str">
        <f t="shared" si="49"/>
        <v>1 /100000</v>
      </c>
      <c r="M66" s="752" t="str">
        <f t="shared" si="49"/>
        <v>1 /100000</v>
      </c>
    </row>
    <row r="67" spans="2:13" x14ac:dyDescent="0.2">
      <c r="B67" s="1373" t="s">
        <v>894</v>
      </c>
      <c r="C67" s="794" t="str">
        <f>C20</f>
        <v xml:space="preserve">FACE EXTERNA COM EXPOSIÇÃO A SITUAÇÃO DE RISCO </v>
      </c>
      <c r="D67" s="751" t="s">
        <v>203</v>
      </c>
      <c r="E67" s="751" t="s">
        <v>203</v>
      </c>
      <c r="F67" s="751" t="s">
        <v>203</v>
      </c>
      <c r="G67" s="751" t="s">
        <v>203</v>
      </c>
      <c r="H67" s="751" t="s">
        <v>203</v>
      </c>
      <c r="I67" s="751" t="s">
        <v>203</v>
      </c>
      <c r="J67" s="751" t="s">
        <v>203</v>
      </c>
      <c r="K67" s="751" t="s">
        <v>203</v>
      </c>
      <c r="L67" s="751" t="s">
        <v>203</v>
      </c>
      <c r="M67" s="751" t="s">
        <v>203</v>
      </c>
    </row>
    <row r="68" spans="2:13" ht="14.25" x14ac:dyDescent="0.2">
      <c r="B68" s="1374"/>
      <c r="C68" s="754" t="s">
        <v>893</v>
      </c>
      <c r="D68" s="752" t="str">
        <f t="shared" ref="D68" si="50">"1/(30 x" &amp; " " &amp; D20 &amp; "" &amp; ")"</f>
        <v>1/(30 x 130)</v>
      </c>
      <c r="E68" s="752" t="str">
        <f t="shared" ref="E68:M68" si="51">"1/(30 x" &amp; " " &amp; E20 &amp; "" &amp; ")"</f>
        <v>1/(30 x 143)</v>
      </c>
      <c r="F68" s="752" t="str">
        <f t="shared" si="51"/>
        <v>1/(30 x 150)</v>
      </c>
      <c r="G68" s="752" t="str">
        <f t="shared" si="51"/>
        <v>1/(30 x 156)</v>
      </c>
      <c r="H68" s="752" t="str">
        <f t="shared" si="51"/>
        <v>1/(30 x 160)</v>
      </c>
      <c r="I68" s="752" t="str">
        <f t="shared" si="51"/>
        <v>1/(30 x 160)</v>
      </c>
      <c r="J68" s="752" t="str">
        <f t="shared" si="51"/>
        <v>1/(30 x 160)</v>
      </c>
      <c r="K68" s="752" t="str">
        <f t="shared" si="51"/>
        <v>1/(30 x 160)</v>
      </c>
      <c r="L68" s="752" t="str">
        <f t="shared" si="51"/>
        <v>1/(30 x 160)</v>
      </c>
      <c r="M68" s="752" t="str">
        <f t="shared" si="51"/>
        <v>1/(30 x 160)</v>
      </c>
    </row>
    <row r="69" spans="2:13" ht="14.25" x14ac:dyDescent="0.2">
      <c r="B69" s="1374"/>
      <c r="C69" s="754" t="s">
        <v>846</v>
      </c>
      <c r="D69" s="752" t="str">
        <f t="shared" ref="D69" si="52">"1 /" &amp; "" &amp; D20</f>
        <v>1 /130</v>
      </c>
      <c r="E69" s="752" t="str">
        <f t="shared" ref="E69:M69" si="53">"1 /" &amp; "" &amp; E20</f>
        <v>1 /143</v>
      </c>
      <c r="F69" s="752" t="str">
        <f t="shared" si="53"/>
        <v>1 /150</v>
      </c>
      <c r="G69" s="752" t="str">
        <f t="shared" si="53"/>
        <v>1 /156</v>
      </c>
      <c r="H69" s="752" t="str">
        <f t="shared" si="53"/>
        <v>1 /160</v>
      </c>
      <c r="I69" s="752" t="str">
        <f t="shared" si="53"/>
        <v>1 /160</v>
      </c>
      <c r="J69" s="752" t="str">
        <f t="shared" si="53"/>
        <v>1 /160</v>
      </c>
      <c r="K69" s="752" t="str">
        <f t="shared" si="53"/>
        <v>1 /160</v>
      </c>
      <c r="L69" s="752" t="str">
        <f t="shared" si="53"/>
        <v>1 /160</v>
      </c>
      <c r="M69" s="752" t="str">
        <f t="shared" si="53"/>
        <v>1 /160</v>
      </c>
    </row>
    <row r="70" spans="2:13" x14ac:dyDescent="0.2">
      <c r="B70" s="1374"/>
      <c r="C70" s="794" t="str">
        <f>C21</f>
        <v xml:space="preserve">FACE EXTERNA SEM EXPOSIÇÃO A SITUAÇÃO DE RISCO </v>
      </c>
      <c r="D70" s="792" t="s">
        <v>203</v>
      </c>
      <c r="E70" s="792" t="s">
        <v>203</v>
      </c>
      <c r="F70" s="792" t="s">
        <v>203</v>
      </c>
      <c r="G70" s="792" t="s">
        <v>203</v>
      </c>
      <c r="H70" s="792" t="s">
        <v>203</v>
      </c>
      <c r="I70" s="792" t="s">
        <v>203</v>
      </c>
      <c r="J70" s="792" t="s">
        <v>203</v>
      </c>
      <c r="K70" s="792" t="s">
        <v>203</v>
      </c>
      <c r="L70" s="792" t="s">
        <v>203</v>
      </c>
      <c r="M70" s="792" t="s">
        <v>203</v>
      </c>
    </row>
    <row r="71" spans="2:13" ht="14.25" x14ac:dyDescent="0.2">
      <c r="B71" s="1374"/>
      <c r="C71" s="754" t="s">
        <v>893</v>
      </c>
      <c r="D71" s="752" t="str">
        <f>"1/(30 x" &amp; " " &amp; D21 &amp; "" &amp; ")"</f>
        <v>1/(30 x 300)</v>
      </c>
      <c r="E71" s="752" t="str">
        <f t="shared" ref="E71:M71" si="54">"1/(30 x" &amp; " " &amp; E21 &amp; "" &amp; ")"</f>
        <v>1/(30 x 330)</v>
      </c>
      <c r="F71" s="752" t="str">
        <f t="shared" si="54"/>
        <v>1/(30 x 345)</v>
      </c>
      <c r="G71" s="752" t="str">
        <f t="shared" si="54"/>
        <v>1/(30 x 360)</v>
      </c>
      <c r="H71" s="752" t="str">
        <f t="shared" si="54"/>
        <v>1/(30 x 375)</v>
      </c>
      <c r="I71" s="752" t="str">
        <f t="shared" si="54"/>
        <v>1/(30 x 380)</v>
      </c>
      <c r="J71" s="752" t="str">
        <f t="shared" si="54"/>
        <v>1/(30 x 380)</v>
      </c>
      <c r="K71" s="752" t="str">
        <f t="shared" si="54"/>
        <v>1/(30 x 380)</v>
      </c>
      <c r="L71" s="752" t="str">
        <f t="shared" si="54"/>
        <v>1/(30 x 380)</v>
      </c>
      <c r="M71" s="752" t="str">
        <f t="shared" si="54"/>
        <v>1/(30 x 380)</v>
      </c>
    </row>
    <row r="72" spans="2:13" ht="14.25" x14ac:dyDescent="0.2">
      <c r="B72" s="1374"/>
      <c r="C72" s="754" t="s">
        <v>846</v>
      </c>
      <c r="D72" s="752" t="str">
        <f>"1 /" &amp; "" &amp; D21</f>
        <v>1 /300</v>
      </c>
      <c r="E72" s="752" t="str">
        <f t="shared" ref="E72:M72" si="55">"1 /" &amp; "" &amp; E21</f>
        <v>1 /330</v>
      </c>
      <c r="F72" s="752" t="str">
        <f t="shared" si="55"/>
        <v>1 /345</v>
      </c>
      <c r="G72" s="752" t="str">
        <f t="shared" si="55"/>
        <v>1 /360</v>
      </c>
      <c r="H72" s="752" t="str">
        <f t="shared" si="55"/>
        <v>1 /375</v>
      </c>
      <c r="I72" s="752" t="str">
        <f t="shared" si="55"/>
        <v>1 /380</v>
      </c>
      <c r="J72" s="752" t="str">
        <f t="shared" si="55"/>
        <v>1 /380</v>
      </c>
      <c r="K72" s="752" t="str">
        <f t="shared" si="55"/>
        <v>1 /380</v>
      </c>
      <c r="L72" s="752" t="str">
        <f t="shared" si="55"/>
        <v>1 /380</v>
      </c>
      <c r="M72" s="752" t="str">
        <f t="shared" si="55"/>
        <v>1 /380</v>
      </c>
    </row>
    <row r="73" spans="2:13" x14ac:dyDescent="0.2">
      <c r="B73" s="1374"/>
      <c r="C73" s="794" t="str">
        <f>C22</f>
        <v xml:space="preserve">FACE INTERNA </v>
      </c>
      <c r="D73" s="792" t="s">
        <v>203</v>
      </c>
      <c r="E73" s="792" t="s">
        <v>203</v>
      </c>
      <c r="F73" s="792" t="s">
        <v>203</v>
      </c>
      <c r="G73" s="792" t="s">
        <v>203</v>
      </c>
      <c r="H73" s="792" t="s">
        <v>203</v>
      </c>
      <c r="I73" s="792" t="s">
        <v>203</v>
      </c>
      <c r="J73" s="792" t="s">
        <v>203</v>
      </c>
      <c r="K73" s="792" t="s">
        <v>203</v>
      </c>
      <c r="L73" s="792" t="s">
        <v>203</v>
      </c>
      <c r="M73" s="792" t="s">
        <v>203</v>
      </c>
    </row>
    <row r="74" spans="2:13" ht="14.25" x14ac:dyDescent="0.2">
      <c r="B74" s="1374"/>
      <c r="C74" s="754" t="s">
        <v>893</v>
      </c>
      <c r="D74" s="752" t="str">
        <f>"1/(30 x" &amp; " " &amp; D22 &amp; "" &amp; ")"</f>
        <v>1/(30 x 300)</v>
      </c>
      <c r="E74" s="752" t="str">
        <f t="shared" ref="E74:M74" si="56">"1/(30 x" &amp; " " &amp; E22 &amp; "" &amp; ")"</f>
        <v>1/(30 x 330)</v>
      </c>
      <c r="F74" s="752" t="str">
        <f t="shared" si="56"/>
        <v>1/(30 x 345)</v>
      </c>
      <c r="G74" s="752" t="str">
        <f t="shared" si="56"/>
        <v>1/(30 x 360)</v>
      </c>
      <c r="H74" s="752" t="str">
        <f t="shared" si="56"/>
        <v>1/(30 x 375)</v>
      </c>
      <c r="I74" s="752" t="str">
        <f t="shared" si="56"/>
        <v>1/(30 x 380)</v>
      </c>
      <c r="J74" s="752" t="str">
        <f t="shared" si="56"/>
        <v>1/(30 x 380)</v>
      </c>
      <c r="K74" s="752" t="str">
        <f t="shared" si="56"/>
        <v>1/(30 x 380)</v>
      </c>
      <c r="L74" s="752" t="str">
        <f t="shared" si="56"/>
        <v>1/(30 x 380)</v>
      </c>
      <c r="M74" s="752" t="str">
        <f t="shared" si="56"/>
        <v>1/(30 x 380)</v>
      </c>
    </row>
    <row r="75" spans="2:13" ht="14.25" x14ac:dyDescent="0.2">
      <c r="B75" s="1376"/>
      <c r="C75" s="754" t="s">
        <v>846</v>
      </c>
      <c r="D75" s="752" t="str">
        <f>"1 /" &amp; "" &amp; D22</f>
        <v>1 /300</v>
      </c>
      <c r="E75" s="752" t="str">
        <f t="shared" ref="E75:M75" si="57">"1 /" &amp; "" &amp; E22</f>
        <v>1 /330</v>
      </c>
      <c r="F75" s="752" t="str">
        <f t="shared" si="57"/>
        <v>1 /345</v>
      </c>
      <c r="G75" s="752" t="str">
        <f t="shared" si="57"/>
        <v>1 /360</v>
      </c>
      <c r="H75" s="752" t="str">
        <f t="shared" si="57"/>
        <v>1 /375</v>
      </c>
      <c r="I75" s="752" t="str">
        <f t="shared" si="57"/>
        <v>1 /380</v>
      </c>
      <c r="J75" s="752" t="str">
        <f t="shared" si="57"/>
        <v>1 /380</v>
      </c>
      <c r="K75" s="752" t="str">
        <f t="shared" si="57"/>
        <v>1 /380</v>
      </c>
      <c r="L75" s="752" t="str">
        <f t="shared" si="57"/>
        <v>1 /380</v>
      </c>
      <c r="M75" s="752" t="str">
        <f t="shared" si="57"/>
        <v>1 /380</v>
      </c>
    </row>
    <row r="76" spans="2:13" x14ac:dyDescent="0.2">
      <c r="B76" s="1373" t="s">
        <v>895</v>
      </c>
      <c r="C76" s="794" t="str">
        <f>C23</f>
        <v>FACHADA ENVIDRAÇADA</v>
      </c>
      <c r="D76" s="751" t="s">
        <v>203</v>
      </c>
      <c r="E76" s="751" t="s">
        <v>203</v>
      </c>
      <c r="F76" s="751" t="s">
        <v>203</v>
      </c>
      <c r="G76" s="751" t="s">
        <v>203</v>
      </c>
      <c r="H76" s="751" t="s">
        <v>203</v>
      </c>
      <c r="I76" s="751" t="s">
        <v>203</v>
      </c>
      <c r="J76" s="751" t="s">
        <v>203</v>
      </c>
      <c r="K76" s="751" t="s">
        <v>203</v>
      </c>
      <c r="L76" s="751" t="s">
        <v>203</v>
      </c>
      <c r="M76" s="751" t="s">
        <v>203</v>
      </c>
    </row>
    <row r="77" spans="2:13" ht="14.25" x14ac:dyDescent="0.2">
      <c r="B77" s="1374"/>
      <c r="C77" s="754" t="s">
        <v>893</v>
      </c>
      <c r="D77" s="752" t="str">
        <f t="shared" ref="D77" si="58">"1/(4 x" &amp; " " &amp; D23&amp; "" &amp; ")"</f>
        <v>1/(4 x 130)</v>
      </c>
      <c r="E77" s="752" t="str">
        <f t="shared" ref="E77:M77" si="59">"1/(4 x" &amp; " " &amp; E23&amp; "" &amp; ")"</f>
        <v>1/(4 x 143)</v>
      </c>
      <c r="F77" s="752" t="str">
        <f t="shared" si="59"/>
        <v>1/(4 x 150)</v>
      </c>
      <c r="G77" s="752" t="str">
        <f t="shared" si="59"/>
        <v>1/(4 x 156)</v>
      </c>
      <c r="H77" s="752" t="str">
        <f t="shared" si="59"/>
        <v>1/(4 x 160)</v>
      </c>
      <c r="I77" s="752" t="str">
        <f t="shared" si="59"/>
        <v>1/(4 x 160)</v>
      </c>
      <c r="J77" s="752" t="str">
        <f t="shared" si="59"/>
        <v>1/(4 x 160)</v>
      </c>
      <c r="K77" s="752" t="str">
        <f t="shared" si="59"/>
        <v>1/(4 x 160)</v>
      </c>
      <c r="L77" s="752" t="str">
        <f t="shared" si="59"/>
        <v>1/(4 x 160)</v>
      </c>
      <c r="M77" s="752" t="str">
        <f t="shared" si="59"/>
        <v>1/(4 x 160)</v>
      </c>
    </row>
    <row r="78" spans="2:13" ht="14.25" x14ac:dyDescent="0.2">
      <c r="B78" s="1376"/>
      <c r="C78" s="754" t="s">
        <v>846</v>
      </c>
      <c r="D78" s="752" t="str">
        <f t="shared" ref="D78" si="60">"1 /" &amp; "" &amp; D23</f>
        <v>1 /130</v>
      </c>
      <c r="E78" s="752" t="str">
        <f t="shared" ref="E78:M78" si="61">"1 /" &amp; "" &amp; E23</f>
        <v>1 /143</v>
      </c>
      <c r="F78" s="752" t="str">
        <f t="shared" si="61"/>
        <v>1 /150</v>
      </c>
      <c r="G78" s="752" t="str">
        <f t="shared" si="61"/>
        <v>1 /156</v>
      </c>
      <c r="H78" s="752" t="str">
        <f t="shared" si="61"/>
        <v>1 /160</v>
      </c>
      <c r="I78" s="752" t="str">
        <f t="shared" si="61"/>
        <v>1 /160</v>
      </c>
      <c r="J78" s="752" t="str">
        <f t="shared" si="61"/>
        <v>1 /160</v>
      </c>
      <c r="K78" s="752" t="str">
        <f t="shared" si="61"/>
        <v>1 /160</v>
      </c>
      <c r="L78" s="752" t="str">
        <f t="shared" si="61"/>
        <v>1 /160</v>
      </c>
      <c r="M78" s="752" t="str">
        <f t="shared" si="61"/>
        <v>1 /160</v>
      </c>
    </row>
    <row r="79" spans="2:13" ht="12.75" customHeight="1" x14ac:dyDescent="0.2">
      <c r="B79" s="1373" t="s">
        <v>976</v>
      </c>
      <c r="C79" s="794" t="str">
        <f>C24</f>
        <v>ÁREA HOSPITALARES E ASSEMELHADAS</v>
      </c>
      <c r="D79" s="792" t="s">
        <v>203</v>
      </c>
      <c r="E79" s="792" t="s">
        <v>203</v>
      </c>
      <c r="F79" s="792" t="s">
        <v>203</v>
      </c>
      <c r="G79" s="792" t="s">
        <v>203</v>
      </c>
      <c r="H79" s="792" t="s">
        <v>203</v>
      </c>
      <c r="I79" s="792" t="s">
        <v>203</v>
      </c>
      <c r="J79" s="792" t="s">
        <v>203</v>
      </c>
      <c r="K79" s="792" t="s">
        <v>203</v>
      </c>
      <c r="L79" s="792" t="s">
        <v>203</v>
      </c>
      <c r="M79" s="792" t="s">
        <v>203</v>
      </c>
    </row>
    <row r="80" spans="2:13" ht="14.25" x14ac:dyDescent="0.2">
      <c r="B80" s="1374"/>
      <c r="C80" s="754" t="s">
        <v>893</v>
      </c>
      <c r="D80" s="752" t="str">
        <f>"1/(30 x" &amp; " " &amp; D24&amp; "" &amp; ")"</f>
        <v>1/(30 x 360)</v>
      </c>
      <c r="E80" s="752" t="str">
        <f t="shared" ref="E80:M80" si="62">"1/(30 x" &amp; " " &amp; E24&amp; "" &amp; ")"</f>
        <v>1/(30 x 396)</v>
      </c>
      <c r="F80" s="752" t="str">
        <f t="shared" si="62"/>
        <v>1/(30 x 414)</v>
      </c>
      <c r="G80" s="752" t="str">
        <f t="shared" si="62"/>
        <v>1/(30 x 432)</v>
      </c>
      <c r="H80" s="752" t="str">
        <f t="shared" si="62"/>
        <v>1/(30 x 450)</v>
      </c>
      <c r="I80" s="752" t="str">
        <f t="shared" si="62"/>
        <v>1/(30 x 450)</v>
      </c>
      <c r="J80" s="752" t="str">
        <f t="shared" si="62"/>
        <v>1/(30 x 450)</v>
      </c>
      <c r="K80" s="752" t="str">
        <f t="shared" si="62"/>
        <v>1/(30 x 450)</v>
      </c>
      <c r="L80" s="752" t="str">
        <f t="shared" si="62"/>
        <v>1/(30 x 450)</v>
      </c>
      <c r="M80" s="752" t="str">
        <f t="shared" si="62"/>
        <v>1/(30 x 450)</v>
      </c>
    </row>
    <row r="81" spans="2:13" ht="14.25" x14ac:dyDescent="0.2">
      <c r="B81" s="1376"/>
      <c r="C81" s="754" t="s">
        <v>846</v>
      </c>
      <c r="D81" s="752" t="str">
        <f>"1 /" &amp; "" &amp; D24</f>
        <v>1 /360</v>
      </c>
      <c r="E81" s="752" t="str">
        <f t="shared" ref="E81:M81" si="63">"1 /" &amp; "" &amp; E24</f>
        <v>1 /396</v>
      </c>
      <c r="F81" s="752" t="str">
        <f t="shared" si="63"/>
        <v>1 /414</v>
      </c>
      <c r="G81" s="752" t="str">
        <f t="shared" si="63"/>
        <v>1 /432</v>
      </c>
      <c r="H81" s="752" t="str">
        <f t="shared" si="63"/>
        <v>1 /450</v>
      </c>
      <c r="I81" s="752" t="str">
        <f t="shared" si="63"/>
        <v>1 /450</v>
      </c>
      <c r="J81" s="752" t="str">
        <f t="shared" si="63"/>
        <v>1 /450</v>
      </c>
      <c r="K81" s="752" t="str">
        <f t="shared" si="63"/>
        <v>1 /450</v>
      </c>
      <c r="L81" s="752" t="str">
        <f t="shared" si="63"/>
        <v>1 /450</v>
      </c>
      <c r="M81" s="752" t="str">
        <f t="shared" si="63"/>
        <v>1 /450</v>
      </c>
    </row>
  </sheetData>
  <mergeCells count="11">
    <mergeCell ref="B28:B48"/>
    <mergeCell ref="B49:B66"/>
    <mergeCell ref="B67:B75"/>
    <mergeCell ref="B76:B78"/>
    <mergeCell ref="B79:B81"/>
    <mergeCell ref="B27:C27"/>
    <mergeCell ref="B6:C6"/>
    <mergeCell ref="B2:M2"/>
    <mergeCell ref="B7:B13"/>
    <mergeCell ref="B14:B19"/>
    <mergeCell ref="B20:B22"/>
  </mergeCells>
  <printOptions horizontalCentered="1"/>
  <pageMargins left="0.27559055118110237" right="0.27559055118110237" top="0.35433070866141736" bottom="0.19685039370078741" header="0.27559055118110237" footer="0.19685039370078741"/>
  <pageSetup paperSize="9" scale="45" fitToHeight="0" orientation="landscape" r:id="rId1"/>
  <headerFooter alignWithMargins="0"/>
</worksheet>
</file>

<file path=xl/worksheets/sheet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mc:Ignorable="x14ac">
  <sheetPr codeName="Plan1">
    <tabColor indexed="42"/>
    <pageSetUpPr fitToPage="1"/>
  </sheetPr>
  <dimension ref="A1:IP136"/>
  <sheetViews>
    <sheetView view="pageBreakPreview" topLeftCell="A6" zoomScale="90" zoomScaleNormal="100" zoomScaleSheetLayoutView="90" workbookViewId="0">
      <selection activeCell="N19" sqref="N19"/>
    </sheetView>
  </sheetViews>
  <sheetFormatPr defaultRowHeight="14.25" x14ac:dyDescent="0.2"/>
  <cols>
    <col min="1" max="1" width="6.140625" style="29" customWidth="1"/>
    <col min="2" max="2" width="8.5703125" style="29" customWidth="1"/>
    <col min="3" max="3" width="3.85546875" style="29" customWidth="1"/>
    <col min="4" max="4" width="8.28515625" style="29" customWidth="1"/>
    <col min="5" max="5" width="8.140625" style="29" customWidth="1"/>
    <col min="6" max="6" width="9.7109375" style="29" customWidth="1"/>
    <col min="7" max="7" width="20.85546875" style="29" customWidth="1"/>
    <col min="8" max="8" width="10" style="29" customWidth="1"/>
    <col min="9" max="9" width="13.42578125" style="29" customWidth="1"/>
    <col min="10" max="10" width="19.7109375" style="29" customWidth="1"/>
    <col min="11" max="11" width="18" style="29" customWidth="1"/>
    <col min="12" max="12" width="17.140625" style="29" customWidth="1"/>
    <col min="13" max="13" width="14.5703125" style="29" customWidth="1"/>
    <col min="14" max="14" width="15.7109375" style="29" customWidth="1"/>
    <col min="15" max="15" width="13.7109375" style="29" customWidth="1"/>
    <col min="16" max="16" width="13.140625" style="29" customWidth="1"/>
    <col min="17" max="17" width="11.5703125" style="29" customWidth="1"/>
    <col min="18" max="18" width="11.28515625" style="29" customWidth="1"/>
    <col min="19" max="20" width="19.140625" style="29" bestFit="1" customWidth="1"/>
    <col min="21" max="21" width="20" style="29" customWidth="1"/>
    <col min="22" max="22" width="18.85546875" style="29" customWidth="1"/>
    <col min="23" max="16384" width="9.140625" style="29"/>
  </cols>
  <sheetData>
    <row r="1" spans="1:21" ht="13.5" customHeight="1" x14ac:dyDescent="0.2">
      <c r="A1" s="1228" t="s">
        <v>1289</v>
      </c>
      <c r="B1" s="1086"/>
      <c r="C1" s="1086"/>
      <c r="D1" s="1086"/>
      <c r="E1" s="1086"/>
      <c r="F1" s="1086"/>
      <c r="G1" s="1086"/>
      <c r="H1" s="1087" t="s">
        <v>132</v>
      </c>
      <c r="I1" s="1086"/>
      <c r="J1" s="930"/>
      <c r="L1" s="854"/>
      <c r="M1" s="854"/>
      <c r="N1" s="854"/>
      <c r="O1" s="854"/>
      <c r="P1" s="854"/>
      <c r="Q1" s="854"/>
      <c r="R1" s="854"/>
      <c r="S1" s="854"/>
      <c r="T1" s="291"/>
      <c r="U1" s="291"/>
    </row>
    <row r="2" spans="1:21" hidden="1" x14ac:dyDescent="0.2">
      <c r="A2" s="1088" t="s">
        <v>868</v>
      </c>
      <c r="B2" s="1086"/>
      <c r="C2" s="1086"/>
      <c r="D2" s="1086"/>
      <c r="E2" s="1086"/>
      <c r="F2" s="1086"/>
      <c r="G2" s="1086"/>
      <c r="H2" s="1089" t="s">
        <v>1048</v>
      </c>
      <c r="I2" s="1086"/>
      <c r="J2" s="930"/>
      <c r="K2" s="854"/>
      <c r="L2" s="854"/>
      <c r="M2" s="854"/>
      <c r="N2" s="854"/>
      <c r="O2" s="854"/>
      <c r="P2" s="854"/>
      <c r="Q2" s="930"/>
      <c r="R2" s="930"/>
      <c r="S2" s="930"/>
      <c r="T2" s="930"/>
      <c r="U2" s="930"/>
    </row>
    <row r="3" spans="1:21" x14ac:dyDescent="0.2">
      <c r="A3" s="654"/>
      <c r="B3" s="1086"/>
      <c r="C3" s="1086"/>
      <c r="D3" s="1086"/>
      <c r="E3" s="1086"/>
      <c r="F3" s="1086"/>
      <c r="G3" s="1086"/>
      <c r="H3" s="1086"/>
      <c r="I3" s="1086"/>
      <c r="J3" s="930"/>
      <c r="K3" s="854"/>
      <c r="L3" s="854"/>
      <c r="M3" s="1087"/>
      <c r="N3" s="1087"/>
      <c r="O3" s="1087"/>
      <c r="P3" s="1087"/>
      <c r="Q3" s="1090"/>
      <c r="R3" s="930"/>
      <c r="S3" s="930"/>
      <c r="T3" s="930"/>
      <c r="U3" s="930"/>
    </row>
    <row r="4" spans="1:21" x14ac:dyDescent="0.2">
      <c r="A4" s="654"/>
      <c r="B4" s="1086"/>
      <c r="C4" s="1086"/>
      <c r="D4" s="1086"/>
      <c r="E4" s="1086"/>
      <c r="F4" s="1086"/>
      <c r="G4" s="1086"/>
      <c r="H4" s="1086"/>
      <c r="I4" s="1086"/>
      <c r="J4" s="930"/>
      <c r="K4" s="854"/>
      <c r="L4" s="854"/>
      <c r="M4" s="1087"/>
      <c r="N4" s="1087"/>
      <c r="O4" s="1087"/>
      <c r="P4" s="1087"/>
      <c r="Q4" s="1090"/>
      <c r="R4" s="930"/>
      <c r="S4" s="930"/>
      <c r="T4" s="930"/>
      <c r="U4" s="930"/>
    </row>
    <row r="5" spans="1:21" x14ac:dyDescent="0.2">
      <c r="A5" s="1087" t="s">
        <v>1290</v>
      </c>
      <c r="B5" s="1087"/>
      <c r="C5" s="1087"/>
      <c r="D5" s="1087"/>
      <c r="E5" s="1087"/>
      <c r="F5" s="1087"/>
      <c r="G5" s="1087"/>
      <c r="H5" s="1087"/>
      <c r="I5" s="1087"/>
      <c r="J5" s="930"/>
      <c r="K5" s="854"/>
      <c r="L5" s="854"/>
      <c r="M5" s="1087"/>
      <c r="N5" s="1087"/>
      <c r="O5" s="1087"/>
      <c r="P5" s="1087"/>
      <c r="Q5" s="1090"/>
      <c r="R5" s="930"/>
      <c r="S5" s="930"/>
      <c r="T5" s="930"/>
      <c r="U5" s="930"/>
    </row>
    <row r="6" spans="1:21" x14ac:dyDescent="0.2">
      <c r="A6" s="1087" t="s">
        <v>1079</v>
      </c>
      <c r="B6" s="1087"/>
      <c r="C6" s="1087"/>
      <c r="D6" s="1087"/>
      <c r="E6" s="1087"/>
      <c r="F6" s="1087"/>
      <c r="G6" s="1087"/>
      <c r="H6" s="1087"/>
      <c r="I6" s="1087"/>
      <c r="J6" s="930"/>
      <c r="K6" s="854"/>
      <c r="L6" s="854"/>
      <c r="M6" s="1087"/>
      <c r="N6" s="1087"/>
      <c r="O6" s="1087"/>
      <c r="P6" s="1087"/>
      <c r="Q6" s="1090"/>
      <c r="R6" s="930"/>
      <c r="S6" s="930"/>
      <c r="T6" s="930"/>
      <c r="U6" s="930"/>
    </row>
    <row r="7" spans="1:21" x14ac:dyDescent="0.2">
      <c r="A7" s="1455" t="s">
        <v>1292</v>
      </c>
      <c r="B7" s="1455"/>
      <c r="C7" s="1455"/>
      <c r="D7" s="1455"/>
      <c r="E7" s="1455"/>
      <c r="F7" s="1455"/>
      <c r="G7" s="1455"/>
      <c r="H7" s="1455"/>
      <c r="I7" s="1455"/>
      <c r="J7" s="1455"/>
      <c r="K7" s="854"/>
      <c r="L7" s="854"/>
      <c r="M7" s="1087"/>
      <c r="N7" s="1087"/>
      <c r="O7" s="1087"/>
      <c r="P7" s="1087"/>
      <c r="Q7" s="1090"/>
      <c r="R7" s="930"/>
      <c r="S7" s="930"/>
      <c r="T7" s="930"/>
      <c r="U7" s="930"/>
    </row>
    <row r="8" spans="1:21" x14ac:dyDescent="0.2">
      <c r="A8" s="1087" t="s">
        <v>1293</v>
      </c>
      <c r="B8" s="1087"/>
      <c r="C8" s="1087"/>
      <c r="D8" s="1087"/>
      <c r="E8" s="1087"/>
      <c r="F8" s="1087"/>
      <c r="G8" s="1087"/>
      <c r="H8" s="1087"/>
      <c r="I8" s="1087"/>
      <c r="J8" s="930"/>
      <c r="K8" s="854"/>
      <c r="L8" s="854"/>
      <c r="M8" s="1087"/>
      <c r="N8" s="1087"/>
      <c r="O8" s="1087"/>
      <c r="P8" s="1087"/>
      <c r="Q8" s="1090"/>
      <c r="R8" s="930"/>
      <c r="S8" s="930"/>
      <c r="T8" s="930"/>
      <c r="U8" s="930"/>
    </row>
    <row r="9" spans="1:21" ht="15" thickBot="1" x14ac:dyDescent="0.25">
      <c r="A9" s="1087" t="s">
        <v>1294</v>
      </c>
      <c r="B9" s="1087"/>
      <c r="C9" s="1087"/>
      <c r="D9" s="1087"/>
      <c r="E9" s="1087"/>
      <c r="F9" s="1087"/>
      <c r="G9" s="1087"/>
      <c r="H9" s="1087"/>
      <c r="I9" s="1087"/>
      <c r="J9" s="930"/>
      <c r="K9" s="854"/>
      <c r="L9" s="854"/>
      <c r="M9" s="1087"/>
      <c r="N9" s="1087"/>
      <c r="O9" s="1087"/>
      <c r="P9" s="1087"/>
      <c r="Q9" s="1090"/>
      <c r="R9" s="930"/>
      <c r="S9" s="930"/>
      <c r="T9" s="930"/>
      <c r="U9" s="930"/>
    </row>
    <row r="10" spans="1:21" ht="15" hidden="1" thickBot="1" x14ac:dyDescent="0.25">
      <c r="A10" s="932" t="s">
        <v>1047</v>
      </c>
      <c r="B10" s="931"/>
      <c r="C10" s="931"/>
      <c r="D10" s="931"/>
      <c r="E10" s="931"/>
      <c r="F10" s="931"/>
      <c r="G10" s="931"/>
      <c r="H10" s="931"/>
      <c r="I10" s="931"/>
      <c r="J10" s="930"/>
      <c r="K10" s="925"/>
      <c r="L10" s="925"/>
      <c r="M10" s="931"/>
      <c r="N10" s="931"/>
      <c r="O10" s="931"/>
      <c r="P10" s="927"/>
      <c r="Q10" s="928"/>
      <c r="R10" s="926"/>
      <c r="S10" s="926"/>
      <c r="T10" s="926"/>
      <c r="U10" s="926"/>
    </row>
    <row r="11" spans="1:21" ht="15" thickBot="1" x14ac:dyDescent="0.25">
      <c r="A11" s="1087" t="s">
        <v>1295</v>
      </c>
      <c r="B11" s="1087"/>
      <c r="C11" s="1087"/>
      <c r="D11" s="1087"/>
      <c r="E11" s="1087"/>
      <c r="F11" s="1087"/>
      <c r="G11" s="1087"/>
      <c r="H11" s="1087"/>
      <c r="I11" s="1087"/>
      <c r="J11" s="930"/>
      <c r="K11" s="925"/>
      <c r="L11" s="925"/>
      <c r="M11" s="925"/>
      <c r="N11" s="925"/>
      <c r="O11" s="925"/>
      <c r="P11" s="925"/>
      <c r="Q11" s="1456" t="s">
        <v>141</v>
      </c>
      <c r="R11" s="1457"/>
      <c r="S11" s="1457"/>
      <c r="T11" s="1457"/>
      <c r="U11" s="1458"/>
    </row>
    <row r="12" spans="1:21" x14ac:dyDescent="0.2">
      <c r="A12" s="31"/>
      <c r="B12" s="380"/>
      <c r="C12" s="380"/>
      <c r="D12" s="380"/>
      <c r="E12" s="380"/>
      <c r="F12" s="380"/>
      <c r="G12" s="380"/>
      <c r="H12" s="380"/>
      <c r="I12" s="380"/>
      <c r="J12" s="32"/>
      <c r="K12" s="33"/>
      <c r="L12" s="33"/>
      <c r="M12" s="33"/>
      <c r="N12" s="33"/>
      <c r="O12" s="33"/>
      <c r="P12" s="1238">
        <v>0.6</v>
      </c>
      <c r="Q12" s="1477" t="s">
        <v>147</v>
      </c>
      <c r="R12" s="1478"/>
      <c r="S12" s="1475" t="str">
        <f>VLOOKUP(Q12,'CCT''S'!$A$69:$D$72,2,0)</f>
        <v>Cidade Satélite</v>
      </c>
      <c r="T12" s="1476" t="e">
        <v>#N/A</v>
      </c>
      <c r="U12" s="641">
        <f>VLOOKUP(Q12,'CCT''S'!$A$69:$D$72,4,0)</f>
        <v>5.5</v>
      </c>
    </row>
    <row r="13" spans="1:21" ht="15" thickBot="1" x14ac:dyDescent="0.25">
      <c r="A13" s="31"/>
      <c r="B13" s="380"/>
      <c r="C13" s="380"/>
      <c r="D13" s="380"/>
      <c r="E13" s="380"/>
      <c r="F13" s="380"/>
      <c r="G13" s="380"/>
      <c r="H13" s="380"/>
      <c r="I13" s="380"/>
      <c r="J13" s="32"/>
      <c r="K13" s="33"/>
      <c r="L13" s="33"/>
      <c r="M13" s="33"/>
      <c r="N13" s="33"/>
      <c r="O13" s="33"/>
      <c r="P13" s="1238">
        <v>0.05</v>
      </c>
      <c r="Q13" s="1491" t="s">
        <v>150</v>
      </c>
      <c r="R13" s="1492"/>
      <c r="S13" s="1493" t="str">
        <f>VLOOKUP(Q13,'CCT''S'!$A$69:$D$72,2,0)</f>
        <v>Entorno (média)</v>
      </c>
      <c r="T13" s="1494" t="e">
        <v>#N/A</v>
      </c>
      <c r="U13" s="1235">
        <f>VLOOKUP(Q13,'CCT''S'!$A$69:$D$72,4,0)</f>
        <v>6.93</v>
      </c>
    </row>
    <row r="14" spans="1:21" x14ac:dyDescent="0.2">
      <c r="A14" s="34" t="s">
        <v>31</v>
      </c>
      <c r="B14" s="35"/>
      <c r="C14" s="35"/>
      <c r="D14" s="35"/>
      <c r="E14" s="538"/>
      <c r="F14" s="35"/>
      <c r="G14" s="1465" t="s">
        <v>1291</v>
      </c>
      <c r="H14" s="1466"/>
      <c r="I14" s="380"/>
      <c r="K14" s="1461" t="s">
        <v>164</v>
      </c>
      <c r="L14" s="1462"/>
      <c r="M14" s="381">
        <f>IF(ISBLANK('CCT''S'!K8),"-",('CCT''S'!K8))</f>
        <v>1100</v>
      </c>
      <c r="N14" s="39"/>
      <c r="O14" s="39"/>
      <c r="P14" s="1238">
        <v>0.21</v>
      </c>
      <c r="Q14" s="1495" t="s">
        <v>152</v>
      </c>
      <c r="R14" s="1496"/>
      <c r="S14" s="1527" t="str">
        <f>VLOOKUP(Q14,'CCT''S'!$A$69:$D$72,2,0)</f>
        <v>2º Transporte - PP</v>
      </c>
      <c r="T14" s="1528" t="e">
        <v>#N/A</v>
      </c>
      <c r="U14" s="1237">
        <f>VLOOKUP(Q14,'CCT''S'!$A$69:$D$72,4,0)</f>
        <v>3.8</v>
      </c>
    </row>
    <row r="15" spans="1:21" ht="15" thickBot="1" x14ac:dyDescent="0.25">
      <c r="A15" s="37" t="s">
        <v>32</v>
      </c>
      <c r="B15" s="38"/>
      <c r="C15" s="38"/>
      <c r="D15" s="370"/>
      <c r="E15" s="371"/>
      <c r="F15" s="371"/>
      <c r="G15" s="1467" t="d">
        <v>2021-10-15</v>
      </c>
      <c r="H15" s="1468"/>
      <c r="I15" s="478"/>
      <c r="K15" s="1463" t="s">
        <v>163</v>
      </c>
      <c r="L15" s="1464"/>
      <c r="M15" s="453">
        <f>VLOOKUP($N$101,'CCT''S'!$A$7:$J$21,10,FALSE)</f>
        <v>1287.96</v>
      </c>
      <c r="N15" s="380"/>
      <c r="O15" s="380"/>
      <c r="P15" s="1238">
        <v>0.14000000000000001</v>
      </c>
      <c r="Q15" s="1529" t="s">
        <v>153</v>
      </c>
      <c r="R15" s="1530"/>
      <c r="S15" s="1531" t="str">
        <f>VLOOKUP(Q15,'CCT''S'!$A$69:$D$72,2,0)</f>
        <v>2º Transporte - Espl.</v>
      </c>
      <c r="T15" s="1532" t="e">
        <v>#N/A</v>
      </c>
      <c r="U15" s="1236">
        <f>VLOOKUP(Q15,'CCT''S'!$A$69:$D$72,4,0)</f>
        <v>2.7</v>
      </c>
    </row>
    <row r="16" spans="1:21" x14ac:dyDescent="0.2">
      <c r="A16" s="37" t="s">
        <v>581</v>
      </c>
      <c r="B16" s="38"/>
      <c r="C16" s="38"/>
      <c r="D16" s="370"/>
      <c r="E16" s="371"/>
      <c r="F16" s="371"/>
      <c r="G16" s="1471" t="d">
        <v>2021-10-21</v>
      </c>
      <c r="H16" s="1472"/>
      <c r="I16" s="376"/>
      <c r="K16" s="476"/>
      <c r="L16" s="476"/>
      <c r="M16" s="477"/>
      <c r="N16" s="380"/>
      <c r="O16" s="380"/>
      <c r="P16" s="1253">
        <f>SUM(P12:P15)</f>
        <v>1</v>
      </c>
    </row>
    <row r="17" spans="1:21" hidden="1" x14ac:dyDescent="0.2">
      <c r="A17" s="707" t="s">
        <v>869</v>
      </c>
      <c r="B17" s="708"/>
      <c r="C17" s="708"/>
      <c r="D17" s="709"/>
      <c r="E17" s="710"/>
      <c r="F17" s="710"/>
      <c r="G17" s="1485" t="d">
        <v>2018-04-28</v>
      </c>
      <c r="H17" s="1486"/>
      <c r="I17" s="376"/>
      <c r="K17" s="476"/>
      <c r="L17" s="476"/>
      <c r="M17" s="477"/>
      <c r="N17" s="380"/>
      <c r="O17" s="380"/>
    </row>
    <row r="18" spans="1:21" x14ac:dyDescent="0.2">
      <c r="A18" s="73" t="s">
        <v>33</v>
      </c>
      <c r="B18" s="380"/>
      <c r="C18" s="380"/>
      <c r="D18" s="374"/>
      <c r="E18" s="375"/>
      <c r="F18" s="375"/>
      <c r="G18" s="1487" t="d">
        <v>10:00:00.00000000003037275</v>
      </c>
      <c r="H18" s="1488"/>
      <c r="I18" s="380"/>
      <c r="Q18" s="39"/>
      <c r="R18" s="39"/>
      <c r="S18" s="39"/>
      <c r="T18" s="39"/>
      <c r="U18" s="39"/>
    </row>
    <row r="19" spans="1:21" x14ac:dyDescent="0.2">
      <c r="A19" s="37" t="s">
        <v>34</v>
      </c>
      <c r="B19" s="38"/>
      <c r="C19" s="38"/>
      <c r="D19" s="370"/>
      <c r="E19" s="370"/>
      <c r="F19" s="370"/>
      <c r="G19" s="1467" t="s">
        <v>35</v>
      </c>
      <c r="H19" s="1468"/>
      <c r="I19" s="39"/>
      <c r="K19" s="225"/>
      <c r="L19" s="225"/>
      <c r="M19" s="380"/>
      <c r="N19" s="380"/>
      <c r="O19" s="380"/>
    </row>
    <row r="20" spans="1:21" x14ac:dyDescent="0.2">
      <c r="A20" s="37" t="s">
        <v>36</v>
      </c>
      <c r="B20" s="38"/>
      <c r="C20" s="38"/>
      <c r="D20" s="370"/>
      <c r="E20" s="370"/>
      <c r="F20" s="370"/>
      <c r="G20" s="1467" t="s">
        <v>1296</v>
      </c>
      <c r="H20" s="1468"/>
      <c r="I20" s="39"/>
      <c r="K20" s="225"/>
      <c r="L20" s="225"/>
      <c r="M20" s="380"/>
      <c r="N20" s="380"/>
      <c r="O20" s="380"/>
    </row>
    <row r="21" spans="1:21" x14ac:dyDescent="0.2">
      <c r="A21" s="72" t="s">
        <v>38</v>
      </c>
      <c r="B21" s="56"/>
      <c r="C21" s="56"/>
      <c r="D21" s="372"/>
      <c r="E21" s="372"/>
      <c r="F21" s="372"/>
      <c r="G21" s="1469">
        <f>T93</f>
        <v>58</v>
      </c>
      <c r="H21" s="1470"/>
      <c r="I21" s="39"/>
      <c r="K21" s="225"/>
      <c r="L21" s="225"/>
      <c r="M21" s="225"/>
      <c r="N21" s="71"/>
      <c r="O21" s="71"/>
    </row>
    <row r="22" spans="1:21" x14ac:dyDescent="0.2">
      <c r="A22" s="37" t="s">
        <v>87</v>
      </c>
      <c r="B22" s="454"/>
      <c r="C22" s="454"/>
      <c r="D22" s="373"/>
      <c r="E22" s="373"/>
      <c r="F22" s="373"/>
      <c r="G22" s="1473" t="s">
        <v>1297</v>
      </c>
      <c r="H22" s="1474"/>
      <c r="I22" s="380"/>
      <c r="N22" s="380"/>
      <c r="O22" s="380"/>
      <c r="P22" s="380"/>
      <c r="Q22" s="39"/>
      <c r="R22" s="39"/>
      <c r="S22" s="39"/>
      <c r="T22" s="39"/>
      <c r="U22" s="39"/>
    </row>
    <row r="23" spans="1:21" x14ac:dyDescent="0.2">
      <c r="A23" s="37" t="s">
        <v>514</v>
      </c>
      <c r="B23" s="454"/>
      <c r="C23" s="454"/>
      <c r="D23" s="373"/>
      <c r="E23" s="373"/>
      <c r="F23" s="373"/>
      <c r="G23" s="1473" t="s">
        <v>1298</v>
      </c>
      <c r="H23" s="1474"/>
      <c r="I23" s="380"/>
      <c r="N23" s="380"/>
      <c r="O23" s="380"/>
      <c r="P23" s="380"/>
      <c r="Q23" s="39"/>
      <c r="R23" s="39"/>
      <c r="S23" s="39"/>
      <c r="T23" s="39"/>
      <c r="U23" s="39"/>
    </row>
    <row r="24" spans="1:21" ht="14.25" customHeight="1" x14ac:dyDescent="0.2">
      <c r="A24" s="74" t="s">
        <v>515</v>
      </c>
      <c r="B24" s="454"/>
      <c r="C24" s="454"/>
      <c r="D24" s="454"/>
      <c r="E24" s="454"/>
      <c r="F24" s="454"/>
      <c r="G24" s="1479" t="str">
        <f>VLOOKUP($N$101,'CCT''S'!$A$7:$J$21,5,FALSE)</f>
        <v>2021/2021</v>
      </c>
      <c r="H24" s="1480"/>
      <c r="I24" s="380"/>
    </row>
    <row r="25" spans="1:21" x14ac:dyDescent="0.2">
      <c r="A25" s="73" t="s">
        <v>37</v>
      </c>
      <c r="B25" s="380"/>
      <c r="C25" s="380"/>
      <c r="D25" s="380"/>
      <c r="E25" s="380"/>
      <c r="F25" s="380"/>
      <c r="G25" s="1481" t="s">
        <v>176</v>
      </c>
      <c r="H25" s="1482"/>
      <c r="I25" s="380"/>
    </row>
    <row r="26" spans="1:21" ht="15" thickBot="1" x14ac:dyDescent="0.25">
      <c r="A26" s="75" t="s">
        <v>39</v>
      </c>
      <c r="B26" s="76"/>
      <c r="C26" s="76"/>
      <c r="D26" s="76"/>
      <c r="E26" s="76"/>
      <c r="F26" s="76"/>
      <c r="G26" s="1483">
        <v>12</v>
      </c>
      <c r="H26" s="1484"/>
      <c r="I26" s="380"/>
      <c r="J26" s="30"/>
      <c r="K26" s="30"/>
      <c r="L26" s="30"/>
      <c r="M26" s="30"/>
    </row>
    <row r="27" spans="1:21" ht="15" thickBot="1" x14ac:dyDescent="0.25">
      <c r="A27" s="31"/>
      <c r="B27" s="380"/>
      <c r="C27" s="380"/>
      <c r="D27" s="380"/>
      <c r="E27" s="380"/>
      <c r="F27" s="380"/>
      <c r="G27" s="554"/>
      <c r="H27" s="554"/>
      <c r="I27" s="380"/>
      <c r="J27" s="442"/>
      <c r="K27" s="555"/>
      <c r="L27" s="555"/>
      <c r="M27" s="556"/>
      <c r="R27" s="1160" t="s">
        <v>72</v>
      </c>
      <c r="S27" s="1160" t="s">
        <v>1413</v>
      </c>
      <c r="T27" s="1160" t="s">
        <v>1414</v>
      </c>
      <c r="U27" s="1160" t="s">
        <v>1415</v>
      </c>
    </row>
    <row r="28" spans="1:21" x14ac:dyDescent="0.2">
      <c r="A28" s="31"/>
      <c r="B28" s="380"/>
      <c r="C28" s="380"/>
      <c r="D28" s="380"/>
      <c r="E28" s="380"/>
      <c r="F28" s="380"/>
      <c r="G28" s="554"/>
      <c r="H28" s="554"/>
      <c r="I28" s="380"/>
      <c r="J28" s="1489" t="s">
        <v>183</v>
      </c>
      <c r="K28" s="1546" t="s">
        <v>184</v>
      </c>
      <c r="L28" s="1547"/>
      <c r="M28" s="1459" t="s">
        <v>185</v>
      </c>
      <c r="R28" s="1160">
        <v>1</v>
      </c>
      <c r="S28" s="1166">
        <v>201389.04</v>
      </c>
      <c r="T28" s="1166">
        <f>U58</f>
        <v>201389.04</v>
      </c>
      <c r="U28" s="1166">
        <f>T28-S28</f>
        <v>0</v>
      </c>
    </row>
    <row r="29" spans="1:21" ht="15" thickBot="1" x14ac:dyDescent="0.25">
      <c r="A29" s="31"/>
      <c r="B29" s="380"/>
      <c r="C29" s="380"/>
      <c r="D29" s="380"/>
      <c r="E29" s="380"/>
      <c r="F29" s="380"/>
      <c r="G29" s="554"/>
      <c r="H29" s="554"/>
      <c r="I29" s="380"/>
      <c r="J29" s="1490"/>
      <c r="K29" s="1548"/>
      <c r="L29" s="1549"/>
      <c r="M29" s="1460"/>
      <c r="R29" s="1160">
        <v>2</v>
      </c>
      <c r="S29" s="1185">
        <v>1225795.68</v>
      </c>
      <c r="T29" s="1185">
        <f>U59</f>
        <v>1225785.96</v>
      </c>
      <c r="U29" s="1185">
        <f t="shared" ref="U29:U44" si="0">T29-S29</f>
        <v>-9.7200000000000006</v>
      </c>
    </row>
    <row r="30" spans="1:21" ht="15" thickBot="1" x14ac:dyDescent="0.25">
      <c r="A30" s="31"/>
      <c r="B30" s="380"/>
      <c r="C30" s="380"/>
      <c r="D30" s="380"/>
      <c r="E30" s="380"/>
      <c r="F30" s="380"/>
      <c r="G30" s="554"/>
      <c r="H30" s="554"/>
      <c r="I30" s="380"/>
      <c r="J30" s="642" t="s">
        <v>180</v>
      </c>
      <c r="K30" s="1539" t="str">
        <f>VLOOKUP(J30,'CCT''S'!$E$75:$G$84,2,0)</f>
        <v>220 horas</v>
      </c>
      <c r="L30" s="1540" t="e">
        <v>#N/A</v>
      </c>
      <c r="M30" s="643">
        <v>22</v>
      </c>
      <c r="R30" s="1160">
        <v>3</v>
      </c>
      <c r="S30" s="1166">
        <v>46085.4</v>
      </c>
      <c r="T30" s="1166">
        <f>U60</f>
        <v>46076.88</v>
      </c>
      <c r="U30" s="1166">
        <f t="shared" si="0"/>
        <v>-8.52</v>
      </c>
    </row>
    <row r="31" spans="1:21" x14ac:dyDescent="0.2">
      <c r="A31" s="31"/>
      <c r="B31" s="380"/>
      <c r="C31" s="380"/>
      <c r="D31" s="380"/>
      <c r="E31" s="380"/>
      <c r="F31" s="380"/>
      <c r="G31" s="554"/>
      <c r="H31" s="554"/>
      <c r="I31" s="380"/>
      <c r="J31" s="639"/>
      <c r="K31" s="640"/>
      <c r="L31" s="640"/>
      <c r="M31" s="881"/>
      <c r="R31" s="1160">
        <v>4</v>
      </c>
      <c r="S31" s="1166">
        <v>46085.4</v>
      </c>
      <c r="T31" s="1166">
        <f>U61</f>
        <v>46076.88</v>
      </c>
      <c r="U31" s="1166">
        <f t="shared" si="0"/>
        <v>-8.52</v>
      </c>
    </row>
    <row r="32" spans="1:21" ht="15" thickBot="1" x14ac:dyDescent="0.25">
      <c r="A32" s="31"/>
      <c r="B32" s="380"/>
      <c r="C32" s="380"/>
      <c r="D32" s="380"/>
      <c r="E32" s="380"/>
      <c r="F32" s="380"/>
      <c r="G32" s="520"/>
      <c r="H32" s="520"/>
      <c r="I32" s="380"/>
      <c r="P32" s="30"/>
      <c r="Q32" s="30"/>
      <c r="R32" s="471">
        <v>5</v>
      </c>
      <c r="S32" s="1166">
        <v>219221.64</v>
      </c>
      <c r="T32" s="1166">
        <f>U62</f>
        <v>219216.6</v>
      </c>
      <c r="U32" s="1166">
        <f t="shared" si="0"/>
        <v>-5.04</v>
      </c>
    </row>
    <row r="33" spans="1:21" ht="15" hidden="1" thickBot="1" x14ac:dyDescent="0.25">
      <c r="A33" s="42" t="s">
        <v>40</v>
      </c>
      <c r="B33" s="36"/>
      <c r="C33" s="36"/>
      <c r="D33" s="36"/>
      <c r="E33" s="36"/>
      <c r="F33" s="36"/>
      <c r="G33" s="547">
        <f>VLOOKUP(A33,'CCT''S'!$A$25:$H$46,2,0)</f>
        <v>0</v>
      </c>
      <c r="H33" s="289"/>
      <c r="I33" s="39"/>
      <c r="P33" s="30"/>
      <c r="Q33" s="30"/>
      <c r="R33" s="471"/>
      <c r="S33" s="1166"/>
      <c r="T33" s="1166"/>
      <c r="U33" s="1166">
        <f t="shared" si="0"/>
        <v>0</v>
      </c>
    </row>
    <row r="34" spans="1:21" ht="15" hidden="1" thickBot="1" x14ac:dyDescent="0.25">
      <c r="A34" s="1550" t="s">
        <v>161</v>
      </c>
      <c r="B34" s="1551"/>
      <c r="C34" s="1551"/>
      <c r="D34" s="1551"/>
      <c r="E34" s="1551"/>
      <c r="F34" s="1552"/>
      <c r="G34" s="548">
        <f>VLOOKUP(A34,'CCT''S'!$A$25:$H$46,2,0)</f>
        <v>0.2</v>
      </c>
      <c r="H34" s="289"/>
      <c r="I34" s="39"/>
      <c r="P34" s="452"/>
      <c r="Q34" s="452"/>
      <c r="R34" s="1161"/>
      <c r="S34" s="1166"/>
      <c r="T34" s="1166"/>
      <c r="U34" s="1166">
        <f t="shared" si="0"/>
        <v>0</v>
      </c>
    </row>
    <row r="35" spans="1:21" ht="15" hidden="1" thickBot="1" x14ac:dyDescent="0.25">
      <c r="A35" s="1138" t="s">
        <v>517</v>
      </c>
      <c r="B35" s="56"/>
      <c r="C35" s="56"/>
      <c r="D35" s="56"/>
      <c r="E35" s="56"/>
      <c r="F35" s="56"/>
      <c r="G35" s="1139">
        <f>VLOOKUP(A35,'CCT''S'!$A$25:$H$46,2,0)</f>
        <v>0.1</v>
      </c>
      <c r="H35" s="289"/>
      <c r="I35" s="59"/>
      <c r="P35" s="452"/>
      <c r="Q35" s="452"/>
      <c r="R35" s="1161"/>
      <c r="S35" s="1166"/>
      <c r="T35" s="1166"/>
      <c r="U35" s="1166">
        <f t="shared" si="0"/>
        <v>0</v>
      </c>
    </row>
    <row r="36" spans="1:21" ht="15" thickBot="1" x14ac:dyDescent="0.25">
      <c r="A36" s="1141" t="s">
        <v>162</v>
      </c>
      <c r="B36" s="1142"/>
      <c r="C36" s="1142"/>
      <c r="D36" s="1142"/>
      <c r="E36" s="1142"/>
      <c r="F36" s="1142"/>
      <c r="G36" s="1143">
        <f>VLOOKUP(A36,'CCT''S'!$A$25:$H$46,2,0)</f>
        <v>0.3</v>
      </c>
      <c r="H36" s="1240" t="s">
        <v>1404</v>
      </c>
      <c r="I36" s="59"/>
      <c r="J36" s="30"/>
      <c r="K36" s="471"/>
      <c r="L36" s="471"/>
      <c r="M36" s="471"/>
      <c r="P36" s="452"/>
      <c r="Q36" s="452"/>
      <c r="R36" s="1160">
        <v>6</v>
      </c>
      <c r="S36" s="1166">
        <v>168023.52</v>
      </c>
      <c r="T36" s="1166">
        <f>U63</f>
        <v>168023.52</v>
      </c>
      <c r="U36" s="1166">
        <f t="shared" si="0"/>
        <v>0</v>
      </c>
    </row>
    <row r="37" spans="1:21" hidden="1" x14ac:dyDescent="0.2">
      <c r="A37" s="1536" t="s">
        <v>505</v>
      </c>
      <c r="B37" s="1537"/>
      <c r="C37" s="1537"/>
      <c r="D37" s="1537"/>
      <c r="E37" s="1537"/>
      <c r="F37" s="1538"/>
      <c r="G37" s="1140">
        <f>VLOOKUP(A37,'CCT''S'!$A$25:$H$46,2,0)</f>
        <v>0.5</v>
      </c>
      <c r="H37" s="289"/>
      <c r="I37" s="59"/>
      <c r="J37" s="30"/>
      <c r="K37" s="471"/>
      <c r="L37" s="471"/>
      <c r="M37" s="471"/>
      <c r="P37" s="452"/>
      <c r="Q37" s="452"/>
      <c r="R37" s="1160"/>
      <c r="S37" s="1166"/>
      <c r="T37" s="1166"/>
      <c r="U37" s="1166">
        <f t="shared" si="0"/>
        <v>0</v>
      </c>
    </row>
    <row r="38" spans="1:21" hidden="1" x14ac:dyDescent="0.2">
      <c r="A38" s="55" t="s">
        <v>347</v>
      </c>
      <c r="B38" s="193"/>
      <c r="C38" s="193"/>
      <c r="D38" s="193"/>
      <c r="E38" s="193"/>
      <c r="F38" s="193"/>
      <c r="G38" s="548">
        <f>VLOOKUP(A38,'CCT''S'!$A$25:$H$46,2,0)</f>
        <v>0.5</v>
      </c>
      <c r="H38" s="289"/>
      <c r="I38" s="59"/>
      <c r="J38" s="59"/>
      <c r="K38" s="30"/>
      <c r="L38" s="30"/>
      <c r="P38" s="293"/>
      <c r="Q38" s="39"/>
      <c r="R38" s="1160"/>
      <c r="S38" s="1166"/>
      <c r="T38" s="1166"/>
      <c r="U38" s="1166">
        <f t="shared" si="0"/>
        <v>0</v>
      </c>
    </row>
    <row r="39" spans="1:21" hidden="1" x14ac:dyDescent="0.2">
      <c r="A39" s="1499" t="s">
        <v>508</v>
      </c>
      <c r="B39" s="1500"/>
      <c r="C39" s="1500"/>
      <c r="D39" s="1500"/>
      <c r="E39" s="1500"/>
      <c r="F39" s="1501"/>
      <c r="G39" s="548">
        <f>VLOOKUP(A39,'CCT''S'!$A$25:$H$46,2,0)</f>
        <v>0.2</v>
      </c>
      <c r="H39" s="289"/>
      <c r="I39" s="59"/>
      <c r="J39" s="59"/>
      <c r="K39" s="30"/>
      <c r="L39" s="30"/>
      <c r="P39" s="293"/>
      <c r="Q39" s="39"/>
      <c r="R39" s="1160"/>
      <c r="S39" s="1166"/>
      <c r="T39" s="1166"/>
      <c r="U39" s="1166">
        <f t="shared" si="0"/>
        <v>0</v>
      </c>
    </row>
    <row r="40" spans="1:21" hidden="1" x14ac:dyDescent="0.2">
      <c r="A40" s="1499" t="s">
        <v>351</v>
      </c>
      <c r="B40" s="1500"/>
      <c r="C40" s="1500"/>
      <c r="D40" s="1500"/>
      <c r="E40" s="1500"/>
      <c r="F40" s="1501"/>
      <c r="G40" s="548">
        <f>VLOOKUP(A40,'CCT''S'!$A$25:$H$46,2,0)</f>
        <v>0.2</v>
      </c>
      <c r="H40" s="289"/>
      <c r="I40" s="39"/>
      <c r="J40" s="190"/>
      <c r="N40" s="39"/>
      <c r="O40" s="39"/>
      <c r="P40" s="41"/>
      <c r="Q40" s="39"/>
      <c r="R40" s="1160"/>
      <c r="S40" s="1166"/>
      <c r="T40" s="1166"/>
      <c r="U40" s="1166">
        <f t="shared" si="0"/>
        <v>0</v>
      </c>
    </row>
    <row r="41" spans="1:21" ht="15" hidden="1" thickBot="1" x14ac:dyDescent="0.25">
      <c r="A41" s="192" t="s">
        <v>149</v>
      </c>
      <c r="B41" s="40"/>
      <c r="C41" s="40"/>
      <c r="D41" s="40"/>
      <c r="E41" s="40"/>
      <c r="F41" s="40"/>
      <c r="G41" s="549">
        <f>VLOOKUP(A41,'CCT''S'!$A$25:$H$46,2,0)</f>
        <v>10</v>
      </c>
      <c r="H41" s="290"/>
      <c r="I41" s="39"/>
      <c r="K41" s="39"/>
      <c r="L41" s="39"/>
      <c r="M41" s="39"/>
      <c r="N41" s="39"/>
      <c r="O41" s="39"/>
      <c r="P41" s="41"/>
      <c r="Q41" s="41"/>
      <c r="R41" s="1160"/>
      <c r="S41" s="1166"/>
      <c r="T41" s="1166"/>
      <c r="U41" s="1166">
        <f t="shared" si="0"/>
        <v>0</v>
      </c>
    </row>
    <row r="42" spans="1:21" ht="14.25" customHeight="1" x14ac:dyDescent="0.2">
      <c r="A42" s="39"/>
      <c r="B42" s="39"/>
      <c r="C42" s="39"/>
      <c r="D42" s="39"/>
      <c r="E42" s="39"/>
      <c r="F42" s="39"/>
      <c r="G42" s="39"/>
      <c r="H42" s="39"/>
      <c r="I42" s="39"/>
      <c r="J42" s="39"/>
      <c r="K42" s="39"/>
      <c r="L42" s="39"/>
      <c r="M42" s="39"/>
      <c r="N42" s="39"/>
      <c r="O42" s="39"/>
      <c r="P42" s="39"/>
      <c r="Q42" s="39"/>
      <c r="R42" s="1243">
        <v>7</v>
      </c>
      <c r="S42" s="1185">
        <v>873305.28</v>
      </c>
      <c r="T42" s="1185">
        <f>U64</f>
        <v>873305.28</v>
      </c>
      <c r="U42" s="1185">
        <f t="shared" si="0"/>
        <v>0</v>
      </c>
    </row>
    <row r="43" spans="1:21" x14ac:dyDescent="0.2">
      <c r="A43" s="39"/>
      <c r="B43" s="39"/>
      <c r="C43" s="39"/>
      <c r="D43" s="39"/>
      <c r="E43" s="39"/>
      <c r="F43" s="39"/>
      <c r="G43" s="39"/>
      <c r="H43" s="39"/>
      <c r="I43" s="39"/>
      <c r="J43" s="39"/>
      <c r="K43" s="39"/>
      <c r="L43" s="39"/>
      <c r="M43" s="39"/>
      <c r="N43" s="39"/>
      <c r="O43" s="39"/>
      <c r="P43" s="39"/>
      <c r="Q43" s="39"/>
      <c r="R43" s="1160">
        <v>8</v>
      </c>
      <c r="S43" s="1166">
        <v>128065.92</v>
      </c>
      <c r="T43" s="1166">
        <f>U65</f>
        <v>128065.92</v>
      </c>
      <c r="U43" s="1166">
        <f t="shared" si="0"/>
        <v>0</v>
      </c>
    </row>
    <row r="44" spans="1:21" ht="15" thickBot="1" x14ac:dyDescent="0.25">
      <c r="A44" s="45" t="s">
        <v>41</v>
      </c>
      <c r="B44" s="44"/>
      <c r="C44" s="44"/>
      <c r="D44" s="44"/>
      <c r="E44" s="44"/>
      <c r="F44" s="44"/>
      <c r="G44" s="44"/>
      <c r="H44" s="44"/>
      <c r="I44" s="44"/>
      <c r="J44" s="1241"/>
      <c r="K44" s="39"/>
      <c r="L44" s="39"/>
      <c r="M44" s="380"/>
      <c r="N44" s="380"/>
      <c r="O44" s="380"/>
      <c r="P44" s="46"/>
      <c r="Q44" s="46"/>
      <c r="R44" s="1160">
        <v>9</v>
      </c>
      <c r="S44" s="1166">
        <v>668624.04</v>
      </c>
      <c r="T44" s="1166">
        <f>U66</f>
        <v>668624.04</v>
      </c>
      <c r="U44" s="1166">
        <f t="shared" si="0"/>
        <v>0</v>
      </c>
    </row>
    <row r="45" spans="1:21" x14ac:dyDescent="0.2">
      <c r="A45" s="195" t="s">
        <v>92</v>
      </c>
      <c r="B45" s="36"/>
      <c r="C45" s="36"/>
      <c r="D45" s="36"/>
      <c r="E45" s="36"/>
      <c r="F45" s="36"/>
      <c r="G45" s="36"/>
      <c r="H45" s="36"/>
      <c r="I45" s="1239">
        <f>(P12*U12)+(P13*U13)+(P14*U14)+(P15*U15)</f>
        <v>4.82</v>
      </c>
      <c r="J45" s="493">
        <f>I45*2</f>
        <v>9.64</v>
      </c>
      <c r="K45" s="803"/>
      <c r="L45" s="803"/>
      <c r="M45" s="47"/>
      <c r="N45" s="48"/>
      <c r="O45" s="48"/>
      <c r="Q45" s="49"/>
      <c r="R45" s="1160"/>
      <c r="S45" s="1196">
        <f>SUM(S28:S44)</f>
        <v>3576595.92</v>
      </c>
      <c r="T45" s="1196">
        <f>SUM(T28:T44)</f>
        <v>3576564.12</v>
      </c>
      <c r="U45" s="1196">
        <f>SUM(U28:U44)</f>
        <v>-31.8</v>
      </c>
    </row>
    <row r="46" spans="1:21" ht="15" thickBot="1" x14ac:dyDescent="0.25">
      <c r="A46" s="50" t="s">
        <v>590</v>
      </c>
      <c r="B46" s="39"/>
      <c r="C46" s="39"/>
      <c r="D46" s="39"/>
      <c r="E46" s="39"/>
      <c r="F46" s="39"/>
      <c r="G46" s="39"/>
      <c r="H46" s="39"/>
      <c r="I46" s="39"/>
      <c r="J46" s="494">
        <f>HLOOKUP($J$47,BENEFÍCIOS!$B$8:$O$21,5,FALSE)</f>
        <v>0.06</v>
      </c>
      <c r="K46" s="804"/>
      <c r="L46" s="804"/>
      <c r="M46" s="51"/>
      <c r="Q46" s="52"/>
      <c r="R46" s="1160"/>
      <c r="S46" s="1160"/>
      <c r="T46" s="1162"/>
      <c r="U46" s="1163"/>
    </row>
    <row r="47" spans="1:21" ht="15" thickBot="1" x14ac:dyDescent="0.25">
      <c r="A47" s="1541" t="s">
        <v>140</v>
      </c>
      <c r="B47" s="1542"/>
      <c r="C47" s="1542"/>
      <c r="D47" s="1542"/>
      <c r="E47" s="1542"/>
      <c r="F47" s="1542"/>
      <c r="G47" s="1542"/>
      <c r="H47" s="1542"/>
      <c r="I47" s="1542"/>
      <c r="J47" s="457" t="s">
        <v>257</v>
      </c>
      <c r="K47" s="457" t="s">
        <v>401</v>
      </c>
      <c r="L47" s="1154" t="s">
        <v>1405</v>
      </c>
      <c r="M47" s="430"/>
      <c r="Q47" s="52"/>
      <c r="R47" s="1160"/>
      <c r="S47" s="1160"/>
      <c r="T47" s="1164"/>
      <c r="U47" s="1165"/>
    </row>
    <row r="48" spans="1:21" x14ac:dyDescent="0.2">
      <c r="A48" s="488" t="s">
        <v>151</v>
      </c>
      <c r="B48" s="458"/>
      <c r="C48" s="458"/>
      <c r="D48" s="458"/>
      <c r="E48" s="458"/>
      <c r="F48" s="458"/>
      <c r="G48" s="458"/>
      <c r="H48" s="458"/>
      <c r="I48" s="458"/>
      <c r="J48" s="487">
        <f>HLOOKUP(J$47,BENEFÍCIOS!$B$8:$O$21,2,FALSE)</f>
        <v>35</v>
      </c>
      <c r="K48" s="487">
        <f>HLOOKUP(K$47,BENEFÍCIOS!$B$8:$O$21,2,FALSE)</f>
        <v>35.31</v>
      </c>
      <c r="L48" s="805"/>
      <c r="M48" s="432"/>
      <c r="Q48" s="186"/>
      <c r="R48" s="1160"/>
      <c r="S48" s="1160"/>
      <c r="T48" s="1162"/>
      <c r="U48" s="1163"/>
    </row>
    <row r="49" spans="1:21" x14ac:dyDescent="0.2">
      <c r="A49" s="489" t="s">
        <v>1001</v>
      </c>
      <c r="B49" s="38"/>
      <c r="C49" s="38"/>
      <c r="D49" s="38"/>
      <c r="E49" s="38"/>
      <c r="F49" s="38"/>
      <c r="G49" s="38"/>
      <c r="H49" s="38"/>
      <c r="I49" s="38"/>
      <c r="J49" s="445">
        <f>HLOOKUP(J$47,BENEFÍCIOS!$B$8:$O$21,3,FALSE)</f>
        <v>0</v>
      </c>
      <c r="K49" s="445">
        <f>HLOOKUP(K$47,BENEFÍCIOS!$B$8:$O$21,3,FALSE)</f>
        <v>0.7</v>
      </c>
      <c r="L49" s="805"/>
      <c r="M49" s="432"/>
      <c r="Q49" s="186"/>
    </row>
    <row r="50" spans="1:21" hidden="1" x14ac:dyDescent="0.2">
      <c r="A50" s="489" t="s">
        <v>626</v>
      </c>
      <c r="B50" s="38"/>
      <c r="C50" s="38"/>
      <c r="D50" s="38"/>
      <c r="E50" s="38"/>
      <c r="F50" s="38"/>
      <c r="G50" s="38"/>
      <c r="H50" s="38"/>
      <c r="I50" s="38"/>
      <c r="J50" s="445">
        <f>HLOOKUP(J$47,BENEFÍCIOS!$B$8:$O$21,4,FALSE)</f>
        <v>0</v>
      </c>
      <c r="K50" s="445">
        <f>HLOOKUP(K$47,BENEFÍCIOS!$B$8:$O$21,4,FALSE)</f>
        <v>0</v>
      </c>
      <c r="L50" s="805"/>
      <c r="M50" s="546"/>
      <c r="N50" s="546"/>
      <c r="O50" s="546"/>
      <c r="P50" s="546"/>
      <c r="Q50" s="546"/>
      <c r="R50" s="546"/>
      <c r="S50" s="485"/>
      <c r="T50" s="486"/>
      <c r="U50" s="486"/>
    </row>
    <row r="51" spans="1:21" ht="15" thickBot="1" x14ac:dyDescent="0.25">
      <c r="A51" s="490" t="s">
        <v>113</v>
      </c>
      <c r="B51" s="443"/>
      <c r="C51" s="38"/>
      <c r="D51" s="443"/>
      <c r="E51" s="443"/>
      <c r="F51" s="443"/>
      <c r="G51" s="443"/>
      <c r="H51" s="443"/>
      <c r="I51" s="443"/>
      <c r="J51" s="1190">
        <f>HLOOKUP(J$47,BENEFÍCIOS!$B$8:$O$21,6,FALSE)</f>
        <v>160.07</v>
      </c>
      <c r="K51" s="1190">
        <f>HLOOKUP(K$47,BENEFÍCIOS!$B$8:$O$21,6,FALSE)</f>
        <v>160.07</v>
      </c>
      <c r="L51" s="1189" t="s">
        <v>1444</v>
      </c>
      <c r="M51" s="546"/>
      <c r="N51" s="546"/>
      <c r="O51" s="546"/>
      <c r="P51" s="546"/>
      <c r="Q51" s="546"/>
      <c r="R51" s="546"/>
    </row>
    <row r="52" spans="1:21" hidden="1" x14ac:dyDescent="0.2">
      <c r="A52" s="490" t="str">
        <f>BENEFÍCIOS!A31</f>
        <v>Plano de Saúde - Contr. Empresa</v>
      </c>
      <c r="B52" s="443"/>
      <c r="C52" s="38"/>
      <c r="D52" s="443"/>
      <c r="E52" s="443"/>
      <c r="F52" s="443"/>
      <c r="G52" s="443"/>
      <c r="H52" s="443"/>
      <c r="I52" s="443"/>
      <c r="J52" s="445">
        <f>HLOOKUP(J$47,BENEFÍCIOS!$B$8:$O$21,7,FALSE)</f>
        <v>0</v>
      </c>
      <c r="K52" s="445">
        <f>HLOOKUP(K$47,BENEFÍCIOS!$B$8:$O$21,7,FALSE)</f>
        <v>0</v>
      </c>
      <c r="L52" s="1189" t="s">
        <v>1444</v>
      </c>
      <c r="M52" s="546"/>
      <c r="N52" s="546"/>
      <c r="O52" s="546"/>
      <c r="P52" s="546"/>
      <c r="Q52" s="546"/>
      <c r="R52" s="546"/>
    </row>
    <row r="53" spans="1:21" hidden="1" x14ac:dyDescent="0.2">
      <c r="A53" s="490" t="str">
        <f>BENEFÍCIOS!A32</f>
        <v>Plano de Saúde - Contr. Empregado</v>
      </c>
      <c r="B53" s="38"/>
      <c r="C53" s="38"/>
      <c r="D53" s="38"/>
      <c r="E53" s="38"/>
      <c r="F53" s="38"/>
      <c r="G53" s="38"/>
      <c r="H53" s="38"/>
      <c r="I53" s="38"/>
      <c r="J53" s="445">
        <f>HLOOKUP(J$47,BENEFÍCIOS!$B$8:$O$21,8,FALSE)</f>
        <v>0</v>
      </c>
      <c r="K53" s="445">
        <f>HLOOKUP(K$47,BENEFÍCIOS!$B$8:$O$21,8,FALSE)</f>
        <v>0</v>
      </c>
      <c r="L53" s="1189" t="s">
        <v>1444</v>
      </c>
      <c r="M53" s="546"/>
      <c r="N53" s="546"/>
      <c r="O53" s="546"/>
      <c r="P53" s="546"/>
      <c r="Q53" s="546"/>
      <c r="R53" s="546"/>
    </row>
    <row r="54" spans="1:21" x14ac:dyDescent="0.2">
      <c r="A54" s="490" t="s">
        <v>253</v>
      </c>
      <c r="B54" s="230"/>
      <c r="C54" s="230"/>
      <c r="D54" s="230"/>
      <c r="E54" s="228"/>
      <c r="F54" s="38"/>
      <c r="G54" s="38"/>
      <c r="H54" s="38"/>
      <c r="I54" s="38"/>
      <c r="J54" s="445">
        <f>HLOOKUP(J$47,BENEFÍCIOS!$B$8:$O$21,9,FALSE)</f>
        <v>2.2999999999999998</v>
      </c>
      <c r="K54" s="445">
        <f>HLOOKUP(K$47,BENEFÍCIOS!$B$8:$O$21,9,FALSE)</f>
        <v>2.5</v>
      </c>
      <c r="L54" s="54"/>
      <c r="M54" s="54"/>
      <c r="N54" s="48"/>
      <c r="O54" s="48"/>
      <c r="Q54" s="1543" t="s">
        <v>1127</v>
      </c>
      <c r="R54" s="1544"/>
      <c r="S54" s="1544"/>
      <c r="T54" s="1544"/>
      <c r="U54" s="1545"/>
    </row>
    <row r="55" spans="1:21" ht="15" thickBot="1" x14ac:dyDescent="0.25">
      <c r="A55" s="492" t="s">
        <v>254</v>
      </c>
      <c r="B55" s="441"/>
      <c r="C55" s="442"/>
      <c r="D55" s="441"/>
      <c r="E55" s="44"/>
      <c r="F55" s="442"/>
      <c r="G55" s="442"/>
      <c r="H55" s="442"/>
      <c r="I55" s="442"/>
      <c r="J55" s="1191">
        <f>HLOOKUP(J$47,BENEFÍCIOS!$B$8:$O$21,10,FALSE)</f>
        <v>10.63</v>
      </c>
      <c r="K55" s="1191">
        <f>HLOOKUP(K$47,BENEFÍCIOS!$B$8:$O$21,10,FALSE)</f>
        <v>10.63</v>
      </c>
      <c r="L55" s="1189" t="s">
        <v>1444</v>
      </c>
      <c r="M55" s="58"/>
      <c r="N55" s="58"/>
      <c r="O55" s="58"/>
      <c r="P55" s="57"/>
      <c r="Q55" s="1502" t="s">
        <v>1288</v>
      </c>
      <c r="R55" s="1503"/>
      <c r="S55" s="1503"/>
      <c r="T55" s="1503"/>
      <c r="U55" s="1504"/>
    </row>
    <row r="56" spans="1:21" x14ac:dyDescent="0.2">
      <c r="A56" s="1007" t="s">
        <v>1007</v>
      </c>
      <c r="B56" s="1008"/>
      <c r="C56" s="1009"/>
      <c r="D56" s="1008"/>
      <c r="E56" s="53"/>
      <c r="F56" s="1009"/>
      <c r="G56" s="1008"/>
      <c r="H56" s="811"/>
      <c r="I56" s="53"/>
      <c r="J56" s="1010">
        <f>HLOOKUP(J$47,BENEFÍCIOS!$B$8:$O$21,11,FALSE)</f>
        <v>0</v>
      </c>
      <c r="K56" s="805"/>
      <c r="L56" s="805"/>
      <c r="M56" s="58"/>
      <c r="N56" s="58"/>
      <c r="O56" s="58"/>
      <c r="P56" s="57"/>
      <c r="Q56" s="1553" t="s">
        <v>1132</v>
      </c>
      <c r="R56" s="1554"/>
      <c r="S56" s="1554"/>
      <c r="T56" s="1554"/>
      <c r="U56" s="1555"/>
    </row>
    <row r="57" spans="1:21" ht="15" thickBot="1" x14ac:dyDescent="0.25">
      <c r="A57" s="491" t="s">
        <v>165</v>
      </c>
      <c r="B57" s="428"/>
      <c r="C57" s="429"/>
      <c r="D57" s="428"/>
      <c r="E57" s="428"/>
      <c r="F57" s="56"/>
      <c r="G57" s="429"/>
      <c r="H57" s="231">
        <v>0</v>
      </c>
      <c r="I57" s="56"/>
      <c r="J57" s="445">
        <f>HLOOKUP(J$47,BENEFÍCIOS!$B$8:$O$21,12,FALSE)</f>
        <v>0</v>
      </c>
      <c r="K57" s="805"/>
      <c r="L57" s="805"/>
      <c r="M57" s="58"/>
      <c r="N57" s="58"/>
      <c r="O57" s="58"/>
      <c r="P57" s="57"/>
      <c r="Q57" s="952" t="s">
        <v>143</v>
      </c>
      <c r="R57" s="953" t="s">
        <v>1128</v>
      </c>
      <c r="S57" s="1556" t="s">
        <v>1129</v>
      </c>
      <c r="T57" s="1557"/>
      <c r="U57" s="954" t="s">
        <v>1130</v>
      </c>
    </row>
    <row r="58" spans="1:21" x14ac:dyDescent="0.2">
      <c r="A58" s="491" t="s">
        <v>157</v>
      </c>
      <c r="B58" s="443"/>
      <c r="C58" s="444"/>
      <c r="D58" s="443"/>
      <c r="E58" s="443"/>
      <c r="F58" s="38"/>
      <c r="G58" s="443"/>
      <c r="H58" s="231">
        <v>0</v>
      </c>
      <c r="I58" s="456"/>
      <c r="J58" s="445">
        <f>(HLOOKUP(J$47,BENEFÍCIOS!$B$8:$O$21,13,FALSE)*H58)*50%</f>
        <v>0</v>
      </c>
      <c r="K58" s="805"/>
      <c r="L58" s="805"/>
      <c r="M58" s="58"/>
      <c r="N58" s="58"/>
      <c r="O58" s="58"/>
      <c r="P58" s="57"/>
      <c r="Q58" s="949">
        <v>1</v>
      </c>
      <c r="R58" s="950">
        <f>T84</f>
        <v>2</v>
      </c>
      <c r="S58" s="1558">
        <f>U58/R58</f>
        <v>100694.52</v>
      </c>
      <c r="T58" s="1559"/>
      <c r="U58" s="951">
        <f>Proposta!J22</f>
        <v>201389.04</v>
      </c>
    </row>
    <row r="59" spans="1:21" ht="15" thickBot="1" x14ac:dyDescent="0.25">
      <c r="A59" s="492" t="s">
        <v>403</v>
      </c>
      <c r="B59" s="441"/>
      <c r="C59" s="442"/>
      <c r="D59" s="441"/>
      <c r="E59" s="441"/>
      <c r="F59" s="44"/>
      <c r="G59" s="442"/>
      <c r="H59" s="459">
        <v>0</v>
      </c>
      <c r="I59" s="44"/>
      <c r="J59" s="813">
        <f>HLOOKUP(J$47,BENEFÍCIOS!$B$8:$O$21,14,FALSE)</f>
        <v>0</v>
      </c>
      <c r="K59" s="805"/>
      <c r="L59" s="805"/>
      <c r="M59" s="58"/>
      <c r="N59" s="58"/>
      <c r="O59" s="58"/>
      <c r="P59" s="57"/>
      <c r="Q59" s="1175">
        <v>2</v>
      </c>
      <c r="R59" s="1176">
        <f t="shared" ref="R59:R66" si="1">T85</f>
        <v>27</v>
      </c>
      <c r="S59" s="1380">
        <f t="shared" ref="S59:S66" si="2">U59/R59</f>
        <v>45399.48</v>
      </c>
      <c r="T59" s="1381"/>
      <c r="U59" s="1177">
        <f>Proposta!J23</f>
        <v>1225785.96</v>
      </c>
    </row>
    <row r="60" spans="1:21" x14ac:dyDescent="0.2">
      <c r="A60" s="101"/>
      <c r="B60" s="101"/>
      <c r="C60" s="101"/>
      <c r="D60" s="101"/>
      <c r="E60" s="101"/>
      <c r="F60" s="101"/>
      <c r="G60" s="39"/>
      <c r="H60" s="39"/>
      <c r="I60" s="39"/>
      <c r="J60" s="39"/>
      <c r="K60" s="39"/>
      <c r="L60" s="39"/>
      <c r="M60" s="58"/>
      <c r="N60" s="58"/>
      <c r="O60" s="58"/>
      <c r="P60" s="57"/>
      <c r="Q60" s="1175">
        <v>3</v>
      </c>
      <c r="R60" s="1176">
        <f t="shared" si="1"/>
        <v>1</v>
      </c>
      <c r="S60" s="1380">
        <f t="shared" si="2"/>
        <v>46076.88</v>
      </c>
      <c r="T60" s="1381"/>
      <c r="U60" s="1177">
        <f>Proposta!J24</f>
        <v>46076.88</v>
      </c>
    </row>
    <row r="61" spans="1:21" x14ac:dyDescent="0.2">
      <c r="A61" s="101"/>
      <c r="B61" s="101"/>
      <c r="C61" s="101"/>
      <c r="D61" s="101"/>
      <c r="E61" s="101"/>
      <c r="F61" s="101"/>
      <c r="G61" s="39"/>
      <c r="H61" s="39"/>
      <c r="I61" s="39"/>
      <c r="J61" s="39"/>
      <c r="K61" s="39"/>
      <c r="L61" s="39"/>
      <c r="M61" s="58"/>
      <c r="N61" s="58"/>
      <c r="O61" s="58"/>
      <c r="P61" s="57"/>
      <c r="Q61" s="1175">
        <v>4</v>
      </c>
      <c r="R61" s="1176">
        <f t="shared" si="1"/>
        <v>1</v>
      </c>
      <c r="S61" s="1380">
        <f t="shared" si="2"/>
        <v>46076.88</v>
      </c>
      <c r="T61" s="1381"/>
      <c r="U61" s="1177">
        <f>Proposta!J25</f>
        <v>46076.88</v>
      </c>
    </row>
    <row r="62" spans="1:21" ht="15" thickBot="1" x14ac:dyDescent="0.25">
      <c r="A62" s="60" t="s">
        <v>42</v>
      </c>
      <c r="B62" s="39"/>
      <c r="C62" s="39"/>
      <c r="D62" s="39"/>
      <c r="E62" s="39"/>
      <c r="F62" s="39"/>
      <c r="G62" s="39"/>
      <c r="H62" s="39"/>
      <c r="I62" s="39"/>
      <c r="J62" s="39"/>
      <c r="K62" s="39"/>
      <c r="L62" s="39"/>
      <c r="M62" s="58"/>
      <c r="N62" s="58"/>
      <c r="O62" s="58"/>
      <c r="P62" s="61"/>
      <c r="Q62" s="1175">
        <v>5</v>
      </c>
      <c r="R62" s="1176">
        <f t="shared" si="1"/>
        <v>3</v>
      </c>
      <c r="S62" s="1380">
        <f t="shared" si="2"/>
        <v>73072.2</v>
      </c>
      <c r="T62" s="1381"/>
      <c r="U62" s="1177">
        <f>Proposta!J26</f>
        <v>219216.6</v>
      </c>
    </row>
    <row r="63" spans="1:21" x14ac:dyDescent="0.2">
      <c r="A63" s="1418" t="s">
        <v>106</v>
      </c>
      <c r="B63" s="1419"/>
      <c r="C63" s="1419"/>
      <c r="D63" s="1419"/>
      <c r="E63" s="1419"/>
      <c r="F63" s="1419"/>
      <c r="G63" s="1419"/>
      <c r="H63" s="1420"/>
      <c r="I63" s="1183">
        <v>0.12</v>
      </c>
      <c r="J63" s="922">
        <f>' UNIFORMES'!E16</f>
        <v>12.43</v>
      </c>
      <c r="K63" s="1193" t="s">
        <v>1316</v>
      </c>
      <c r="L63" s="1194"/>
      <c r="M63" s="1194"/>
      <c r="N63" s="1194"/>
      <c r="O63" s="1194"/>
      <c r="P63" s="1195"/>
      <c r="Q63" s="1175">
        <v>6</v>
      </c>
      <c r="R63" s="1176">
        <f t="shared" si="1"/>
        <v>3</v>
      </c>
      <c r="S63" s="1380">
        <f t="shared" si="2"/>
        <v>56007.839999999997</v>
      </c>
      <c r="T63" s="1381"/>
      <c r="U63" s="1177">
        <f>Proposta!J27</f>
        <v>168023.52</v>
      </c>
    </row>
    <row r="64" spans="1:21" ht="14.25" customHeight="1" x14ac:dyDescent="0.2">
      <c r="A64" s="1533"/>
      <c r="B64" s="1534"/>
      <c r="C64" s="1534"/>
      <c r="D64" s="1534"/>
      <c r="E64" s="1534"/>
      <c r="F64" s="1534"/>
      <c r="G64" s="1534"/>
      <c r="H64" s="1535"/>
      <c r="I64" s="1167">
        <v>0.35</v>
      </c>
      <c r="J64" s="1168">
        <f>' UNIFORMES'!E58</f>
        <v>13</v>
      </c>
      <c r="K64" s="1169" t="s">
        <v>846</v>
      </c>
      <c r="L64" s="232"/>
      <c r="M64" s="8"/>
      <c r="N64" s="8"/>
      <c r="O64" s="8"/>
      <c r="P64" s="49"/>
      <c r="Q64" s="1175">
        <v>7</v>
      </c>
      <c r="R64" s="1176">
        <f t="shared" si="1"/>
        <v>12</v>
      </c>
      <c r="S64" s="1380">
        <f t="shared" si="2"/>
        <v>72775.44</v>
      </c>
      <c r="T64" s="1381"/>
      <c r="U64" s="1177">
        <f>Proposta!J28</f>
        <v>873305.28</v>
      </c>
    </row>
    <row r="65" spans="1:22" x14ac:dyDescent="0.2">
      <c r="A65" s="1533"/>
      <c r="B65" s="1534"/>
      <c r="C65" s="1534"/>
      <c r="D65" s="1534"/>
      <c r="E65" s="1534"/>
      <c r="F65" s="1534"/>
      <c r="G65" s="1534"/>
      <c r="H65" s="1535"/>
      <c r="I65" s="1167">
        <v>0.42</v>
      </c>
      <c r="J65" s="1168">
        <f>' UNIFORMES'!E69</f>
        <v>21.98</v>
      </c>
      <c r="K65" s="1169" t="s">
        <v>1392</v>
      </c>
      <c r="L65" s="232"/>
      <c r="M65" s="8"/>
      <c r="N65" s="8"/>
      <c r="O65" s="8"/>
      <c r="P65" s="49"/>
      <c r="Q65" s="1175">
        <v>8</v>
      </c>
      <c r="R65" s="1176">
        <f t="shared" si="1"/>
        <v>2</v>
      </c>
      <c r="S65" s="1380">
        <f t="shared" si="2"/>
        <v>64032.959999999999</v>
      </c>
      <c r="T65" s="1381"/>
      <c r="U65" s="1177">
        <f>Proposta!J29</f>
        <v>128065.92</v>
      </c>
    </row>
    <row r="66" spans="1:22" ht="15" thickBot="1" x14ac:dyDescent="0.25">
      <c r="A66" s="1533"/>
      <c r="B66" s="1534"/>
      <c r="C66" s="1534"/>
      <c r="D66" s="1534"/>
      <c r="E66" s="1534"/>
      <c r="F66" s="1534"/>
      <c r="G66" s="1534"/>
      <c r="H66" s="1535"/>
      <c r="I66" s="1167">
        <v>0.44</v>
      </c>
      <c r="J66" s="234">
        <f>' UNIFORMES'!E80</f>
        <v>38.14</v>
      </c>
      <c r="K66" s="30" t="s">
        <v>1393</v>
      </c>
      <c r="L66" s="233"/>
      <c r="M66" s="8"/>
      <c r="N66" s="8"/>
      <c r="O66" s="8"/>
      <c r="P66" s="39"/>
      <c r="Q66" s="1172">
        <v>9</v>
      </c>
      <c r="R66" s="1173">
        <f t="shared" si="1"/>
        <v>7</v>
      </c>
      <c r="S66" s="1382">
        <f t="shared" si="2"/>
        <v>95517.72</v>
      </c>
      <c r="T66" s="1383"/>
      <c r="U66" s="1174">
        <f>Proposta!J30</f>
        <v>668624.04</v>
      </c>
    </row>
    <row r="67" spans="1:22" ht="15" thickBot="1" x14ac:dyDescent="0.25">
      <c r="A67" s="1533"/>
      <c r="B67" s="1534"/>
      <c r="C67" s="1534"/>
      <c r="D67" s="1534"/>
      <c r="E67" s="1534"/>
      <c r="F67" s="1534"/>
      <c r="G67" s="1534"/>
      <c r="H67" s="1535"/>
      <c r="I67" s="1167">
        <v>0.45</v>
      </c>
      <c r="J67" s="234">
        <f>' UNIFORMES'!E93</f>
        <v>39.65</v>
      </c>
      <c r="K67" s="39" t="s">
        <v>1394</v>
      </c>
      <c r="L67" s="39"/>
      <c r="M67" s="39"/>
      <c r="N67" s="39"/>
      <c r="O67" s="39"/>
      <c r="P67" s="39"/>
      <c r="Q67" s="1560" t="s">
        <v>1131</v>
      </c>
      <c r="R67" s="1561"/>
      <c r="S67" s="1561"/>
      <c r="T67" s="1562"/>
      <c r="U67" s="955">
        <f>SUM(U58:U66)</f>
        <v>3576564.12</v>
      </c>
      <c r="V67" s="955">
        <v>3576542.28</v>
      </c>
    </row>
    <row r="68" spans="1:22" x14ac:dyDescent="0.2">
      <c r="A68" s="1533"/>
      <c r="B68" s="1534"/>
      <c r="C68" s="1534"/>
      <c r="D68" s="1534"/>
      <c r="E68" s="1534"/>
      <c r="F68" s="1534"/>
      <c r="G68" s="1534"/>
      <c r="H68" s="1535"/>
      <c r="I68" s="1254">
        <v>0.8</v>
      </c>
      <c r="J68" s="1255">
        <f>' UNIFORMES'!E38</f>
        <v>76.86</v>
      </c>
      <c r="K68" s="1171" t="s">
        <v>330</v>
      </c>
      <c r="L68" s="1170"/>
      <c r="M68" s="39"/>
      <c r="N68" s="39"/>
      <c r="O68" s="39"/>
      <c r="P68" s="39"/>
      <c r="Q68" s="39"/>
      <c r="R68" s="39"/>
      <c r="S68" s="39"/>
      <c r="T68" s="39"/>
      <c r="U68" s="39"/>
      <c r="V68" s="1244"/>
    </row>
    <row r="69" spans="1:22" x14ac:dyDescent="0.2">
      <c r="A69" s="1533"/>
      <c r="B69" s="1534"/>
      <c r="C69" s="1534"/>
      <c r="D69" s="1534"/>
      <c r="E69" s="1534"/>
      <c r="F69" s="1534"/>
      <c r="G69" s="1534"/>
      <c r="H69" s="1535"/>
      <c r="I69" s="1257">
        <v>0.48</v>
      </c>
      <c r="J69" s="1258">
        <f>' UNIFORMES'!E49</f>
        <v>46.53</v>
      </c>
      <c r="K69" s="1171" t="s">
        <v>1470</v>
      </c>
      <c r="L69" s="1170"/>
      <c r="M69" s="39"/>
      <c r="N69" s="39"/>
      <c r="O69" s="39"/>
      <c r="P69" s="39"/>
      <c r="Q69" s="39"/>
      <c r="R69" s="39"/>
      <c r="S69" s="39"/>
      <c r="T69" s="39"/>
      <c r="U69" s="39"/>
      <c r="V69" s="1244"/>
    </row>
    <row r="70" spans="1:22" ht="15" thickBot="1" x14ac:dyDescent="0.25">
      <c r="A70" s="1533"/>
      <c r="B70" s="1534"/>
      <c r="C70" s="1534"/>
      <c r="D70" s="1534"/>
      <c r="E70" s="1534"/>
      <c r="F70" s="1534"/>
      <c r="G70" s="1534"/>
      <c r="H70" s="1535"/>
      <c r="I70" s="1256">
        <v>0.78</v>
      </c>
      <c r="J70" s="187">
        <f>' UNIFORMES'!E27</f>
        <v>74.83</v>
      </c>
      <c r="K70" s="1193" t="s">
        <v>1467</v>
      </c>
      <c r="L70" s="1194"/>
      <c r="M70" s="39"/>
      <c r="N70" s="39"/>
      <c r="O70" s="39"/>
      <c r="P70" s="39"/>
      <c r="Q70" s="39"/>
      <c r="R70" s="39"/>
      <c r="S70" s="39"/>
      <c r="T70" s="39"/>
      <c r="U70" s="39"/>
      <c r="V70" s="1244"/>
    </row>
    <row r="71" spans="1:22" x14ac:dyDescent="0.2">
      <c r="A71" s="1418" t="s">
        <v>25</v>
      </c>
      <c r="B71" s="1419"/>
      <c r="C71" s="1419"/>
      <c r="D71" s="1419"/>
      <c r="E71" s="1419"/>
      <c r="F71" s="1419"/>
      <c r="G71" s="1419"/>
      <c r="H71" s="1420"/>
      <c r="I71" s="1183">
        <v>0.46</v>
      </c>
      <c r="J71" s="1247">
        <f>' EPIS'!E18</f>
        <v>10.38</v>
      </c>
      <c r="K71" s="1170" t="s">
        <v>333</v>
      </c>
      <c r="L71" s="39"/>
      <c r="M71" s="39"/>
      <c r="N71" s="39"/>
      <c r="O71" s="39"/>
      <c r="P71" s="39"/>
      <c r="Q71" s="39"/>
      <c r="R71" s="39"/>
      <c r="S71" s="39"/>
      <c r="T71" s="39"/>
      <c r="U71" s="39"/>
    </row>
    <row r="72" spans="1:22" ht="15" thickBot="1" x14ac:dyDescent="0.25">
      <c r="A72" s="1421"/>
      <c r="B72" s="1422"/>
      <c r="C72" s="1422"/>
      <c r="D72" s="1422"/>
      <c r="E72" s="1422"/>
      <c r="F72" s="1422"/>
      <c r="G72" s="1422"/>
      <c r="H72" s="1423"/>
      <c r="I72" s="1245">
        <v>0.16</v>
      </c>
      <c r="J72" s="1246">
        <f>' EPIS'!E34</f>
        <v>37.15</v>
      </c>
      <c r="K72" s="1171" t="s">
        <v>305</v>
      </c>
      <c r="L72" s="64"/>
      <c r="M72" s="64"/>
      <c r="N72" s="64"/>
      <c r="O72" s="64"/>
      <c r="P72" s="64"/>
      <c r="Q72" s="64"/>
      <c r="R72" s="64"/>
      <c r="S72" s="64"/>
      <c r="T72" s="64"/>
      <c r="U72" s="64"/>
      <c r="V72" s="64"/>
    </row>
    <row r="73" spans="1:22" x14ac:dyDescent="0.2">
      <c r="A73" s="1431" t="s">
        <v>98</v>
      </c>
      <c r="B73" s="1432"/>
      <c r="C73" s="53"/>
      <c r="D73" s="53"/>
      <c r="E73" s="53"/>
      <c r="F73" s="53"/>
      <c r="G73" s="53"/>
      <c r="H73" s="53"/>
      <c r="I73" s="460">
        <v>1</v>
      </c>
      <c r="J73" s="234"/>
      <c r="K73" s="64"/>
      <c r="L73" s="64"/>
      <c r="M73" s="64"/>
      <c r="N73" s="64"/>
      <c r="O73" s="64"/>
      <c r="P73" s="65"/>
    </row>
    <row r="74" spans="1:22" ht="16.5" customHeight="1" thickBot="1" x14ac:dyDescent="0.25">
      <c r="A74" s="62" t="s">
        <v>97</v>
      </c>
      <c r="B74" s="63"/>
      <c r="C74" s="191"/>
      <c r="D74" s="191"/>
      <c r="E74" s="191"/>
      <c r="F74" s="191"/>
      <c r="G74" s="191"/>
      <c r="H74" s="191"/>
      <c r="I74" s="461">
        <v>0</v>
      </c>
      <c r="J74" s="187"/>
      <c r="K74" s="30"/>
      <c r="L74" s="30"/>
      <c r="V74" s="1219">
        <f>U67-V67</f>
        <v>21.84</v>
      </c>
    </row>
    <row r="75" spans="1:22" ht="15" thickBot="1" x14ac:dyDescent="0.25">
      <c r="A75" s="32"/>
      <c r="B75" s="32"/>
      <c r="C75" s="32"/>
      <c r="D75" s="32"/>
      <c r="E75" s="32"/>
      <c r="F75" s="32"/>
      <c r="G75" s="32"/>
      <c r="H75" s="32"/>
      <c r="I75" s="32"/>
      <c r="J75" s="32"/>
      <c r="K75" s="30"/>
      <c r="L75" s="30"/>
    </row>
    <row r="76" spans="1:22" ht="15" thickBot="1" x14ac:dyDescent="0.25">
      <c r="A76" s="32"/>
      <c r="B76" s="32"/>
      <c r="C76" s="32"/>
      <c r="D76" s="32"/>
      <c r="E76" s="32"/>
      <c r="F76" s="32"/>
      <c r="G76" s="32"/>
      <c r="H76" s="32"/>
      <c r="I76" s="1182" t="s">
        <v>1416</v>
      </c>
      <c r="J76" s="1182" t="s">
        <v>1417</v>
      </c>
      <c r="K76" s="1182" t="s">
        <v>1418</v>
      </c>
      <c r="L76" s="1182" t="s">
        <v>1419</v>
      </c>
      <c r="M76" s="1182" t="s">
        <v>1420</v>
      </c>
      <c r="N76" s="1182" t="s">
        <v>1421</v>
      </c>
      <c r="O76" s="1182" t="s">
        <v>1422</v>
      </c>
      <c r="P76" s="1182" t="s">
        <v>1423</v>
      </c>
      <c r="Q76" s="1182" t="s">
        <v>1424</v>
      </c>
      <c r="S76" s="1435" t="str">
        <f>H1</f>
        <v>PROPOSTA COMERCIAL</v>
      </c>
      <c r="T76" s="1436"/>
      <c r="U76" s="1437"/>
    </row>
    <row r="77" spans="1:22" x14ac:dyDescent="0.2">
      <c r="A77" s="42" t="s">
        <v>692</v>
      </c>
      <c r="B77" s="36"/>
      <c r="C77" s="36"/>
      <c r="D77" s="36"/>
      <c r="E77" s="36"/>
      <c r="F77" s="36"/>
      <c r="G77" s="36"/>
      <c r="H77" s="36"/>
      <c r="I77" s="462">
        <v>0.01</v>
      </c>
      <c r="J77" s="462">
        <v>1.0800000000000001E-2</v>
      </c>
      <c r="K77" s="462">
        <v>0.01</v>
      </c>
      <c r="L77" s="462">
        <v>0.01</v>
      </c>
      <c r="M77" s="462">
        <v>2.3E-2</v>
      </c>
      <c r="N77" s="462">
        <v>1.24E-2</v>
      </c>
      <c r="O77" s="462">
        <v>1.7299999999999999E-2</v>
      </c>
      <c r="P77" s="462">
        <v>3.1600000000000003E-2</v>
      </c>
      <c r="Q77" s="462">
        <v>0.01</v>
      </c>
      <c r="R77" s="1192">
        <f>SUM(I77:Q77)</f>
        <v>0.1351</v>
      </c>
      <c r="S77" s="197" t="s">
        <v>43</v>
      </c>
      <c r="T77" s="1424">
        <f>T78/$G$26</f>
        <v>298047.01</v>
      </c>
      <c r="U77" s="1425"/>
    </row>
    <row r="78" spans="1:22" ht="15" thickBot="1" x14ac:dyDescent="0.25">
      <c r="A78" s="43" t="s">
        <v>20</v>
      </c>
      <c r="B78" s="44"/>
      <c r="C78" s="44"/>
      <c r="D78" s="44"/>
      <c r="E78" s="44"/>
      <c r="F78" s="44"/>
      <c r="G78" s="44"/>
      <c r="H78" s="44"/>
      <c r="I78" s="463">
        <v>0.01</v>
      </c>
      <c r="J78" s="463">
        <v>0.01</v>
      </c>
      <c r="K78" s="463">
        <v>0.01</v>
      </c>
      <c r="L78" s="463">
        <v>0.01</v>
      </c>
      <c r="M78" s="463">
        <v>0.01</v>
      </c>
      <c r="N78" s="463">
        <v>0.01</v>
      </c>
      <c r="O78" s="463">
        <v>0.01</v>
      </c>
      <c r="P78" s="463">
        <v>0.02</v>
      </c>
      <c r="Q78" s="463">
        <v>0.01</v>
      </c>
      <c r="R78" s="1192">
        <f>SUM(I78:Q78)</f>
        <v>0.1</v>
      </c>
      <c r="S78" s="199" t="s">
        <v>146</v>
      </c>
      <c r="T78" s="1394">
        <f>Proposta!J31</f>
        <v>3576564.12</v>
      </c>
      <c r="U78" s="1395"/>
    </row>
    <row r="79" spans="1:22" ht="15" thickBot="1" x14ac:dyDescent="0.25">
      <c r="K79" s="30"/>
      <c r="L79" s="30"/>
      <c r="T79" s="201" t="s">
        <v>142</v>
      </c>
      <c r="U79" s="202">
        <f>T78/C83</f>
        <v>0.85740000000000005</v>
      </c>
    </row>
    <row r="80" spans="1:22" ht="15" thickBot="1" x14ac:dyDescent="0.25">
      <c r="K80" s="30"/>
      <c r="L80" s="30"/>
      <c r="T80" s="198"/>
      <c r="U80" s="541"/>
    </row>
    <row r="81" spans="1:21" ht="15" thickBot="1" x14ac:dyDescent="0.25">
      <c r="A81" s="1426" t="s">
        <v>131</v>
      </c>
      <c r="B81" s="1427"/>
      <c r="C81" s="1427"/>
      <c r="D81" s="1427"/>
      <c r="E81" s="1427"/>
      <c r="F81" s="1428"/>
      <c r="K81" s="30"/>
      <c r="L81" s="196"/>
      <c r="M81" s="32"/>
      <c r="N81" s="32"/>
      <c r="O81" s="32"/>
      <c r="Q81" s="196"/>
    </row>
    <row r="82" spans="1:21" x14ac:dyDescent="0.2">
      <c r="A82" s="1433" t="s">
        <v>43</v>
      </c>
      <c r="B82" s="1434"/>
      <c r="C82" s="1429">
        <f>C83/G26</f>
        <v>347616.73</v>
      </c>
      <c r="D82" s="1429"/>
      <c r="E82" s="1429"/>
      <c r="F82" s="1430"/>
      <c r="K82" s="30"/>
      <c r="L82" s="1387" t="s">
        <v>143</v>
      </c>
      <c r="M82" s="1377" t="s">
        <v>148</v>
      </c>
      <c r="N82" s="1397" t="s">
        <v>177</v>
      </c>
      <c r="O82" s="1397" t="s">
        <v>721</v>
      </c>
      <c r="P82" s="1392" t="s">
        <v>44</v>
      </c>
      <c r="Q82" s="1377"/>
      <c r="R82" s="1377" t="s">
        <v>45</v>
      </c>
      <c r="S82" s="1377" t="s">
        <v>178</v>
      </c>
      <c r="T82" s="1377" t="s">
        <v>46</v>
      </c>
      <c r="U82" s="1505" t="s">
        <v>1329</v>
      </c>
    </row>
    <row r="83" spans="1:21" ht="15" thickBot="1" x14ac:dyDescent="0.25">
      <c r="A83" s="1438" t="s">
        <v>146</v>
      </c>
      <c r="B83" s="1439"/>
      <c r="C83" s="1446">
        <v>4171400.78</v>
      </c>
      <c r="D83" s="1446"/>
      <c r="E83" s="1446"/>
      <c r="F83" s="1447"/>
      <c r="G83" s="878"/>
      <c r="K83" s="30"/>
      <c r="L83" s="1388"/>
      <c r="M83" s="1378"/>
      <c r="N83" s="1398"/>
      <c r="O83" s="1398"/>
      <c r="P83" s="1393"/>
      <c r="Q83" s="1378"/>
      <c r="R83" s="1378"/>
      <c r="S83" s="1378"/>
      <c r="T83" s="1378"/>
      <c r="U83" s="1506"/>
    </row>
    <row r="84" spans="1:21" x14ac:dyDescent="0.2">
      <c r="K84" s="30"/>
      <c r="L84" s="251">
        <v>1</v>
      </c>
      <c r="M84" s="259" t="s">
        <v>296</v>
      </c>
      <c r="N84" s="552" t="s">
        <v>1316</v>
      </c>
      <c r="O84" s="776" t="s">
        <v>1333</v>
      </c>
      <c r="P84" s="1230" t="s">
        <v>1320</v>
      </c>
      <c r="Q84" s="204"/>
      <c r="R84" s="205">
        <v>2</v>
      </c>
      <c r="S84" s="205">
        <v>1</v>
      </c>
      <c r="T84" s="205">
        <f>R84*S84</f>
        <v>2</v>
      </c>
      <c r="U84" s="206">
        <v>3714.11</v>
      </c>
    </row>
    <row r="85" spans="1:21" ht="15" customHeight="1" thickBot="1" x14ac:dyDescent="0.25">
      <c r="K85" s="196"/>
      <c r="L85" s="251">
        <v>2</v>
      </c>
      <c r="M85" s="259" t="s">
        <v>333</v>
      </c>
      <c r="N85" s="553" t="s">
        <v>333</v>
      </c>
      <c r="O85" s="777" t="s">
        <v>1334</v>
      </c>
      <c r="P85" s="1230" t="s">
        <v>1321</v>
      </c>
      <c r="Q85" s="204"/>
      <c r="R85" s="205">
        <v>27</v>
      </c>
      <c r="S85" s="205">
        <v>1</v>
      </c>
      <c r="T85" s="205">
        <f t="shared" ref="T85:T92" si="3">R85*S85</f>
        <v>27</v>
      </c>
      <c r="U85" s="206">
        <f>VLOOKUP(M85,SALÁRIOS!$A$8:$F$329,3,0)</f>
        <v>1287.96</v>
      </c>
    </row>
    <row r="86" spans="1:21" ht="15" customHeight="1" thickBot="1" x14ac:dyDescent="0.25">
      <c r="A86" s="1440" t="s">
        <v>158</v>
      </c>
      <c r="B86" s="1396"/>
      <c r="C86" s="1396"/>
      <c r="D86" s="1396"/>
      <c r="E86" s="1396"/>
      <c r="F86" s="1396"/>
      <c r="G86" s="1396"/>
      <c r="H86" s="1441"/>
      <c r="K86" s="196"/>
      <c r="L86" s="251">
        <v>3</v>
      </c>
      <c r="M86" s="259" t="s">
        <v>317</v>
      </c>
      <c r="N86" s="552" t="s">
        <v>1317</v>
      </c>
      <c r="O86" s="776" t="s">
        <v>1102</v>
      </c>
      <c r="P86" s="1230" t="s">
        <v>1322</v>
      </c>
      <c r="Q86" s="204"/>
      <c r="R86" s="205">
        <v>1</v>
      </c>
      <c r="S86" s="205">
        <v>1</v>
      </c>
      <c r="T86" s="205">
        <f t="shared" si="3"/>
        <v>1</v>
      </c>
      <c r="U86" s="206">
        <f>VLOOKUP(M86,SALÁRIOS!$A$8:$F$329,3,0)</f>
        <v>1287.96</v>
      </c>
    </row>
    <row r="87" spans="1:21" ht="15" customHeight="1" thickBot="1" x14ac:dyDescent="0.25">
      <c r="A87" s="1444" t="s">
        <v>580</v>
      </c>
      <c r="B87" s="1445"/>
      <c r="C87" s="1442" t="s">
        <v>193</v>
      </c>
      <c r="D87" s="1442"/>
      <c r="E87" s="1231" t="s">
        <v>22</v>
      </c>
      <c r="F87" s="294" t="s">
        <v>21</v>
      </c>
      <c r="G87" s="1453"/>
      <c r="H87" s="1454"/>
      <c r="K87" s="198"/>
      <c r="L87" s="251">
        <v>4</v>
      </c>
      <c r="M87" s="259" t="s">
        <v>320</v>
      </c>
      <c r="N87" s="553" t="s">
        <v>1318</v>
      </c>
      <c r="O87" s="777" t="s">
        <v>1340</v>
      </c>
      <c r="P87" s="1230" t="s">
        <v>1323</v>
      </c>
      <c r="Q87" s="204"/>
      <c r="R87" s="205">
        <v>1</v>
      </c>
      <c r="S87" s="205">
        <v>1</v>
      </c>
      <c r="T87" s="205">
        <f t="shared" si="3"/>
        <v>1</v>
      </c>
      <c r="U87" s="206">
        <f>VLOOKUP(M87,SALÁRIOS!$A$8:$F$329,3,0)</f>
        <v>1287.96</v>
      </c>
    </row>
    <row r="88" spans="1:21" ht="15" customHeight="1" thickBot="1" x14ac:dyDescent="0.25">
      <c r="A88" s="1451" t="s">
        <v>521</v>
      </c>
      <c r="B88" s="1452"/>
      <c r="C88" s="1443">
        <f>VLOOKUP($A$88,'CCT''S'!$A$135:$D$138,2,FALSE)</f>
        <v>0.05</v>
      </c>
      <c r="D88" s="1443"/>
      <c r="E88" s="1232">
        <f>VLOOKUP($A$88,'CCT''S'!$A$135:$D$138,3,FALSE)</f>
        <v>5.3499999999999999E-2</v>
      </c>
      <c r="F88" s="1232">
        <f>VLOOKUP($A$88,'CCT''S'!$A$135:$D$138,4,FALSE)</f>
        <v>1.17E-2</v>
      </c>
      <c r="G88" s="557">
        <f>SUM(C88:F88)</f>
        <v>0.1152</v>
      </c>
      <c r="H88" s="558">
        <f>(100%-G88)</f>
        <v>0.88480000000000003</v>
      </c>
      <c r="K88" s="200"/>
      <c r="L88" s="251">
        <v>5</v>
      </c>
      <c r="M88" s="259" t="s">
        <v>303</v>
      </c>
      <c r="N88" s="552" t="s">
        <v>303</v>
      </c>
      <c r="O88" s="776" t="s">
        <v>1338</v>
      </c>
      <c r="P88" s="1230" t="s">
        <v>1324</v>
      </c>
      <c r="Q88" s="204"/>
      <c r="R88" s="205">
        <v>3</v>
      </c>
      <c r="S88" s="205">
        <v>1</v>
      </c>
      <c r="T88" s="205">
        <f t="shared" si="3"/>
        <v>3</v>
      </c>
      <c r="U88" s="206">
        <v>2492.25</v>
      </c>
    </row>
    <row r="89" spans="1:21" x14ac:dyDescent="0.2">
      <c r="A89" s="1137" t="s">
        <v>1401</v>
      </c>
      <c r="K89" s="200"/>
      <c r="L89" s="251">
        <v>6</v>
      </c>
      <c r="M89" s="259" t="s">
        <v>287</v>
      </c>
      <c r="N89" s="553" t="s">
        <v>287</v>
      </c>
      <c r="O89" s="777" t="s">
        <v>1339</v>
      </c>
      <c r="P89" s="1230" t="s">
        <v>1325</v>
      </c>
      <c r="Q89" s="204"/>
      <c r="R89" s="205">
        <v>3</v>
      </c>
      <c r="S89" s="205">
        <v>1</v>
      </c>
      <c r="T89" s="205">
        <f t="shared" si="3"/>
        <v>3</v>
      </c>
      <c r="U89" s="206">
        <v>1739.15</v>
      </c>
    </row>
    <row r="90" spans="1:21" ht="15" thickBot="1" x14ac:dyDescent="0.25">
      <c r="A90" s="208"/>
      <c r="B90" s="208"/>
      <c r="C90" s="208"/>
      <c r="D90" s="208"/>
      <c r="E90" s="208"/>
      <c r="F90" s="208"/>
      <c r="G90" s="207"/>
      <c r="H90" s="246"/>
      <c r="I90" s="246"/>
      <c r="J90" s="246"/>
      <c r="K90" s="32"/>
      <c r="L90" s="251">
        <v>7</v>
      </c>
      <c r="M90" s="259" t="s">
        <v>330</v>
      </c>
      <c r="N90" s="552" t="s">
        <v>330</v>
      </c>
      <c r="O90" s="776" t="s">
        <v>1336</v>
      </c>
      <c r="P90" s="1230" t="s">
        <v>1326</v>
      </c>
      <c r="Q90" s="204"/>
      <c r="R90" s="205">
        <v>12</v>
      </c>
      <c r="S90" s="205">
        <v>1</v>
      </c>
      <c r="T90" s="205">
        <f t="shared" si="3"/>
        <v>12</v>
      </c>
      <c r="U90" s="206">
        <v>2473.75</v>
      </c>
    </row>
    <row r="91" spans="1:21" ht="15" thickBot="1" x14ac:dyDescent="0.25">
      <c r="A91" s="257" t="s">
        <v>732</v>
      </c>
      <c r="B91" s="1522" t="str">
        <f>ENCARGOS!C14</f>
        <v>13º SALÁRIO, FÉRIAS E ADICIONAL DE FÉRIAS</v>
      </c>
      <c r="C91" s="1523"/>
      <c r="D91" s="1523"/>
      <c r="E91" s="1523"/>
      <c r="F91" s="1523"/>
      <c r="G91" s="819">
        <v>0.63419999999999999</v>
      </c>
      <c r="H91" s="242"/>
      <c r="I91" s="242"/>
      <c r="J91" s="244"/>
      <c r="K91" s="1234"/>
      <c r="L91" s="251">
        <v>8</v>
      </c>
      <c r="M91" s="259" t="s">
        <v>305</v>
      </c>
      <c r="N91" s="553" t="s">
        <v>305</v>
      </c>
      <c r="O91" s="777" t="s">
        <v>1335</v>
      </c>
      <c r="P91" s="1230" t="s">
        <v>1327</v>
      </c>
      <c r="Q91" s="204"/>
      <c r="R91" s="205">
        <v>2</v>
      </c>
      <c r="S91" s="205">
        <v>1</v>
      </c>
      <c r="T91" s="205">
        <f t="shared" si="3"/>
        <v>2</v>
      </c>
      <c r="U91" s="206">
        <f>VLOOKUP(M91,SALÁRIOS!$A$8:$F$329,3,0)</f>
        <v>1527.03</v>
      </c>
    </row>
    <row r="92" spans="1:21" s="67" customFormat="1" ht="15" customHeight="1" x14ac:dyDescent="0.2">
      <c r="A92" s="258" t="s">
        <v>1</v>
      </c>
      <c r="B92" s="259" t="str">
        <f>ENCARGOS!C15</f>
        <v xml:space="preserve">13º (décimo terceiro) salário  </v>
      </c>
      <c r="C92" s="260"/>
      <c r="D92" s="260"/>
      <c r="E92" s="260"/>
      <c r="F92" s="260"/>
      <c r="G92" s="821">
        <f>HLOOKUP($G$91,ENCARGOS!$D$13:$L$46,3,FALSE)</f>
        <v>9.0899999999999995E-2</v>
      </c>
      <c r="H92" s="637" t="s">
        <v>817</v>
      </c>
      <c r="I92" s="213"/>
      <c r="J92" s="244"/>
      <c r="K92" s="203"/>
      <c r="L92" s="251">
        <v>9</v>
      </c>
      <c r="M92" s="259" t="s">
        <v>418</v>
      </c>
      <c r="N92" s="552" t="s">
        <v>1319</v>
      </c>
      <c r="O92" s="776" t="s">
        <v>1337</v>
      </c>
      <c r="P92" s="1230" t="s">
        <v>1328</v>
      </c>
      <c r="Q92" s="204"/>
      <c r="R92" s="205">
        <v>7</v>
      </c>
      <c r="S92" s="205">
        <v>1</v>
      </c>
      <c r="T92" s="205">
        <f t="shared" si="3"/>
        <v>7</v>
      </c>
      <c r="U92" s="206">
        <v>3480.03</v>
      </c>
    </row>
    <row r="93" spans="1:21" s="67" customFormat="1" ht="15" thickBot="1" x14ac:dyDescent="0.25">
      <c r="A93" s="262" t="s">
        <v>2</v>
      </c>
      <c r="B93" s="263" t="str">
        <f>ENCARGOS!C16</f>
        <v xml:space="preserve"> Férias e Adicional de Férias</v>
      </c>
      <c r="C93" s="264"/>
      <c r="D93" s="264"/>
      <c r="E93" s="264"/>
      <c r="F93" s="264"/>
      <c r="G93" s="822">
        <f>HLOOKUP($G$91,ENCARGOS!$D$13:$L$46,4,FALSE)</f>
        <v>0.1212</v>
      </c>
      <c r="H93" s="637" t="s">
        <v>817</v>
      </c>
      <c r="I93" s="213"/>
      <c r="J93" s="244"/>
      <c r="K93" s="203"/>
      <c r="L93" s="1384" t="s">
        <v>47</v>
      </c>
      <c r="M93" s="1385"/>
      <c r="N93" s="1385"/>
      <c r="O93" s="1385"/>
      <c r="P93" s="1385"/>
      <c r="Q93" s="1386"/>
      <c r="R93" s="569">
        <f>SUM(R84:R92)</f>
        <v>58</v>
      </c>
      <c r="S93" s="570" t="s">
        <v>60</v>
      </c>
      <c r="T93" s="569">
        <f>SUM(T84:T92)</f>
        <v>58</v>
      </c>
      <c r="U93" s="571" t="s">
        <v>60</v>
      </c>
    </row>
    <row r="94" spans="1:21" s="67" customFormat="1" ht="15" thickBot="1" x14ac:dyDescent="0.25">
      <c r="A94" s="1405" t="s">
        <v>808</v>
      </c>
      <c r="B94" s="1406"/>
      <c r="C94" s="1406"/>
      <c r="D94" s="1406"/>
      <c r="E94" s="1406"/>
      <c r="F94" s="1406"/>
      <c r="G94" s="1407"/>
      <c r="H94" s="213"/>
      <c r="I94" s="213"/>
      <c r="J94" s="244"/>
      <c r="K94" s="245"/>
      <c r="L94" s="1498" t="s">
        <v>1330</v>
      </c>
      <c r="M94" s="1498"/>
      <c r="N94" s="1498"/>
      <c r="O94" s="1498"/>
      <c r="P94" s="1498"/>
      <c r="Q94" s="1498"/>
      <c r="R94" s="1498"/>
      <c r="S94" s="1498"/>
      <c r="T94" s="1498"/>
      <c r="U94" s="1498"/>
    </row>
    <row r="95" spans="1:21" s="67" customFormat="1" ht="15" thickBot="1" x14ac:dyDescent="0.25">
      <c r="A95" s="1519" t="s">
        <v>47</v>
      </c>
      <c r="B95" s="1520"/>
      <c r="C95" s="1520"/>
      <c r="D95" s="1520"/>
      <c r="E95" s="1520"/>
      <c r="F95" s="1521"/>
      <c r="G95" s="827">
        <f>SUM(G92:G93)</f>
        <v>0.21210000000000001</v>
      </c>
      <c r="H95" s="213"/>
      <c r="I95" s="213"/>
      <c r="J95" s="244" t="s">
        <v>0</v>
      </c>
      <c r="K95" s="245"/>
    </row>
    <row r="96" spans="1:21" s="67" customFormat="1" ht="15" thickBot="1" x14ac:dyDescent="0.25">
      <c r="A96" s="1414"/>
      <c r="B96" s="1415"/>
      <c r="C96" s="1415"/>
      <c r="D96" s="1415"/>
      <c r="E96" s="1415"/>
      <c r="F96" s="1415"/>
      <c r="G96" s="1416"/>
      <c r="H96" s="213"/>
      <c r="I96" s="213"/>
      <c r="J96" s="185"/>
      <c r="K96" s="245"/>
      <c r="L96" s="879"/>
      <c r="M96" s="879"/>
      <c r="N96" s="879"/>
      <c r="O96" s="879"/>
      <c r="P96" s="879"/>
      <c r="Q96" s="879"/>
      <c r="R96" s="879"/>
      <c r="S96" s="879"/>
      <c r="T96" s="879"/>
      <c r="U96" s="879"/>
    </row>
    <row r="97" spans="1:21" s="67" customFormat="1" ht="15" customHeight="1" thickBot="1" x14ac:dyDescent="0.25">
      <c r="A97" s="261" t="s">
        <v>731</v>
      </c>
      <c r="B97" s="1448" t="str">
        <f>ENCARGOS!C18</f>
        <v>ENCARGOS PREVIDENCIÁRIOS (GPS), FUNDO DE GARANTIA POR TEMPO DE SERVIÇO (FGTS) E OUTRAS CONTRIBUIÇÕES</v>
      </c>
      <c r="C97" s="1449"/>
      <c r="D97" s="1449"/>
      <c r="E97" s="1449"/>
      <c r="F97" s="1449"/>
      <c r="G97" s="1450"/>
      <c r="H97" s="213"/>
      <c r="I97" s="213"/>
      <c r="J97" s="185"/>
      <c r="K97" s="245"/>
      <c r="L97" s="879"/>
      <c r="M97" s="879"/>
      <c r="N97" s="879"/>
      <c r="O97" s="879"/>
      <c r="P97" s="879"/>
      <c r="Q97" s="879"/>
      <c r="R97" s="879"/>
      <c r="S97" s="879"/>
      <c r="T97" s="879"/>
      <c r="U97" s="879"/>
    </row>
    <row r="98" spans="1:21" s="67" customFormat="1" x14ac:dyDescent="0.2">
      <c r="A98" s="254" t="s">
        <v>1</v>
      </c>
      <c r="B98" s="255" t="str">
        <f>ENCARGOS!C19</f>
        <v>INSS</v>
      </c>
      <c r="C98" s="256"/>
      <c r="D98" s="256"/>
      <c r="E98" s="256"/>
      <c r="F98" s="256"/>
      <c r="G98" s="823">
        <f>HLOOKUP($G$91,ENCARGOS!$D$13:$L$46,7,FALSE)</f>
        <v>0.2</v>
      </c>
      <c r="H98" s="213"/>
      <c r="I98" s="213"/>
      <c r="J98" s="185"/>
      <c r="K98" s="68"/>
      <c r="L98" s="879"/>
      <c r="M98" s="879"/>
      <c r="N98" s="879"/>
      <c r="O98" s="879"/>
      <c r="P98" s="879"/>
      <c r="Q98" s="879"/>
      <c r="R98" s="879"/>
      <c r="S98" s="879"/>
      <c r="T98" s="879"/>
      <c r="U98" s="879"/>
    </row>
    <row r="99" spans="1:21" s="67" customFormat="1" ht="15" thickBot="1" x14ac:dyDescent="0.25">
      <c r="A99" s="209" t="s">
        <v>2</v>
      </c>
      <c r="B99" s="255" t="str">
        <f>ENCARGOS!C20</f>
        <v>Salário Educação</v>
      </c>
      <c r="C99" s="235"/>
      <c r="D99" s="235"/>
      <c r="E99" s="235"/>
      <c r="F99" s="235"/>
      <c r="G99" s="823">
        <f>HLOOKUP($G$91,ENCARGOS!$D$13:$L$46,8,FALSE)</f>
        <v>2.5000000000000001E-2</v>
      </c>
      <c r="H99" s="213"/>
      <c r="I99" s="213"/>
      <c r="J99" s="185"/>
      <c r="K99" s="210"/>
      <c r="L99" s="210"/>
      <c r="N99" s="33" t="s">
        <v>49</v>
      </c>
      <c r="O99" s="33"/>
      <c r="P99" s="33"/>
      <c r="Q99" s="33"/>
      <c r="R99" s="33"/>
      <c r="S99" s="33"/>
      <c r="T99" s="33"/>
      <c r="U99" s="33"/>
    </row>
    <row r="100" spans="1:21" s="67" customFormat="1" ht="15" thickBot="1" x14ac:dyDescent="0.25">
      <c r="A100" s="209" t="s">
        <v>4</v>
      </c>
      <c r="B100" s="255" t="str">
        <f>ENCARGOS!C21</f>
        <v>Seguro Acidente do Trabalho - SAT = RAT x FAP</v>
      </c>
      <c r="C100" s="235"/>
      <c r="D100" s="235"/>
      <c r="E100" s="235"/>
      <c r="F100" s="235"/>
      <c r="G100" s="823">
        <f>HLOOKUP($G$91,ENCARGOS!$D$13:$L$46,9,FALSE)</f>
        <v>1.2200000000000001E-2</v>
      </c>
      <c r="H100" s="240"/>
      <c r="I100" s="240"/>
      <c r="J100" s="185"/>
      <c r="K100" s="210"/>
      <c r="L100" s="1518" t="s">
        <v>166</v>
      </c>
      <c r="M100" s="1516"/>
      <c r="N100" s="1396" t="s">
        <v>50</v>
      </c>
      <c r="O100" s="1396"/>
      <c r="P100" s="1396"/>
      <c r="Q100" s="1396" t="s">
        <v>51</v>
      </c>
      <c r="R100" s="1396"/>
      <c r="S100" s="1396"/>
      <c r="T100" s="1516" t="s">
        <v>52</v>
      </c>
      <c r="U100" s="1517"/>
    </row>
    <row r="101" spans="1:21" s="67" customFormat="1" ht="14.25" customHeight="1" thickBot="1" x14ac:dyDescent="0.25">
      <c r="A101" s="209" t="s">
        <v>5</v>
      </c>
      <c r="B101" s="255" t="str">
        <f>ENCARGOS!C22</f>
        <v>SESI ou SESC</v>
      </c>
      <c r="C101" s="235"/>
      <c r="D101" s="235"/>
      <c r="E101" s="235"/>
      <c r="F101" s="235"/>
      <c r="G101" s="823">
        <f>HLOOKUP($G$91,ENCARGOS!$D$13:$L$46,10,FALSE)</f>
        <v>1.4999999999999999E-2</v>
      </c>
      <c r="H101" s="241"/>
      <c r="I101" s="242"/>
      <c r="J101" s="185"/>
      <c r="K101" s="210"/>
      <c r="L101" s="1389" t="str">
        <f>VLOOKUP(N101,'CCT''S'!$A$7:$J$21,8,FALSE)</f>
        <v>DF000038/2021</v>
      </c>
      <c r="M101" s="1390"/>
      <c r="N101" s="1391" t="str">
        <f>$J$47</f>
        <v>SINDISERVIÇOS/SEAC-DF</v>
      </c>
      <c r="O101" s="1391"/>
      <c r="P101" s="1391"/>
      <c r="Q101" s="1390" t="str">
        <f>VLOOKUP(N101,'CCT''S'!$A$7:$J$21,3,FALSE)</f>
        <v>01/01/2021 a 31/12/2021</v>
      </c>
      <c r="R101" s="1390"/>
      <c r="S101" s="1390"/>
      <c r="T101" s="635" t="d">
        <f>VLOOKUP(N101,'CCT''S'!$A$7:$J$21,6,FALSE)</f>
        <v>2021-01-01</v>
      </c>
      <c r="U101" s="636" t="d">
        <f>T101</f>
        <v>2021-01-01</v>
      </c>
    </row>
    <row r="102" spans="1:21" s="67" customFormat="1" ht="15" thickBot="1" x14ac:dyDescent="0.25">
      <c r="A102" s="209" t="s">
        <v>6</v>
      </c>
      <c r="B102" s="255" t="str">
        <f>ENCARGOS!C23</f>
        <v>SENAI ou SENAC</v>
      </c>
      <c r="C102" s="235"/>
      <c r="D102" s="235"/>
      <c r="E102" s="235"/>
      <c r="F102" s="235"/>
      <c r="G102" s="823">
        <f>HLOOKUP($G$91,ENCARGOS!$D$13:$L$46,11,FALSE)</f>
        <v>0.01</v>
      </c>
      <c r="H102" s="271"/>
      <c r="I102" s="135"/>
      <c r="J102" s="185"/>
      <c r="K102" s="210"/>
      <c r="L102" s="1389" t="str">
        <f>VLOOKUP(N102,'CCT''S'!$A$7:$J$21,8,FALSE)</f>
        <v>DF000041/2021</v>
      </c>
      <c r="M102" s="1390"/>
      <c r="N102" s="1391" t="str">
        <f>$K$47</f>
        <v>SIS/SEAC-DF</v>
      </c>
      <c r="O102" s="1391"/>
      <c r="P102" s="1391"/>
      <c r="Q102" s="1390" t="str">
        <f>VLOOKUP(N102,'CCT''S'!$A$7:$J$21,3,FALSE)</f>
        <v>01/01/2021 a 31/12/2021</v>
      </c>
      <c r="R102" s="1390"/>
      <c r="S102" s="1390"/>
      <c r="T102" s="635" t="d">
        <f>VLOOKUP(N102,'CCT''S'!$A$7:$J$21,6,FALSE)</f>
        <v>2021-01-01</v>
      </c>
      <c r="U102" s="636" t="d">
        <f>T102</f>
        <v>2021-01-01</v>
      </c>
    </row>
    <row r="103" spans="1:21" x14ac:dyDescent="0.2">
      <c r="A103" s="209" t="s">
        <v>7</v>
      </c>
      <c r="B103" s="255" t="str">
        <f>ENCARGOS!C24</f>
        <v>SEBRAE</v>
      </c>
      <c r="C103" s="235"/>
      <c r="D103" s="235"/>
      <c r="E103" s="235"/>
      <c r="F103" s="235"/>
      <c r="G103" s="823">
        <f>HLOOKUP($G$91,ENCARGOS!$D$13:$L$46,12,FALSE)</f>
        <v>6.0000000000000001E-3</v>
      </c>
      <c r="H103" s="238"/>
      <c r="I103" s="194"/>
      <c r="J103" s="185"/>
      <c r="K103" s="210"/>
      <c r="L103" s="879"/>
      <c r="M103" s="879"/>
      <c r="N103" s="879"/>
      <c r="O103" s="879"/>
      <c r="P103" s="879"/>
      <c r="Q103" s="879"/>
      <c r="R103" s="879"/>
      <c r="S103" s="879"/>
      <c r="T103" s="879"/>
      <c r="U103" s="879"/>
    </row>
    <row r="104" spans="1:21" x14ac:dyDescent="0.2">
      <c r="A104" s="209" t="s">
        <v>8</v>
      </c>
      <c r="B104" s="255" t="str">
        <f>ENCARGOS!C25</f>
        <v>INCRA</v>
      </c>
      <c r="C104" s="235"/>
      <c r="D104" s="235"/>
      <c r="E104" s="235"/>
      <c r="F104" s="235"/>
      <c r="G104" s="823">
        <f>HLOOKUP($G$91,ENCARGOS!$D$13:$L$46,13,FALSE)</f>
        <v>2E-3</v>
      </c>
      <c r="H104" s="237"/>
      <c r="I104" s="135"/>
      <c r="J104" s="185"/>
      <c r="K104" s="210"/>
      <c r="L104" s="615" t="s">
        <v>806</v>
      </c>
      <c r="M104" s="879"/>
      <c r="N104" s="879"/>
      <c r="O104" s="879"/>
      <c r="P104" s="879"/>
      <c r="Q104" s="879"/>
      <c r="R104" s="879"/>
      <c r="S104" s="879"/>
      <c r="T104" s="879"/>
      <c r="U104" s="879"/>
    </row>
    <row r="105" spans="1:21" ht="15" customHeight="1" x14ac:dyDescent="0.2">
      <c r="A105" s="252" t="s">
        <v>9</v>
      </c>
      <c r="B105" s="581" t="str">
        <f>ENCARGOS!C26</f>
        <v>FGTS</v>
      </c>
      <c r="C105" s="253"/>
      <c r="D105" s="253"/>
      <c r="E105" s="253"/>
      <c r="F105" s="253"/>
      <c r="G105" s="824">
        <f>HLOOKUP($G$91,ENCARGOS!$D$13:$L$46,14,FALSE)</f>
        <v>0.08</v>
      </c>
      <c r="H105" s="239"/>
      <c r="I105" s="240"/>
      <c r="J105" s="185"/>
      <c r="K105" s="211"/>
      <c r="L105" s="1379" t="s">
        <v>1331</v>
      </c>
      <c r="M105" s="1379"/>
      <c r="N105" s="1379"/>
      <c r="O105" s="1379"/>
      <c r="P105" s="1379"/>
      <c r="Q105" s="1379"/>
      <c r="R105" s="1379"/>
      <c r="S105" s="1379"/>
      <c r="T105" s="1379"/>
      <c r="U105" s="1379"/>
    </row>
    <row r="106" spans="1:21" x14ac:dyDescent="0.2">
      <c r="A106" s="1507" t="s">
        <v>807</v>
      </c>
      <c r="B106" s="1508"/>
      <c r="C106" s="1508"/>
      <c r="D106" s="1508"/>
      <c r="E106" s="1508"/>
      <c r="F106" s="1508"/>
      <c r="G106" s="1509"/>
      <c r="H106" s="241"/>
      <c r="I106" s="242"/>
      <c r="J106" s="185"/>
      <c r="K106" s="211"/>
      <c r="L106" s="1379"/>
      <c r="M106" s="1379"/>
      <c r="N106" s="1379"/>
      <c r="O106" s="1379"/>
      <c r="P106" s="1379"/>
      <c r="Q106" s="1379"/>
      <c r="R106" s="1379"/>
      <c r="S106" s="1379"/>
      <c r="T106" s="1379"/>
      <c r="U106" s="1379"/>
    </row>
    <row r="107" spans="1:21" ht="15" thickBot="1" x14ac:dyDescent="0.25">
      <c r="A107" s="1510"/>
      <c r="B107" s="1511"/>
      <c r="C107" s="1511"/>
      <c r="D107" s="1511"/>
      <c r="E107" s="1511"/>
      <c r="F107" s="1511"/>
      <c r="G107" s="1512"/>
      <c r="H107" s="241"/>
      <c r="I107" s="242"/>
      <c r="J107" s="185"/>
      <c r="K107" s="211"/>
      <c r="L107" s="1379"/>
      <c r="M107" s="1379"/>
      <c r="N107" s="1379"/>
      <c r="O107" s="1379"/>
      <c r="P107" s="1379"/>
      <c r="Q107" s="1379"/>
      <c r="R107" s="1379"/>
      <c r="S107" s="1379"/>
      <c r="T107" s="1379"/>
      <c r="U107" s="1379"/>
    </row>
    <row r="108" spans="1:21" ht="14.25" customHeight="1" thickBot="1" x14ac:dyDescent="0.25">
      <c r="A108" s="1513" t="s">
        <v>47</v>
      </c>
      <c r="B108" s="1514"/>
      <c r="C108" s="1514"/>
      <c r="D108" s="1514"/>
      <c r="E108" s="1514"/>
      <c r="F108" s="1515"/>
      <c r="G108" s="826">
        <f>SUM(G98:G105)</f>
        <v>0.35020000000000001</v>
      </c>
      <c r="H108" s="237"/>
      <c r="I108" s="135"/>
      <c r="J108" s="185"/>
      <c r="K108" s="248"/>
      <c r="L108" s="1379" t="s">
        <v>1341</v>
      </c>
      <c r="M108" s="1379"/>
      <c r="N108" s="1379"/>
      <c r="O108" s="1379"/>
      <c r="P108" s="1379"/>
      <c r="Q108" s="1379"/>
      <c r="R108" s="1379"/>
      <c r="S108" s="1379"/>
      <c r="T108" s="1379"/>
      <c r="U108" s="1379"/>
    </row>
    <row r="109" spans="1:21" ht="14.25" customHeight="1" thickBot="1" x14ac:dyDescent="0.25">
      <c r="A109" s="1414"/>
      <c r="B109" s="1415"/>
      <c r="C109" s="1415"/>
      <c r="D109" s="1415"/>
      <c r="E109" s="1415"/>
      <c r="F109" s="1415"/>
      <c r="G109" s="1416"/>
      <c r="H109" s="239"/>
      <c r="I109" s="240"/>
      <c r="J109" s="185"/>
      <c r="K109" s="68"/>
      <c r="L109" s="1379"/>
      <c r="M109" s="1379"/>
      <c r="N109" s="1379"/>
      <c r="O109" s="1379"/>
      <c r="P109" s="1379"/>
      <c r="Q109" s="1379"/>
      <c r="R109" s="1379"/>
      <c r="S109" s="1379"/>
      <c r="T109" s="1379"/>
      <c r="U109" s="1379"/>
    </row>
    <row r="110" spans="1:21" ht="15" thickBot="1" x14ac:dyDescent="0.25">
      <c r="A110" s="265" t="s">
        <v>734</v>
      </c>
      <c r="B110" s="1399" t="str">
        <f>ENCARGOS!C28</f>
        <v>PROVISÕES PARA RESCISÃO</v>
      </c>
      <c r="C110" s="1400"/>
      <c r="D110" s="1400"/>
      <c r="E110" s="1400"/>
      <c r="F110" s="1400"/>
      <c r="G110" s="1401"/>
      <c r="H110" s="241"/>
      <c r="I110" s="242"/>
      <c r="J110" s="185"/>
      <c r="K110" s="68"/>
      <c r="L110" s="1379"/>
      <c r="M110" s="1379"/>
      <c r="N110" s="1379"/>
      <c r="O110" s="1379"/>
      <c r="P110" s="1379"/>
      <c r="Q110" s="1379"/>
      <c r="R110" s="1379"/>
      <c r="S110" s="1379"/>
      <c r="T110" s="1379"/>
      <c r="U110" s="1379"/>
    </row>
    <row r="111" spans="1:21" ht="14.25" customHeight="1" x14ac:dyDescent="0.2">
      <c r="A111" s="266" t="s">
        <v>1</v>
      </c>
      <c r="B111" s="267" t="str">
        <f>ENCARGOS!C29</f>
        <v>Aviso Prévio Indenizado </v>
      </c>
      <c r="C111" s="268"/>
      <c r="D111" s="268"/>
      <c r="E111" s="268"/>
      <c r="F111" s="268"/>
      <c r="G111" s="823">
        <f>HLOOKUP($G$91,ENCARGOS!$D$13:$L$46,17,FALSE)</f>
        <v>2.5000000000000001E-3</v>
      </c>
      <c r="H111" s="243"/>
      <c r="I111" s="213"/>
      <c r="J111" s="185"/>
      <c r="K111" s="68"/>
      <c r="L111" s="1379" t="s">
        <v>1342</v>
      </c>
      <c r="M111" s="1379"/>
      <c r="N111" s="1379"/>
      <c r="O111" s="1379"/>
      <c r="P111" s="1379"/>
      <c r="Q111" s="1379"/>
      <c r="R111" s="1379"/>
      <c r="S111" s="1379"/>
      <c r="T111" s="1379"/>
      <c r="U111" s="1379"/>
    </row>
    <row r="112" spans="1:21" ht="14.25" customHeight="1" x14ac:dyDescent="0.2">
      <c r="A112" s="212" t="s">
        <v>2</v>
      </c>
      <c r="B112" s="267" t="str">
        <f>ENCARGOS!C30</f>
        <v>Incidência do FGTS sobre aviso prévio indenizado</v>
      </c>
      <c r="C112" s="236"/>
      <c r="D112" s="236"/>
      <c r="E112" s="236"/>
      <c r="F112" s="236"/>
      <c r="G112" s="825">
        <f>$G$105*G111</f>
        <v>2.0000000000000001E-4</v>
      </c>
      <c r="H112" s="243"/>
      <c r="I112" s="213"/>
      <c r="J112" s="185"/>
      <c r="K112" s="68"/>
      <c r="L112" s="1379"/>
      <c r="M112" s="1379"/>
      <c r="N112" s="1379"/>
      <c r="O112" s="1379"/>
      <c r="P112" s="1379"/>
      <c r="Q112" s="1379"/>
      <c r="R112" s="1379"/>
      <c r="S112" s="1379"/>
      <c r="T112" s="1379"/>
      <c r="U112" s="1379"/>
    </row>
    <row r="113" spans="1:21" x14ac:dyDescent="0.2">
      <c r="A113" s="212" t="s">
        <v>4</v>
      </c>
      <c r="B113" s="267" t="str">
        <f>ENCARGOS!C31</f>
        <v>Multa do FGTS e contribuição social sobre o Aviso Prévio Indenizado</v>
      </c>
      <c r="C113" s="213"/>
      <c r="D113" s="213"/>
      <c r="E113" s="213"/>
      <c r="F113" s="213"/>
      <c r="G113" s="1104">
        <f>HLOOKUP($G$91,ENCARGOS!$D$13:$L$46,19,FALSE)</f>
        <v>9.9999999999999995E-7</v>
      </c>
      <c r="H113" s="637" t="s">
        <v>817</v>
      </c>
      <c r="I113" s="213"/>
      <c r="J113" s="185"/>
      <c r="K113" s="68"/>
      <c r="L113" s="1417" t="s">
        <v>1343</v>
      </c>
      <c r="M113" s="1417"/>
      <c r="N113" s="1417"/>
      <c r="O113" s="1417"/>
      <c r="P113" s="1417"/>
      <c r="Q113" s="1417"/>
      <c r="R113" s="1417"/>
      <c r="S113" s="1417"/>
      <c r="T113" s="1417"/>
      <c r="U113" s="1417"/>
    </row>
    <row r="114" spans="1:21" ht="14.25" customHeight="1" x14ac:dyDescent="0.2">
      <c r="A114" s="212" t="s">
        <v>5</v>
      </c>
      <c r="B114" s="267" t="str">
        <f>ENCARGOS!C32</f>
        <v>Aviso Prévio Trabalhado</v>
      </c>
      <c r="C114" s="236"/>
      <c r="D114" s="236"/>
      <c r="E114" s="236"/>
      <c r="F114" s="236"/>
      <c r="G114" s="823">
        <f>HLOOKUP($G$91,ENCARGOS!$D$13:$L$46,20,FALSE)</f>
        <v>1.9400000000000001E-2</v>
      </c>
      <c r="H114" s="272"/>
      <c r="I114" s="213"/>
      <c r="J114" s="185"/>
      <c r="K114" s="68"/>
      <c r="L114" s="1379" t="s">
        <v>1396</v>
      </c>
      <c r="M114" s="1379"/>
      <c r="N114" s="1379"/>
      <c r="O114" s="1379"/>
      <c r="P114" s="1379"/>
      <c r="Q114" s="1379"/>
      <c r="R114" s="1379"/>
      <c r="S114" s="1379"/>
      <c r="T114" s="1379"/>
      <c r="U114" s="1379"/>
    </row>
    <row r="115" spans="1:21" x14ac:dyDescent="0.2">
      <c r="A115" s="212" t="s">
        <v>6</v>
      </c>
      <c r="B115" s="267" t="str">
        <f>ENCARGOS!C33</f>
        <v>Incidência de GPS, FGTS e outras contribuições sobre o aviso prévio trabalhado</v>
      </c>
      <c r="C115" s="236"/>
      <c r="D115" s="236"/>
      <c r="E115" s="236"/>
      <c r="F115" s="236"/>
      <c r="G115" s="825">
        <f>G114*G108</f>
        <v>6.7999999999999996E-3</v>
      </c>
      <c r="H115" s="272"/>
      <c r="I115" s="213"/>
      <c r="J115" s="185"/>
      <c r="K115" s="68"/>
      <c r="L115" s="1379"/>
      <c r="M115" s="1379"/>
      <c r="N115" s="1379"/>
      <c r="O115" s="1379"/>
      <c r="P115" s="1379"/>
      <c r="Q115" s="1379"/>
      <c r="R115" s="1379"/>
      <c r="S115" s="1379"/>
      <c r="T115" s="1379"/>
      <c r="U115" s="1379"/>
    </row>
    <row r="116" spans="1:21" ht="14.25" customHeight="1" x14ac:dyDescent="0.2">
      <c r="A116" s="269" t="s">
        <v>7</v>
      </c>
      <c r="B116" s="1178" t="str">
        <f>ENCARGOS!C34</f>
        <v>Multa do FGTS e contribuição social sobre o Aviso Prévio Trabalhado</v>
      </c>
      <c r="C116" s="213"/>
      <c r="D116" s="213"/>
      <c r="E116" s="213"/>
      <c r="F116" s="213"/>
      <c r="G116" s="822">
        <f>HLOOKUP($G$91,ENCARGOS!$D$13:$L$46,22,FALSE)</f>
        <v>1E-4</v>
      </c>
      <c r="H116" s="637" t="s">
        <v>817</v>
      </c>
      <c r="I116" s="240"/>
      <c r="J116" s="185"/>
      <c r="K116" s="68"/>
      <c r="L116" s="1379"/>
      <c r="M116" s="1379"/>
      <c r="N116" s="1379"/>
      <c r="O116" s="1379"/>
      <c r="P116" s="1379"/>
      <c r="Q116" s="1379"/>
      <c r="R116" s="1379"/>
      <c r="S116" s="1379"/>
      <c r="T116" s="1379"/>
      <c r="U116" s="1379"/>
    </row>
    <row r="117" spans="1:21" x14ac:dyDescent="0.2">
      <c r="A117" s="1179" t="s">
        <v>8</v>
      </c>
      <c r="B117" s="1180" t="str">
        <f>ENCARGOS!C35</f>
        <v>Multa do FGTS</v>
      </c>
      <c r="C117" s="236"/>
      <c r="D117" s="236"/>
      <c r="E117" s="236"/>
      <c r="F117" s="236"/>
      <c r="G117" s="1181">
        <f>HLOOKUP($G$91,ENCARGOS!$D$13:$L$46,23,FALSE)</f>
        <v>3.49E-2</v>
      </c>
      <c r="H117" s="637"/>
      <c r="I117" s="240"/>
      <c r="J117" s="185"/>
      <c r="K117" s="68"/>
      <c r="L117" s="1379" t="s">
        <v>1397</v>
      </c>
      <c r="M117" s="1379"/>
      <c r="N117" s="1379"/>
      <c r="O117" s="1379"/>
      <c r="P117" s="1379"/>
      <c r="Q117" s="1379"/>
      <c r="R117" s="1379"/>
      <c r="S117" s="1379"/>
      <c r="T117" s="1379"/>
      <c r="U117" s="1379"/>
    </row>
    <row r="118" spans="1:21" ht="15" customHeight="1" thickBot="1" x14ac:dyDescent="0.25">
      <c r="A118" s="1405" t="s">
        <v>808</v>
      </c>
      <c r="B118" s="1406"/>
      <c r="C118" s="1406"/>
      <c r="D118" s="1406"/>
      <c r="E118" s="1406"/>
      <c r="F118" s="1406"/>
      <c r="G118" s="1407"/>
      <c r="H118" s="273"/>
      <c r="I118" s="242"/>
      <c r="J118" s="185"/>
      <c r="K118" s="68"/>
      <c r="L118" s="1379" t="s">
        <v>1398</v>
      </c>
      <c r="M118" s="1379"/>
      <c r="N118" s="1379"/>
      <c r="O118" s="1379"/>
      <c r="P118" s="1379"/>
      <c r="Q118" s="1379"/>
      <c r="R118" s="1379"/>
      <c r="S118" s="1379"/>
      <c r="T118" s="1379"/>
      <c r="U118" s="1379"/>
    </row>
    <row r="119" spans="1:21" ht="15" thickBot="1" x14ac:dyDescent="0.25">
      <c r="A119" s="1519" t="s">
        <v>47</v>
      </c>
      <c r="B119" s="1520"/>
      <c r="C119" s="1520"/>
      <c r="D119" s="1520"/>
      <c r="E119" s="1520"/>
      <c r="F119" s="1520"/>
      <c r="G119" s="828">
        <f>SUM(G111:G117)</f>
        <v>6.3899999999999998E-2</v>
      </c>
      <c r="H119" s="273"/>
      <c r="I119" s="242"/>
      <c r="J119" s="185"/>
      <c r="K119" s="248"/>
      <c r="L119" s="1379"/>
      <c r="M119" s="1379"/>
      <c r="N119" s="1379"/>
      <c r="O119" s="1379"/>
      <c r="P119" s="1379"/>
      <c r="Q119" s="1379"/>
      <c r="R119" s="1379"/>
      <c r="S119" s="1379"/>
      <c r="T119" s="1379"/>
      <c r="U119" s="1379"/>
    </row>
    <row r="120" spans="1:21" ht="15" thickBot="1" x14ac:dyDescent="0.25">
      <c r="A120" s="1414"/>
      <c r="B120" s="1415"/>
      <c r="C120" s="1415"/>
      <c r="D120" s="1415"/>
      <c r="E120" s="1415"/>
      <c r="F120" s="1415"/>
      <c r="G120" s="1416"/>
      <c r="H120" s="272"/>
      <c r="I120" s="213"/>
      <c r="J120" s="185"/>
      <c r="K120" s="68"/>
      <c r="L120" s="1136"/>
      <c r="M120" s="1136"/>
      <c r="N120" s="1136"/>
      <c r="O120" s="1136"/>
      <c r="P120" s="1136"/>
      <c r="Q120" s="1136"/>
      <c r="R120" s="1136"/>
      <c r="S120" s="1136"/>
      <c r="T120" s="1136"/>
      <c r="U120" s="1136"/>
    </row>
    <row r="121" spans="1:21" ht="14.25" customHeight="1" thickBot="1" x14ac:dyDescent="0.25">
      <c r="A121" s="265" t="s">
        <v>48</v>
      </c>
      <c r="B121" s="1399" t="str">
        <f>ENCARGOS!C37</f>
        <v>SUBSTITUTO NAS AUSÊNCIAS LEGAIS</v>
      </c>
      <c r="C121" s="1400"/>
      <c r="D121" s="1400"/>
      <c r="E121" s="1400"/>
      <c r="F121" s="1400"/>
      <c r="G121" s="1401"/>
      <c r="H121" s="243" t="s">
        <v>1310</v>
      </c>
      <c r="I121" s="213"/>
      <c r="J121" s="185"/>
      <c r="K121" s="68"/>
      <c r="M121" s="597"/>
      <c r="N121" s="596"/>
      <c r="O121" s="596"/>
      <c r="P121" s="597"/>
      <c r="Q121" s="597"/>
      <c r="R121" s="597"/>
      <c r="S121" s="597"/>
      <c r="T121" s="597"/>
      <c r="U121" s="597"/>
    </row>
    <row r="122" spans="1:21" x14ac:dyDescent="0.2">
      <c r="A122" s="266" t="s">
        <v>1</v>
      </c>
      <c r="B122" s="267" t="str">
        <f>ENCARGOS!C38</f>
        <v>Substituto na cobertura de Férias</v>
      </c>
      <c r="C122" s="268"/>
      <c r="D122" s="268"/>
      <c r="E122" s="268"/>
      <c r="F122" s="268"/>
      <c r="G122" s="823">
        <f>HLOOKUP($G$91,ENCARGOS!$D$13:$L$46,26,FALSE)</f>
        <v>7.6E-3</v>
      </c>
      <c r="H122" s="1242">
        <v>7.6E-3</v>
      </c>
      <c r="I122" s="213"/>
      <c r="J122" s="185"/>
      <c r="K122" s="248"/>
      <c r="M122" s="32"/>
      <c r="N122" s="39"/>
      <c r="O122" s="39"/>
      <c r="P122" s="217"/>
      <c r="Q122" s="220"/>
      <c r="R122" s="220"/>
      <c r="S122" s="220"/>
      <c r="T122" s="221"/>
      <c r="U122" s="222"/>
    </row>
    <row r="123" spans="1:21" x14ac:dyDescent="0.2">
      <c r="A123" s="212" t="s">
        <v>2</v>
      </c>
      <c r="B123" s="267" t="str">
        <f>ENCARGOS!C39</f>
        <v>Substituto na cobertura de Ausências Legais</v>
      </c>
      <c r="C123" s="236"/>
      <c r="D123" s="236"/>
      <c r="E123" s="236"/>
      <c r="F123" s="236"/>
      <c r="G123" s="823">
        <f>HLOOKUP($G$91,ENCARGOS!$D$13:$L$46,27,FALSE)</f>
        <v>1E-4</v>
      </c>
      <c r="H123" s="1242">
        <v>8.2000000000000007E-3</v>
      </c>
      <c r="I123" s="213"/>
      <c r="J123" s="185"/>
      <c r="K123" s="68"/>
      <c r="M123" s="216"/>
      <c r="N123" s="1229"/>
      <c r="O123" s="1229"/>
      <c r="P123" s="223"/>
      <c r="Q123" s="223"/>
      <c r="R123" s="223"/>
      <c r="S123" s="223"/>
      <c r="T123" s="223"/>
      <c r="U123" s="223"/>
    </row>
    <row r="124" spans="1:21" x14ac:dyDescent="0.2">
      <c r="A124" s="212" t="s">
        <v>4</v>
      </c>
      <c r="B124" s="267" t="str">
        <f>ENCARGOS!C40</f>
        <v>Substituto na cobertura de Licença-Paternidade</v>
      </c>
      <c r="C124" s="236"/>
      <c r="D124" s="236"/>
      <c r="E124" s="236"/>
      <c r="F124" s="236"/>
      <c r="G124" s="823">
        <f>HLOOKUP($G$91,ENCARGOS!$D$13:$L$46,28,FALSE)</f>
        <v>1E-4</v>
      </c>
      <c r="H124" s="1242">
        <v>2.0000000000000001E-4</v>
      </c>
      <c r="I124" s="194"/>
      <c r="J124" s="185"/>
      <c r="K124" s="68"/>
      <c r="N124" s="32"/>
      <c r="O124" s="32"/>
      <c r="P124" s="223"/>
      <c r="Q124" s="223"/>
      <c r="R124" s="223"/>
      <c r="S124" s="223"/>
      <c r="T124" s="223"/>
      <c r="U124" s="223"/>
    </row>
    <row r="125" spans="1:21" x14ac:dyDescent="0.2">
      <c r="A125" s="215" t="s">
        <v>5</v>
      </c>
      <c r="B125" s="267" t="str">
        <f>ENCARGOS!C41</f>
        <v>Substituto na cobertura de Ausência por acidente de trabalho</v>
      </c>
      <c r="C125" s="235"/>
      <c r="D125" s="235"/>
      <c r="E125" s="235"/>
      <c r="F125" s="235"/>
      <c r="G125" s="823">
        <f>HLOOKUP($G$91,ENCARGOS!$D$13:$L$46,29,FALSE)</f>
        <v>1E-4</v>
      </c>
      <c r="H125" s="1242">
        <v>2.9999999999999997E-4</v>
      </c>
      <c r="I125" s="135"/>
      <c r="J125" s="185"/>
      <c r="K125" s="68"/>
      <c r="M125" s="39"/>
      <c r="P125" s="223"/>
      <c r="Q125" s="223"/>
      <c r="R125" s="223"/>
      <c r="S125" s="223"/>
      <c r="T125" s="223"/>
      <c r="U125" s="223"/>
    </row>
    <row r="126" spans="1:21" ht="14.25" customHeight="1" x14ac:dyDescent="0.2">
      <c r="A126" s="215" t="s">
        <v>6</v>
      </c>
      <c r="B126" s="267" t="str">
        <f>ENCARGOS!C42</f>
        <v>Substituto na cobertura de Afastamento Maternidade</v>
      </c>
      <c r="C126" s="235"/>
      <c r="D126" s="235"/>
      <c r="E126" s="235"/>
      <c r="F126" s="235"/>
      <c r="G126" s="823">
        <f>HLOOKUP($G$91,ENCARGOS!$D$13:$L$46,30,FALSE)</f>
        <v>1E-4</v>
      </c>
      <c r="H126" s="1242">
        <v>2.8999999999999998E-3</v>
      </c>
      <c r="I126" s="240"/>
      <c r="J126" s="185"/>
      <c r="K126" s="248"/>
      <c r="L126" s="775"/>
      <c r="M126" s="1229"/>
      <c r="P126" s="224"/>
      <c r="Q126" s="224"/>
      <c r="R126" s="224"/>
      <c r="S126" s="224"/>
      <c r="T126" s="224"/>
      <c r="U126" s="224"/>
    </row>
    <row r="127" spans="1:21" x14ac:dyDescent="0.2">
      <c r="A127" s="215" t="s">
        <v>7</v>
      </c>
      <c r="B127" s="267" t="str">
        <f>ENCARGOS!C43</f>
        <v>Substituto na cobertura de outras ausências (licença por doença)</v>
      </c>
      <c r="C127" s="235"/>
      <c r="D127" s="235"/>
      <c r="E127" s="235"/>
      <c r="F127" s="235"/>
      <c r="G127" s="823">
        <f>HLOOKUP($G$91,ENCARGOS!$D$13:$L$46,31,FALSE)</f>
        <v>0</v>
      </c>
      <c r="H127" s="1242">
        <v>1.66E-2</v>
      </c>
      <c r="I127" s="249"/>
      <c r="J127" s="185"/>
      <c r="K127" s="214"/>
      <c r="L127" s="775"/>
      <c r="M127" s="32"/>
      <c r="P127" s="224"/>
      <c r="Q127" s="224"/>
      <c r="R127" s="224"/>
      <c r="S127" s="224"/>
      <c r="T127" s="224"/>
      <c r="U127" s="224"/>
    </row>
    <row r="128" spans="1:21" ht="14.25" customHeight="1" x14ac:dyDescent="0.2">
      <c r="A128" s="1408" t="s">
        <v>933</v>
      </c>
      <c r="B128" s="1409"/>
      <c r="C128" s="1409"/>
      <c r="D128" s="1409"/>
      <c r="E128" s="1409"/>
      <c r="F128" s="1409"/>
      <c r="G128" s="1410"/>
      <c r="H128" s="250"/>
      <c r="I128" s="250"/>
      <c r="J128" s="250"/>
      <c r="K128" s="214"/>
      <c r="L128" s="101" t="s">
        <v>1395</v>
      </c>
      <c r="P128" s="227"/>
      <c r="Q128" s="227"/>
      <c r="R128" s="32"/>
      <c r="S128" s="32"/>
      <c r="T128" s="226"/>
      <c r="U128" s="39"/>
    </row>
    <row r="129" spans="1:250" ht="14.25" customHeight="1" thickBot="1" x14ac:dyDescent="0.25">
      <c r="A129" s="1402" t="s">
        <v>47</v>
      </c>
      <c r="B129" s="1403"/>
      <c r="C129" s="1403"/>
      <c r="D129" s="1403"/>
      <c r="E129" s="1403"/>
      <c r="F129" s="1404"/>
      <c r="G129" s="829">
        <f>SUM(G122:G127)</f>
        <v>8.0000000000000002E-3</v>
      </c>
      <c r="K129" s="214"/>
      <c r="L129" s="101" t="s">
        <v>1399</v>
      </c>
      <c r="P129" s="227"/>
      <c r="Q129" s="227"/>
      <c r="R129" s="32"/>
      <c r="S129" s="32"/>
      <c r="T129" s="32"/>
      <c r="U129" s="32"/>
    </row>
    <row r="130" spans="1:250" ht="15" thickBot="1" x14ac:dyDescent="0.25">
      <c r="A130" s="1411"/>
      <c r="B130" s="1412"/>
      <c r="C130" s="1412"/>
      <c r="D130" s="1412"/>
      <c r="E130" s="1412"/>
      <c r="F130" s="1412"/>
      <c r="G130" s="1413"/>
      <c r="K130" s="214"/>
      <c r="L130" s="101" t="s">
        <v>1332</v>
      </c>
      <c r="P130" s="32"/>
      <c r="Q130" s="32"/>
      <c r="R130" s="32"/>
      <c r="S130" s="32"/>
      <c r="T130" s="32"/>
      <c r="U130" s="32"/>
    </row>
    <row r="131" spans="1:250" ht="15" thickBot="1" x14ac:dyDescent="0.25">
      <c r="A131" s="1524" t="s">
        <v>58</v>
      </c>
      <c r="B131" s="1525"/>
      <c r="C131" s="1525"/>
      <c r="D131" s="1525"/>
      <c r="E131" s="1525"/>
      <c r="F131" s="1526"/>
      <c r="G131" s="826">
        <f>SUM(G95,G108,G119,G129)</f>
        <v>0.63419999999999999</v>
      </c>
      <c r="K131" s="214"/>
      <c r="L131" s="101" t="s">
        <v>1206</v>
      </c>
      <c r="P131" s="32"/>
      <c r="Q131" s="32"/>
      <c r="R131" s="32"/>
      <c r="S131" s="32"/>
      <c r="T131" s="226"/>
      <c r="U131" s="32"/>
    </row>
    <row r="132" spans="1:250" x14ac:dyDescent="0.2">
      <c r="A132" s="219"/>
      <c r="B132" s="219"/>
      <c r="C132" s="219"/>
      <c r="D132" s="219"/>
      <c r="E132" s="219"/>
      <c r="F132" s="219"/>
      <c r="G132" s="219"/>
      <c r="K132" s="214"/>
      <c r="L132" s="101" t="s">
        <v>1133</v>
      </c>
      <c r="P132" s="66"/>
      <c r="Q132" s="66"/>
      <c r="R132" s="66"/>
      <c r="S132" s="66"/>
      <c r="T132" s="66"/>
      <c r="U132" s="66"/>
    </row>
    <row r="133" spans="1:250" x14ac:dyDescent="0.2">
      <c r="A133" s="1497" t="s">
        <v>1312</v>
      </c>
      <c r="B133" s="1497"/>
      <c r="C133" s="1497"/>
      <c r="D133" s="1497"/>
      <c r="E133" s="1497"/>
      <c r="F133" s="1497"/>
      <c r="G133" s="1497"/>
      <c r="K133" s="214"/>
      <c r="L133" s="101" t="s">
        <v>1400</v>
      </c>
      <c r="P133" s="32"/>
      <c r="Q133" s="32"/>
      <c r="R133" s="32"/>
      <c r="S133" s="32"/>
      <c r="T133" s="32"/>
      <c r="U133" s="32"/>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c r="FY133" s="70"/>
      <c r="FZ133" s="70"/>
      <c r="GA133" s="70"/>
      <c r="GB133" s="70"/>
      <c r="GC133" s="70"/>
      <c r="GD133" s="70"/>
      <c r="GE133" s="70"/>
      <c r="GF133" s="70"/>
      <c r="GG133" s="70"/>
      <c r="GH133" s="70"/>
      <c r="GI133" s="70"/>
      <c r="GJ133" s="70"/>
      <c r="GK133" s="70"/>
      <c r="GL133" s="70"/>
      <c r="GM133" s="70"/>
      <c r="GN133" s="70"/>
      <c r="GO133" s="70"/>
      <c r="GP133" s="70"/>
      <c r="GQ133" s="70"/>
      <c r="GR133" s="70"/>
      <c r="GS133" s="70"/>
      <c r="GT133" s="70"/>
      <c r="GU133" s="70"/>
      <c r="GV133" s="70"/>
      <c r="GW133" s="70"/>
      <c r="GX133" s="70"/>
      <c r="GY133" s="70"/>
      <c r="GZ133" s="70"/>
      <c r="HA133" s="70"/>
      <c r="HB133" s="70"/>
      <c r="HC133" s="70"/>
      <c r="HD133" s="70"/>
      <c r="HE133" s="70"/>
      <c r="HF133" s="70"/>
      <c r="HG133" s="70"/>
      <c r="HH133" s="70"/>
      <c r="HI133" s="70"/>
      <c r="HJ133" s="70"/>
      <c r="HK133" s="70"/>
      <c r="HL133" s="70"/>
      <c r="HM133" s="70"/>
      <c r="HN133" s="70"/>
      <c r="HO133" s="70"/>
      <c r="HP133" s="70"/>
      <c r="HQ133" s="70"/>
      <c r="HR133" s="70"/>
      <c r="HS133" s="70"/>
      <c r="HT133" s="70"/>
      <c r="HU133" s="70"/>
      <c r="HV133" s="70"/>
      <c r="HW133" s="70"/>
      <c r="HX133" s="70"/>
      <c r="HY133" s="70"/>
      <c r="HZ133" s="70"/>
      <c r="IA133" s="70"/>
      <c r="IB133" s="70"/>
      <c r="IC133" s="70"/>
      <c r="ID133" s="70"/>
      <c r="IE133" s="70"/>
      <c r="IF133" s="70"/>
      <c r="IG133" s="70"/>
      <c r="IH133" s="70"/>
      <c r="II133" s="70"/>
      <c r="IJ133" s="70"/>
      <c r="IK133" s="70"/>
      <c r="IL133" s="70"/>
      <c r="IM133" s="70"/>
      <c r="IN133" s="70"/>
      <c r="IO133" s="70"/>
      <c r="IP133" s="70"/>
    </row>
    <row r="134" spans="1:250" x14ac:dyDescent="0.2">
      <c r="A134" s="30"/>
      <c r="B134" s="30"/>
      <c r="C134" s="30"/>
      <c r="D134" s="30"/>
      <c r="E134" s="30"/>
      <c r="F134" s="30"/>
      <c r="G134" s="30"/>
      <c r="K134" s="218"/>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0"/>
      <c r="CW134" s="70"/>
      <c r="CX134" s="70"/>
      <c r="CY134" s="70"/>
      <c r="CZ134" s="70"/>
      <c r="DA134" s="70"/>
      <c r="DB134" s="70"/>
      <c r="DC134" s="70"/>
      <c r="DD134" s="70"/>
      <c r="DE134" s="70"/>
      <c r="DF134" s="70"/>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70"/>
      <c r="FR134" s="70"/>
      <c r="FS134" s="70"/>
      <c r="FT134" s="70"/>
      <c r="FU134" s="70"/>
      <c r="FV134" s="70"/>
      <c r="FW134" s="70"/>
      <c r="FX134" s="70"/>
      <c r="FY134" s="70"/>
      <c r="FZ134" s="70"/>
      <c r="GA134" s="70"/>
      <c r="GB134" s="70"/>
      <c r="GC134" s="70"/>
      <c r="GD134" s="70"/>
      <c r="GE134" s="70"/>
      <c r="GF134" s="70"/>
      <c r="GG134" s="70"/>
      <c r="GH134" s="70"/>
      <c r="GI134" s="70"/>
      <c r="GJ134" s="70"/>
      <c r="GK134" s="70"/>
      <c r="GL134" s="70"/>
      <c r="GM134" s="70"/>
      <c r="GN134" s="70"/>
      <c r="GO134" s="70"/>
      <c r="GP134" s="70"/>
      <c r="GQ134" s="70"/>
      <c r="GR134" s="70"/>
      <c r="GS134" s="70"/>
      <c r="GT134" s="70"/>
      <c r="GU134" s="70"/>
      <c r="GV134" s="70"/>
      <c r="GW134" s="70"/>
      <c r="GX134" s="70"/>
      <c r="GY134" s="70"/>
      <c r="GZ134" s="70"/>
      <c r="HA134" s="70"/>
      <c r="HB134" s="70"/>
      <c r="HC134" s="70"/>
      <c r="HD134" s="70"/>
      <c r="HE134" s="70"/>
      <c r="HF134" s="70"/>
      <c r="HG134" s="70"/>
      <c r="HH134" s="70"/>
      <c r="HI134" s="70"/>
      <c r="HJ134" s="70"/>
      <c r="HK134" s="70"/>
      <c r="HL134" s="70"/>
      <c r="HM134" s="70"/>
      <c r="HN134" s="70"/>
      <c r="HO134" s="70"/>
      <c r="HP134" s="70"/>
      <c r="HQ134" s="70"/>
      <c r="HR134" s="70"/>
      <c r="HS134" s="70"/>
      <c r="HT134" s="70"/>
      <c r="HU134" s="70"/>
      <c r="HV134" s="70"/>
      <c r="HW134" s="70"/>
      <c r="HX134" s="70"/>
      <c r="HY134" s="70"/>
      <c r="HZ134" s="70"/>
      <c r="IA134" s="70"/>
      <c r="IB134" s="70"/>
      <c r="IC134" s="70"/>
      <c r="ID134" s="70"/>
      <c r="IE134" s="70"/>
      <c r="IF134" s="70"/>
      <c r="IG134" s="70"/>
      <c r="IH134" s="70"/>
      <c r="II134" s="70"/>
      <c r="IJ134" s="70"/>
      <c r="IK134" s="70"/>
      <c r="IL134" s="70"/>
      <c r="IM134" s="70"/>
      <c r="IN134" s="70"/>
      <c r="IO134" s="70"/>
      <c r="IP134" s="70"/>
    </row>
    <row r="135" spans="1:250" x14ac:dyDescent="0.2">
      <c r="A135" s="30"/>
      <c r="B135" s="30"/>
      <c r="C135" s="30"/>
      <c r="D135" s="30"/>
      <c r="E135" s="30"/>
      <c r="F135" s="30"/>
      <c r="G135" s="30"/>
      <c r="K135" s="247"/>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c r="CC135" s="70"/>
      <c r="CD135" s="70"/>
      <c r="CE135" s="70"/>
      <c r="CF135" s="70"/>
      <c r="CG135" s="70"/>
      <c r="CH135" s="70"/>
      <c r="CI135" s="70"/>
      <c r="CJ135" s="70"/>
      <c r="CK135" s="70"/>
      <c r="CL135" s="70"/>
      <c r="CM135" s="70"/>
      <c r="CN135" s="70"/>
      <c r="CO135" s="70"/>
      <c r="CP135" s="70"/>
      <c r="CQ135" s="70"/>
      <c r="CR135" s="70"/>
      <c r="CS135" s="70"/>
      <c r="CT135" s="70"/>
      <c r="CU135" s="70"/>
      <c r="CV135" s="70"/>
      <c r="CW135" s="70"/>
      <c r="CX135" s="70"/>
      <c r="CY135" s="70"/>
      <c r="CZ135" s="70"/>
      <c r="DA135" s="70"/>
      <c r="DB135" s="70"/>
      <c r="DC135" s="70"/>
      <c r="DD135" s="70"/>
      <c r="DE135" s="70"/>
      <c r="DF135" s="70"/>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70"/>
      <c r="FR135" s="70"/>
      <c r="FS135" s="70"/>
      <c r="FT135" s="70"/>
      <c r="FU135" s="70"/>
      <c r="FV135" s="70"/>
      <c r="FW135" s="70"/>
      <c r="FX135" s="70"/>
      <c r="FY135" s="70"/>
      <c r="FZ135" s="70"/>
      <c r="GA135" s="70"/>
      <c r="GB135" s="70"/>
      <c r="GC135" s="70"/>
      <c r="GD135" s="70"/>
      <c r="GE135" s="70"/>
      <c r="GF135" s="70"/>
      <c r="GG135" s="70"/>
      <c r="GH135" s="70"/>
      <c r="GI135" s="70"/>
      <c r="GJ135" s="70"/>
      <c r="GK135" s="70"/>
      <c r="GL135" s="70"/>
      <c r="GM135" s="70"/>
      <c r="GN135" s="70"/>
      <c r="GO135" s="70"/>
      <c r="GP135" s="70"/>
      <c r="GQ135" s="70"/>
      <c r="GR135" s="70"/>
      <c r="GS135" s="70"/>
      <c r="GT135" s="70"/>
      <c r="GU135" s="70"/>
      <c r="GV135" s="70"/>
      <c r="GW135" s="70"/>
      <c r="GX135" s="70"/>
      <c r="GY135" s="70"/>
      <c r="GZ135" s="70"/>
      <c r="HA135" s="70"/>
      <c r="HB135" s="70"/>
      <c r="HC135" s="70"/>
      <c r="HD135" s="70"/>
      <c r="HE135" s="70"/>
      <c r="HF135" s="70"/>
      <c r="HG135" s="70"/>
      <c r="HH135" s="70"/>
      <c r="HI135" s="70"/>
      <c r="HJ135" s="70"/>
      <c r="HK135" s="70"/>
      <c r="HL135" s="70"/>
      <c r="HM135" s="70"/>
      <c r="HN135" s="70"/>
      <c r="HO135" s="70"/>
      <c r="HP135" s="70"/>
      <c r="HQ135" s="70"/>
      <c r="HR135" s="70"/>
      <c r="HS135" s="70"/>
      <c r="HT135" s="70"/>
      <c r="HU135" s="70"/>
      <c r="HV135" s="70"/>
      <c r="HW135" s="70"/>
      <c r="HX135" s="70"/>
      <c r="HY135" s="70"/>
      <c r="HZ135" s="70"/>
      <c r="IA135" s="70"/>
      <c r="IB135" s="70"/>
      <c r="IC135" s="70"/>
      <c r="ID135" s="70"/>
      <c r="IE135" s="70"/>
      <c r="IF135" s="70"/>
      <c r="IG135" s="70"/>
      <c r="IH135" s="70"/>
      <c r="II135" s="70"/>
      <c r="IJ135" s="70"/>
      <c r="IK135" s="70"/>
      <c r="IL135" s="70"/>
      <c r="IM135" s="70"/>
      <c r="IN135" s="70"/>
      <c r="IO135" s="70"/>
      <c r="IP135" s="70"/>
    </row>
    <row r="136" spans="1:250" x14ac:dyDescent="0.2">
      <c r="A136" s="30"/>
      <c r="B136" s="30"/>
      <c r="C136" s="30"/>
      <c r="D136" s="30"/>
      <c r="E136" s="30"/>
      <c r="F136" s="30"/>
      <c r="G136" s="30"/>
    </row>
  </sheetData>
  <sheetProtection insertRows="0"/>
  <mergeCells count="111">
    <mergeCell ref="A119:F119"/>
    <mergeCell ref="S14:T14"/>
    <mergeCell ref="Q15:R15"/>
    <mergeCell ref="S15:T15"/>
    <mergeCell ref="A63:H70"/>
    <mergeCell ref="A37:F37"/>
    <mergeCell ref="K30:L30"/>
    <mergeCell ref="A47:I47"/>
    <mergeCell ref="Q54:U54"/>
    <mergeCell ref="K28:L29"/>
    <mergeCell ref="A34:F34"/>
    <mergeCell ref="Q56:U56"/>
    <mergeCell ref="S57:T57"/>
    <mergeCell ref="S58:T58"/>
    <mergeCell ref="Q67:T67"/>
    <mergeCell ref="Q14:R14"/>
    <mergeCell ref="A133:G133"/>
    <mergeCell ref="L94:U94"/>
    <mergeCell ref="L105:U107"/>
    <mergeCell ref="A40:F40"/>
    <mergeCell ref="L114:U116"/>
    <mergeCell ref="L117:U117"/>
    <mergeCell ref="L118:U119"/>
    <mergeCell ref="A39:F39"/>
    <mergeCell ref="Q55:U55"/>
    <mergeCell ref="S82:S83"/>
    <mergeCell ref="U82:U83"/>
    <mergeCell ref="N82:N83"/>
    <mergeCell ref="A106:G107"/>
    <mergeCell ref="A109:G109"/>
    <mergeCell ref="A108:F108"/>
    <mergeCell ref="A96:G96"/>
    <mergeCell ref="T100:U100"/>
    <mergeCell ref="L100:M100"/>
    <mergeCell ref="A95:F95"/>
    <mergeCell ref="B91:F91"/>
    <mergeCell ref="A94:G94"/>
    <mergeCell ref="A131:F131"/>
    <mergeCell ref="B110:G110"/>
    <mergeCell ref="G87:H87"/>
    <mergeCell ref="A7:J7"/>
    <mergeCell ref="Q11:U11"/>
    <mergeCell ref="M28:M29"/>
    <mergeCell ref="K14:L14"/>
    <mergeCell ref="K15:L15"/>
    <mergeCell ref="G14:H14"/>
    <mergeCell ref="G15:H15"/>
    <mergeCell ref="G19:H19"/>
    <mergeCell ref="G20:H20"/>
    <mergeCell ref="G21:H21"/>
    <mergeCell ref="G16:H16"/>
    <mergeCell ref="G22:H22"/>
    <mergeCell ref="S12:T12"/>
    <mergeCell ref="Q12:R12"/>
    <mergeCell ref="G23:H23"/>
    <mergeCell ref="G24:H24"/>
    <mergeCell ref="G25:H25"/>
    <mergeCell ref="G26:H26"/>
    <mergeCell ref="G17:H17"/>
    <mergeCell ref="G18:H18"/>
    <mergeCell ref="J28:J29"/>
    <mergeCell ref="Q13:R13"/>
    <mergeCell ref="S13:T13"/>
    <mergeCell ref="R82:R83"/>
    <mergeCell ref="B121:G121"/>
    <mergeCell ref="A129:F129"/>
    <mergeCell ref="A118:G118"/>
    <mergeCell ref="A128:G128"/>
    <mergeCell ref="A130:G130"/>
    <mergeCell ref="A120:G120"/>
    <mergeCell ref="L113:U113"/>
    <mergeCell ref="A71:H72"/>
    <mergeCell ref="T77:U77"/>
    <mergeCell ref="A81:F81"/>
    <mergeCell ref="C82:F82"/>
    <mergeCell ref="A73:B73"/>
    <mergeCell ref="A82:B82"/>
    <mergeCell ref="S76:U76"/>
    <mergeCell ref="A83:B83"/>
    <mergeCell ref="A86:H86"/>
    <mergeCell ref="C87:D87"/>
    <mergeCell ref="C88:D88"/>
    <mergeCell ref="A87:B87"/>
    <mergeCell ref="L101:M101"/>
    <mergeCell ref="C83:F83"/>
    <mergeCell ref="B97:G97"/>
    <mergeCell ref="A88:B88"/>
    <mergeCell ref="T82:T83"/>
    <mergeCell ref="L108:U110"/>
    <mergeCell ref="L111:U112"/>
    <mergeCell ref="S59:T59"/>
    <mergeCell ref="S60:T60"/>
    <mergeCell ref="S61:T61"/>
    <mergeCell ref="S62:T62"/>
    <mergeCell ref="S63:T63"/>
    <mergeCell ref="S64:T64"/>
    <mergeCell ref="S65:T65"/>
    <mergeCell ref="S66:T66"/>
    <mergeCell ref="L93:Q93"/>
    <mergeCell ref="L82:L83"/>
    <mergeCell ref="L102:M102"/>
    <mergeCell ref="N102:P102"/>
    <mergeCell ref="Q102:S102"/>
    <mergeCell ref="M82:M83"/>
    <mergeCell ref="P82:Q83"/>
    <mergeCell ref="T78:U78"/>
    <mergeCell ref="N100:P100"/>
    <mergeCell ref="N101:P101"/>
    <mergeCell ref="Q100:S100"/>
    <mergeCell ref="Q101:S101"/>
    <mergeCell ref="O82:O83"/>
  </mergeCells>
  <phoneticPr fontId="95" type="noConversion"/>
  <dataValidations xWindow="807" yWindow="299" count="9">
    <dataValidation allowBlank="1" showInputMessage="1" showErrorMessage="1" errorTitle="CCT's Utilizadas" error="- Para obter os valores dos benefícios, alterar o Sindicato;_x000a_- Qdo a categoria for a do SINDBOMBEIROS ou SINDESV, incluir mais linhas no campo &quot;Seguro de Vida&quot; para as outras categorias e buscar na aba BENEFÍCIOS os valores" sqref="O50:R53"/>
    <dataValidation allowBlank="1" showInputMessage="1" showErrorMessage="1" errorTitle="Tributação" error="- Alteração, exclusão e inclusão das aliquotas somente na aba CCT'S" promptTitle="Tributação" prompt="- Não alterar manualmente. Para alterar as alíquotas, ir na Coluna &quot;Tributação&quot; e mudar o tipo de tributação" sqref="E88"/>
    <dataValidation allowBlank="1" showInputMessage="1" showErrorMessage="1" errorTitle="Normativos" error="- Não alterar manualmente." promptTitle="Normativos" prompt="- Não alterar manualmente. Os valores do Salário Normativo da Categoria será alterado no momento da escolha do Sindicato, já o Salário Normativo Mínimo, será alterado na planilha &quot;CCT'S&quot;." sqref="M14:M15"/>
    <dataValidation allowBlank="1" showInputMessage="1" showErrorMessage="1" errorTitle="Atenção" error="- Alteração, exclusão e inclusão das aliquotas somente na aba CCT'S" promptTitle="Alíquotas dos Tributos" prompt="- Não alterar manualmente. Para alterar as alíquotas, ir na Coluna &quot;Tributação&quot; e mudar o tipo de tributação" sqref="F88"/>
    <dataValidation allowBlank="1" showInputMessage="1" showErrorMessage="1" error="- Não alterar manualmente. Com exceção se o Edital estabelecer o salário diferente da CCT." promptTitle="Salário" prompt="- Não alterar manualmente. Para alterar os salários, ir no campo &quot;FUNÇÃO&quot; e escolher no Drop-Drown a categoria;_x000a_- Com exceção se o Edital estabelecer o salário diferente da CCT e se for maior." sqref="U84:U92"/>
    <dataValidation allowBlank="1" showInputMessage="1" showErrorMessage="1" errorTitle="Atenção" error="Não alterar manualmente. As alterações, exclusões e inclusão serão na planilha &quot;CCT'S&quot;" promptTitle="Percentuais" prompt="Não alterar manualmente. As alterações, exclusões e inclusão serão na planilha &quot;CCT'S&quot;" sqref="G33:G41"/>
    <dataValidation allowBlank="1" showInputMessage="1" showErrorMessage="1" errorTitle="Tributação" error="- Alteração, exclusão e inclusão das aliquotas somente na aba CCT'S" promptTitle="Tributação" prompt="- Não alterar manualmente. Para alterar as alíquotas, ir na coluna &quot;Tributação&quot; e mudar o tipo de tributação" sqref="C88:D88"/>
    <dataValidation allowBlank="1" sqref="U12:U15"/>
    <dataValidation allowBlank="1" showInputMessage="1" sqref="M30"/>
  </dataValidations>
  <printOptions horizontalCentered="1"/>
  <pageMargins left="0.32" right="0.31" top="0.6" bottom="0.45" header="0.3" footer="0.3"/>
  <pageSetup paperSize="9" scale="35" fitToHeight="0" orientation="portrait" r:id="rId1"/>
  <headerFooter alignWithMargins="0"/>
  <ignoredErrors>
    <ignoredError sqref="G36" unlockedFormula="1"/>
  </ignoredErrors>
  <drawing r:id="rId2"/>
  <mc:AlternateContent xmlns:mc="http://schemas.openxmlformats.org/markup-compatibility/2006">
    <mc:Choice Requires="v">
      <legacyDrawing r:id="rId3"/>
    </mc:Choice>
  </mc:AlternateContent>
  <extLst>
    <ext xmlns:x14="http://schemas.microsoft.com/office/spreadsheetml/2009/9/main" uri="{CCE6A557-97BC-4b89-ADB6-D9C93CAAB3DF}">
      <x14:dataValidations xmlns:xm="http://schemas.microsoft.com/office/excel/2006/main" xWindow="807" yWindow="299" count="10">
        <x14:dataValidation type="list" allowBlank="1" showInputMessage="1" showErrorMessage="1" errorTitle="Tributação " error="- Alteração, exclusão e inclusão das alíquotas somente na aba CCT'S" promptTitle="Tributação" prompt="Alterar alíquotas dos Tributos conforme tipo de Tributação da Empresa: PRESUMIDO; REAL e DACON">
          <x14:formula1>
            <xm:f>'CCT''S'!$A$136:$A$138</xm:f>
          </x14:formula1>
          <xm:sqref>A88</xm:sqref>
        </x14:dataValidation>
        <x14:dataValidation type="list" allowBlank="1" showInputMessage="1" showErrorMessage="1">
          <x14:formula1>
            <xm:f>'CCT''S'!$A$26:$A$27</xm:f>
          </x14:formula1>
          <xm:sqref>A34</xm:sqref>
        </x14:dataValidation>
        <x14:dataValidation type="list" allowBlank="1" showInputMessage="1" showErrorMessage="1">
          <x14:formula1>
            <xm:f>'CCT''S'!$A$30:$A$32</xm:f>
          </x14:formula1>
          <xm:sqref>A37</xm:sqref>
        </x14:dataValidation>
        <x14:dataValidation type="list" allowBlank="1" showInputMessage="1" showErrorMessage="1">
          <x14:formula1>
            <xm:f>'CCT''S'!$A$35:$A$40</xm:f>
          </x14:formula1>
          <xm:sqref>A39</xm:sqref>
        </x14:dataValidation>
        <x14:dataValidation type="list" allowBlank="1" showInputMessage="1" showErrorMessage="1">
          <x14:formula1>
            <xm:f>'CCT''S'!$A$41:$A$43</xm:f>
          </x14:formula1>
          <xm:sqref>A40</xm:sqref>
        </x14:dataValidation>
        <x14:dataValidation type="list" allowBlank="1" showInputMessage="1" showErrorMessage="1" promptTitle="Vale Transporte" prompt="- Alterando o tipo de Vale Transporte, automaticamente será alterado os valores.">
          <x14:formula1>
            <xm:f>'CCT''S'!$A$69:$A$72</xm:f>
          </x14:formula1>
          <xm:sqref>Q12:R15</xm:sqref>
        </x14:dataValidation>
        <x14:dataValidation type="list" allowBlank="1" showInputMessage="1" showErrorMessage="1" promptTitle="Jornada de Trabalho" prompt="- Alterando a carga horária, automaticamente será alterado os dias trabalhados._x000a_">
          <x14:formula1>
            <xm:f>'CCT''S'!$E$76:$E$84</xm:f>
          </x14:formula1>
          <xm:sqref>J30</xm:sqref>
        </x14:dataValidation>
        <x14:dataValidation type="list" allowBlank="1" showInputMessage="1" showErrorMessage="1" errorTitle="CCT's" error="- Alteração, exclusão e inclusão de itens somente na planilha &quot;BENEFÍCIOS&quot;." promptTitle="CCT's" prompt="- Para obter os valores dos itens, escolher o Sindicato da categoria correspondente;_x000a_- Qdo for a CCT SINDIBOMBEIROS: Incluir mais linhas no campo &quot;Seguro de Vida&quot; e buscar na planilha &quot;BENEFÍCIOS&quot; os valores p/ as outras categoria;_x000a__x000a_">
          <x14:formula1>
            <xm:f>BENEFÍCIOS!$B$8:$O$8</xm:f>
          </x14:formula1>
          <xm:sqref>J47:K47</xm:sqref>
        </x14:dataValidation>
        <x14:dataValidation type="list" allowBlank="1" showInputMessage="1" showErrorMessage="1">
          <x14:formula1>
            <xm:f>ENCARGOS!$D$13:$L$13</xm:f>
          </x14:formula1>
          <xm:sqref>G91</xm:sqref>
        </x14:dataValidation>
        <x14:dataValidation type="list" allowBlank="1" showInputMessage="1" showErrorMessage="1" errorTitle="Atenção" error="Não alterar manualmente." promptTitle="Função" prompt="Para obter o salário automaticamente, só incluir a nomenclatura igual estabelecido no Drop-Down FUNÇÃO.">
          <x14:formula1>
            <xm:f>rascunho!$A$2:$A$288</xm:f>
          </x14:formula1>
          <xm:sqref>M84:M92</xm:sqref>
        </x14:dataValidation>
      </x14:dataValidations>
    </ext>
  </extLst>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2">
    <tabColor rgb="FFFFFF00"/>
    <pageSetUpPr fitToPage="1"/>
  </sheetPr>
  <dimension ref="A1:Q108"/>
  <sheetViews>
    <sheetView tabSelected="1" view="pageBreakPreview" topLeftCell="A8" zoomScale="80" zoomScaleNormal="100" zoomScaleSheetLayoutView="80" workbookViewId="0">
      <selection activeCell="H32" sqref="H32"/>
    </sheetView>
  </sheetViews>
  <sheetFormatPr defaultRowHeight="18" x14ac:dyDescent="0.2"/>
  <cols>
    <col min="1" max="1" width="8.85546875" style="78" customWidth="1"/>
    <col min="2" max="2" width="27.5703125" style="78" customWidth="1"/>
    <col min="3" max="3" width="46.85546875" style="78" customWidth="1"/>
    <col min="4" max="4" width="14.7109375" style="78" customWidth="1"/>
    <col min="5" max="5" width="19.7109375" style="78" customWidth="1"/>
    <col min="6" max="6" width="19.85546875" style="78" hidden="1" customWidth="1"/>
    <col min="7" max="7" width="18.140625" style="78" customWidth="1"/>
    <col min="8" max="8" width="12.42578125" style="78" customWidth="1"/>
    <col min="9" max="9" width="13.7109375" style="78" customWidth="1"/>
    <col min="10" max="10" width="12.42578125" style="78" customWidth="1"/>
    <col min="11" max="11" width="13.7109375" style="78" customWidth="1"/>
    <col min="12" max="12" width="10" style="93" bestFit="1" customWidth="1"/>
    <col min="13" max="13" width="13.7109375" style="93" bestFit="1" customWidth="1"/>
    <col min="14" max="15" width="9.140625" style="93"/>
    <col min="16" max="16" width="12.28515625" style="93" bestFit="1" customWidth="1"/>
    <col min="17" max="16384" width="9.140625" style="93"/>
  </cols>
  <sheetData>
    <row r="1" spans="1:17" hidden="1" x14ac:dyDescent="0.2">
      <c r="A1" s="77" t="str">
        <f>Dados!A1</f>
        <v>PROPOSTA Nº 265/2021</v>
      </c>
      <c r="Q1" s="1223"/>
    </row>
    <row r="2" spans="1:17" ht="22.5" customHeight="1" x14ac:dyDescent="0.2"/>
    <row r="3" spans="1:17" s="1224" customFormat="1" x14ac:dyDescent="0.2">
      <c r="A3" s="78" t="s">
        <v>1402</v>
      </c>
      <c r="B3" s="77"/>
      <c r="C3" s="77"/>
      <c r="D3" s="77"/>
      <c r="E3" s="77"/>
      <c r="F3" s="77"/>
      <c r="G3" s="77"/>
      <c r="H3" s="77"/>
      <c r="I3" s="77"/>
      <c r="J3" s="77"/>
      <c r="K3" s="77"/>
    </row>
    <row r="4" spans="1:17" s="1224" customFormat="1" x14ac:dyDescent="0.2">
      <c r="A4" s="79" t="str">
        <f>Dados!A5</f>
        <v>CONSELHO DA JUSTIÇA FEDERAL – CJF</v>
      </c>
      <c r="B4" s="77"/>
      <c r="C4" s="77"/>
      <c r="D4" s="77"/>
      <c r="E4" s="77"/>
      <c r="F4" s="77"/>
      <c r="G4" s="77"/>
      <c r="H4" s="77"/>
      <c r="I4" s="77"/>
      <c r="J4" s="78"/>
      <c r="K4" s="77"/>
    </row>
    <row r="5" spans="1:17" s="1224" customFormat="1" x14ac:dyDescent="0.2">
      <c r="A5" s="80" t="str">
        <f>Dados!A6</f>
        <v>Secretaria</v>
      </c>
      <c r="B5" s="77"/>
      <c r="C5" s="77"/>
      <c r="D5" s="77"/>
      <c r="E5" s="77"/>
      <c r="F5" s="77"/>
      <c r="G5" s="77"/>
      <c r="H5" s="77"/>
      <c r="I5" s="77"/>
      <c r="J5" s="78"/>
      <c r="K5" s="77"/>
    </row>
    <row r="6" spans="1:17" s="1224" customFormat="1" x14ac:dyDescent="0.2">
      <c r="A6" s="80" t="str">
        <f>Dados!A7</f>
        <v>SCES, Trecho III, Polo 08, Lote 09 e SAAN Quadra 01 Lotes 10/70, Brasília/DF</v>
      </c>
      <c r="B6" s="77"/>
      <c r="C6" s="77"/>
      <c r="D6" s="77"/>
      <c r="E6" s="77"/>
      <c r="F6" s="77"/>
      <c r="G6" s="77"/>
      <c r="H6" s="77"/>
      <c r="I6" s="77"/>
      <c r="J6" s="78"/>
      <c r="K6" s="77"/>
    </row>
    <row r="7" spans="1:17" s="1224" customFormat="1" x14ac:dyDescent="0.2">
      <c r="A7" s="80" t="str">
        <f>"Processo Administrativo nº:" &amp; " " &amp; Dados!G14</f>
        <v>Processo Administrativo nº: 0001561-97.2021.4.90.8000</v>
      </c>
      <c r="B7" s="77"/>
      <c r="C7" s="77"/>
      <c r="D7" s="77"/>
      <c r="E7" s="77"/>
      <c r="F7" s="77"/>
      <c r="G7" s="77"/>
      <c r="H7" s="77"/>
      <c r="I7" s="77"/>
      <c r="J7" s="78"/>
      <c r="K7" s="77"/>
    </row>
    <row r="8" spans="1:17" ht="9.75" customHeight="1" x14ac:dyDescent="0.2">
      <c r="A8" s="81"/>
    </row>
    <row r="9" spans="1:17" x14ac:dyDescent="0.2">
      <c r="A9" s="77" t="s">
        <v>1314</v>
      </c>
    </row>
    <row r="10" spans="1:17" x14ac:dyDescent="0.2">
      <c r="A10" s="81"/>
    </row>
    <row r="11" spans="1:17" x14ac:dyDescent="0.2">
      <c r="A11" s="77" t="s">
        <v>705</v>
      </c>
      <c r="B11" s="79" t="str">
        <f>Dados!A9</f>
        <v>PREGÃO ELETRÔNICO Nº32/2021-CJF</v>
      </c>
    </row>
    <row r="12" spans="1:17" x14ac:dyDescent="0.2">
      <c r="A12" s="77" t="str">
        <f>"Data da abertura: "&amp;TEXT(Dados!G15,"dd/mm/aaaa")&amp; " às " &amp; "" &amp; TEXT(Dados!G18,"hh:mm")&amp; " " &amp; "horas"</f>
        <v>Data da abertura: 15/10/2021 às 10:00 horas</v>
      </c>
      <c r="B12" s="79"/>
    </row>
    <row r="13" spans="1:17" x14ac:dyDescent="0.2">
      <c r="A13" s="81"/>
    </row>
    <row r="14" spans="1:17" x14ac:dyDescent="0.2">
      <c r="B14" s="80" t="s">
        <v>1315</v>
      </c>
    </row>
    <row r="15" spans="1:17" ht="7.5" customHeight="1" x14ac:dyDescent="0.2"/>
    <row r="16" spans="1:17" ht="12.75" customHeight="1" x14ac:dyDescent="0.2">
      <c r="A16" s="1563" t="s">
        <v>1412</v>
      </c>
      <c r="B16" s="1563"/>
      <c r="C16" s="1563"/>
      <c r="D16" s="1563"/>
      <c r="E16" s="1563"/>
      <c r="F16" s="1563"/>
      <c r="G16" s="1563"/>
      <c r="H16" s="1563"/>
      <c r="I16" s="1563"/>
      <c r="J16" s="1563"/>
      <c r="K16" s="1563"/>
    </row>
    <row r="17" spans="1:16" ht="6.75" customHeight="1" x14ac:dyDescent="0.2">
      <c r="A17" s="1563"/>
      <c r="B17" s="1563"/>
      <c r="C17" s="1563"/>
      <c r="D17" s="1563"/>
      <c r="E17" s="1563"/>
      <c r="F17" s="1563"/>
      <c r="G17" s="1563"/>
      <c r="H17" s="1563"/>
      <c r="I17" s="1563"/>
      <c r="J17" s="1563"/>
      <c r="K17" s="1563"/>
    </row>
    <row r="18" spans="1:16" ht="16.5" customHeight="1" x14ac:dyDescent="0.2">
      <c r="A18" s="1563"/>
      <c r="B18" s="1563"/>
      <c r="C18" s="1563"/>
      <c r="D18" s="1563"/>
      <c r="E18" s="1563"/>
      <c r="F18" s="1563"/>
      <c r="G18" s="1563"/>
      <c r="H18" s="1563"/>
      <c r="I18" s="1563"/>
      <c r="J18" s="1563"/>
      <c r="K18" s="1563"/>
    </row>
    <row r="19" spans="1:16" ht="6" customHeight="1" x14ac:dyDescent="0.2"/>
    <row r="20" spans="1:16" s="82" customFormat="1" ht="45.75" customHeight="1" x14ac:dyDescent="0.2">
      <c r="A20" s="1578" t="s">
        <v>72</v>
      </c>
      <c r="B20" s="1580" t="s">
        <v>100</v>
      </c>
      <c r="C20" s="1581"/>
      <c r="D20" s="1582"/>
      <c r="E20" s="1217" t="s">
        <v>710</v>
      </c>
      <c r="F20" s="1586" t="s">
        <v>73</v>
      </c>
      <c r="G20" s="1217" t="s">
        <v>86</v>
      </c>
      <c r="H20" s="1576" t="s">
        <v>1451</v>
      </c>
      <c r="I20" s="1577"/>
      <c r="J20" s="1576" t="s">
        <v>711</v>
      </c>
      <c r="K20" s="1577"/>
      <c r="P20" s="83"/>
    </row>
    <row r="21" spans="1:16" s="82" customFormat="1" ht="30" customHeight="1" x14ac:dyDescent="0.2">
      <c r="A21" s="1579"/>
      <c r="B21" s="1583"/>
      <c r="C21" s="1584"/>
      <c r="D21" s="1585"/>
      <c r="E21" s="84" t="s">
        <v>137</v>
      </c>
      <c r="F21" s="1587"/>
      <c r="G21" s="85" t="s">
        <v>138</v>
      </c>
      <c r="H21" s="1574" t="s">
        <v>139</v>
      </c>
      <c r="I21" s="1575"/>
      <c r="J21" s="1574" t="s">
        <v>145</v>
      </c>
      <c r="K21" s="1575"/>
      <c r="P21" s="83"/>
    </row>
    <row r="22" spans="1:16" s="90" customFormat="1" ht="27.75" customHeight="1" x14ac:dyDescent="0.2">
      <c r="A22" s="188">
        <v>1</v>
      </c>
      <c r="B22" s="1569" t="str">
        <f>Dados!P84</f>
        <v>Encarregado de segunda a sexta-feira - 44 horas semanais</v>
      </c>
      <c r="C22" s="1570"/>
      <c r="D22" s="1571"/>
      <c r="E22" s="86">
        <f>Resumo!D12</f>
        <v>8391.2099999999991</v>
      </c>
      <c r="F22" s="87">
        <f>Dados!R84</f>
        <v>2</v>
      </c>
      <c r="G22" s="87">
        <f>Dados!T84</f>
        <v>2</v>
      </c>
      <c r="H22" s="1567">
        <f>E22*G22</f>
        <v>16782.419999999998</v>
      </c>
      <c r="I22" s="1568"/>
      <c r="J22" s="1567">
        <f>H22*Dados!$G$26</f>
        <v>201389.04</v>
      </c>
      <c r="K22" s="1568"/>
      <c r="L22" s="88"/>
      <c r="M22" s="89"/>
    </row>
    <row r="23" spans="1:16" s="90" customFormat="1" ht="27.75" customHeight="1" x14ac:dyDescent="0.2">
      <c r="A23" s="1150">
        <v>2</v>
      </c>
      <c r="B23" s="1569" t="str">
        <f>Dados!P85</f>
        <v>Servente de segunda a sexta-feira - 44 horas semanais</v>
      </c>
      <c r="C23" s="1570"/>
      <c r="D23" s="1571"/>
      <c r="E23" s="86">
        <f>Resumo!D13</f>
        <v>3783.29</v>
      </c>
      <c r="F23" s="87">
        <f>Dados!R85</f>
        <v>27</v>
      </c>
      <c r="G23" s="87">
        <f>Dados!T85</f>
        <v>27</v>
      </c>
      <c r="H23" s="1567">
        <f t="shared" ref="H23:H30" si="0">E23*G23</f>
        <v>102148.83</v>
      </c>
      <c r="I23" s="1568"/>
      <c r="J23" s="1567">
        <f>H23*Dados!$G$26</f>
        <v>1225785.96</v>
      </c>
      <c r="K23" s="1568"/>
      <c r="L23" s="88"/>
      <c r="M23" s="89"/>
    </row>
    <row r="24" spans="1:16" s="90" customFormat="1" ht="27.75" customHeight="1" x14ac:dyDescent="0.2">
      <c r="A24" s="188">
        <v>3</v>
      </c>
      <c r="B24" s="1569" t="str">
        <f>Dados!P86</f>
        <v>Mensageiro de segunda a sexta-feira - 44 horas semanais</v>
      </c>
      <c r="C24" s="1570"/>
      <c r="D24" s="1571"/>
      <c r="E24" s="86">
        <f>Resumo!D14</f>
        <v>3839.74</v>
      </c>
      <c r="F24" s="87">
        <f>Dados!R86</f>
        <v>1</v>
      </c>
      <c r="G24" s="87">
        <f>Dados!T86</f>
        <v>1</v>
      </c>
      <c r="H24" s="1567">
        <f t="shared" si="0"/>
        <v>3839.74</v>
      </c>
      <c r="I24" s="1568"/>
      <c r="J24" s="1567">
        <f>H24*Dados!$G$26</f>
        <v>46076.88</v>
      </c>
      <c r="K24" s="1568"/>
      <c r="L24" s="88"/>
      <c r="M24" s="89"/>
    </row>
    <row r="25" spans="1:16" s="90" customFormat="1" ht="27.75" customHeight="1" x14ac:dyDescent="0.2">
      <c r="A25" s="1150">
        <v>4</v>
      </c>
      <c r="B25" s="1569" t="str">
        <f>Dados!P87</f>
        <v>Operador de Máquina Reprográfica de segunda a sexta-feira - 44 horas semanais</v>
      </c>
      <c r="C25" s="1570"/>
      <c r="D25" s="1571"/>
      <c r="E25" s="86">
        <f>Resumo!D15</f>
        <v>3839.74</v>
      </c>
      <c r="F25" s="87">
        <f>Dados!R87</f>
        <v>1</v>
      </c>
      <c r="G25" s="87">
        <f>Dados!T87</f>
        <v>1</v>
      </c>
      <c r="H25" s="1567">
        <f t="shared" si="0"/>
        <v>3839.74</v>
      </c>
      <c r="I25" s="1568"/>
      <c r="J25" s="1567">
        <f>H25*Dados!$G$26</f>
        <v>46076.88</v>
      </c>
      <c r="K25" s="1568"/>
      <c r="L25" s="88"/>
      <c r="M25" s="89"/>
    </row>
    <row r="26" spans="1:16" s="90" customFormat="1" ht="27.75" customHeight="1" x14ac:dyDescent="0.2">
      <c r="A26" s="188">
        <v>5</v>
      </c>
      <c r="B26" s="1569" t="str">
        <f>Dados!P88</f>
        <v>Garçom de segunda a sexta-feira - 44 horas semanais</v>
      </c>
      <c r="C26" s="1570"/>
      <c r="D26" s="1571"/>
      <c r="E26" s="86">
        <f>Resumo!D16</f>
        <v>6089.35</v>
      </c>
      <c r="F26" s="87">
        <f>Dados!R88</f>
        <v>3</v>
      </c>
      <c r="G26" s="87">
        <f>Dados!T88</f>
        <v>3</v>
      </c>
      <c r="H26" s="1567">
        <f t="shared" si="0"/>
        <v>18268.05</v>
      </c>
      <c r="I26" s="1568"/>
      <c r="J26" s="1567">
        <f>H26*Dados!$G$26</f>
        <v>219216.6</v>
      </c>
      <c r="K26" s="1568"/>
      <c r="L26" s="88"/>
      <c r="M26" s="89"/>
    </row>
    <row r="27" spans="1:16" s="90" customFormat="1" ht="27.75" customHeight="1" x14ac:dyDescent="0.2">
      <c r="A27" s="1150">
        <v>6</v>
      </c>
      <c r="B27" s="1569" t="str">
        <f>Dados!P89</f>
        <v>Copeira de segunda a sexta-feira - 44 horas semanais</v>
      </c>
      <c r="C27" s="1570"/>
      <c r="D27" s="1571"/>
      <c r="E27" s="86">
        <f>Resumo!D17</f>
        <v>4667.32</v>
      </c>
      <c r="F27" s="87">
        <f>Dados!R89</f>
        <v>3</v>
      </c>
      <c r="G27" s="87">
        <f>Dados!T89</f>
        <v>3</v>
      </c>
      <c r="H27" s="1567">
        <f t="shared" si="0"/>
        <v>14001.96</v>
      </c>
      <c r="I27" s="1568"/>
      <c r="J27" s="1567">
        <f>H27*Dados!$G$26</f>
        <v>168023.52</v>
      </c>
      <c r="K27" s="1568"/>
      <c r="L27" s="88"/>
      <c r="M27" s="89"/>
    </row>
    <row r="28" spans="1:16" s="90" customFormat="1" ht="27.75" customHeight="1" x14ac:dyDescent="0.2">
      <c r="A28" s="188">
        <v>7</v>
      </c>
      <c r="B28" s="1569" t="str">
        <f>Dados!P90</f>
        <v>Recepcionista de segunda a sexta-feira - 44 horas semanais</v>
      </c>
      <c r="C28" s="1570"/>
      <c r="D28" s="1571"/>
      <c r="E28" s="86">
        <f>Resumo!D18</f>
        <v>6064.62</v>
      </c>
      <c r="F28" s="87">
        <f>Dados!R90</f>
        <v>12</v>
      </c>
      <c r="G28" s="87">
        <f>Dados!T90</f>
        <v>12</v>
      </c>
      <c r="H28" s="1567">
        <f t="shared" si="0"/>
        <v>72775.44</v>
      </c>
      <c r="I28" s="1568"/>
      <c r="J28" s="1567">
        <f>H28*Dados!$G$26</f>
        <v>873305.28</v>
      </c>
      <c r="K28" s="1568"/>
      <c r="L28" s="88"/>
      <c r="M28" s="89"/>
    </row>
    <row r="29" spans="1:16" s="90" customFormat="1" ht="27.75" customHeight="1" x14ac:dyDescent="0.2">
      <c r="A29" s="1150">
        <v>8</v>
      </c>
      <c r="B29" s="1569" t="str">
        <f>Dados!P91</f>
        <v>Jauzeiro de segunda a sexta-feira - 44 horas semanais</v>
      </c>
      <c r="C29" s="1570"/>
      <c r="D29" s="1571"/>
      <c r="E29" s="86">
        <f>Resumo!D19</f>
        <v>5336.08</v>
      </c>
      <c r="F29" s="87">
        <f>Dados!R91</f>
        <v>2</v>
      </c>
      <c r="G29" s="87">
        <f>Dados!T91</f>
        <v>2</v>
      </c>
      <c r="H29" s="1567">
        <f t="shared" si="0"/>
        <v>10672.16</v>
      </c>
      <c r="I29" s="1568"/>
      <c r="J29" s="1567">
        <f>H29*Dados!$G$26</f>
        <v>128065.92</v>
      </c>
      <c r="K29" s="1568"/>
      <c r="L29" s="88"/>
      <c r="M29" s="89"/>
    </row>
    <row r="30" spans="1:16" s="90" customFormat="1" ht="27.75" customHeight="1" x14ac:dyDescent="0.2">
      <c r="A30" s="188">
        <v>9</v>
      </c>
      <c r="B30" s="1569" t="str">
        <f>Dados!P92</f>
        <v>Técnico em secretariado de segunda a sexta-feira - 44 horas semanais</v>
      </c>
      <c r="C30" s="1570"/>
      <c r="D30" s="1571"/>
      <c r="E30" s="86">
        <f>Resumo!D20</f>
        <v>7959.81</v>
      </c>
      <c r="F30" s="87">
        <f>Dados!R92</f>
        <v>7</v>
      </c>
      <c r="G30" s="87">
        <f>Dados!T92</f>
        <v>7</v>
      </c>
      <c r="H30" s="1567">
        <f t="shared" si="0"/>
        <v>55718.67</v>
      </c>
      <c r="I30" s="1568"/>
      <c r="J30" s="1567">
        <f>H30*Dados!$G$26</f>
        <v>668624.04</v>
      </c>
      <c r="K30" s="1568"/>
      <c r="L30" s="88"/>
      <c r="M30" s="89"/>
    </row>
    <row r="31" spans="1:16" ht="24" customHeight="1" x14ac:dyDescent="0.2">
      <c r="A31" s="1590" t="s">
        <v>59</v>
      </c>
      <c r="B31" s="1591"/>
      <c r="C31" s="1591"/>
      <c r="D31" s="1592"/>
      <c r="E31" s="91" t="s">
        <v>60</v>
      </c>
      <c r="F31" s="92">
        <f>SUM(F22:F30)</f>
        <v>58</v>
      </c>
      <c r="G31" s="92">
        <f>SUM(G22:G30)</f>
        <v>58</v>
      </c>
      <c r="H31" s="1588">
        <f>SUM(H22:I30)</f>
        <v>298047.01</v>
      </c>
      <c r="I31" s="1589"/>
      <c r="J31" s="1588">
        <f>SUM(J22:K30)</f>
        <v>3576564.12</v>
      </c>
      <c r="K31" s="1589"/>
    </row>
    <row r="32" spans="1:16" s="94" customFormat="1" ht="7.5" customHeight="1" x14ac:dyDescent="0.2">
      <c r="A32" s="78"/>
      <c r="B32" s="78"/>
      <c r="C32" s="78"/>
      <c r="D32" s="78"/>
      <c r="E32" s="78"/>
      <c r="F32" s="78"/>
      <c r="G32" s="78"/>
      <c r="H32" s="78"/>
      <c r="I32" s="78"/>
      <c r="J32" s="78"/>
      <c r="K32" s="78"/>
    </row>
    <row r="33" spans="1:11" s="94" customFormat="1" x14ac:dyDescent="0.2">
      <c r="A33" s="768" t="e">
        <f ca="1">"- Valor total mensal:"&amp;" "&amp;TEXT($H$31,"R$ ##.#00,00")&amp;" "&amp;"("&amp;""&amp;PassaExtenso($H$31)&amp;""&amp;")"</f>
        <v>#NAME?</v>
      </c>
      <c r="B33" s="78"/>
      <c r="C33" s="78"/>
      <c r="D33" s="78"/>
      <c r="E33" s="78"/>
      <c r="F33" s="78"/>
      <c r="G33" s="78"/>
      <c r="H33" s="78"/>
      <c r="I33" s="78"/>
      <c r="J33" s="78"/>
      <c r="K33" s="78"/>
    </row>
    <row r="34" spans="1:11" s="94" customFormat="1" x14ac:dyDescent="0.2">
      <c r="A34" s="768" t="e">
        <f ca="1">"- Valor total anual:"&amp;" "&amp;TEXT($J$31,"R$ ##.#00,00")&amp;" "&amp;"("&amp;""&amp;PassaExtenso($J$31)&amp;""&amp;")"</f>
        <v>#NAME?</v>
      </c>
      <c r="B34" s="78"/>
      <c r="C34" s="78"/>
      <c r="D34" s="78"/>
      <c r="E34" s="78"/>
      <c r="F34" s="78"/>
      <c r="G34" s="78"/>
      <c r="H34" s="78"/>
      <c r="I34" s="78"/>
      <c r="J34" s="78"/>
      <c r="K34" s="78"/>
    </row>
    <row r="35" spans="1:11" s="94" customFormat="1" x14ac:dyDescent="0.2">
      <c r="A35" s="78"/>
      <c r="B35" s="78"/>
      <c r="C35" s="78"/>
      <c r="D35" s="78"/>
      <c r="E35" s="78"/>
      <c r="F35" s="78"/>
      <c r="G35" s="78"/>
      <c r="H35" s="78"/>
      <c r="I35" s="78"/>
      <c r="J35" s="78"/>
      <c r="K35" s="78"/>
    </row>
    <row r="36" spans="1:11" ht="20.25" customHeight="1" x14ac:dyDescent="0.2">
      <c r="A36" s="78" t="s">
        <v>61</v>
      </c>
      <c r="C36" s="1563" t="s">
        <v>1433</v>
      </c>
      <c r="D36" s="1563"/>
      <c r="E36" s="1563"/>
      <c r="F36" s="1563"/>
      <c r="G36" s="1563"/>
      <c r="H36" s="1563"/>
      <c r="I36" s="1563"/>
      <c r="J36" s="1563"/>
      <c r="K36" s="1563"/>
    </row>
    <row r="37" spans="1:11" ht="11.25" customHeight="1" x14ac:dyDescent="0.2">
      <c r="E37" s="1206"/>
      <c r="F37" s="1206"/>
      <c r="G37" s="1206"/>
      <c r="H37" s="1206"/>
      <c r="I37" s="1206"/>
      <c r="J37" s="1206"/>
    </row>
    <row r="38" spans="1:11" ht="18" customHeight="1" x14ac:dyDescent="0.2">
      <c r="C38" s="1563" t="s">
        <v>101</v>
      </c>
      <c r="D38" s="1563"/>
      <c r="E38" s="1563"/>
      <c r="F38" s="1563"/>
      <c r="G38" s="1563"/>
      <c r="H38" s="1563"/>
      <c r="I38" s="1563"/>
      <c r="J38" s="1563"/>
      <c r="K38" s="1563"/>
    </row>
    <row r="39" spans="1:11" x14ac:dyDescent="0.2">
      <c r="C39" s="1563"/>
      <c r="D39" s="1563"/>
      <c r="E39" s="1563"/>
      <c r="F39" s="1563"/>
      <c r="G39" s="1563"/>
      <c r="H39" s="1563"/>
      <c r="I39" s="1563"/>
      <c r="J39" s="1563"/>
      <c r="K39" s="1563"/>
    </row>
    <row r="40" spans="1:11" x14ac:dyDescent="0.2">
      <c r="C40" s="1563"/>
      <c r="D40" s="1563"/>
      <c r="E40" s="1563"/>
      <c r="F40" s="1563"/>
      <c r="G40" s="1563"/>
      <c r="H40" s="1563"/>
      <c r="I40" s="1563"/>
      <c r="J40" s="1563"/>
      <c r="K40" s="1563"/>
    </row>
    <row r="41" spans="1:11" ht="12" customHeight="1" x14ac:dyDescent="0.2">
      <c r="C41" s="1206"/>
      <c r="D41" s="1206"/>
      <c r="E41" s="1206"/>
      <c r="F41" s="1206"/>
      <c r="G41" s="1206"/>
      <c r="H41" s="1206"/>
      <c r="I41" s="1206"/>
      <c r="J41" s="1206"/>
    </row>
    <row r="42" spans="1:11" x14ac:dyDescent="0.2">
      <c r="C42" s="1563" t="s">
        <v>1447</v>
      </c>
      <c r="D42" s="1563"/>
      <c r="E42" s="1563"/>
      <c r="F42" s="1563"/>
      <c r="G42" s="1563"/>
      <c r="H42" s="1563"/>
      <c r="I42" s="1563"/>
      <c r="J42" s="1563"/>
      <c r="K42" s="1563"/>
    </row>
    <row r="43" spans="1:11" x14ac:dyDescent="0.2">
      <c r="C43" s="1563"/>
      <c r="D43" s="1563"/>
      <c r="E43" s="1563"/>
      <c r="F43" s="1563"/>
      <c r="G43" s="1563"/>
      <c r="H43" s="1563"/>
      <c r="I43" s="1563"/>
      <c r="J43" s="1563"/>
      <c r="K43" s="1563"/>
    </row>
    <row r="44" spans="1:11" ht="10.5" customHeight="1" x14ac:dyDescent="0.2">
      <c r="E44" s="1206"/>
      <c r="F44" s="1206"/>
      <c r="G44" s="1206"/>
      <c r="H44" s="1206"/>
      <c r="I44" s="1206"/>
      <c r="J44" s="1206"/>
    </row>
    <row r="45" spans="1:11" x14ac:dyDescent="0.2">
      <c r="C45" s="1563" t="s">
        <v>1446</v>
      </c>
      <c r="D45" s="1594"/>
      <c r="E45" s="1594"/>
      <c r="F45" s="1594"/>
      <c r="G45" s="1594"/>
      <c r="H45" s="1594"/>
      <c r="I45" s="1594"/>
      <c r="J45" s="1594"/>
      <c r="K45" s="1594"/>
    </row>
    <row r="46" spans="1:11" x14ac:dyDescent="0.2">
      <c r="C46" s="1563"/>
      <c r="D46" s="1594"/>
      <c r="E46" s="1594"/>
      <c r="F46" s="1594"/>
      <c r="G46" s="1594"/>
      <c r="H46" s="1594"/>
      <c r="I46" s="1594"/>
      <c r="J46" s="1594"/>
      <c r="K46" s="1594"/>
    </row>
    <row r="47" spans="1:11" x14ac:dyDescent="0.2">
      <c r="C47" s="1563"/>
      <c r="D47" s="1594"/>
      <c r="E47" s="1594"/>
      <c r="F47" s="1594"/>
      <c r="G47" s="1594"/>
      <c r="H47" s="1594"/>
      <c r="I47" s="1594"/>
      <c r="J47" s="1594"/>
      <c r="K47" s="1594"/>
    </row>
    <row r="48" spans="1:11" x14ac:dyDescent="0.2">
      <c r="C48" s="1594"/>
      <c r="D48" s="1594"/>
      <c r="E48" s="1594"/>
      <c r="F48" s="1594"/>
      <c r="G48" s="1594"/>
      <c r="H48" s="1594"/>
      <c r="I48" s="1594"/>
      <c r="J48" s="1594"/>
      <c r="K48" s="1594"/>
    </row>
    <row r="49" spans="3:11" ht="10.5" customHeight="1" x14ac:dyDescent="0.2">
      <c r="E49" s="1206"/>
      <c r="F49" s="1206"/>
      <c r="G49" s="1206"/>
      <c r="H49" s="1206"/>
      <c r="I49" s="1206"/>
      <c r="J49" s="1206"/>
    </row>
    <row r="50" spans="3:11" ht="18" hidden="1" customHeight="1" x14ac:dyDescent="0.2">
      <c r="C50" s="1563" t="s">
        <v>1448</v>
      </c>
      <c r="D50" s="1563"/>
      <c r="E50" s="1563"/>
      <c r="F50" s="1563"/>
      <c r="G50" s="1563"/>
      <c r="H50" s="1563"/>
      <c r="I50" s="1563"/>
      <c r="J50" s="1563"/>
      <c r="K50" s="1563"/>
    </row>
    <row r="51" spans="3:11" ht="18" hidden="1" customHeight="1" x14ac:dyDescent="0.2">
      <c r="C51" s="1563"/>
      <c r="D51" s="1563"/>
      <c r="E51" s="1563"/>
      <c r="F51" s="1563"/>
      <c r="G51" s="1563"/>
      <c r="H51" s="1563"/>
      <c r="I51" s="1563"/>
      <c r="J51" s="1563"/>
      <c r="K51" s="1563"/>
    </row>
    <row r="52" spans="3:11" ht="18" hidden="1" customHeight="1" x14ac:dyDescent="0.2">
      <c r="C52" s="1563"/>
      <c r="D52" s="1563"/>
      <c r="E52" s="1563"/>
      <c r="F52" s="1563"/>
      <c r="G52" s="1563"/>
      <c r="H52" s="1563"/>
      <c r="I52" s="1563"/>
      <c r="J52" s="1563"/>
      <c r="K52" s="1563"/>
    </row>
    <row r="53" spans="3:11" hidden="1" x14ac:dyDescent="0.2">
      <c r="C53" s="1563"/>
      <c r="D53" s="1563"/>
      <c r="E53" s="1563"/>
      <c r="F53" s="1563"/>
      <c r="G53" s="1563"/>
      <c r="H53" s="1563"/>
      <c r="I53" s="1563"/>
      <c r="J53" s="1563"/>
      <c r="K53" s="1563"/>
    </row>
    <row r="54" spans="3:11" ht="21" hidden="1" customHeight="1" x14ac:dyDescent="0.2">
      <c r="C54" s="1563"/>
      <c r="D54" s="1563"/>
      <c r="E54" s="1563"/>
      <c r="F54" s="1563"/>
      <c r="G54" s="1563"/>
      <c r="H54" s="1563"/>
      <c r="I54" s="1563"/>
      <c r="J54" s="1563"/>
      <c r="K54" s="1563"/>
    </row>
    <row r="55" spans="3:11" ht="7.5" hidden="1" customHeight="1" x14ac:dyDescent="0.2">
      <c r="E55" s="1206"/>
      <c r="F55" s="1206"/>
      <c r="G55" s="1206"/>
      <c r="H55" s="1206"/>
      <c r="I55" s="1206"/>
      <c r="J55" s="1206"/>
    </row>
    <row r="56" spans="3:11" ht="33.75" hidden="1" customHeight="1" x14ac:dyDescent="0.2">
      <c r="C56" s="1598" t="s">
        <v>100</v>
      </c>
      <c r="D56" s="1598"/>
      <c r="E56" s="1598"/>
      <c r="F56" s="1598"/>
      <c r="G56" s="1598"/>
      <c r="H56" s="1598"/>
      <c r="I56" s="1598"/>
      <c r="J56" s="1218" t="str">
        <f>Dados!A77</f>
        <v>Custos Indiretos</v>
      </c>
      <c r="K56" s="1218" t="str">
        <f>Dados!A78</f>
        <v>Lucro</v>
      </c>
    </row>
    <row r="57" spans="3:11" ht="18" hidden="1" customHeight="1" x14ac:dyDescent="0.2">
      <c r="C57" s="1593" t="s">
        <v>1320</v>
      </c>
      <c r="D57" s="1593"/>
      <c r="E57" s="1593"/>
      <c r="F57" s="1593"/>
      <c r="G57" s="1593"/>
      <c r="H57" s="1593"/>
      <c r="I57" s="1593"/>
      <c r="J57" s="1212">
        <f>Dados!I77</f>
        <v>0.01</v>
      </c>
      <c r="K57" s="1212">
        <f>Dados!I78</f>
        <v>0.01</v>
      </c>
    </row>
    <row r="58" spans="3:11" hidden="1" x14ac:dyDescent="0.2">
      <c r="C58" s="1593" t="s">
        <v>1321</v>
      </c>
      <c r="D58" s="1593"/>
      <c r="E58" s="1593"/>
      <c r="F58" s="1593"/>
      <c r="G58" s="1593"/>
      <c r="H58" s="1593"/>
      <c r="I58" s="1593"/>
      <c r="J58" s="1207">
        <f>Dados!J77</f>
        <v>1.0800000000000001E-2</v>
      </c>
      <c r="K58" s="1207">
        <f>Dados!J78</f>
        <v>0.01</v>
      </c>
    </row>
    <row r="59" spans="3:11" hidden="1" x14ac:dyDescent="0.2">
      <c r="C59" s="1593" t="s">
        <v>1322</v>
      </c>
      <c r="D59" s="1593"/>
      <c r="E59" s="1593"/>
      <c r="F59" s="1593"/>
      <c r="G59" s="1593"/>
      <c r="H59" s="1593"/>
      <c r="I59" s="1593"/>
      <c r="J59" s="1207">
        <f>Dados!K77</f>
        <v>0.01</v>
      </c>
      <c r="K59" s="1207">
        <f>Dados!K78</f>
        <v>0.01</v>
      </c>
    </row>
    <row r="60" spans="3:11" hidden="1" x14ac:dyDescent="0.2">
      <c r="C60" s="1593" t="s">
        <v>1323</v>
      </c>
      <c r="D60" s="1593"/>
      <c r="E60" s="1593"/>
      <c r="F60" s="1593"/>
      <c r="G60" s="1593"/>
      <c r="H60" s="1593"/>
      <c r="I60" s="1593"/>
      <c r="J60" s="1207">
        <f>Dados!L77</f>
        <v>0.01</v>
      </c>
      <c r="K60" s="1207">
        <f>Dados!L78</f>
        <v>0.01</v>
      </c>
    </row>
    <row r="61" spans="3:11" hidden="1" x14ac:dyDescent="0.2">
      <c r="C61" s="1593" t="s">
        <v>1324</v>
      </c>
      <c r="D61" s="1593"/>
      <c r="E61" s="1593"/>
      <c r="F61" s="1593"/>
      <c r="G61" s="1593"/>
      <c r="H61" s="1593"/>
      <c r="I61" s="1593"/>
      <c r="J61" s="1207">
        <f>Dados!M77</f>
        <v>2.3E-2</v>
      </c>
      <c r="K61" s="1207">
        <f>Dados!M78</f>
        <v>0.01</v>
      </c>
    </row>
    <row r="62" spans="3:11" hidden="1" x14ac:dyDescent="0.2">
      <c r="C62" s="1593" t="s">
        <v>1325</v>
      </c>
      <c r="D62" s="1593"/>
      <c r="E62" s="1593"/>
      <c r="F62" s="1593"/>
      <c r="G62" s="1593"/>
      <c r="H62" s="1593"/>
      <c r="I62" s="1593"/>
      <c r="J62" s="1207">
        <f>Dados!N77</f>
        <v>1.24E-2</v>
      </c>
      <c r="K62" s="1207">
        <f>Dados!N78</f>
        <v>0.01</v>
      </c>
    </row>
    <row r="63" spans="3:11" hidden="1" x14ac:dyDescent="0.2">
      <c r="C63" s="1593" t="s">
        <v>1326</v>
      </c>
      <c r="D63" s="1593"/>
      <c r="E63" s="1593"/>
      <c r="F63" s="1593"/>
      <c r="G63" s="1593"/>
      <c r="H63" s="1593"/>
      <c r="I63" s="1593"/>
      <c r="J63" s="1207">
        <f>Dados!O77</f>
        <v>1.7299999999999999E-2</v>
      </c>
      <c r="K63" s="1207">
        <f>Dados!O78</f>
        <v>0.01</v>
      </c>
    </row>
    <row r="64" spans="3:11" hidden="1" x14ac:dyDescent="0.2">
      <c r="C64" s="1593" t="s">
        <v>1327</v>
      </c>
      <c r="D64" s="1593"/>
      <c r="E64" s="1593"/>
      <c r="F64" s="1593"/>
      <c r="G64" s="1593"/>
      <c r="H64" s="1593"/>
      <c r="I64" s="1593"/>
      <c r="J64" s="1207">
        <f>Dados!P77</f>
        <v>3.1600000000000003E-2</v>
      </c>
      <c r="K64" s="1207">
        <f>Dados!P78</f>
        <v>0.02</v>
      </c>
    </row>
    <row r="65" spans="1:11" hidden="1" x14ac:dyDescent="0.2">
      <c r="C65" s="1593" t="s">
        <v>1328</v>
      </c>
      <c r="D65" s="1593"/>
      <c r="E65" s="1593"/>
      <c r="F65" s="1593"/>
      <c r="G65" s="1593"/>
      <c r="H65" s="1593"/>
      <c r="I65" s="1593"/>
      <c r="J65" s="1207">
        <f>Dados!Q77</f>
        <v>0.01</v>
      </c>
      <c r="K65" s="1207">
        <f>Dados!Q78</f>
        <v>0.01</v>
      </c>
    </row>
    <row r="66" spans="1:11" hidden="1" x14ac:dyDescent="0.2">
      <c r="C66" s="1208"/>
      <c r="D66" s="1209"/>
      <c r="E66" s="1210"/>
      <c r="F66" s="1210"/>
      <c r="G66" s="1599" t="s">
        <v>1450</v>
      </c>
      <c r="H66" s="1599"/>
      <c r="I66" s="1600"/>
      <c r="J66" s="1207">
        <f>SUM(J57:J65)</f>
        <v>0.1351</v>
      </c>
      <c r="K66" s="1207">
        <f>SUM(K57:K65)</f>
        <v>0.1</v>
      </c>
    </row>
    <row r="67" spans="1:11" hidden="1" x14ac:dyDescent="0.2">
      <c r="C67" s="1208"/>
      <c r="D67" s="1601" t="s">
        <v>1449</v>
      </c>
      <c r="E67" s="1601"/>
      <c r="F67" s="1601"/>
      <c r="G67" s="1601"/>
      <c r="H67" s="1601"/>
      <c r="I67" s="1602"/>
      <c r="J67" s="1211">
        <f>J66/9</f>
        <v>1.4999999999999999E-2</v>
      </c>
      <c r="K67" s="1211">
        <f>K66/9</f>
        <v>1.11E-2</v>
      </c>
    </row>
    <row r="68" spans="1:11" ht="11.25" hidden="1" customHeight="1" x14ac:dyDescent="0.2">
      <c r="E68" s="1206"/>
      <c r="F68" s="1206"/>
      <c r="G68" s="1206"/>
      <c r="H68" s="1206"/>
      <c r="I68" s="1206"/>
      <c r="J68" s="1206"/>
    </row>
    <row r="69" spans="1:11" x14ac:dyDescent="0.2">
      <c r="A69" s="78" t="s">
        <v>62</v>
      </c>
      <c r="C69" s="80" t="s">
        <v>789</v>
      </c>
      <c r="D69" s="80"/>
    </row>
    <row r="70" spans="1:11" ht="9.75" customHeight="1" x14ac:dyDescent="0.2">
      <c r="E70" s="1206"/>
      <c r="F70" s="1206"/>
      <c r="G70" s="1206"/>
      <c r="H70" s="1206"/>
      <c r="I70" s="1206"/>
      <c r="J70" s="1206"/>
    </row>
    <row r="71" spans="1:11" x14ac:dyDescent="0.2">
      <c r="A71" s="78" t="s">
        <v>63</v>
      </c>
      <c r="C71" s="78" t="s">
        <v>125</v>
      </c>
    </row>
    <row r="72" spans="1:11" ht="9.75" customHeight="1" x14ac:dyDescent="0.2"/>
    <row r="73" spans="1:11" ht="18" customHeight="1" x14ac:dyDescent="0.2">
      <c r="A73" s="78" t="s">
        <v>64</v>
      </c>
      <c r="C73" s="1596" t="s">
        <v>1134</v>
      </c>
      <c r="D73" s="1596"/>
      <c r="E73" s="1596"/>
      <c r="F73" s="1596"/>
      <c r="G73" s="1596"/>
      <c r="H73" s="1596"/>
      <c r="I73" s="1596"/>
      <c r="J73" s="1596"/>
      <c r="K73" s="1596"/>
    </row>
    <row r="74" spans="1:11" x14ac:dyDescent="0.2">
      <c r="C74" s="1596"/>
      <c r="D74" s="1596"/>
      <c r="E74" s="1596"/>
      <c r="F74" s="1596"/>
      <c r="G74" s="1596"/>
      <c r="H74" s="1596"/>
      <c r="I74" s="1596"/>
      <c r="J74" s="1596"/>
      <c r="K74" s="1596"/>
    </row>
    <row r="75" spans="1:11" x14ac:dyDescent="0.2">
      <c r="C75" s="1596"/>
      <c r="D75" s="1596"/>
      <c r="E75" s="1596"/>
      <c r="F75" s="1596"/>
      <c r="G75" s="1596"/>
      <c r="H75" s="1596"/>
      <c r="I75" s="1596"/>
      <c r="J75" s="1596"/>
      <c r="K75" s="1596"/>
    </row>
    <row r="76" spans="1:11" x14ac:dyDescent="0.2">
      <c r="C76" s="959" t="s">
        <v>166</v>
      </c>
      <c r="D76" s="1597" t="s">
        <v>50</v>
      </c>
      <c r="E76" s="1597"/>
      <c r="F76" s="1597" t="s">
        <v>51</v>
      </c>
      <c r="G76" s="1597"/>
      <c r="H76" s="1597"/>
      <c r="I76" s="1597" t="s">
        <v>52</v>
      </c>
      <c r="J76" s="1597"/>
      <c r="K76" s="958"/>
    </row>
    <row r="77" spans="1:11" x14ac:dyDescent="0.2">
      <c r="C77" s="1216" t="str">
        <f>Dados!L101</f>
        <v>DF000038/2021</v>
      </c>
      <c r="D77" s="1573" t="str">
        <f>Dados!N101</f>
        <v>SINDISERVIÇOS/SEAC-DF</v>
      </c>
      <c r="E77" s="1573"/>
      <c r="F77" s="1565" t="str">
        <f>Dados!Q101</f>
        <v>01/01/2021 a 31/12/2021</v>
      </c>
      <c r="G77" s="1565"/>
      <c r="H77" s="1565"/>
      <c r="I77" s="1566" t="d">
        <f>Dados!U101</f>
        <v>2021-01-01</v>
      </c>
      <c r="J77" s="1566"/>
      <c r="K77" s="958"/>
    </row>
    <row r="78" spans="1:11" x14ac:dyDescent="0.2">
      <c r="C78" s="1216" t="str">
        <f>Dados!L102</f>
        <v>DF000041/2021</v>
      </c>
      <c r="D78" s="1573" t="str">
        <f>Dados!N102</f>
        <v>SIS/SEAC-DF</v>
      </c>
      <c r="E78" s="1573"/>
      <c r="F78" s="1565" t="str">
        <f>Dados!Q102</f>
        <v>01/01/2021 a 31/12/2021</v>
      </c>
      <c r="G78" s="1565"/>
      <c r="H78" s="1565"/>
      <c r="I78" s="1566" t="d">
        <f>Dados!U102</f>
        <v>2021-01-01</v>
      </c>
      <c r="J78" s="1566"/>
      <c r="K78" s="958"/>
    </row>
    <row r="79" spans="1:11" hidden="1" x14ac:dyDescent="0.2">
      <c r="C79" s="1186" t="s">
        <v>1148</v>
      </c>
      <c r="D79" s="960"/>
      <c r="E79" s="960"/>
      <c r="F79" s="960"/>
      <c r="G79" s="960"/>
      <c r="H79" s="960"/>
      <c r="I79" s="960"/>
      <c r="J79" s="960"/>
      <c r="K79" s="960"/>
    </row>
    <row r="80" spans="1:11" hidden="1" x14ac:dyDescent="0.2">
      <c r="C80" s="1572" t="s">
        <v>1135</v>
      </c>
      <c r="D80" s="1572"/>
      <c r="E80" s="1572"/>
      <c r="F80" s="1572"/>
      <c r="G80" s="1572"/>
      <c r="H80" s="1572"/>
      <c r="I80" s="1572"/>
      <c r="J80" s="1572"/>
      <c r="K80" s="1572"/>
    </row>
    <row r="81" spans="1:11" s="1225" customFormat="1" hidden="1" x14ac:dyDescent="0.2">
      <c r="A81" s="1206"/>
      <c r="B81" s="1206"/>
      <c r="C81" s="1572"/>
      <c r="D81" s="1572"/>
      <c r="E81" s="1572"/>
      <c r="F81" s="1572"/>
      <c r="G81" s="1572"/>
      <c r="H81" s="1572"/>
      <c r="I81" s="1572"/>
      <c r="J81" s="1572"/>
      <c r="K81" s="1572"/>
    </row>
    <row r="82" spans="1:11" s="1225" customFormat="1" ht="13.5" customHeight="1" x14ac:dyDescent="0.2">
      <c r="A82" s="1206"/>
      <c r="B82" s="1206"/>
      <c r="C82" s="1206"/>
      <c r="D82" s="1206"/>
      <c r="E82" s="1206"/>
      <c r="F82" s="1206"/>
      <c r="G82" s="1206"/>
      <c r="H82" s="1206"/>
      <c r="I82" s="1206"/>
      <c r="J82" s="1206"/>
    </row>
    <row r="83" spans="1:11" x14ac:dyDescent="0.2">
      <c r="A83" s="78" t="s">
        <v>65</v>
      </c>
      <c r="C83" s="78" t="s">
        <v>1434</v>
      </c>
      <c r="J83" s="1206"/>
    </row>
    <row r="84" spans="1:11" x14ac:dyDescent="0.2">
      <c r="C84" s="78" t="s">
        <v>1435</v>
      </c>
    </row>
    <row r="85" spans="1:11" x14ac:dyDescent="0.2">
      <c r="C85" s="78" t="s">
        <v>1436</v>
      </c>
      <c r="E85" s="80"/>
      <c r="F85" s="80"/>
      <c r="G85" s="80"/>
    </row>
    <row r="86" spans="1:11" x14ac:dyDescent="0.2">
      <c r="C86" s="78" t="s">
        <v>1437</v>
      </c>
    </row>
    <row r="87" spans="1:11" x14ac:dyDescent="0.2">
      <c r="C87" s="78" t="s">
        <v>1438</v>
      </c>
      <c r="F87" s="95"/>
    </row>
    <row r="88" spans="1:11" x14ac:dyDescent="0.2">
      <c r="C88" s="78" t="s">
        <v>1439</v>
      </c>
    </row>
    <row r="89" spans="1:11" x14ac:dyDescent="0.2">
      <c r="C89" s="78" t="s">
        <v>1440</v>
      </c>
      <c r="D89" s="1187"/>
      <c r="E89" s="93"/>
      <c r="F89" s="1188"/>
      <c r="G89" s="1188"/>
    </row>
    <row r="90" spans="1:11" x14ac:dyDescent="0.2">
      <c r="C90" s="78" t="s">
        <v>1441</v>
      </c>
      <c r="D90" s="1187"/>
      <c r="E90" s="93"/>
      <c r="F90" s="1188"/>
      <c r="G90" s="1188"/>
    </row>
    <row r="91" spans="1:11" ht="10.5" customHeight="1" x14ac:dyDescent="0.2">
      <c r="G91" s="1188"/>
    </row>
    <row r="92" spans="1:11" x14ac:dyDescent="0.2">
      <c r="A92" s="78" t="s">
        <v>66</v>
      </c>
      <c r="C92" s="78" t="s">
        <v>1442</v>
      </c>
    </row>
    <row r="93" spans="1:11" x14ac:dyDescent="0.2">
      <c r="C93" s="78" t="s">
        <v>1443</v>
      </c>
    </row>
    <row r="94" spans="1:11" hidden="1" x14ac:dyDescent="0.2">
      <c r="C94" s="78" t="s">
        <v>67</v>
      </c>
      <c r="E94" s="80"/>
      <c r="F94" s="80"/>
    </row>
    <row r="95" spans="1:11" ht="9.75" customHeight="1" x14ac:dyDescent="0.2"/>
    <row r="96" spans="1:11" hidden="1" x14ac:dyDescent="0.2">
      <c r="A96" s="78" t="s">
        <v>68</v>
      </c>
      <c r="C96" s="78" t="s">
        <v>69</v>
      </c>
    </row>
    <row r="97" spans="1:11" hidden="1" x14ac:dyDescent="0.2">
      <c r="C97" s="78" t="s">
        <v>70</v>
      </c>
    </row>
    <row r="98" spans="1:11" hidden="1" x14ac:dyDescent="0.2">
      <c r="C98" s="1188"/>
      <c r="D98" s="1188"/>
      <c r="G98" s="1188"/>
    </row>
    <row r="99" spans="1:11" ht="18" customHeight="1" x14ac:dyDescent="0.2">
      <c r="A99" s="78" t="s">
        <v>71</v>
      </c>
      <c r="C99" s="551" t="s">
        <v>1313</v>
      </c>
    </row>
    <row r="100" spans="1:11" ht="10.5" customHeight="1" x14ac:dyDescent="0.2"/>
    <row r="101" spans="1:11" x14ac:dyDescent="0.2">
      <c r="A101" s="78" t="s">
        <v>1126</v>
      </c>
      <c r="C101" s="78" t="s">
        <v>1125</v>
      </c>
    </row>
    <row r="103" spans="1:11" x14ac:dyDescent="0.2">
      <c r="A103" s="1564" t="str">
        <f>"Brasília/DF," &amp; " " &amp; TEXT(Dados!$G$16,"[$-F800]dddd, mmmm dd, aaaa")</f>
        <v>Brasília/DF, quinta-feira, 21 de outubro de 2021</v>
      </c>
      <c r="B103" s="1564"/>
      <c r="C103" s="1564"/>
      <c r="D103" s="1564"/>
      <c r="E103" s="1564"/>
      <c r="F103" s="1564"/>
      <c r="G103" s="1564"/>
      <c r="H103" s="1564"/>
      <c r="I103" s="1564"/>
      <c r="J103" s="1564"/>
      <c r="K103" s="1564"/>
    </row>
    <row r="104" spans="1:11" ht="11.25" customHeight="1" x14ac:dyDescent="0.2"/>
    <row r="105" spans="1:11" x14ac:dyDescent="0.2">
      <c r="A105" s="1214"/>
      <c r="B105" s="1214"/>
      <c r="C105" s="1214"/>
      <c r="D105" s="1214"/>
      <c r="E105" s="1214"/>
      <c r="F105" s="1214"/>
      <c r="G105" s="1214"/>
      <c r="H105" s="1215"/>
      <c r="I105" s="1214"/>
      <c r="J105" s="1214"/>
      <c r="K105" s="1214"/>
    </row>
    <row r="106" spans="1:11" s="1226" customFormat="1" x14ac:dyDescent="0.2">
      <c r="A106" s="1595" t="s">
        <v>709</v>
      </c>
      <c r="B106" s="1595"/>
      <c r="C106" s="1595"/>
      <c r="D106" s="1595"/>
      <c r="E106" s="1595"/>
      <c r="F106" s="1595"/>
      <c r="G106" s="1595"/>
      <c r="H106" s="1595"/>
      <c r="I106" s="1595"/>
      <c r="J106" s="1595"/>
      <c r="K106" s="1595"/>
    </row>
    <row r="107" spans="1:11" s="1226" customFormat="1" x14ac:dyDescent="0.2">
      <c r="A107" s="1595" t="str">
        <f>C84</f>
        <v>CNPJ: 36.770.857/0001-38</v>
      </c>
      <c r="B107" s="1595"/>
      <c r="C107" s="1595"/>
      <c r="D107" s="1595"/>
      <c r="E107" s="1595"/>
      <c r="F107" s="1595"/>
      <c r="G107" s="1595"/>
      <c r="H107" s="1595"/>
      <c r="I107" s="1595"/>
      <c r="J107" s="1595"/>
      <c r="K107" s="1595"/>
    </row>
    <row r="108" spans="1:11" s="1226" customFormat="1" x14ac:dyDescent="0.2">
      <c r="A108" s="1595"/>
      <c r="B108" s="1595"/>
      <c r="C108" s="1595"/>
      <c r="D108" s="1595"/>
      <c r="E108" s="1595"/>
      <c r="F108" s="1595"/>
      <c r="G108" s="1595"/>
      <c r="H108" s="1595"/>
      <c r="I108" s="1595"/>
      <c r="J108" s="1595"/>
      <c r="K108" s="1595"/>
    </row>
  </sheetData>
  <mergeCells count="70">
    <mergeCell ref="C58:I58"/>
    <mergeCell ref="C59:I59"/>
    <mergeCell ref="C60:I60"/>
    <mergeCell ref="G66:I66"/>
    <mergeCell ref="D67:I67"/>
    <mergeCell ref="C62:I62"/>
    <mergeCell ref="C63:I63"/>
    <mergeCell ref="C64:I64"/>
    <mergeCell ref="C65:I65"/>
    <mergeCell ref="C45:K48"/>
    <mergeCell ref="A108:K108"/>
    <mergeCell ref="C36:K36"/>
    <mergeCell ref="C38:K40"/>
    <mergeCell ref="C42:K43"/>
    <mergeCell ref="A107:K107"/>
    <mergeCell ref="A106:K106"/>
    <mergeCell ref="C73:K75"/>
    <mergeCell ref="D76:E76"/>
    <mergeCell ref="F76:H76"/>
    <mergeCell ref="I76:J76"/>
    <mergeCell ref="D77:E77"/>
    <mergeCell ref="F77:H77"/>
    <mergeCell ref="I77:J77"/>
    <mergeCell ref="C56:I56"/>
    <mergeCell ref="C57:I57"/>
    <mergeCell ref="C80:K81"/>
    <mergeCell ref="D78:E78"/>
    <mergeCell ref="J21:K21"/>
    <mergeCell ref="H20:I20"/>
    <mergeCell ref="A20:A21"/>
    <mergeCell ref="J20:K20"/>
    <mergeCell ref="H21:I21"/>
    <mergeCell ref="B20:D21"/>
    <mergeCell ref="F20:F21"/>
    <mergeCell ref="H31:I31"/>
    <mergeCell ref="J31:K31"/>
    <mergeCell ref="A31:D31"/>
    <mergeCell ref="B22:D22"/>
    <mergeCell ref="H22:I22"/>
    <mergeCell ref="J22:K22"/>
    <mergeCell ref="C61:I61"/>
    <mergeCell ref="B30:D30"/>
    <mergeCell ref="H23:I23"/>
    <mergeCell ref="H24:I24"/>
    <mergeCell ref="B23:D23"/>
    <mergeCell ref="B24:D24"/>
    <mergeCell ref="B25:D25"/>
    <mergeCell ref="B26:D26"/>
    <mergeCell ref="B27:D27"/>
    <mergeCell ref="H27:I27"/>
    <mergeCell ref="H28:I28"/>
    <mergeCell ref="H29:I29"/>
    <mergeCell ref="B28:D28"/>
    <mergeCell ref="B29:D29"/>
    <mergeCell ref="A16:K18"/>
    <mergeCell ref="A103:K103"/>
    <mergeCell ref="C50:K54"/>
    <mergeCell ref="F78:H78"/>
    <mergeCell ref="I78:J78"/>
    <mergeCell ref="H30:I30"/>
    <mergeCell ref="J23:K23"/>
    <mergeCell ref="J24:K24"/>
    <mergeCell ref="J25:K25"/>
    <mergeCell ref="J26:K26"/>
    <mergeCell ref="J27:K27"/>
    <mergeCell ref="J28:K28"/>
    <mergeCell ref="J29:K29"/>
    <mergeCell ref="J30:K30"/>
    <mergeCell ref="H25:I25"/>
    <mergeCell ref="H26:I26"/>
  </mergeCells>
  <printOptions horizontalCentered="1"/>
  <pageMargins left="0.23622047244094491" right="0.55118110236220474" top="1.26" bottom="0.43307086614173229" header="0.31496062992125984" footer="0.23622047244094491"/>
  <pageSetup paperSize="9" scale="51" fitToHeight="0" orientation="portrait" r:id="rId1"/>
  <headerFooter alignWithMargins="0"/>
  <rowBreaks count="1" manualBreakCount="1">
    <brk id="107" max="10" man="1"/>
  </rowBreak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mc:Ignorable="x14ac">
  <sheetPr codeName="Plan26">
    <tabColor rgb="FFFFFF00"/>
    <pageSetUpPr fitToPage="1"/>
  </sheetPr>
  <dimension ref="A3:M61"/>
  <sheetViews>
    <sheetView view="pageBreakPreview" zoomScale="110" zoomScaleNormal="100" zoomScaleSheetLayoutView="110" workbookViewId="0">
      <selection activeCell="H16" sqref="H16"/>
    </sheetView>
  </sheetViews>
  <sheetFormatPr defaultRowHeight="14.25" x14ac:dyDescent="0.2"/>
  <cols>
    <col min="1" max="1" width="11.5703125" style="649" customWidth="1"/>
    <col min="2" max="2" width="22.85546875" style="649" customWidth="1"/>
    <col min="3" max="3" width="12.42578125" style="649" customWidth="1"/>
    <col min="4" max="4" width="1.85546875" style="649" customWidth="1"/>
    <col min="5" max="5" width="7.7109375" style="649" customWidth="1"/>
    <col min="6" max="6" width="8" style="649" customWidth="1"/>
    <col min="7" max="7" width="9.140625" style="649" customWidth="1"/>
    <col min="8" max="8" width="10" style="649" customWidth="1"/>
    <col min="9" max="9" width="11" style="649" customWidth="1"/>
    <col min="10" max="10" width="7.85546875" style="649" customWidth="1"/>
    <col min="11" max="11" width="11.5703125" style="649" customWidth="1"/>
    <col min="12" max="257" width="9.140625" style="649"/>
    <col min="258" max="258" width="22.85546875" style="649" customWidth="1"/>
    <col min="259" max="259" width="12.42578125" style="649" customWidth="1"/>
    <col min="260" max="260" width="1.85546875" style="649" customWidth="1"/>
    <col min="261" max="261" width="7.7109375" style="649" customWidth="1"/>
    <col min="262" max="262" width="8" style="649" customWidth="1"/>
    <col min="263" max="263" width="10.140625" style="649" customWidth="1"/>
    <col min="264" max="264" width="11.5703125" style="649" customWidth="1"/>
    <col min="265" max="265" width="11" style="649" customWidth="1"/>
    <col min="266" max="266" width="7.85546875" style="649" customWidth="1"/>
    <col min="267" max="267" width="11.5703125" style="649" customWidth="1"/>
    <col min="268" max="513" width="9.140625" style="649"/>
    <col min="514" max="514" width="22.85546875" style="649" customWidth="1"/>
    <col min="515" max="515" width="12.42578125" style="649" customWidth="1"/>
    <col min="516" max="516" width="1.85546875" style="649" customWidth="1"/>
    <col min="517" max="517" width="7.7109375" style="649" customWidth="1"/>
    <col min="518" max="518" width="8" style="649" customWidth="1"/>
    <col min="519" max="519" width="10.140625" style="649" customWidth="1"/>
    <col min="520" max="520" width="11.5703125" style="649" customWidth="1"/>
    <col min="521" max="521" width="11" style="649" customWidth="1"/>
    <col min="522" max="522" width="7.85546875" style="649" customWidth="1"/>
    <col min="523" max="523" width="11.5703125" style="649" customWidth="1"/>
    <col min="524" max="769" width="9.140625" style="649"/>
    <col min="770" max="770" width="22.85546875" style="649" customWidth="1"/>
    <col min="771" max="771" width="12.42578125" style="649" customWidth="1"/>
    <col min="772" max="772" width="1.85546875" style="649" customWidth="1"/>
    <col min="773" max="773" width="7.7109375" style="649" customWidth="1"/>
    <col min="774" max="774" width="8" style="649" customWidth="1"/>
    <col min="775" max="775" width="10.140625" style="649" customWidth="1"/>
    <col min="776" max="776" width="11.5703125" style="649" customWidth="1"/>
    <col min="777" max="777" width="11" style="649" customWidth="1"/>
    <col min="778" max="778" width="7.85546875" style="649" customWidth="1"/>
    <col min="779" max="779" width="11.5703125" style="649" customWidth="1"/>
    <col min="780" max="1025" width="9.140625" style="649"/>
    <col min="1026" max="1026" width="22.85546875" style="649" customWidth="1"/>
    <col min="1027" max="1027" width="12.42578125" style="649" customWidth="1"/>
    <col min="1028" max="1028" width="1.85546875" style="649" customWidth="1"/>
    <col min="1029" max="1029" width="7.7109375" style="649" customWidth="1"/>
    <col min="1030" max="1030" width="8" style="649" customWidth="1"/>
    <col min="1031" max="1031" width="10.140625" style="649" customWidth="1"/>
    <col min="1032" max="1032" width="11.5703125" style="649" customWidth="1"/>
    <col min="1033" max="1033" width="11" style="649" customWidth="1"/>
    <col min="1034" max="1034" width="7.85546875" style="649" customWidth="1"/>
    <col min="1035" max="1035" width="11.5703125" style="649" customWidth="1"/>
    <col min="1036" max="1281" width="9.140625" style="649"/>
    <col min="1282" max="1282" width="22.85546875" style="649" customWidth="1"/>
    <col min="1283" max="1283" width="12.42578125" style="649" customWidth="1"/>
    <col min="1284" max="1284" width="1.85546875" style="649" customWidth="1"/>
    <col min="1285" max="1285" width="7.7109375" style="649" customWidth="1"/>
    <col min="1286" max="1286" width="8" style="649" customWidth="1"/>
    <col min="1287" max="1287" width="10.140625" style="649" customWidth="1"/>
    <col min="1288" max="1288" width="11.5703125" style="649" customWidth="1"/>
    <col min="1289" max="1289" width="11" style="649" customWidth="1"/>
    <col min="1290" max="1290" width="7.85546875" style="649" customWidth="1"/>
    <col min="1291" max="1291" width="11.5703125" style="649" customWidth="1"/>
    <col min="1292" max="1537" width="9.140625" style="649"/>
    <col min="1538" max="1538" width="22.85546875" style="649" customWidth="1"/>
    <col min="1539" max="1539" width="12.42578125" style="649" customWidth="1"/>
    <col min="1540" max="1540" width="1.85546875" style="649" customWidth="1"/>
    <col min="1541" max="1541" width="7.7109375" style="649" customWidth="1"/>
    <col min="1542" max="1542" width="8" style="649" customWidth="1"/>
    <col min="1543" max="1543" width="10.140625" style="649" customWidth="1"/>
    <col min="1544" max="1544" width="11.5703125" style="649" customWidth="1"/>
    <col min="1545" max="1545" width="11" style="649" customWidth="1"/>
    <col min="1546" max="1546" width="7.85546875" style="649" customWidth="1"/>
    <col min="1547" max="1547" width="11.5703125" style="649" customWidth="1"/>
    <col min="1548" max="1793" width="9.140625" style="649"/>
    <col min="1794" max="1794" width="22.85546875" style="649" customWidth="1"/>
    <col min="1795" max="1795" width="12.42578125" style="649" customWidth="1"/>
    <col min="1796" max="1796" width="1.85546875" style="649" customWidth="1"/>
    <col min="1797" max="1797" width="7.7109375" style="649" customWidth="1"/>
    <col min="1798" max="1798" width="8" style="649" customWidth="1"/>
    <col min="1799" max="1799" width="10.140625" style="649" customWidth="1"/>
    <col min="1800" max="1800" width="11.5703125" style="649" customWidth="1"/>
    <col min="1801" max="1801" width="11" style="649" customWidth="1"/>
    <col min="1802" max="1802" width="7.85546875" style="649" customWidth="1"/>
    <col min="1803" max="1803" width="11.5703125" style="649" customWidth="1"/>
    <col min="1804" max="2049" width="9.140625" style="649"/>
    <col min="2050" max="2050" width="22.85546875" style="649" customWidth="1"/>
    <col min="2051" max="2051" width="12.42578125" style="649" customWidth="1"/>
    <col min="2052" max="2052" width="1.85546875" style="649" customWidth="1"/>
    <col min="2053" max="2053" width="7.7109375" style="649" customWidth="1"/>
    <col min="2054" max="2054" width="8" style="649" customWidth="1"/>
    <col min="2055" max="2055" width="10.140625" style="649" customWidth="1"/>
    <col min="2056" max="2056" width="11.5703125" style="649" customWidth="1"/>
    <col min="2057" max="2057" width="11" style="649" customWidth="1"/>
    <col min="2058" max="2058" width="7.85546875" style="649" customWidth="1"/>
    <col min="2059" max="2059" width="11.5703125" style="649" customWidth="1"/>
    <col min="2060" max="2305" width="9.140625" style="649"/>
    <col min="2306" max="2306" width="22.85546875" style="649" customWidth="1"/>
    <col min="2307" max="2307" width="12.42578125" style="649" customWidth="1"/>
    <col min="2308" max="2308" width="1.85546875" style="649" customWidth="1"/>
    <col min="2309" max="2309" width="7.7109375" style="649" customWidth="1"/>
    <col min="2310" max="2310" width="8" style="649" customWidth="1"/>
    <col min="2311" max="2311" width="10.140625" style="649" customWidth="1"/>
    <col min="2312" max="2312" width="11.5703125" style="649" customWidth="1"/>
    <col min="2313" max="2313" width="11" style="649" customWidth="1"/>
    <col min="2314" max="2314" width="7.85546875" style="649" customWidth="1"/>
    <col min="2315" max="2315" width="11.5703125" style="649" customWidth="1"/>
    <col min="2316" max="2561" width="9.140625" style="649"/>
    <col min="2562" max="2562" width="22.85546875" style="649" customWidth="1"/>
    <col min="2563" max="2563" width="12.42578125" style="649" customWidth="1"/>
    <col min="2564" max="2564" width="1.85546875" style="649" customWidth="1"/>
    <col min="2565" max="2565" width="7.7109375" style="649" customWidth="1"/>
    <col min="2566" max="2566" width="8" style="649" customWidth="1"/>
    <col min="2567" max="2567" width="10.140625" style="649" customWidth="1"/>
    <col min="2568" max="2568" width="11.5703125" style="649" customWidth="1"/>
    <col min="2569" max="2569" width="11" style="649" customWidth="1"/>
    <col min="2570" max="2570" width="7.85546875" style="649" customWidth="1"/>
    <col min="2571" max="2571" width="11.5703125" style="649" customWidth="1"/>
    <col min="2572" max="2817" width="9.140625" style="649"/>
    <col min="2818" max="2818" width="22.85546875" style="649" customWidth="1"/>
    <col min="2819" max="2819" width="12.42578125" style="649" customWidth="1"/>
    <col min="2820" max="2820" width="1.85546875" style="649" customWidth="1"/>
    <col min="2821" max="2821" width="7.7109375" style="649" customWidth="1"/>
    <col min="2822" max="2822" width="8" style="649" customWidth="1"/>
    <col min="2823" max="2823" width="10.140625" style="649" customWidth="1"/>
    <col min="2824" max="2824" width="11.5703125" style="649" customWidth="1"/>
    <col min="2825" max="2825" width="11" style="649" customWidth="1"/>
    <col min="2826" max="2826" width="7.85546875" style="649" customWidth="1"/>
    <col min="2827" max="2827" width="11.5703125" style="649" customWidth="1"/>
    <col min="2828" max="3073" width="9.140625" style="649"/>
    <col min="3074" max="3074" width="22.85546875" style="649" customWidth="1"/>
    <col min="3075" max="3075" width="12.42578125" style="649" customWidth="1"/>
    <col min="3076" max="3076" width="1.85546875" style="649" customWidth="1"/>
    <col min="3077" max="3077" width="7.7109375" style="649" customWidth="1"/>
    <col min="3078" max="3078" width="8" style="649" customWidth="1"/>
    <col min="3079" max="3079" width="10.140625" style="649" customWidth="1"/>
    <col min="3080" max="3080" width="11.5703125" style="649" customWidth="1"/>
    <col min="3081" max="3081" width="11" style="649" customWidth="1"/>
    <col min="3082" max="3082" width="7.85546875" style="649" customWidth="1"/>
    <col min="3083" max="3083" width="11.5703125" style="649" customWidth="1"/>
    <col min="3084" max="3329" width="9.140625" style="649"/>
    <col min="3330" max="3330" width="22.85546875" style="649" customWidth="1"/>
    <col min="3331" max="3331" width="12.42578125" style="649" customWidth="1"/>
    <col min="3332" max="3332" width="1.85546875" style="649" customWidth="1"/>
    <col min="3333" max="3333" width="7.7109375" style="649" customWidth="1"/>
    <col min="3334" max="3334" width="8" style="649" customWidth="1"/>
    <col min="3335" max="3335" width="10.140625" style="649" customWidth="1"/>
    <col min="3336" max="3336" width="11.5703125" style="649" customWidth="1"/>
    <col min="3337" max="3337" width="11" style="649" customWidth="1"/>
    <col min="3338" max="3338" width="7.85546875" style="649" customWidth="1"/>
    <col min="3339" max="3339" width="11.5703125" style="649" customWidth="1"/>
    <col min="3340" max="3585" width="9.140625" style="649"/>
    <col min="3586" max="3586" width="22.85546875" style="649" customWidth="1"/>
    <col min="3587" max="3587" width="12.42578125" style="649" customWidth="1"/>
    <col min="3588" max="3588" width="1.85546875" style="649" customWidth="1"/>
    <col min="3589" max="3589" width="7.7109375" style="649" customWidth="1"/>
    <col min="3590" max="3590" width="8" style="649" customWidth="1"/>
    <col min="3591" max="3591" width="10.140625" style="649" customWidth="1"/>
    <col min="3592" max="3592" width="11.5703125" style="649" customWidth="1"/>
    <col min="3593" max="3593" width="11" style="649" customWidth="1"/>
    <col min="3594" max="3594" width="7.85546875" style="649" customWidth="1"/>
    <col min="3595" max="3595" width="11.5703125" style="649" customWidth="1"/>
    <col min="3596" max="3841" width="9.140625" style="649"/>
    <col min="3842" max="3842" width="22.85546875" style="649" customWidth="1"/>
    <col min="3843" max="3843" width="12.42578125" style="649" customWidth="1"/>
    <col min="3844" max="3844" width="1.85546875" style="649" customWidth="1"/>
    <col min="3845" max="3845" width="7.7109375" style="649" customWidth="1"/>
    <col min="3846" max="3846" width="8" style="649" customWidth="1"/>
    <col min="3847" max="3847" width="10.140625" style="649" customWidth="1"/>
    <col min="3848" max="3848" width="11.5703125" style="649" customWidth="1"/>
    <col min="3849" max="3849" width="11" style="649" customWidth="1"/>
    <col min="3850" max="3850" width="7.85546875" style="649" customWidth="1"/>
    <col min="3851" max="3851" width="11.5703125" style="649" customWidth="1"/>
    <col min="3852" max="4097" width="9.140625" style="649"/>
    <col min="4098" max="4098" width="22.85546875" style="649" customWidth="1"/>
    <col min="4099" max="4099" width="12.42578125" style="649" customWidth="1"/>
    <col min="4100" max="4100" width="1.85546875" style="649" customWidth="1"/>
    <col min="4101" max="4101" width="7.7109375" style="649" customWidth="1"/>
    <col min="4102" max="4102" width="8" style="649" customWidth="1"/>
    <col min="4103" max="4103" width="10.140625" style="649" customWidth="1"/>
    <col min="4104" max="4104" width="11.5703125" style="649" customWidth="1"/>
    <col min="4105" max="4105" width="11" style="649" customWidth="1"/>
    <col min="4106" max="4106" width="7.85546875" style="649" customWidth="1"/>
    <col min="4107" max="4107" width="11.5703125" style="649" customWidth="1"/>
    <col min="4108" max="4353" width="9.140625" style="649"/>
    <col min="4354" max="4354" width="22.85546875" style="649" customWidth="1"/>
    <col min="4355" max="4355" width="12.42578125" style="649" customWidth="1"/>
    <col min="4356" max="4356" width="1.85546875" style="649" customWidth="1"/>
    <col min="4357" max="4357" width="7.7109375" style="649" customWidth="1"/>
    <col min="4358" max="4358" width="8" style="649" customWidth="1"/>
    <col min="4359" max="4359" width="10.140625" style="649" customWidth="1"/>
    <col min="4360" max="4360" width="11.5703125" style="649" customWidth="1"/>
    <col min="4361" max="4361" width="11" style="649" customWidth="1"/>
    <col min="4362" max="4362" width="7.85546875" style="649" customWidth="1"/>
    <col min="4363" max="4363" width="11.5703125" style="649" customWidth="1"/>
    <col min="4364" max="4609" width="9.140625" style="649"/>
    <col min="4610" max="4610" width="22.85546875" style="649" customWidth="1"/>
    <col min="4611" max="4611" width="12.42578125" style="649" customWidth="1"/>
    <col min="4612" max="4612" width="1.85546875" style="649" customWidth="1"/>
    <col min="4613" max="4613" width="7.7109375" style="649" customWidth="1"/>
    <col min="4614" max="4614" width="8" style="649" customWidth="1"/>
    <col min="4615" max="4615" width="10.140625" style="649" customWidth="1"/>
    <col min="4616" max="4616" width="11.5703125" style="649" customWidth="1"/>
    <col min="4617" max="4617" width="11" style="649" customWidth="1"/>
    <col min="4618" max="4618" width="7.85546875" style="649" customWidth="1"/>
    <col min="4619" max="4619" width="11.5703125" style="649" customWidth="1"/>
    <col min="4620" max="4865" width="9.140625" style="649"/>
    <col min="4866" max="4866" width="22.85546875" style="649" customWidth="1"/>
    <col min="4867" max="4867" width="12.42578125" style="649" customWidth="1"/>
    <col min="4868" max="4868" width="1.85546875" style="649" customWidth="1"/>
    <col min="4869" max="4869" width="7.7109375" style="649" customWidth="1"/>
    <col min="4870" max="4870" width="8" style="649" customWidth="1"/>
    <col min="4871" max="4871" width="10.140625" style="649" customWidth="1"/>
    <col min="4872" max="4872" width="11.5703125" style="649" customWidth="1"/>
    <col min="4873" max="4873" width="11" style="649" customWidth="1"/>
    <col min="4874" max="4874" width="7.85546875" style="649" customWidth="1"/>
    <col min="4875" max="4875" width="11.5703125" style="649" customWidth="1"/>
    <col min="4876" max="5121" width="9.140625" style="649"/>
    <col min="5122" max="5122" width="22.85546875" style="649" customWidth="1"/>
    <col min="5123" max="5123" width="12.42578125" style="649" customWidth="1"/>
    <col min="5124" max="5124" width="1.85546875" style="649" customWidth="1"/>
    <col min="5125" max="5125" width="7.7109375" style="649" customWidth="1"/>
    <col min="5126" max="5126" width="8" style="649" customWidth="1"/>
    <col min="5127" max="5127" width="10.140625" style="649" customWidth="1"/>
    <col min="5128" max="5128" width="11.5703125" style="649" customWidth="1"/>
    <col min="5129" max="5129" width="11" style="649" customWidth="1"/>
    <col min="5130" max="5130" width="7.85546875" style="649" customWidth="1"/>
    <col min="5131" max="5131" width="11.5703125" style="649" customWidth="1"/>
    <col min="5132" max="5377" width="9.140625" style="649"/>
    <col min="5378" max="5378" width="22.85546875" style="649" customWidth="1"/>
    <col min="5379" max="5379" width="12.42578125" style="649" customWidth="1"/>
    <col min="5380" max="5380" width="1.85546875" style="649" customWidth="1"/>
    <col min="5381" max="5381" width="7.7109375" style="649" customWidth="1"/>
    <col min="5382" max="5382" width="8" style="649" customWidth="1"/>
    <col min="5383" max="5383" width="10.140625" style="649" customWidth="1"/>
    <col min="5384" max="5384" width="11.5703125" style="649" customWidth="1"/>
    <col min="5385" max="5385" width="11" style="649" customWidth="1"/>
    <col min="5386" max="5386" width="7.85546875" style="649" customWidth="1"/>
    <col min="5387" max="5387" width="11.5703125" style="649" customWidth="1"/>
    <col min="5388" max="5633" width="9.140625" style="649"/>
    <col min="5634" max="5634" width="22.85546875" style="649" customWidth="1"/>
    <col min="5635" max="5635" width="12.42578125" style="649" customWidth="1"/>
    <col min="5636" max="5636" width="1.85546875" style="649" customWidth="1"/>
    <col min="5637" max="5637" width="7.7109375" style="649" customWidth="1"/>
    <col min="5638" max="5638" width="8" style="649" customWidth="1"/>
    <col min="5639" max="5639" width="10.140625" style="649" customWidth="1"/>
    <col min="5640" max="5640" width="11.5703125" style="649" customWidth="1"/>
    <col min="5641" max="5641" width="11" style="649" customWidth="1"/>
    <col min="5642" max="5642" width="7.85546875" style="649" customWidth="1"/>
    <col min="5643" max="5643" width="11.5703125" style="649" customWidth="1"/>
    <col min="5644" max="5889" width="9.140625" style="649"/>
    <col min="5890" max="5890" width="22.85546875" style="649" customWidth="1"/>
    <col min="5891" max="5891" width="12.42578125" style="649" customWidth="1"/>
    <col min="5892" max="5892" width="1.85546875" style="649" customWidth="1"/>
    <col min="5893" max="5893" width="7.7109375" style="649" customWidth="1"/>
    <col min="5894" max="5894" width="8" style="649" customWidth="1"/>
    <col min="5895" max="5895" width="10.140625" style="649" customWidth="1"/>
    <col min="5896" max="5896" width="11.5703125" style="649" customWidth="1"/>
    <col min="5897" max="5897" width="11" style="649" customWidth="1"/>
    <col min="5898" max="5898" width="7.85546875" style="649" customWidth="1"/>
    <col min="5899" max="5899" width="11.5703125" style="649" customWidth="1"/>
    <col min="5900" max="6145" width="9.140625" style="649"/>
    <col min="6146" max="6146" width="22.85546875" style="649" customWidth="1"/>
    <col min="6147" max="6147" width="12.42578125" style="649" customWidth="1"/>
    <col min="6148" max="6148" width="1.85546875" style="649" customWidth="1"/>
    <col min="6149" max="6149" width="7.7109375" style="649" customWidth="1"/>
    <col min="6150" max="6150" width="8" style="649" customWidth="1"/>
    <col min="6151" max="6151" width="10.140625" style="649" customWidth="1"/>
    <col min="6152" max="6152" width="11.5703125" style="649" customWidth="1"/>
    <col min="6153" max="6153" width="11" style="649" customWidth="1"/>
    <col min="6154" max="6154" width="7.85546875" style="649" customWidth="1"/>
    <col min="6155" max="6155" width="11.5703125" style="649" customWidth="1"/>
    <col min="6156" max="6401" width="9.140625" style="649"/>
    <col min="6402" max="6402" width="22.85546875" style="649" customWidth="1"/>
    <col min="6403" max="6403" width="12.42578125" style="649" customWidth="1"/>
    <col min="6404" max="6404" width="1.85546875" style="649" customWidth="1"/>
    <col min="6405" max="6405" width="7.7109375" style="649" customWidth="1"/>
    <col min="6406" max="6406" width="8" style="649" customWidth="1"/>
    <col min="6407" max="6407" width="10.140625" style="649" customWidth="1"/>
    <col min="6408" max="6408" width="11.5703125" style="649" customWidth="1"/>
    <col min="6409" max="6409" width="11" style="649" customWidth="1"/>
    <col min="6410" max="6410" width="7.85546875" style="649" customWidth="1"/>
    <col min="6411" max="6411" width="11.5703125" style="649" customWidth="1"/>
    <col min="6412" max="6657" width="9.140625" style="649"/>
    <col min="6658" max="6658" width="22.85546875" style="649" customWidth="1"/>
    <col min="6659" max="6659" width="12.42578125" style="649" customWidth="1"/>
    <col min="6660" max="6660" width="1.85546875" style="649" customWidth="1"/>
    <col min="6661" max="6661" width="7.7109375" style="649" customWidth="1"/>
    <col min="6662" max="6662" width="8" style="649" customWidth="1"/>
    <col min="6663" max="6663" width="10.140625" style="649" customWidth="1"/>
    <col min="6664" max="6664" width="11.5703125" style="649" customWidth="1"/>
    <col min="6665" max="6665" width="11" style="649" customWidth="1"/>
    <col min="6666" max="6666" width="7.85546875" style="649" customWidth="1"/>
    <col min="6667" max="6667" width="11.5703125" style="649" customWidth="1"/>
    <col min="6668" max="6913" width="9.140625" style="649"/>
    <col min="6914" max="6914" width="22.85546875" style="649" customWidth="1"/>
    <col min="6915" max="6915" width="12.42578125" style="649" customWidth="1"/>
    <col min="6916" max="6916" width="1.85546875" style="649" customWidth="1"/>
    <col min="6917" max="6917" width="7.7109375" style="649" customWidth="1"/>
    <col min="6918" max="6918" width="8" style="649" customWidth="1"/>
    <col min="6919" max="6919" width="10.140625" style="649" customWidth="1"/>
    <col min="6920" max="6920" width="11.5703125" style="649" customWidth="1"/>
    <col min="6921" max="6921" width="11" style="649" customWidth="1"/>
    <col min="6922" max="6922" width="7.85546875" style="649" customWidth="1"/>
    <col min="6923" max="6923" width="11.5703125" style="649" customWidth="1"/>
    <col min="6924" max="7169" width="9.140625" style="649"/>
    <col min="7170" max="7170" width="22.85546875" style="649" customWidth="1"/>
    <col min="7171" max="7171" width="12.42578125" style="649" customWidth="1"/>
    <col min="7172" max="7172" width="1.85546875" style="649" customWidth="1"/>
    <col min="7173" max="7173" width="7.7109375" style="649" customWidth="1"/>
    <col min="7174" max="7174" width="8" style="649" customWidth="1"/>
    <col min="7175" max="7175" width="10.140625" style="649" customWidth="1"/>
    <col min="7176" max="7176" width="11.5703125" style="649" customWidth="1"/>
    <col min="7177" max="7177" width="11" style="649" customWidth="1"/>
    <col min="7178" max="7178" width="7.85546875" style="649" customWidth="1"/>
    <col min="7179" max="7179" width="11.5703125" style="649" customWidth="1"/>
    <col min="7180" max="7425" width="9.140625" style="649"/>
    <col min="7426" max="7426" width="22.85546875" style="649" customWidth="1"/>
    <col min="7427" max="7427" width="12.42578125" style="649" customWidth="1"/>
    <col min="7428" max="7428" width="1.85546875" style="649" customWidth="1"/>
    <col min="7429" max="7429" width="7.7109375" style="649" customWidth="1"/>
    <col min="7430" max="7430" width="8" style="649" customWidth="1"/>
    <col min="7431" max="7431" width="10.140625" style="649" customWidth="1"/>
    <col min="7432" max="7432" width="11.5703125" style="649" customWidth="1"/>
    <col min="7433" max="7433" width="11" style="649" customWidth="1"/>
    <col min="7434" max="7434" width="7.85546875" style="649" customWidth="1"/>
    <col min="7435" max="7435" width="11.5703125" style="649" customWidth="1"/>
    <col min="7436" max="7681" width="9.140625" style="649"/>
    <col min="7682" max="7682" width="22.85546875" style="649" customWidth="1"/>
    <col min="7683" max="7683" width="12.42578125" style="649" customWidth="1"/>
    <col min="7684" max="7684" width="1.85546875" style="649" customWidth="1"/>
    <col min="7685" max="7685" width="7.7109375" style="649" customWidth="1"/>
    <col min="7686" max="7686" width="8" style="649" customWidth="1"/>
    <col min="7687" max="7687" width="10.140625" style="649" customWidth="1"/>
    <col min="7688" max="7688" width="11.5703125" style="649" customWidth="1"/>
    <col min="7689" max="7689" width="11" style="649" customWidth="1"/>
    <col min="7690" max="7690" width="7.85546875" style="649" customWidth="1"/>
    <col min="7691" max="7691" width="11.5703125" style="649" customWidth="1"/>
    <col min="7692" max="7937" width="9.140625" style="649"/>
    <col min="7938" max="7938" width="22.85546875" style="649" customWidth="1"/>
    <col min="7939" max="7939" width="12.42578125" style="649" customWidth="1"/>
    <col min="7940" max="7940" width="1.85546875" style="649" customWidth="1"/>
    <col min="7941" max="7941" width="7.7109375" style="649" customWidth="1"/>
    <col min="7942" max="7942" width="8" style="649" customWidth="1"/>
    <col min="7943" max="7943" width="10.140625" style="649" customWidth="1"/>
    <col min="7944" max="7944" width="11.5703125" style="649" customWidth="1"/>
    <col min="7945" max="7945" width="11" style="649" customWidth="1"/>
    <col min="7946" max="7946" width="7.85546875" style="649" customWidth="1"/>
    <col min="7947" max="7947" width="11.5703125" style="649" customWidth="1"/>
    <col min="7948" max="8193" width="9.140625" style="649"/>
    <col min="8194" max="8194" width="22.85546875" style="649" customWidth="1"/>
    <col min="8195" max="8195" width="12.42578125" style="649" customWidth="1"/>
    <col min="8196" max="8196" width="1.85546875" style="649" customWidth="1"/>
    <col min="8197" max="8197" width="7.7109375" style="649" customWidth="1"/>
    <col min="8198" max="8198" width="8" style="649" customWidth="1"/>
    <col min="8199" max="8199" width="10.140625" style="649" customWidth="1"/>
    <col min="8200" max="8200" width="11.5703125" style="649" customWidth="1"/>
    <col min="8201" max="8201" width="11" style="649" customWidth="1"/>
    <col min="8202" max="8202" width="7.85546875" style="649" customWidth="1"/>
    <col min="8203" max="8203" width="11.5703125" style="649" customWidth="1"/>
    <col min="8204" max="8449" width="9.140625" style="649"/>
    <col min="8450" max="8450" width="22.85546875" style="649" customWidth="1"/>
    <col min="8451" max="8451" width="12.42578125" style="649" customWidth="1"/>
    <col min="8452" max="8452" width="1.85546875" style="649" customWidth="1"/>
    <col min="8453" max="8453" width="7.7109375" style="649" customWidth="1"/>
    <col min="8454" max="8454" width="8" style="649" customWidth="1"/>
    <col min="8455" max="8455" width="10.140625" style="649" customWidth="1"/>
    <col min="8456" max="8456" width="11.5703125" style="649" customWidth="1"/>
    <col min="8457" max="8457" width="11" style="649" customWidth="1"/>
    <col min="8458" max="8458" width="7.85546875" style="649" customWidth="1"/>
    <col min="8459" max="8459" width="11.5703125" style="649" customWidth="1"/>
    <col min="8460" max="8705" width="9.140625" style="649"/>
    <col min="8706" max="8706" width="22.85546875" style="649" customWidth="1"/>
    <col min="8707" max="8707" width="12.42578125" style="649" customWidth="1"/>
    <col min="8708" max="8708" width="1.85546875" style="649" customWidth="1"/>
    <col min="8709" max="8709" width="7.7109375" style="649" customWidth="1"/>
    <col min="8710" max="8710" width="8" style="649" customWidth="1"/>
    <col min="8711" max="8711" width="10.140625" style="649" customWidth="1"/>
    <col min="8712" max="8712" width="11.5703125" style="649" customWidth="1"/>
    <col min="8713" max="8713" width="11" style="649" customWidth="1"/>
    <col min="8714" max="8714" width="7.85546875" style="649" customWidth="1"/>
    <col min="8715" max="8715" width="11.5703125" style="649" customWidth="1"/>
    <col min="8716" max="8961" width="9.140625" style="649"/>
    <col min="8962" max="8962" width="22.85546875" style="649" customWidth="1"/>
    <col min="8963" max="8963" width="12.42578125" style="649" customWidth="1"/>
    <col min="8964" max="8964" width="1.85546875" style="649" customWidth="1"/>
    <col min="8965" max="8965" width="7.7109375" style="649" customWidth="1"/>
    <col min="8966" max="8966" width="8" style="649" customWidth="1"/>
    <col min="8967" max="8967" width="10.140625" style="649" customWidth="1"/>
    <col min="8968" max="8968" width="11.5703125" style="649" customWidth="1"/>
    <col min="8969" max="8969" width="11" style="649" customWidth="1"/>
    <col min="8970" max="8970" width="7.85546875" style="649" customWidth="1"/>
    <col min="8971" max="8971" width="11.5703125" style="649" customWidth="1"/>
    <col min="8972" max="9217" width="9.140625" style="649"/>
    <col min="9218" max="9218" width="22.85546875" style="649" customWidth="1"/>
    <col min="9219" max="9219" width="12.42578125" style="649" customWidth="1"/>
    <col min="9220" max="9220" width="1.85546875" style="649" customWidth="1"/>
    <col min="9221" max="9221" width="7.7109375" style="649" customWidth="1"/>
    <col min="9222" max="9222" width="8" style="649" customWidth="1"/>
    <col min="9223" max="9223" width="10.140625" style="649" customWidth="1"/>
    <col min="9224" max="9224" width="11.5703125" style="649" customWidth="1"/>
    <col min="9225" max="9225" width="11" style="649" customWidth="1"/>
    <col min="9226" max="9226" width="7.85546875" style="649" customWidth="1"/>
    <col min="9227" max="9227" width="11.5703125" style="649" customWidth="1"/>
    <col min="9228" max="9473" width="9.140625" style="649"/>
    <col min="9474" max="9474" width="22.85546875" style="649" customWidth="1"/>
    <col min="9475" max="9475" width="12.42578125" style="649" customWidth="1"/>
    <col min="9476" max="9476" width="1.85546875" style="649" customWidth="1"/>
    <col min="9477" max="9477" width="7.7109375" style="649" customWidth="1"/>
    <col min="9478" max="9478" width="8" style="649" customWidth="1"/>
    <col min="9479" max="9479" width="10.140625" style="649" customWidth="1"/>
    <col min="9480" max="9480" width="11.5703125" style="649" customWidth="1"/>
    <col min="9481" max="9481" width="11" style="649" customWidth="1"/>
    <col min="9482" max="9482" width="7.85546875" style="649" customWidth="1"/>
    <col min="9483" max="9483" width="11.5703125" style="649" customWidth="1"/>
    <col min="9484" max="9729" width="9.140625" style="649"/>
    <col min="9730" max="9730" width="22.85546875" style="649" customWidth="1"/>
    <col min="9731" max="9731" width="12.42578125" style="649" customWidth="1"/>
    <col min="9732" max="9732" width="1.85546875" style="649" customWidth="1"/>
    <col min="9733" max="9733" width="7.7109375" style="649" customWidth="1"/>
    <col min="9734" max="9734" width="8" style="649" customWidth="1"/>
    <col min="9735" max="9735" width="10.140625" style="649" customWidth="1"/>
    <col min="9736" max="9736" width="11.5703125" style="649" customWidth="1"/>
    <col min="9737" max="9737" width="11" style="649" customWidth="1"/>
    <col min="9738" max="9738" width="7.85546875" style="649" customWidth="1"/>
    <col min="9739" max="9739" width="11.5703125" style="649" customWidth="1"/>
    <col min="9740" max="9985" width="9.140625" style="649"/>
    <col min="9986" max="9986" width="22.85546875" style="649" customWidth="1"/>
    <col min="9987" max="9987" width="12.42578125" style="649" customWidth="1"/>
    <col min="9988" max="9988" width="1.85546875" style="649" customWidth="1"/>
    <col min="9989" max="9989" width="7.7109375" style="649" customWidth="1"/>
    <col min="9990" max="9990" width="8" style="649" customWidth="1"/>
    <col min="9991" max="9991" width="10.140625" style="649" customWidth="1"/>
    <col min="9992" max="9992" width="11.5703125" style="649" customWidth="1"/>
    <col min="9993" max="9993" width="11" style="649" customWidth="1"/>
    <col min="9994" max="9994" width="7.85546875" style="649" customWidth="1"/>
    <col min="9995" max="9995" width="11.5703125" style="649" customWidth="1"/>
    <col min="9996" max="10241" width="9.140625" style="649"/>
    <col min="10242" max="10242" width="22.85546875" style="649" customWidth="1"/>
    <col min="10243" max="10243" width="12.42578125" style="649" customWidth="1"/>
    <col min="10244" max="10244" width="1.85546875" style="649" customWidth="1"/>
    <col min="10245" max="10245" width="7.7109375" style="649" customWidth="1"/>
    <col min="10246" max="10246" width="8" style="649" customWidth="1"/>
    <col min="10247" max="10247" width="10.140625" style="649" customWidth="1"/>
    <col min="10248" max="10248" width="11.5703125" style="649" customWidth="1"/>
    <col min="10249" max="10249" width="11" style="649" customWidth="1"/>
    <col min="10250" max="10250" width="7.85546875" style="649" customWidth="1"/>
    <col min="10251" max="10251" width="11.5703125" style="649" customWidth="1"/>
    <col min="10252" max="10497" width="9.140625" style="649"/>
    <col min="10498" max="10498" width="22.85546875" style="649" customWidth="1"/>
    <col min="10499" max="10499" width="12.42578125" style="649" customWidth="1"/>
    <col min="10500" max="10500" width="1.85546875" style="649" customWidth="1"/>
    <col min="10501" max="10501" width="7.7109375" style="649" customWidth="1"/>
    <col min="10502" max="10502" width="8" style="649" customWidth="1"/>
    <col min="10503" max="10503" width="10.140625" style="649" customWidth="1"/>
    <col min="10504" max="10504" width="11.5703125" style="649" customWidth="1"/>
    <col min="10505" max="10505" width="11" style="649" customWidth="1"/>
    <col min="10506" max="10506" width="7.85546875" style="649" customWidth="1"/>
    <col min="10507" max="10507" width="11.5703125" style="649" customWidth="1"/>
    <col min="10508" max="10753" width="9.140625" style="649"/>
    <col min="10754" max="10754" width="22.85546875" style="649" customWidth="1"/>
    <col min="10755" max="10755" width="12.42578125" style="649" customWidth="1"/>
    <col min="10756" max="10756" width="1.85546875" style="649" customWidth="1"/>
    <col min="10757" max="10757" width="7.7109375" style="649" customWidth="1"/>
    <col min="10758" max="10758" width="8" style="649" customWidth="1"/>
    <col min="10759" max="10759" width="10.140625" style="649" customWidth="1"/>
    <col min="10760" max="10760" width="11.5703125" style="649" customWidth="1"/>
    <col min="10761" max="10761" width="11" style="649" customWidth="1"/>
    <col min="10762" max="10762" width="7.85546875" style="649" customWidth="1"/>
    <col min="10763" max="10763" width="11.5703125" style="649" customWidth="1"/>
    <col min="10764" max="11009" width="9.140625" style="649"/>
    <col min="11010" max="11010" width="22.85546875" style="649" customWidth="1"/>
    <col min="11011" max="11011" width="12.42578125" style="649" customWidth="1"/>
    <col min="11012" max="11012" width="1.85546875" style="649" customWidth="1"/>
    <col min="11013" max="11013" width="7.7109375" style="649" customWidth="1"/>
    <col min="11014" max="11014" width="8" style="649" customWidth="1"/>
    <col min="11015" max="11015" width="10.140625" style="649" customWidth="1"/>
    <col min="11016" max="11016" width="11.5703125" style="649" customWidth="1"/>
    <col min="11017" max="11017" width="11" style="649" customWidth="1"/>
    <col min="11018" max="11018" width="7.85546875" style="649" customWidth="1"/>
    <col min="11019" max="11019" width="11.5703125" style="649" customWidth="1"/>
    <col min="11020" max="11265" width="9.140625" style="649"/>
    <col min="11266" max="11266" width="22.85546875" style="649" customWidth="1"/>
    <col min="11267" max="11267" width="12.42578125" style="649" customWidth="1"/>
    <col min="11268" max="11268" width="1.85546875" style="649" customWidth="1"/>
    <col min="11269" max="11269" width="7.7109375" style="649" customWidth="1"/>
    <col min="11270" max="11270" width="8" style="649" customWidth="1"/>
    <col min="11271" max="11271" width="10.140625" style="649" customWidth="1"/>
    <col min="11272" max="11272" width="11.5703125" style="649" customWidth="1"/>
    <col min="11273" max="11273" width="11" style="649" customWidth="1"/>
    <col min="11274" max="11274" width="7.85546875" style="649" customWidth="1"/>
    <col min="11275" max="11275" width="11.5703125" style="649" customWidth="1"/>
    <col min="11276" max="11521" width="9.140625" style="649"/>
    <col min="11522" max="11522" width="22.85546875" style="649" customWidth="1"/>
    <col min="11523" max="11523" width="12.42578125" style="649" customWidth="1"/>
    <col min="11524" max="11524" width="1.85546875" style="649" customWidth="1"/>
    <col min="11525" max="11525" width="7.7109375" style="649" customWidth="1"/>
    <col min="11526" max="11526" width="8" style="649" customWidth="1"/>
    <col min="11527" max="11527" width="10.140625" style="649" customWidth="1"/>
    <col min="11528" max="11528" width="11.5703125" style="649" customWidth="1"/>
    <col min="11529" max="11529" width="11" style="649" customWidth="1"/>
    <col min="11530" max="11530" width="7.85546875" style="649" customWidth="1"/>
    <col min="11531" max="11531" width="11.5703125" style="649" customWidth="1"/>
    <col min="11532" max="11777" width="9.140625" style="649"/>
    <col min="11778" max="11778" width="22.85546875" style="649" customWidth="1"/>
    <col min="11779" max="11779" width="12.42578125" style="649" customWidth="1"/>
    <col min="11780" max="11780" width="1.85546875" style="649" customWidth="1"/>
    <col min="11781" max="11781" width="7.7109375" style="649" customWidth="1"/>
    <col min="11782" max="11782" width="8" style="649" customWidth="1"/>
    <col min="11783" max="11783" width="10.140625" style="649" customWidth="1"/>
    <col min="11784" max="11784" width="11.5703125" style="649" customWidth="1"/>
    <col min="11785" max="11785" width="11" style="649" customWidth="1"/>
    <col min="11786" max="11786" width="7.85546875" style="649" customWidth="1"/>
    <col min="11787" max="11787" width="11.5703125" style="649" customWidth="1"/>
    <col min="11788" max="12033" width="9.140625" style="649"/>
    <col min="12034" max="12034" width="22.85546875" style="649" customWidth="1"/>
    <col min="12035" max="12035" width="12.42578125" style="649" customWidth="1"/>
    <col min="12036" max="12036" width="1.85546875" style="649" customWidth="1"/>
    <col min="12037" max="12037" width="7.7109375" style="649" customWidth="1"/>
    <col min="12038" max="12038" width="8" style="649" customWidth="1"/>
    <col min="12039" max="12039" width="10.140625" style="649" customWidth="1"/>
    <col min="12040" max="12040" width="11.5703125" style="649" customWidth="1"/>
    <col min="12041" max="12041" width="11" style="649" customWidth="1"/>
    <col min="12042" max="12042" width="7.85546875" style="649" customWidth="1"/>
    <col min="12043" max="12043" width="11.5703125" style="649" customWidth="1"/>
    <col min="12044" max="12289" width="9.140625" style="649"/>
    <col min="12290" max="12290" width="22.85546875" style="649" customWidth="1"/>
    <col min="12291" max="12291" width="12.42578125" style="649" customWidth="1"/>
    <col min="12292" max="12292" width="1.85546875" style="649" customWidth="1"/>
    <col min="12293" max="12293" width="7.7109375" style="649" customWidth="1"/>
    <col min="12294" max="12294" width="8" style="649" customWidth="1"/>
    <col min="12295" max="12295" width="10.140625" style="649" customWidth="1"/>
    <col min="12296" max="12296" width="11.5703125" style="649" customWidth="1"/>
    <col min="12297" max="12297" width="11" style="649" customWidth="1"/>
    <col min="12298" max="12298" width="7.85546875" style="649" customWidth="1"/>
    <col min="12299" max="12299" width="11.5703125" style="649" customWidth="1"/>
    <col min="12300" max="12545" width="9.140625" style="649"/>
    <col min="12546" max="12546" width="22.85546875" style="649" customWidth="1"/>
    <col min="12547" max="12547" width="12.42578125" style="649" customWidth="1"/>
    <col min="12548" max="12548" width="1.85546875" style="649" customWidth="1"/>
    <col min="12549" max="12549" width="7.7109375" style="649" customWidth="1"/>
    <col min="12550" max="12550" width="8" style="649" customWidth="1"/>
    <col min="12551" max="12551" width="10.140625" style="649" customWidth="1"/>
    <col min="12552" max="12552" width="11.5703125" style="649" customWidth="1"/>
    <col min="12553" max="12553" width="11" style="649" customWidth="1"/>
    <col min="12554" max="12554" width="7.85546875" style="649" customWidth="1"/>
    <col min="12555" max="12555" width="11.5703125" style="649" customWidth="1"/>
    <col min="12556" max="12801" width="9.140625" style="649"/>
    <col min="12802" max="12802" width="22.85546875" style="649" customWidth="1"/>
    <col min="12803" max="12803" width="12.42578125" style="649" customWidth="1"/>
    <col min="12804" max="12804" width="1.85546875" style="649" customWidth="1"/>
    <col min="12805" max="12805" width="7.7109375" style="649" customWidth="1"/>
    <col min="12806" max="12806" width="8" style="649" customWidth="1"/>
    <col min="12807" max="12807" width="10.140625" style="649" customWidth="1"/>
    <col min="12808" max="12808" width="11.5703125" style="649" customWidth="1"/>
    <col min="12809" max="12809" width="11" style="649" customWidth="1"/>
    <col min="12810" max="12810" width="7.85546875" style="649" customWidth="1"/>
    <col min="12811" max="12811" width="11.5703125" style="649" customWidth="1"/>
    <col min="12812" max="13057" width="9.140625" style="649"/>
    <col min="13058" max="13058" width="22.85546875" style="649" customWidth="1"/>
    <col min="13059" max="13059" width="12.42578125" style="649" customWidth="1"/>
    <col min="13060" max="13060" width="1.85546875" style="649" customWidth="1"/>
    <col min="13061" max="13061" width="7.7109375" style="649" customWidth="1"/>
    <col min="13062" max="13062" width="8" style="649" customWidth="1"/>
    <col min="13063" max="13063" width="10.140625" style="649" customWidth="1"/>
    <col min="13064" max="13064" width="11.5703125" style="649" customWidth="1"/>
    <col min="13065" max="13065" width="11" style="649" customWidth="1"/>
    <col min="13066" max="13066" width="7.85546875" style="649" customWidth="1"/>
    <col min="13067" max="13067" width="11.5703125" style="649" customWidth="1"/>
    <col min="13068" max="13313" width="9.140625" style="649"/>
    <col min="13314" max="13314" width="22.85546875" style="649" customWidth="1"/>
    <col min="13315" max="13315" width="12.42578125" style="649" customWidth="1"/>
    <col min="13316" max="13316" width="1.85546875" style="649" customWidth="1"/>
    <col min="13317" max="13317" width="7.7109375" style="649" customWidth="1"/>
    <col min="13318" max="13318" width="8" style="649" customWidth="1"/>
    <col min="13319" max="13319" width="10.140625" style="649" customWidth="1"/>
    <col min="13320" max="13320" width="11.5703125" style="649" customWidth="1"/>
    <col min="13321" max="13321" width="11" style="649" customWidth="1"/>
    <col min="13322" max="13322" width="7.85546875" style="649" customWidth="1"/>
    <col min="13323" max="13323" width="11.5703125" style="649" customWidth="1"/>
    <col min="13324" max="13569" width="9.140625" style="649"/>
    <col min="13570" max="13570" width="22.85546875" style="649" customWidth="1"/>
    <col min="13571" max="13571" width="12.42578125" style="649" customWidth="1"/>
    <col min="13572" max="13572" width="1.85546875" style="649" customWidth="1"/>
    <col min="13573" max="13573" width="7.7109375" style="649" customWidth="1"/>
    <col min="13574" max="13574" width="8" style="649" customWidth="1"/>
    <col min="13575" max="13575" width="10.140625" style="649" customWidth="1"/>
    <col min="13576" max="13576" width="11.5703125" style="649" customWidth="1"/>
    <col min="13577" max="13577" width="11" style="649" customWidth="1"/>
    <col min="13578" max="13578" width="7.85546875" style="649" customWidth="1"/>
    <col min="13579" max="13579" width="11.5703125" style="649" customWidth="1"/>
    <col min="13580" max="13825" width="9.140625" style="649"/>
    <col min="13826" max="13826" width="22.85546875" style="649" customWidth="1"/>
    <col min="13827" max="13827" width="12.42578125" style="649" customWidth="1"/>
    <col min="13828" max="13828" width="1.85546875" style="649" customWidth="1"/>
    <col min="13829" max="13829" width="7.7109375" style="649" customWidth="1"/>
    <col min="13830" max="13830" width="8" style="649" customWidth="1"/>
    <col min="13831" max="13831" width="10.140625" style="649" customWidth="1"/>
    <col min="13832" max="13832" width="11.5703125" style="649" customWidth="1"/>
    <col min="13833" max="13833" width="11" style="649" customWidth="1"/>
    <col min="13834" max="13834" width="7.85546875" style="649" customWidth="1"/>
    <col min="13835" max="13835" width="11.5703125" style="649" customWidth="1"/>
    <col min="13836" max="14081" width="9.140625" style="649"/>
    <col min="14082" max="14082" width="22.85546875" style="649" customWidth="1"/>
    <col min="14083" max="14083" width="12.42578125" style="649" customWidth="1"/>
    <col min="14084" max="14084" width="1.85546875" style="649" customWidth="1"/>
    <col min="14085" max="14085" width="7.7109375" style="649" customWidth="1"/>
    <col min="14086" max="14086" width="8" style="649" customWidth="1"/>
    <col min="14087" max="14087" width="10.140625" style="649" customWidth="1"/>
    <col min="14088" max="14088" width="11.5703125" style="649" customWidth="1"/>
    <col min="14089" max="14089" width="11" style="649" customWidth="1"/>
    <col min="14090" max="14090" width="7.85546875" style="649" customWidth="1"/>
    <col min="14091" max="14091" width="11.5703125" style="649" customWidth="1"/>
    <col min="14092" max="14337" width="9.140625" style="649"/>
    <col min="14338" max="14338" width="22.85546875" style="649" customWidth="1"/>
    <col min="14339" max="14339" width="12.42578125" style="649" customWidth="1"/>
    <col min="14340" max="14340" width="1.85546875" style="649" customWidth="1"/>
    <col min="14341" max="14341" width="7.7109375" style="649" customWidth="1"/>
    <col min="14342" max="14342" width="8" style="649" customWidth="1"/>
    <col min="14343" max="14343" width="10.140625" style="649" customWidth="1"/>
    <col min="14344" max="14344" width="11.5703125" style="649" customWidth="1"/>
    <col min="14345" max="14345" width="11" style="649" customWidth="1"/>
    <col min="14346" max="14346" width="7.85546875" style="649" customWidth="1"/>
    <col min="14347" max="14347" width="11.5703125" style="649" customWidth="1"/>
    <col min="14348" max="14593" width="9.140625" style="649"/>
    <col min="14594" max="14594" width="22.85546875" style="649" customWidth="1"/>
    <col min="14595" max="14595" width="12.42578125" style="649" customWidth="1"/>
    <col min="14596" max="14596" width="1.85546875" style="649" customWidth="1"/>
    <col min="14597" max="14597" width="7.7109375" style="649" customWidth="1"/>
    <col min="14598" max="14598" width="8" style="649" customWidth="1"/>
    <col min="14599" max="14599" width="10.140625" style="649" customWidth="1"/>
    <col min="14600" max="14600" width="11.5703125" style="649" customWidth="1"/>
    <col min="14601" max="14601" width="11" style="649" customWidth="1"/>
    <col min="14602" max="14602" width="7.85546875" style="649" customWidth="1"/>
    <col min="14603" max="14603" width="11.5703125" style="649" customWidth="1"/>
    <col min="14604" max="14849" width="9.140625" style="649"/>
    <col min="14850" max="14850" width="22.85546875" style="649" customWidth="1"/>
    <col min="14851" max="14851" width="12.42578125" style="649" customWidth="1"/>
    <col min="14852" max="14852" width="1.85546875" style="649" customWidth="1"/>
    <col min="14853" max="14853" width="7.7109375" style="649" customWidth="1"/>
    <col min="14854" max="14854" width="8" style="649" customWidth="1"/>
    <col min="14855" max="14855" width="10.140625" style="649" customWidth="1"/>
    <col min="14856" max="14856" width="11.5703125" style="649" customWidth="1"/>
    <col min="14857" max="14857" width="11" style="649" customWidth="1"/>
    <col min="14858" max="14858" width="7.85546875" style="649" customWidth="1"/>
    <col min="14859" max="14859" width="11.5703125" style="649" customWidth="1"/>
    <col min="14860" max="15105" width="9.140625" style="649"/>
    <col min="15106" max="15106" width="22.85546875" style="649" customWidth="1"/>
    <col min="15107" max="15107" width="12.42578125" style="649" customWidth="1"/>
    <col min="15108" max="15108" width="1.85546875" style="649" customWidth="1"/>
    <col min="15109" max="15109" width="7.7109375" style="649" customWidth="1"/>
    <col min="15110" max="15110" width="8" style="649" customWidth="1"/>
    <col min="15111" max="15111" width="10.140625" style="649" customWidth="1"/>
    <col min="15112" max="15112" width="11.5703125" style="649" customWidth="1"/>
    <col min="15113" max="15113" width="11" style="649" customWidth="1"/>
    <col min="15114" max="15114" width="7.85546875" style="649" customWidth="1"/>
    <col min="15115" max="15115" width="11.5703125" style="649" customWidth="1"/>
    <col min="15116" max="15361" width="9.140625" style="649"/>
    <col min="15362" max="15362" width="22.85546875" style="649" customWidth="1"/>
    <col min="15363" max="15363" width="12.42578125" style="649" customWidth="1"/>
    <col min="15364" max="15364" width="1.85546875" style="649" customWidth="1"/>
    <col min="15365" max="15365" width="7.7109375" style="649" customWidth="1"/>
    <col min="15366" max="15366" width="8" style="649" customWidth="1"/>
    <col min="15367" max="15367" width="10.140625" style="649" customWidth="1"/>
    <col min="15368" max="15368" width="11.5703125" style="649" customWidth="1"/>
    <col min="15369" max="15369" width="11" style="649" customWidth="1"/>
    <col min="15370" max="15370" width="7.85546875" style="649" customWidth="1"/>
    <col min="15371" max="15371" width="11.5703125" style="649" customWidth="1"/>
    <col min="15372" max="15617" width="9.140625" style="649"/>
    <col min="15618" max="15618" width="22.85546875" style="649" customWidth="1"/>
    <col min="15619" max="15619" width="12.42578125" style="649" customWidth="1"/>
    <col min="15620" max="15620" width="1.85546875" style="649" customWidth="1"/>
    <col min="15621" max="15621" width="7.7109375" style="649" customWidth="1"/>
    <col min="15622" max="15622" width="8" style="649" customWidth="1"/>
    <col min="15623" max="15623" width="10.140625" style="649" customWidth="1"/>
    <col min="15624" max="15624" width="11.5703125" style="649" customWidth="1"/>
    <col min="15625" max="15625" width="11" style="649" customWidth="1"/>
    <col min="15626" max="15626" width="7.85546875" style="649" customWidth="1"/>
    <col min="15627" max="15627" width="11.5703125" style="649" customWidth="1"/>
    <col min="15628" max="15873" width="9.140625" style="649"/>
    <col min="15874" max="15874" width="22.85546875" style="649" customWidth="1"/>
    <col min="15875" max="15875" width="12.42578125" style="649" customWidth="1"/>
    <col min="15876" max="15876" width="1.85546875" style="649" customWidth="1"/>
    <col min="15877" max="15877" width="7.7109375" style="649" customWidth="1"/>
    <col min="15878" max="15878" width="8" style="649" customWidth="1"/>
    <col min="15879" max="15879" width="10.140625" style="649" customWidth="1"/>
    <col min="15880" max="15880" width="11.5703125" style="649" customWidth="1"/>
    <col min="15881" max="15881" width="11" style="649" customWidth="1"/>
    <col min="15882" max="15882" width="7.85546875" style="649" customWidth="1"/>
    <col min="15883" max="15883" width="11.5703125" style="649" customWidth="1"/>
    <col min="15884" max="16129" width="9.140625" style="649"/>
    <col min="16130" max="16130" width="22.85546875" style="649" customWidth="1"/>
    <col min="16131" max="16131" width="12.42578125" style="649" customWidth="1"/>
    <col min="16132" max="16132" width="1.85546875" style="649" customWidth="1"/>
    <col min="16133" max="16133" width="7.7109375" style="649" customWidth="1"/>
    <col min="16134" max="16134" width="8" style="649" customWidth="1"/>
    <col min="16135" max="16135" width="10.140625" style="649" customWidth="1"/>
    <col min="16136" max="16136" width="11.5703125" style="649" customWidth="1"/>
    <col min="16137" max="16137" width="11" style="649" customWidth="1"/>
    <col min="16138" max="16138" width="7.85546875" style="649" customWidth="1"/>
    <col min="16139" max="16139" width="11.5703125" style="649" customWidth="1"/>
    <col min="16140" max="16384" width="9.140625" style="649"/>
  </cols>
  <sheetData>
    <row r="3" spans="1:11" x14ac:dyDescent="0.2">
      <c r="A3" s="649" t="str">
        <f>Dados!A2</f>
        <v>Carta/Com nº</v>
      </c>
      <c r="G3" s="1615" t="str">
        <f>"Brasília/DF," &amp; " " &amp; TEXT(Dados!G17,"[$-F800]dddd, mmmm dd, aaaa")</f>
        <v>Brasília/DF, sábado, 28 de abril de 2018</v>
      </c>
      <c r="H3" s="1615"/>
      <c r="I3" s="1615"/>
      <c r="J3" s="1615"/>
      <c r="K3" s="1615"/>
    </row>
    <row r="6" spans="1:11" x14ac:dyDescent="0.2">
      <c r="A6" s="686" t="s">
        <v>123</v>
      </c>
    </row>
    <row r="7" spans="1:11" x14ac:dyDescent="0.2">
      <c r="A7" s="1616" t="str">
        <f>Dados!A5</f>
        <v>CONSELHO DA JUSTIÇA FEDERAL – CJF</v>
      </c>
      <c r="B7" s="1616"/>
      <c r="C7" s="1616"/>
      <c r="D7" s="1616"/>
      <c r="E7" s="1616"/>
      <c r="F7" s="1616"/>
      <c r="G7" s="1616"/>
      <c r="H7" s="1616"/>
      <c r="I7" s="1616"/>
      <c r="J7" s="1616"/>
      <c r="K7" s="1616"/>
    </row>
    <row r="8" spans="1:11" x14ac:dyDescent="0.2">
      <c r="A8" s="854" t="str">
        <f>Dados!A6</f>
        <v>Secretaria</v>
      </c>
      <c r="B8" s="854"/>
      <c r="C8" s="854"/>
      <c r="D8" s="854"/>
      <c r="E8" s="854"/>
      <c r="F8" s="854"/>
      <c r="G8" s="854"/>
      <c r="H8" s="854"/>
      <c r="I8" s="854"/>
      <c r="J8" s="854"/>
      <c r="K8" s="854"/>
    </row>
    <row r="9" spans="1:11" x14ac:dyDescent="0.2">
      <c r="A9" s="854" t="str">
        <f>Dados!A7</f>
        <v>SCES, Trecho III, Polo 08, Lote 09 e SAAN Quadra 01 Lotes 10/70, Brasília/DF</v>
      </c>
      <c r="B9" s="854"/>
      <c r="C9" s="854"/>
      <c r="D9" s="854"/>
      <c r="E9" s="854"/>
      <c r="F9" s="854"/>
      <c r="G9" s="854"/>
      <c r="H9" s="854"/>
      <c r="I9" s="854"/>
      <c r="J9" s="854"/>
      <c r="K9" s="854"/>
    </row>
    <row r="10" spans="1:11" x14ac:dyDescent="0.2">
      <c r="A10" s="854"/>
      <c r="B10" s="854"/>
    </row>
    <row r="11" spans="1:11" ht="19.5" customHeight="1" x14ac:dyDescent="0.2">
      <c r="A11" s="686"/>
    </row>
    <row r="12" spans="1:11" ht="15" customHeight="1" x14ac:dyDescent="0.2">
      <c r="A12" s="854" t="s">
        <v>1055</v>
      </c>
      <c r="B12" s="1617" t="str">
        <f>Dados!A10</f>
        <v>CONTRATO Nº __________/201__ - CONTRATANTE - PRESTAÇÃO DE SERVIÇOS --------</v>
      </c>
      <c r="C12" s="1617"/>
      <c r="D12" s="1617"/>
      <c r="E12" s="1617"/>
      <c r="F12" s="1617"/>
      <c r="G12" s="1617"/>
      <c r="H12" s="1617"/>
      <c r="I12" s="1617"/>
      <c r="J12" s="1617"/>
      <c r="K12" s="1617"/>
    </row>
    <row r="13" spans="1:11" ht="27" customHeight="1" x14ac:dyDescent="0.2">
      <c r="A13" s="854"/>
      <c r="B13" s="855"/>
      <c r="C13" s="855"/>
      <c r="D13" s="855"/>
      <c r="E13" s="855"/>
      <c r="F13" s="855"/>
      <c r="G13" s="855"/>
      <c r="H13" s="855"/>
      <c r="I13" s="855"/>
      <c r="J13" s="855"/>
      <c r="K13" s="855"/>
    </row>
    <row r="14" spans="1:11" ht="15" customHeight="1" x14ac:dyDescent="0.2">
      <c r="A14" s="854" t="s">
        <v>1054</v>
      </c>
      <c r="B14" s="1617" t="str">
        <f>Dados!H2</f>
        <v xml:space="preserve">REPACTUAÇÃO CONTRATUAL 20___ - </v>
      </c>
      <c r="C14" s="1617"/>
      <c r="D14" s="1617"/>
      <c r="E14" s="1617"/>
      <c r="F14" s="1617"/>
      <c r="G14" s="1617"/>
      <c r="H14" s="1617"/>
      <c r="I14" s="1617"/>
      <c r="J14" s="1617"/>
      <c r="K14" s="1617"/>
    </row>
    <row r="15" spans="1:11" x14ac:dyDescent="0.2">
      <c r="A15" s="686"/>
      <c r="B15" s="687"/>
      <c r="C15" s="687"/>
      <c r="D15" s="687"/>
      <c r="E15" s="687"/>
      <c r="F15" s="687"/>
      <c r="G15" s="687"/>
      <c r="H15" s="687"/>
      <c r="I15" s="687"/>
      <c r="J15" s="687"/>
      <c r="K15" s="686"/>
    </row>
    <row r="17" spans="1:13" x14ac:dyDescent="0.2">
      <c r="B17" s="649" t="s">
        <v>861</v>
      </c>
    </row>
    <row r="19" spans="1:13" ht="14.25" customHeight="1" x14ac:dyDescent="0.2">
      <c r="A19" s="1614" t="str">
        <f>"Vimos apresentar para conferência e aprovação, conforme previsto na Cláusula _________ do Contrato nº ________, demonstrativos de preços atualizados, válidos para o período de __/___/____ a ____/___/____, decorrentes da Convenção Coletiva da data-base de"&amp;" "&amp; TEXT(Dados!T101,"dd/mm/aaaa") &amp;" "&amp;"em conformidade com Convenção Coletiva -"&amp;" "&amp;Dados!N101&amp;""&amp;"."</f>
        <v>Vimos apresentar para conferência e aprovação, conforme previsto na Cláusula _________ do Contrato nº ________, demonstrativos de preços atualizados, válidos para o período de __/___/____ a ____/___/____, decorrentes da Convenção Coletiva da data-base de 01/01/2021 em conformidade com Convenção Coletiva - SINDISERVIÇOS/SEAC-DF.</v>
      </c>
      <c r="B19" s="1614"/>
      <c r="C19" s="1614"/>
      <c r="D19" s="1614"/>
      <c r="E19" s="1614"/>
      <c r="F19" s="1614"/>
      <c r="G19" s="1614"/>
      <c r="H19" s="1614"/>
      <c r="I19" s="1614"/>
      <c r="J19" s="1614"/>
      <c r="K19" s="1614"/>
    </row>
    <row r="20" spans="1:13" x14ac:dyDescent="0.2">
      <c r="A20" s="1614"/>
      <c r="B20" s="1614"/>
      <c r="C20" s="1614"/>
      <c r="D20" s="1614"/>
      <c r="E20" s="1614"/>
      <c r="F20" s="1614"/>
      <c r="G20" s="1614"/>
      <c r="H20" s="1614"/>
      <c r="I20" s="1614"/>
      <c r="J20" s="1614"/>
      <c r="K20" s="1614"/>
    </row>
    <row r="21" spans="1:13" x14ac:dyDescent="0.2">
      <c r="A21" s="1614"/>
      <c r="B21" s="1614"/>
      <c r="C21" s="1614"/>
      <c r="D21" s="1614"/>
      <c r="E21" s="1614"/>
      <c r="F21" s="1614"/>
      <c r="G21" s="1614"/>
      <c r="H21" s="1614"/>
      <c r="I21" s="1614"/>
      <c r="J21" s="1614"/>
      <c r="K21" s="1614"/>
    </row>
    <row r="22" spans="1:13" ht="7.5" customHeight="1" x14ac:dyDescent="0.2">
      <c r="A22" s="849"/>
      <c r="B22" s="849"/>
      <c r="C22" s="849"/>
      <c r="D22" s="849"/>
      <c r="E22" s="849"/>
      <c r="F22" s="849"/>
      <c r="G22" s="849"/>
      <c r="H22" s="849"/>
      <c r="I22" s="849"/>
      <c r="J22" s="849"/>
      <c r="K22" s="849"/>
    </row>
    <row r="23" spans="1:13" ht="15" customHeight="1" x14ac:dyDescent="0.2">
      <c r="A23" s="1611" t="s">
        <v>862</v>
      </c>
      <c r="B23" s="1612"/>
      <c r="C23" s="853">
        <v>0</v>
      </c>
      <c r="D23" s="856" t="s">
        <v>863</v>
      </c>
      <c r="E23" s="856"/>
      <c r="F23" s="688"/>
      <c r="G23" s="688"/>
      <c r="H23" s="688"/>
      <c r="I23" s="688"/>
      <c r="J23" s="688"/>
      <c r="K23" s="689"/>
    </row>
    <row r="24" spans="1:13" ht="15" customHeight="1" x14ac:dyDescent="0.2">
      <c r="A24" s="691" t="str">
        <f>HLOOKUP(Dados!$N$101,BENEFÍCIOS!$B$25:$O$38,2,FALSE)</f>
        <v>Auxílio Alimentação - Cláusula 14ª da CCT</v>
      </c>
      <c r="B24" s="692"/>
      <c r="C24" s="656"/>
      <c r="D24" s="693"/>
      <c r="E24" s="656"/>
      <c r="F24" s="656"/>
      <c r="G24" s="1613">
        <f>Dados!J48</f>
        <v>35</v>
      </c>
      <c r="H24" s="1613"/>
      <c r="I24" s="852"/>
      <c r="J24" s="656"/>
      <c r="K24" s="694"/>
    </row>
    <row r="25" spans="1:13" ht="15" customHeight="1" x14ac:dyDescent="0.2">
      <c r="A25" s="691" t="str">
        <f>HLOOKUP(Dados!$N$101,BENEFÍCIOS!$B$25:$O$38,3,FALSE)</f>
        <v>Desconto do Auxílio Alimentação</v>
      </c>
      <c r="B25" s="695"/>
      <c r="C25" s="656"/>
      <c r="D25" s="696"/>
      <c r="E25" s="656"/>
      <c r="F25" s="656"/>
      <c r="G25" s="1613">
        <f>Dados!J49</f>
        <v>0</v>
      </c>
      <c r="H25" s="1613"/>
      <c r="I25" s="851"/>
      <c r="J25" s="656"/>
      <c r="K25" s="690"/>
    </row>
    <row r="26" spans="1:13" ht="15" customHeight="1" x14ac:dyDescent="0.2">
      <c r="A26" s="691" t="str">
        <f>HLOOKUP(Dados!$N$101,BENEFÍCIOS!$B$25:$O$38,4,FALSE)</f>
        <v>Auxílio Café da Manhã</v>
      </c>
      <c r="B26" s="695"/>
      <c r="C26" s="656"/>
      <c r="D26" s="696"/>
      <c r="E26" s="656"/>
      <c r="F26" s="656"/>
      <c r="G26" s="1613">
        <f>Dados!J50</f>
        <v>0</v>
      </c>
      <c r="H26" s="1613"/>
      <c r="I26" s="851"/>
      <c r="J26" s="656"/>
      <c r="K26" s="690"/>
    </row>
    <row r="27" spans="1:13" ht="15" customHeight="1" x14ac:dyDescent="0.2">
      <c r="A27" s="691" t="str">
        <f>HLOOKUP(Dados!$N$101,BENEFÍCIOS!$B$25:$O$38,6,FALSE)</f>
        <v>Plano Ambulatorial - Cláusula 16ª da CCT</v>
      </c>
      <c r="B27" s="695"/>
      <c r="C27" s="656"/>
      <c r="D27" s="696"/>
      <c r="E27" s="656"/>
      <c r="F27" s="656"/>
      <c r="G27" s="1613">
        <f>Dados!J51</f>
        <v>160.07</v>
      </c>
      <c r="H27" s="1613"/>
      <c r="I27" s="851"/>
      <c r="J27" s="656"/>
      <c r="K27" s="690"/>
    </row>
    <row r="28" spans="1:13" ht="15" customHeight="1" x14ac:dyDescent="0.2">
      <c r="A28" s="691" t="str">
        <f>HLOOKUP(Dados!$N$101,BENEFÍCIOS!$B$25:$O$38,7,FALSE)</f>
        <v>Plano Ambulatorial - Contr. Empresa - Cláusula 16ª da CCT</v>
      </c>
      <c r="B28" s="695"/>
      <c r="C28" s="656"/>
      <c r="D28" s="696"/>
      <c r="E28" s="656"/>
      <c r="F28" s="656"/>
      <c r="G28" s="1613">
        <f>Dados!J54</f>
        <v>2.2999999999999998</v>
      </c>
      <c r="H28" s="1613"/>
      <c r="I28" s="851"/>
      <c r="J28" s="656"/>
      <c r="K28" s="690"/>
      <c r="M28" s="649" t="s">
        <v>0</v>
      </c>
    </row>
    <row r="29" spans="1:13" ht="15" customHeight="1" x14ac:dyDescent="0.2">
      <c r="A29" s="691" t="str">
        <f>HLOOKUP(Dados!$N$101,BENEFÍCIOS!$B$25:$O$38,8,FALSE)</f>
        <v>Plano Ambulatorial - Contr. Empregado - Cláusula 16ª da CCT</v>
      </c>
      <c r="B29" s="695"/>
      <c r="C29" s="656"/>
      <c r="D29" s="696"/>
      <c r="E29" s="656"/>
      <c r="F29" s="656"/>
      <c r="G29" s="1613">
        <f>Dados!J55</f>
        <v>10.63</v>
      </c>
      <c r="H29" s="1613"/>
      <c r="I29" s="851"/>
      <c r="J29" s="656"/>
      <c r="K29" s="690"/>
    </row>
    <row r="30" spans="1:13" ht="15" customHeight="1" x14ac:dyDescent="0.2">
      <c r="A30" s="691" t="str">
        <f>HLOOKUP(Dados!$N$101,BENEFÍCIOS!$B$25:$O$38,9,FALSE)</f>
        <v>Seguro de Vida e Assistência Funeral - Cláusula 18ª da CCT</v>
      </c>
      <c r="B30" s="695"/>
      <c r="C30" s="656"/>
      <c r="D30" s="696"/>
      <c r="E30" s="697"/>
      <c r="F30" s="697"/>
      <c r="G30" s="1613">
        <f>Dados!J56</f>
        <v>0</v>
      </c>
      <c r="H30" s="1613"/>
      <c r="I30" s="851"/>
      <c r="J30" s="656"/>
      <c r="K30" s="690"/>
    </row>
    <row r="31" spans="1:13" ht="15" customHeight="1" x14ac:dyDescent="0.2">
      <c r="A31" s="691" t="str">
        <f>HLOOKUP(Dados!$N$101,BENEFÍCIOS!$B$25:$O$38,10,FALSE)</f>
        <v>Assistência Odontológica - Cláusula 17ª da CCT</v>
      </c>
      <c r="B31" s="695"/>
      <c r="C31" s="656"/>
      <c r="D31" s="696"/>
      <c r="E31" s="697"/>
      <c r="F31" s="697"/>
      <c r="G31" s="1613">
        <f>Dados!J57</f>
        <v>0</v>
      </c>
      <c r="H31" s="1613"/>
      <c r="I31" s="851"/>
      <c r="J31" s="656"/>
      <c r="K31" s="690"/>
    </row>
    <row r="32" spans="1:13" ht="15" customHeight="1" x14ac:dyDescent="0.2">
      <c r="A32" s="691" t="str">
        <f>HLOOKUP(Dados!$N$101,BENEFÍCIOS!$B$25:$O$38,11,FALSE)</f>
        <v>Auxílio Lazer/Cultura</v>
      </c>
      <c r="B32" s="695"/>
      <c r="C32" s="656"/>
      <c r="D32" s="696"/>
      <c r="E32" s="697"/>
      <c r="F32" s="697"/>
      <c r="G32" s="1613">
        <f>Dados!J58</f>
        <v>0</v>
      </c>
      <c r="H32" s="1613"/>
      <c r="I32" s="851"/>
      <c r="J32" s="656"/>
      <c r="K32" s="690"/>
    </row>
    <row r="33" spans="1:11" ht="15" customHeight="1" x14ac:dyDescent="0.2">
      <c r="A33" s="691" t="str">
        <f>HLOOKUP(Dados!$N$101,BENEFÍCIOS!$B$25:$O$38,12,FALSE)</f>
        <v>Treinamento/capacitação/reciclagem - Cláusula 30ª da CCT</v>
      </c>
      <c r="B33" s="695"/>
      <c r="C33" s="656"/>
      <c r="D33" s="696"/>
      <c r="E33" s="697"/>
      <c r="F33" s="697"/>
      <c r="G33" s="1613">
        <f>Dados!J59</f>
        <v>0</v>
      </c>
      <c r="H33" s="1613"/>
      <c r="I33" s="851"/>
      <c r="J33" s="656"/>
      <c r="K33" s="690"/>
    </row>
    <row r="34" spans="1:11" ht="15" customHeight="1" x14ac:dyDescent="0.2">
      <c r="A34" s="1609" t="s">
        <v>864</v>
      </c>
      <c r="B34" s="1610"/>
      <c r="C34" s="699" t="str">
        <f>Dados!Q101</f>
        <v>01/01/2021 a 31/12/2021</v>
      </c>
      <c r="D34" s="698"/>
      <c r="E34" s="698"/>
      <c r="F34" s="698"/>
      <c r="G34" s="656"/>
      <c r="H34" s="656"/>
      <c r="I34" s="656"/>
      <c r="J34" s="656"/>
      <c r="K34" s="690"/>
    </row>
    <row r="35" spans="1:11" ht="15" customHeight="1" x14ac:dyDescent="0.2">
      <c r="A35" s="850" t="s">
        <v>1046</v>
      </c>
      <c r="B35" s="851"/>
      <c r="C35" s="699" t="str">
        <f>Dados!L101</f>
        <v>DF000038/2021</v>
      </c>
      <c r="D35" s="700"/>
      <c r="E35" s="701"/>
      <c r="F35" s="701"/>
      <c r="G35" s="656"/>
      <c r="H35" s="656"/>
      <c r="I35" s="656"/>
      <c r="J35" s="656"/>
      <c r="K35" s="690"/>
    </row>
    <row r="36" spans="1:11" ht="15" customHeight="1" x14ac:dyDescent="0.2">
      <c r="A36" s="1606" t="s">
        <v>865</v>
      </c>
      <c r="B36" s="1607"/>
      <c r="C36" s="702" t="d">
        <f>VLOOKUP(Dados!N101,'CCT''S'!$A$7:$J$21,7,FALSE)</f>
        <v>2021-01-22</v>
      </c>
      <c r="D36" s="702"/>
      <c r="E36" s="703"/>
      <c r="F36" s="1608"/>
      <c r="G36" s="1608"/>
      <c r="H36" s="848"/>
      <c r="I36" s="848"/>
      <c r="J36" s="704"/>
      <c r="K36" s="705"/>
    </row>
    <row r="37" spans="1:11" ht="6.75" customHeight="1" x14ac:dyDescent="0.2">
      <c r="A37" s="849"/>
      <c r="B37" s="849"/>
      <c r="C37" s="849"/>
      <c r="D37" s="849"/>
      <c r="E37" s="849"/>
      <c r="F37" s="849"/>
      <c r="G37" s="849"/>
      <c r="H37" s="849"/>
      <c r="I37" s="849"/>
      <c r="J37" s="849"/>
      <c r="K37" s="849"/>
    </row>
    <row r="38" spans="1:11" x14ac:dyDescent="0.2">
      <c r="A38" s="1603" t="s">
        <v>1049</v>
      </c>
      <c r="B38" s="1603"/>
      <c r="C38" s="1603"/>
      <c r="D38" s="1603"/>
      <c r="E38" s="1603"/>
      <c r="F38" s="1603"/>
      <c r="G38" s="1603"/>
      <c r="H38" s="1603"/>
      <c r="I38" s="1603"/>
      <c r="J38" s="1603"/>
      <c r="K38" s="1603"/>
    </row>
    <row r="39" spans="1:11" ht="12.75" customHeight="1" x14ac:dyDescent="0.2">
      <c r="A39" s="1603"/>
      <c r="B39" s="1603"/>
      <c r="C39" s="1603"/>
      <c r="D39" s="1603"/>
      <c r="E39" s="1603"/>
      <c r="F39" s="1603"/>
      <c r="G39" s="1603"/>
      <c r="H39" s="1603"/>
      <c r="I39" s="1603"/>
      <c r="J39" s="1603"/>
      <c r="K39" s="1603"/>
    </row>
    <row r="40" spans="1:11" x14ac:dyDescent="0.2">
      <c r="A40" s="1603"/>
      <c r="B40" s="1603"/>
      <c r="C40" s="1603"/>
      <c r="D40" s="1603"/>
      <c r="E40" s="1603"/>
      <c r="F40" s="1603"/>
      <c r="G40" s="1603"/>
      <c r="H40" s="1603"/>
      <c r="I40" s="1603"/>
      <c r="J40" s="1603"/>
      <c r="K40" s="1603"/>
    </row>
    <row r="41" spans="1:11" ht="4.5" customHeight="1" x14ac:dyDescent="0.2">
      <c r="A41" s="111"/>
      <c r="B41" s="111"/>
      <c r="C41" s="111"/>
      <c r="D41" s="111"/>
      <c r="E41" s="111"/>
      <c r="F41" s="111"/>
      <c r="G41" s="111"/>
      <c r="H41" s="857"/>
      <c r="I41" s="857"/>
      <c r="J41" s="659"/>
    </row>
    <row r="42" spans="1:11" ht="14.25" customHeight="1" x14ac:dyDescent="0.2">
      <c r="A42" s="1603" t="s">
        <v>1052</v>
      </c>
      <c r="B42" s="1603"/>
      <c r="C42" s="1603"/>
      <c r="D42" s="1603"/>
      <c r="E42" s="1603"/>
      <c r="F42" s="1603"/>
      <c r="G42" s="1603"/>
      <c r="H42" s="1603"/>
      <c r="I42" s="1603"/>
      <c r="J42" s="1603"/>
      <c r="K42" s="1603"/>
    </row>
    <row r="43" spans="1:11" x14ac:dyDescent="0.2">
      <c r="A43" s="1603"/>
      <c r="B43" s="1603"/>
      <c r="C43" s="1603"/>
      <c r="D43" s="1603"/>
      <c r="E43" s="1603"/>
      <c r="F43" s="1603"/>
      <c r="G43" s="1603"/>
      <c r="H43" s="1603"/>
      <c r="I43" s="1603"/>
      <c r="J43" s="1603"/>
      <c r="K43" s="1603"/>
    </row>
    <row r="44" spans="1:11" x14ac:dyDescent="0.2">
      <c r="A44" s="1603"/>
      <c r="B44" s="1603"/>
      <c r="C44" s="1603"/>
      <c r="D44" s="1603"/>
      <c r="E44" s="1603"/>
      <c r="F44" s="1603"/>
      <c r="G44" s="1603"/>
      <c r="H44" s="1603"/>
      <c r="I44" s="1603"/>
      <c r="J44" s="1603"/>
      <c r="K44" s="1603"/>
    </row>
    <row r="45" spans="1:11" x14ac:dyDescent="0.2">
      <c r="A45" s="1603"/>
      <c r="B45" s="1603"/>
      <c r="C45" s="1603"/>
      <c r="D45" s="1603"/>
      <c r="E45" s="1603"/>
      <c r="F45" s="1603"/>
      <c r="G45" s="1603"/>
      <c r="H45" s="1603"/>
      <c r="I45" s="1603"/>
      <c r="J45" s="1603"/>
      <c r="K45" s="1603"/>
    </row>
    <row r="46" spans="1:11" ht="5.25" customHeight="1" x14ac:dyDescent="0.2">
      <c r="A46" s="111"/>
      <c r="B46" s="111"/>
      <c r="C46" s="111"/>
      <c r="D46" s="111"/>
      <c r="E46" s="111"/>
      <c r="F46" s="111"/>
      <c r="G46" s="111"/>
      <c r="H46" s="858"/>
      <c r="I46" s="858"/>
    </row>
    <row r="47" spans="1:11" ht="14.25" customHeight="1" x14ac:dyDescent="0.2">
      <c r="A47" s="1603" t="s">
        <v>1050</v>
      </c>
      <c r="B47" s="1603"/>
      <c r="C47" s="1603"/>
      <c r="D47" s="1603"/>
      <c r="E47" s="1603"/>
      <c r="F47" s="1603"/>
      <c r="G47" s="1603"/>
      <c r="H47" s="1603"/>
      <c r="I47" s="1603"/>
      <c r="J47" s="1603"/>
      <c r="K47" s="1603"/>
    </row>
    <row r="48" spans="1:11" x14ac:dyDescent="0.2">
      <c r="A48" s="1603"/>
      <c r="B48" s="1603"/>
      <c r="C48" s="1603"/>
      <c r="D48" s="1603"/>
      <c r="E48" s="1603"/>
      <c r="F48" s="1603"/>
      <c r="G48" s="1603"/>
      <c r="H48" s="1603"/>
      <c r="I48" s="1603"/>
      <c r="J48" s="1603"/>
      <c r="K48" s="1603"/>
    </row>
    <row r="49" spans="1:11" x14ac:dyDescent="0.2">
      <c r="A49" s="1603"/>
      <c r="B49" s="1603"/>
      <c r="C49" s="1603"/>
      <c r="D49" s="1603"/>
      <c r="E49" s="1603"/>
      <c r="F49" s="1603"/>
      <c r="G49" s="1603"/>
      <c r="H49" s="1603"/>
      <c r="I49" s="1603"/>
      <c r="J49" s="1603"/>
      <c r="K49" s="1603"/>
    </row>
    <row r="50" spans="1:11" x14ac:dyDescent="0.2">
      <c r="A50" s="111"/>
      <c r="B50" s="111"/>
      <c r="C50" s="111"/>
      <c r="D50" s="111"/>
      <c r="E50" s="111"/>
      <c r="F50" s="111"/>
      <c r="G50" s="111"/>
      <c r="H50" s="858"/>
      <c r="I50" s="858"/>
    </row>
    <row r="51" spans="1:11" x14ac:dyDescent="0.2">
      <c r="A51" s="69" t="s">
        <v>866</v>
      </c>
      <c r="B51" s="69"/>
      <c r="C51" s="69"/>
      <c r="D51" s="69"/>
      <c r="E51" s="69"/>
      <c r="F51" s="69"/>
      <c r="G51" s="69"/>
      <c r="H51" s="858"/>
      <c r="I51" s="858"/>
    </row>
    <row r="52" spans="1:11" x14ac:dyDescent="0.2">
      <c r="A52" s="706" t="s">
        <v>1057</v>
      </c>
      <c r="B52" s="659"/>
      <c r="C52" s="659"/>
      <c r="D52" s="659"/>
      <c r="E52" s="659"/>
      <c r="F52" s="659"/>
      <c r="G52" s="659"/>
      <c r="H52" s="858"/>
      <c r="I52" s="858"/>
      <c r="J52" s="854"/>
      <c r="K52" s="854"/>
    </row>
    <row r="53" spans="1:11" ht="14.25" customHeight="1" x14ac:dyDescent="0.2">
      <c r="A53" s="1604" t="s">
        <v>1053</v>
      </c>
      <c r="B53" s="1604"/>
      <c r="C53" s="1604"/>
      <c r="D53" s="1604"/>
      <c r="E53" s="1604"/>
      <c r="F53" s="1604"/>
      <c r="G53" s="1604"/>
      <c r="H53" s="1604"/>
      <c r="I53" s="1604"/>
      <c r="J53" s="1604"/>
      <c r="K53" s="1604"/>
    </row>
    <row r="54" spans="1:11" x14ac:dyDescent="0.2">
      <c r="A54" s="1604"/>
      <c r="B54" s="1604"/>
      <c r="C54" s="1604"/>
      <c r="D54" s="1604"/>
      <c r="E54" s="1604"/>
      <c r="F54" s="1604"/>
      <c r="G54" s="1604"/>
      <c r="H54" s="1604"/>
      <c r="I54" s="1604"/>
      <c r="J54" s="1604"/>
      <c r="K54" s="1604"/>
    </row>
    <row r="55" spans="1:11" x14ac:dyDescent="0.2">
      <c r="A55" s="859" t="s">
        <v>1056</v>
      </c>
      <c r="B55" s="659"/>
      <c r="C55" s="659"/>
      <c r="D55" s="659"/>
      <c r="E55" s="659"/>
      <c r="F55" s="659"/>
      <c r="G55" s="659"/>
      <c r="H55" s="858"/>
      <c r="I55" s="858"/>
    </row>
    <row r="56" spans="1:11" x14ac:dyDescent="0.2">
      <c r="A56" s="706" t="s">
        <v>1051</v>
      </c>
      <c r="H56" s="858"/>
      <c r="I56" s="858"/>
    </row>
    <row r="57" spans="1:11" x14ac:dyDescent="0.2">
      <c r="A57" s="860"/>
      <c r="B57" s="69"/>
      <c r="C57" s="69"/>
      <c r="D57" s="69"/>
      <c r="E57" s="69"/>
      <c r="F57" s="69"/>
      <c r="G57" s="69"/>
      <c r="H57" s="858"/>
      <c r="I57" s="858"/>
    </row>
    <row r="58" spans="1:11" x14ac:dyDescent="0.2">
      <c r="B58" s="69" t="s">
        <v>867</v>
      </c>
      <c r="C58" s="69"/>
      <c r="D58" s="774"/>
      <c r="E58" s="69"/>
      <c r="F58" s="69"/>
      <c r="G58" s="69"/>
      <c r="H58" s="858"/>
      <c r="I58" s="858"/>
    </row>
    <row r="59" spans="1:11" x14ac:dyDescent="0.2">
      <c r="A59" s="774"/>
      <c r="B59" s="774"/>
      <c r="C59" s="774"/>
      <c r="D59" s="774"/>
      <c r="E59" s="69"/>
      <c r="F59" s="69"/>
      <c r="G59" s="69"/>
      <c r="H59" s="858"/>
      <c r="I59" s="858"/>
    </row>
    <row r="60" spans="1:11" x14ac:dyDescent="0.2">
      <c r="A60" s="69"/>
      <c r="B60" s="69"/>
      <c r="C60" s="69"/>
      <c r="D60" s="69"/>
      <c r="E60" s="69"/>
      <c r="F60" s="69"/>
      <c r="G60" s="861"/>
      <c r="H60" s="858"/>
      <c r="I60" s="858"/>
    </row>
    <row r="61" spans="1:11" x14ac:dyDescent="0.2">
      <c r="A61" s="1605" t="s">
        <v>709</v>
      </c>
      <c r="B61" s="1605"/>
      <c r="C61" s="1605"/>
      <c r="D61" s="1605"/>
      <c r="E61" s="1605"/>
      <c r="F61" s="1605"/>
      <c r="G61" s="1605"/>
      <c r="H61" s="1605"/>
      <c r="I61" s="1605"/>
      <c r="J61" s="1605"/>
      <c r="K61" s="1605"/>
    </row>
  </sheetData>
  <mergeCells count="24">
    <mergeCell ref="A19:K21"/>
    <mergeCell ref="G3:K3"/>
    <mergeCell ref="A7:K7"/>
    <mergeCell ref="B12:K12"/>
    <mergeCell ref="B14:K14"/>
    <mergeCell ref="A36:B36"/>
    <mergeCell ref="F36:G36"/>
    <mergeCell ref="A34:B34"/>
    <mergeCell ref="A23:B23"/>
    <mergeCell ref="G24:H24"/>
    <mergeCell ref="G25:H25"/>
    <mergeCell ref="G26:H26"/>
    <mergeCell ref="G27:H27"/>
    <mergeCell ref="G28:H28"/>
    <mergeCell ref="G29:H29"/>
    <mergeCell ref="G30:H30"/>
    <mergeCell ref="G31:H31"/>
    <mergeCell ref="G33:H33"/>
    <mergeCell ref="G32:H32"/>
    <mergeCell ref="A38:K40"/>
    <mergeCell ref="A42:K45"/>
    <mergeCell ref="A47:K49"/>
    <mergeCell ref="A53:K54"/>
    <mergeCell ref="A61:K61"/>
  </mergeCells>
  <printOptions horizontalCentered="1"/>
  <pageMargins left="0.52" right="0.48" top="1.32" bottom="0.43307086614173229" header="0.31496062992125984" footer="0.31496062992125984"/>
  <pageSetup paperSize="9" scale="82" fitToHeight="0" orientation="portrait" r:id="rId1"/>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Planilhas</vt:lpstr>
      </vt:variant>
      <vt:variant>
        <vt:i4>29</vt:i4>
      </vt:variant>
      <vt:variant>
        <vt:lpstr>Intervalos Nomeados</vt:lpstr>
      </vt:variant>
      <vt:variant>
        <vt:i4>31</vt:i4>
      </vt:variant>
    </vt:vector>
  </HeadingPairs>
  <TitlesOfParts>
    <vt:vector size="60" baseType="lpstr">
      <vt:lpstr>CCT'S</vt:lpstr>
      <vt:lpstr>rascunho</vt:lpstr>
      <vt:lpstr>SALÁRIOS</vt:lpstr>
      <vt:lpstr>BENEFÍCIOS</vt:lpstr>
      <vt:lpstr>ENCARGOS</vt:lpstr>
      <vt:lpstr>LIMPEZA</vt:lpstr>
      <vt:lpstr>Dados</vt:lpstr>
      <vt:lpstr>Proposta</vt:lpstr>
      <vt:lpstr>Carta</vt:lpstr>
      <vt:lpstr>01</vt:lpstr>
      <vt:lpstr>Uniformes </vt:lpstr>
      <vt:lpstr>02</vt:lpstr>
      <vt:lpstr>03</vt:lpstr>
      <vt:lpstr>04</vt:lpstr>
      <vt:lpstr>05</vt:lpstr>
      <vt:lpstr>06</vt:lpstr>
      <vt:lpstr>07</vt:lpstr>
      <vt:lpstr>08</vt:lpstr>
      <vt:lpstr>09</vt:lpstr>
      <vt:lpstr>Mem.Submódulo 2.3</vt:lpstr>
      <vt:lpstr>Mem.Encargos</vt:lpstr>
      <vt:lpstr>Mem.Módulo 6</vt:lpstr>
      <vt:lpstr>Metragem</vt:lpstr>
      <vt:lpstr>Áreas Limpeza</vt:lpstr>
      <vt:lpstr> UNIFORMES</vt:lpstr>
      <vt:lpstr> EPIS</vt:lpstr>
      <vt:lpstr>Resumo</vt:lpstr>
      <vt:lpstr>Tributos</vt:lpstr>
      <vt:lpstr>k</vt:lpstr>
      <vt:lpstr>' EPIS'!Area_de_impressao</vt:lpstr>
      <vt:lpstr>' UNIFORMES'!Area_de_impressao</vt:lpstr>
      <vt:lpstr>'01'!Area_de_impressao</vt:lpstr>
      <vt:lpstr>'02'!Area_de_impressao</vt:lpstr>
      <vt:lpstr>'03'!Area_de_impressao</vt:lpstr>
      <vt:lpstr>'04'!Area_de_impressao</vt:lpstr>
      <vt:lpstr>'05'!Area_de_impressao</vt:lpstr>
      <vt:lpstr>'06'!Area_de_impressao</vt:lpstr>
      <vt:lpstr>'07'!Area_de_impressao</vt:lpstr>
      <vt:lpstr>'08'!Area_de_impressao</vt:lpstr>
      <vt:lpstr>'09'!Area_de_impressao</vt:lpstr>
      <vt:lpstr>'Áreas Limpeza'!Area_de_impressao</vt:lpstr>
      <vt:lpstr>Carta!Area_de_impressao</vt:lpstr>
      <vt:lpstr>'CCT''S'!Area_de_impressao</vt:lpstr>
      <vt:lpstr>Dados!Area_de_impressao</vt:lpstr>
      <vt:lpstr>ENCARGOS!Area_de_impressao</vt:lpstr>
      <vt:lpstr>LIMPEZA!Area_de_impressao</vt:lpstr>
      <vt:lpstr>Mem.Encargos!Area_de_impressao</vt:lpstr>
      <vt:lpstr>'Mem.Módulo 6'!Area_de_impressao</vt:lpstr>
      <vt:lpstr>'Mem.Submódulo 2.3'!Area_de_impressao</vt:lpstr>
      <vt:lpstr>Metragem!Area_de_impressao</vt:lpstr>
      <vt:lpstr>Proposta!Area_de_impressao</vt:lpstr>
      <vt:lpstr>rascunho!Area_de_impressao</vt:lpstr>
      <vt:lpstr>Resumo!Area_de_impressao</vt:lpstr>
      <vt:lpstr>SALÁRIOS!Area_de_impressao</vt:lpstr>
      <vt:lpstr>Tributos!Area_de_impressao</vt:lpstr>
      <vt:lpstr>'Uniformes '!Area_de_impressao</vt:lpstr>
      <vt:lpstr>' EPIS'!Print_Area</vt:lpstr>
      <vt:lpstr>' UNIFORMES'!Print_Area</vt:lpstr>
      <vt:lpstr>' UNIFORMES'!Titulos_de_impressao</vt:lpstr>
      <vt:lpstr>'Áreas Limpeza'!Titulos_de_impressao</vt:lpstr>
    </vt:vector>
  </TitlesOfParts>
  <Company>Dep Nac Prod Mineral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Ednaldo Rodrigues da Cunha</dc:creator>
  <cp:lastModifiedBy>Tamires Haniery De Souza Silva</cp:lastModifiedBy>
  <cp:lastPrinted>2021-10-22T12:27:32Z</cp:lastPrinted>
  <dcterms:created xsi:type="dcterms:W3CDTF">2003-01-09T15:21:37Z</dcterms:created>
  <dcterms:modified xsi:type="dcterms:W3CDTF">2021-10-22T16:48:41Z</dcterms:modified>
</cp:coreProperties>
</file>