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W:\SUCOP\SECCON\2022\PROVISORIO SECCON\TERMOS\TERMO ADITIVO\II TA - CTR 015-2020 Brasfort Vigilância SEI N. 0000793-29.2020.4.90.8000\"/>
    </mc:Choice>
  </mc:AlternateContent>
  <xr:revisionPtr revIDLastSave="0" documentId="13_ncr:1_{54180314-DE8F-4A31-8114-074B627B97E9}" xr6:coauthVersionLast="47" xr6:coauthVersionMax="47" xr10:uidLastSave="{00000000-0000-0000-0000-000000000000}"/>
  <bookViews>
    <workbookView xWindow="28680" yWindow="-120" windowWidth="29040" windowHeight="15840" tabRatio="759" firstSheet="2" activeTab="14" xr2:uid="{00000000-000D-0000-FFFF-FFFF00000000}"/>
  </bookViews>
  <sheets>
    <sheet name="Dados" sheetId="8" state="hidden" r:id="rId1"/>
    <sheet name="Proposta" sheetId="9" state="hidden" r:id="rId2"/>
    <sheet name="Item 01" sheetId="18" r:id="rId3"/>
    <sheet name="Item 02" sheetId="37" r:id="rId4"/>
    <sheet name="Item 03" sheetId="38" r:id="rId5"/>
    <sheet name="Item 4 Inserido após o II TA " sheetId="39" r:id="rId6"/>
    <sheet name="Uniformes" sheetId="21" state="hidden" r:id="rId7"/>
    <sheet name="Uniformes II TA" sheetId="42" r:id="rId8"/>
    <sheet name="Mat. e Equip. II TA" sheetId="43" r:id="rId9"/>
    <sheet name="Mat. e Equip." sheetId="35" state="hidden" r:id="rId10"/>
    <sheet name="Local" sheetId="34" r:id="rId11"/>
    <sheet name="Mem.Submódulo 2.3" sheetId="13" r:id="rId12"/>
    <sheet name="Mem.Encargos" sheetId="15" r:id="rId13"/>
    <sheet name="Mem.Módulo 6" sheetId="28" r:id="rId14"/>
    <sheet name="Resumo" sheetId="10" r:id="rId15"/>
    <sheet name="Cálculo art. 65 §1º 25%" sheetId="44" state="hidden" r:id="rId16"/>
  </sheets>
  <externalReferences>
    <externalReference r:id="rId17"/>
    <externalReference r:id="rId18"/>
  </externalReferences>
  <definedNames>
    <definedName name="_xlnm._FilterDatabase" localSheetId="0" hidden="1">Dados!$L$72:$U$76</definedName>
    <definedName name="_xlnm.Print_Area" localSheetId="15">'Cálculo art. 65 §1º 25%'!$A$1:$H$24</definedName>
    <definedName name="_xlnm.Print_Area" localSheetId="0">Dados!$A$1:$U$112</definedName>
    <definedName name="_xlnm.Print_Area" localSheetId="2">'Item 01'!$A$1:$AA$187</definedName>
    <definedName name="_xlnm.Print_Area" localSheetId="3">'Item 02'!$A$1:$H$187</definedName>
    <definedName name="_xlnm.Print_Area" localSheetId="4">'Item 03'!$A$1:$AC$187</definedName>
    <definedName name="_xlnm.Print_Area" localSheetId="5">'Item 4 Inserido após o II TA '!$A$1:$T$187</definedName>
    <definedName name="_xlnm.Print_Area" localSheetId="10">Local!$A$1:$H$45</definedName>
    <definedName name="_xlnm.Print_Area" localSheetId="9">'Mat. e Equip.'!$A$1:$H$38</definedName>
    <definedName name="_xlnm.Print_Area" localSheetId="8">'Mat. e Equip. II TA'!$A$1:$I$38</definedName>
    <definedName name="_xlnm.Print_Area" localSheetId="12">Mem.Encargos!$A$1:$AA$55</definedName>
    <definedName name="_xlnm.Print_Area" localSheetId="13">'Mem.Módulo 6'!$A$1:$E$25</definedName>
    <definedName name="_xlnm.Print_Area" localSheetId="11">'Mem.Submódulo 2.3'!$A$1:$W$71</definedName>
    <definedName name="_xlnm.Print_Area" localSheetId="1">Proposta!$A$1:$K$80</definedName>
    <definedName name="_xlnm.Print_Area" localSheetId="14">Resumo!$A$1:$H$51</definedName>
    <definedName name="_xlnm.Print_Area" localSheetId="6">Uniformes!$A$1:$H$53</definedName>
    <definedName name="_xlnm.Print_Area" localSheetId="7">'Uniformes II TA'!$A$1:$J$53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>#REF!</definedName>
    <definedName name="Excel_BuiltIn_Print_Area_1_1" localSheetId="3">#REF!</definedName>
    <definedName name="Excel_BuiltIn_Print_Area_1_1" localSheetId="4">#REF!</definedName>
    <definedName name="Excel_BuiltIn_Print_Area_1_1" localSheetId="5">#REF!</definedName>
    <definedName name="Excel_BuiltIn_Print_Area_1_1" localSheetId="10">#REF!</definedName>
    <definedName name="Excel_BuiltIn_Print_Area_1_1" localSheetId="9">#REF!</definedName>
    <definedName name="Excel_BuiltIn_Print_Area_1_1" localSheetId="8">#REF!</definedName>
    <definedName name="Excel_BuiltIn_Print_Area_1_1">#REF!</definedName>
    <definedName name="Excel_BuiltIn_Print_Area_1_1_1" localSheetId="3">#REF!</definedName>
    <definedName name="Excel_BuiltIn_Print_Area_1_1_1" localSheetId="4">#REF!</definedName>
    <definedName name="Excel_BuiltIn_Print_Area_1_1_1" localSheetId="5">#REF!</definedName>
    <definedName name="Excel_BuiltIn_Print_Area_1_1_1" localSheetId="10">#REF!</definedName>
    <definedName name="Excel_BuiltIn_Print_Area_1_1_1" localSheetId="9">#REF!</definedName>
    <definedName name="Excel_BuiltIn_Print_Area_1_1_1" localSheetId="8">#REF!</definedName>
    <definedName name="Excel_BuiltIn_Print_Area_1_1_1">#REF!</definedName>
    <definedName name="Excel_BuiltIn_Print_Area_2" localSheetId="3">#REF!</definedName>
    <definedName name="Excel_BuiltIn_Print_Area_2" localSheetId="4">#REF!</definedName>
    <definedName name="Excel_BuiltIn_Print_Area_2" localSheetId="5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>#REF!</definedName>
    <definedName name="Excel_BuiltIn_Print_Area_5" localSheetId="3">#REF!</definedName>
    <definedName name="Excel_BuiltIn_Print_Area_5" localSheetId="4">#REF!</definedName>
    <definedName name="Excel_BuiltIn_Print_Area_5" localSheetId="5">#REF!</definedName>
    <definedName name="Excel_BuiltIn_Print_Area_5" localSheetId="10">#REF!</definedName>
    <definedName name="Excel_BuiltIn_Print_Area_5" localSheetId="9">#REF!</definedName>
    <definedName name="Excel_BuiltIn_Print_Area_5" localSheetId="8">#REF!</definedName>
    <definedName name="Excel_BuiltIn_Print_Area_5">#REF!</definedName>
    <definedName name="Excel_BuiltIn_Print_Area_5_1" localSheetId="3">#REF!</definedName>
    <definedName name="Excel_BuiltIn_Print_Area_5_1" localSheetId="4">#REF!</definedName>
    <definedName name="Excel_BuiltIn_Print_Area_5_1" localSheetId="5">#REF!</definedName>
    <definedName name="Excel_BuiltIn_Print_Area_5_1" localSheetId="10">#REF!</definedName>
    <definedName name="Excel_BuiltIn_Print_Area_5_1" localSheetId="9">#REF!</definedName>
    <definedName name="Excel_BuiltIn_Print_Area_5_1" localSheetId="8">#REF!</definedName>
    <definedName name="Excel_BuiltIn_Print_Area_5_1">#REF!</definedName>
    <definedName name="Excel_BuiltIn_Print_Area_6" localSheetId="3">#REF!</definedName>
    <definedName name="Excel_BuiltIn_Print_Area_6" localSheetId="4">#REF!</definedName>
    <definedName name="Excel_BuiltIn_Print_Area_6" localSheetId="5">#REF!</definedName>
    <definedName name="Excel_BuiltIn_Print_Area_6" localSheetId="10">#REF!</definedName>
    <definedName name="Excel_BuiltIn_Print_Area_6" localSheetId="9">#REF!</definedName>
    <definedName name="Excel_BuiltIn_Print_Area_6" localSheetId="8">#REF!</definedName>
    <definedName name="Excel_BuiltIn_Print_Area_6">#REF!</definedName>
    <definedName name="Tipo_de_Joranda_de_Trabalho" localSheetId="13">OFFSET([1]Apoio!$A$1,1,0,COUNTA([1]Apoio!$A:$A)-1,1)</definedName>
    <definedName name="Tipo_de_Joranda_de_Trabalho">OFFSET([2]Apoio!$A$1,1,0,COUNTA([2]Apoio!$A$1:$A$65536)-1,1)</definedName>
    <definedName name="UN" localSheetId="3">#REF!</definedName>
    <definedName name="UN" localSheetId="4">#REF!</definedName>
    <definedName name="UN" localSheetId="5">#REF!</definedName>
    <definedName name="UN" localSheetId="10">#REF!</definedName>
    <definedName name="UN" localSheetId="9">#REF!</definedName>
    <definedName name="UN" localSheetId="8">#REF!</definedName>
    <definedName name="UN">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44" l="1"/>
  <c r="W40" i="13"/>
  <c r="V40" i="13"/>
  <c r="T40" i="13"/>
  <c r="T37" i="13"/>
  <c r="T36" i="13"/>
  <c r="T35" i="13"/>
  <c r="U59" i="13"/>
  <c r="H66" i="34"/>
  <c r="F65" i="34"/>
  <c r="F63" i="34"/>
  <c r="F62" i="34"/>
  <c r="F61" i="34"/>
  <c r="A41" i="34"/>
  <c r="A40" i="34"/>
  <c r="A39" i="34"/>
  <c r="A38" i="34"/>
  <c r="H77" i="34"/>
  <c r="H75" i="34"/>
  <c r="H72" i="34"/>
  <c r="F64" i="34"/>
  <c r="E16" i="43"/>
  <c r="E26" i="43"/>
  <c r="H76" i="34" l="1"/>
  <c r="H73" i="34"/>
  <c r="E27" i="43" l="1"/>
  <c r="E21" i="43"/>
  <c r="E20" i="43"/>
  <c r="E19" i="43"/>
  <c r="H19" i="43" s="1"/>
  <c r="I19" i="43" s="1"/>
  <c r="E18" i="43"/>
  <c r="E17" i="43"/>
  <c r="H17" i="43" s="1"/>
  <c r="I17" i="43" s="1"/>
  <c r="E15" i="43"/>
  <c r="H15" i="43" s="1"/>
  <c r="I15" i="43" s="1"/>
  <c r="E14" i="43"/>
  <c r="E13" i="43"/>
  <c r="G91" i="39"/>
  <c r="F16" i="44"/>
  <c r="B16" i="44"/>
  <c r="B15" i="44"/>
  <c r="F14" i="44"/>
  <c r="E14" i="44"/>
  <c r="E18" i="44" s="1"/>
  <c r="B14" i="44"/>
  <c r="F7" i="44"/>
  <c r="E7" i="44"/>
  <c r="D7" i="44"/>
  <c r="B7" i="44"/>
  <c r="F6" i="44"/>
  <c r="E6" i="44"/>
  <c r="D6" i="44"/>
  <c r="D15" i="44" s="1"/>
  <c r="G15" i="44" s="1"/>
  <c r="H15" i="44" s="1"/>
  <c r="B6" i="44"/>
  <c r="F5" i="44"/>
  <c r="E5" i="44"/>
  <c r="D5" i="44"/>
  <c r="B5" i="44"/>
  <c r="B41" i="10"/>
  <c r="F43" i="10"/>
  <c r="H20" i="43"/>
  <c r="I20" i="43" s="1"/>
  <c r="G27" i="43"/>
  <c r="H27" i="43" s="1"/>
  <c r="I27" i="43" s="1"/>
  <c r="G26" i="43"/>
  <c r="H26" i="43" s="1"/>
  <c r="I26" i="43" s="1"/>
  <c r="G21" i="43"/>
  <c r="G20" i="43"/>
  <c r="G19" i="43"/>
  <c r="G18" i="43"/>
  <c r="G17" i="43"/>
  <c r="G16" i="43"/>
  <c r="D16" i="43"/>
  <c r="G15" i="43"/>
  <c r="G14" i="43"/>
  <c r="G13" i="43"/>
  <c r="A5" i="43"/>
  <c r="A4" i="43"/>
  <c r="A3" i="43"/>
  <c r="A2" i="43"/>
  <c r="H42" i="42"/>
  <c r="H43" i="42"/>
  <c r="H44" i="42"/>
  <c r="H45" i="42"/>
  <c r="H41" i="42"/>
  <c r="H33" i="42"/>
  <c r="H34" i="42"/>
  <c r="H35" i="42"/>
  <c r="H32" i="42"/>
  <c r="H16" i="42"/>
  <c r="H17" i="42"/>
  <c r="H18" i="42"/>
  <c r="H19" i="42"/>
  <c r="H20" i="42"/>
  <c r="H21" i="42"/>
  <c r="H22" i="42"/>
  <c r="H23" i="42"/>
  <c r="H15" i="42"/>
  <c r="I52" i="42"/>
  <c r="I45" i="42"/>
  <c r="I44" i="42"/>
  <c r="I43" i="42"/>
  <c r="I42" i="42"/>
  <c r="I41" i="42"/>
  <c r="I35" i="42"/>
  <c r="I34" i="42"/>
  <c r="I33" i="42"/>
  <c r="I32" i="42"/>
  <c r="I23" i="42"/>
  <c r="I22" i="42"/>
  <c r="I21" i="42"/>
  <c r="I20" i="42"/>
  <c r="I19" i="42"/>
  <c r="I18" i="42"/>
  <c r="I17" i="42"/>
  <c r="I16" i="42"/>
  <c r="I15" i="42"/>
  <c r="A5" i="42"/>
  <c r="A4" i="42"/>
  <c r="A3" i="42"/>
  <c r="A2" i="42"/>
  <c r="A59" i="21"/>
  <c r="A58" i="21"/>
  <c r="A57" i="21"/>
  <c r="A56" i="21"/>
  <c r="G106" i="21"/>
  <c r="G99" i="21"/>
  <c r="F99" i="21"/>
  <c r="G98" i="21"/>
  <c r="F98" i="21"/>
  <c r="G97" i="21"/>
  <c r="H97" i="21" s="1"/>
  <c r="F97" i="21"/>
  <c r="G96" i="21"/>
  <c r="F96" i="21"/>
  <c r="G95" i="21"/>
  <c r="H95" i="21" s="1"/>
  <c r="F95" i="21"/>
  <c r="G89" i="21"/>
  <c r="F89" i="21"/>
  <c r="G88" i="21"/>
  <c r="F88" i="21"/>
  <c r="G87" i="21"/>
  <c r="F87" i="21"/>
  <c r="G86" i="21"/>
  <c r="F86" i="21"/>
  <c r="G77" i="21"/>
  <c r="F77" i="21"/>
  <c r="G76" i="21"/>
  <c r="F76" i="21"/>
  <c r="G75" i="21"/>
  <c r="F75" i="21"/>
  <c r="G74" i="21"/>
  <c r="F74" i="21"/>
  <c r="G73" i="21"/>
  <c r="F73" i="21"/>
  <c r="G72" i="21"/>
  <c r="F72" i="21"/>
  <c r="H72" i="21" s="1"/>
  <c r="G71" i="21"/>
  <c r="F71" i="21"/>
  <c r="G70" i="21"/>
  <c r="F70" i="21"/>
  <c r="H70" i="21" s="1"/>
  <c r="G69" i="21"/>
  <c r="F69" i="21"/>
  <c r="B23" i="10"/>
  <c r="E23" i="10"/>
  <c r="E33" i="10"/>
  <c r="O165" i="37"/>
  <c r="O164" i="37"/>
  <c r="O163" i="37"/>
  <c r="O161" i="37"/>
  <c r="O160" i="37"/>
  <c r="O131" i="37"/>
  <c r="O126" i="37"/>
  <c r="O116" i="37"/>
  <c r="O94" i="37"/>
  <c r="O93" i="37"/>
  <c r="O92" i="37"/>
  <c r="O91" i="37"/>
  <c r="O90" i="37"/>
  <c r="O89" i="37"/>
  <c r="O88" i="37"/>
  <c r="O87" i="37"/>
  <c r="O86" i="37"/>
  <c r="O85" i="37"/>
  <c r="O84" i="37"/>
  <c r="O73" i="37"/>
  <c r="O72" i="37"/>
  <c r="O71" i="37"/>
  <c r="O70" i="37"/>
  <c r="O69" i="37"/>
  <c r="O67" i="37"/>
  <c r="O66" i="37"/>
  <c r="O50" i="37"/>
  <c r="O49" i="37"/>
  <c r="V29" i="18"/>
  <c r="V27" i="18"/>
  <c r="V26" i="18"/>
  <c r="X29" i="38"/>
  <c r="X28" i="38"/>
  <c r="X27" i="38"/>
  <c r="X26" i="38"/>
  <c r="V29" i="38"/>
  <c r="V28" i="38"/>
  <c r="V27" i="38"/>
  <c r="V26" i="38"/>
  <c r="N29" i="38"/>
  <c r="L165" i="37"/>
  <c r="L164" i="37"/>
  <c r="L163" i="37"/>
  <c r="L161" i="37"/>
  <c r="L160" i="37"/>
  <c r="L131" i="37"/>
  <c r="L126" i="37"/>
  <c r="L85" i="37"/>
  <c r="L94" i="37"/>
  <c r="L93" i="37"/>
  <c r="L92" i="37"/>
  <c r="L91" i="37"/>
  <c r="L90" i="37"/>
  <c r="L89" i="37"/>
  <c r="L88" i="37"/>
  <c r="L87" i="37"/>
  <c r="L86" i="37"/>
  <c r="L84" i="37"/>
  <c r="L73" i="37"/>
  <c r="L72" i="37"/>
  <c r="L71" i="37"/>
  <c r="L70" i="37"/>
  <c r="L69" i="37"/>
  <c r="L67" i="37"/>
  <c r="L66" i="37"/>
  <c r="L50" i="37"/>
  <c r="L49" i="37"/>
  <c r="H21" i="43" l="1"/>
  <c r="I21" i="43" s="1"/>
  <c r="H18" i="43"/>
  <c r="I18" i="43" s="1"/>
  <c r="H16" i="43"/>
  <c r="I16" i="43" s="1"/>
  <c r="H14" i="43"/>
  <c r="I14" i="43" s="1"/>
  <c r="H13" i="43"/>
  <c r="I13" i="43" s="1"/>
  <c r="F18" i="44"/>
  <c r="G7" i="44"/>
  <c r="H7" i="44" s="1"/>
  <c r="E8" i="44"/>
  <c r="G5" i="44"/>
  <c r="F8" i="44"/>
  <c r="D14" i="44"/>
  <c r="G14" i="44" s="1"/>
  <c r="G6" i="44"/>
  <c r="H6" i="44" s="1"/>
  <c r="D16" i="44"/>
  <c r="G16" i="44" s="1"/>
  <c r="H16" i="44" s="1"/>
  <c r="I28" i="43"/>
  <c r="I30" i="43" s="1"/>
  <c r="J19" i="42"/>
  <c r="J21" i="42"/>
  <c r="J22" i="42"/>
  <c r="J15" i="42"/>
  <c r="J17" i="42"/>
  <c r="J16" i="42"/>
  <c r="J41" i="42"/>
  <c r="J42" i="42"/>
  <c r="J18" i="42"/>
  <c r="J35" i="42"/>
  <c r="J20" i="42"/>
  <c r="J45" i="42"/>
  <c r="J23" i="42"/>
  <c r="J43" i="42"/>
  <c r="J33" i="42"/>
  <c r="J34" i="42"/>
  <c r="J32" i="42"/>
  <c r="J44" i="42"/>
  <c r="H99" i="21"/>
  <c r="H88" i="21"/>
  <c r="H89" i="21"/>
  <c r="H86" i="21"/>
  <c r="H73" i="21"/>
  <c r="H74" i="21"/>
  <c r="H75" i="21"/>
  <c r="H69" i="21"/>
  <c r="H78" i="21" s="1"/>
  <c r="H79" i="21" s="1"/>
  <c r="H77" i="21"/>
  <c r="H98" i="21"/>
  <c r="H100" i="21" s="1"/>
  <c r="H101" i="21" s="1"/>
  <c r="H105" i="21" s="1"/>
  <c r="H71" i="21"/>
  <c r="H87" i="21"/>
  <c r="H76" i="21"/>
  <c r="H96" i="21"/>
  <c r="O167" i="37"/>
  <c r="O74" i="37"/>
  <c r="O51" i="37"/>
  <c r="L167" i="37"/>
  <c r="L116" i="37"/>
  <c r="L74" i="37"/>
  <c r="L51" i="37"/>
  <c r="G8" i="44" l="1"/>
  <c r="H14" i="44"/>
  <c r="H5" i="44"/>
  <c r="H8" i="44" s="1"/>
  <c r="H90" i="21"/>
  <c r="H91" i="21" s="1"/>
  <c r="H104" i="21" s="1"/>
  <c r="G152" i="39"/>
  <c r="G153" i="39" s="1"/>
  <c r="Q152" i="37"/>
  <c r="Q153" i="37" s="1"/>
  <c r="I22" i="43"/>
  <c r="J36" i="42"/>
  <c r="J24" i="42"/>
  <c r="J25" i="42" s="1"/>
  <c r="J46" i="42"/>
  <c r="H106" i="21"/>
  <c r="J47" i="42" l="1"/>
  <c r="J51" i="42" s="1"/>
  <c r="Y151" i="18"/>
  <c r="Y151" i="38"/>
  <c r="J37" i="42"/>
  <c r="J50" i="42" s="1"/>
  <c r="J52" i="42" s="1"/>
  <c r="Q151" i="37" l="1"/>
  <c r="G151" i="39"/>
  <c r="I165" i="37"/>
  <c r="I164" i="37"/>
  <c r="I163" i="37"/>
  <c r="I161" i="37"/>
  <c r="I160" i="37"/>
  <c r="I131" i="37"/>
  <c r="I126" i="37"/>
  <c r="I85" i="37"/>
  <c r="I94" i="37"/>
  <c r="I93" i="37"/>
  <c r="I92" i="37"/>
  <c r="I91" i="37"/>
  <c r="I90" i="37"/>
  <c r="I89" i="37"/>
  <c r="I88" i="37"/>
  <c r="I87" i="37"/>
  <c r="I86" i="37"/>
  <c r="I84" i="37"/>
  <c r="I73" i="37"/>
  <c r="I72" i="37"/>
  <c r="I71" i="37"/>
  <c r="I70" i="37"/>
  <c r="I69" i="37"/>
  <c r="I67" i="37"/>
  <c r="I66" i="37"/>
  <c r="I50" i="37"/>
  <c r="I49" i="37"/>
  <c r="I167" i="37" l="1"/>
  <c r="I74" i="37"/>
  <c r="I51" i="37"/>
  <c r="J146" i="37" l="1"/>
  <c r="A1" i="37"/>
  <c r="A2" i="37"/>
  <c r="A5" i="37"/>
  <c r="A6" i="37"/>
  <c r="A8" i="37"/>
  <c r="C12" i="37"/>
  <c r="C13" i="37"/>
  <c r="A14" i="37"/>
  <c r="F17" i="37"/>
  <c r="F18" i="37"/>
  <c r="F19" i="37"/>
  <c r="A23" i="37"/>
  <c r="C23" i="37"/>
  <c r="E84" i="37" s="1"/>
  <c r="D23" i="37"/>
  <c r="E23" i="37"/>
  <c r="F23" i="37"/>
  <c r="F26" i="37"/>
  <c r="F27" i="37"/>
  <c r="F28" i="37"/>
  <c r="F29" i="37"/>
  <c r="B94" i="37" s="1"/>
  <c r="F30" i="37"/>
  <c r="F31" i="37"/>
  <c r="B36" i="37"/>
  <c r="F36" i="37"/>
  <c r="F38" i="37"/>
  <c r="B49" i="37"/>
  <c r="F49" i="37"/>
  <c r="B50" i="37"/>
  <c r="F50" i="37"/>
  <c r="B60" i="37"/>
  <c r="B61" i="37"/>
  <c r="B66" i="37"/>
  <c r="F66" i="37"/>
  <c r="B67" i="37"/>
  <c r="F67" i="37"/>
  <c r="B68" i="37"/>
  <c r="B69" i="37"/>
  <c r="F69" i="37"/>
  <c r="B70" i="37"/>
  <c r="F70" i="37"/>
  <c r="B71" i="37"/>
  <c r="F71" i="37"/>
  <c r="B72" i="37"/>
  <c r="F72" i="37"/>
  <c r="B73" i="37"/>
  <c r="F73" i="37"/>
  <c r="B85" i="37"/>
  <c r="F85" i="37"/>
  <c r="F86" i="37"/>
  <c r="F88" i="37"/>
  <c r="F89" i="37"/>
  <c r="F90" i="37"/>
  <c r="G90" i="37" s="1"/>
  <c r="F91" i="37"/>
  <c r="F92" i="37"/>
  <c r="G92" i="37" s="1"/>
  <c r="F93" i="37"/>
  <c r="G93" i="37" s="1"/>
  <c r="F94" i="37"/>
  <c r="G94" i="37" s="1"/>
  <c r="B102" i="37"/>
  <c r="B103" i="37"/>
  <c r="B104" i="37"/>
  <c r="B109" i="37"/>
  <c r="B110" i="37"/>
  <c r="B111" i="37"/>
  <c r="B112" i="37"/>
  <c r="B113" i="37"/>
  <c r="B114" i="37"/>
  <c r="B115" i="37"/>
  <c r="B126" i="37"/>
  <c r="F126" i="37"/>
  <c r="B127" i="37"/>
  <c r="B128" i="37"/>
  <c r="B129" i="37"/>
  <c r="B130" i="37"/>
  <c r="B131" i="37"/>
  <c r="F131" i="37"/>
  <c r="G138" i="37"/>
  <c r="G139" i="37" s="1"/>
  <c r="G146" i="37" s="1"/>
  <c r="B145" i="37"/>
  <c r="B146" i="37"/>
  <c r="B151" i="37"/>
  <c r="B152" i="37"/>
  <c r="B153" i="37"/>
  <c r="F153" i="37"/>
  <c r="F160" i="37"/>
  <c r="F161" i="37"/>
  <c r="F163" i="37"/>
  <c r="F164" i="37"/>
  <c r="F165" i="37"/>
  <c r="B175" i="37"/>
  <c r="B176" i="37"/>
  <c r="B177" i="37"/>
  <c r="B178" i="37"/>
  <c r="B179" i="37"/>
  <c r="B181" i="37"/>
  <c r="N28" i="38"/>
  <c r="Y147" i="38"/>
  <c r="Y178" i="38" s="1"/>
  <c r="Y132" i="38"/>
  <c r="Y105" i="38"/>
  <c r="Y176" i="38" s="1"/>
  <c r="Y96" i="38"/>
  <c r="Y74" i="38"/>
  <c r="Y62" i="38"/>
  <c r="Y51" i="38"/>
  <c r="Y41" i="38"/>
  <c r="Y175" i="38" s="1"/>
  <c r="X132" i="38"/>
  <c r="X116" i="38"/>
  <c r="X74" i="38"/>
  <c r="X51" i="38"/>
  <c r="N27" i="18"/>
  <c r="N29" i="18"/>
  <c r="X165" i="18"/>
  <c r="X164" i="18"/>
  <c r="X163" i="18"/>
  <c r="X161" i="18"/>
  <c r="X160" i="18"/>
  <c r="N26" i="18"/>
  <c r="Y115" i="18"/>
  <c r="Y114" i="18"/>
  <c r="Y113" i="18"/>
  <c r="Y112" i="18"/>
  <c r="Y110" i="18"/>
  <c r="Y109" i="18"/>
  <c r="G91" i="37" l="1"/>
  <c r="M91" i="37"/>
  <c r="Q91" i="37"/>
  <c r="G89" i="37"/>
  <c r="Q89" i="37"/>
  <c r="M89" i="37"/>
  <c r="Q35" i="37"/>
  <c r="M35" i="37"/>
  <c r="G35" i="37"/>
  <c r="G36" i="37" s="1"/>
  <c r="G41" i="37" s="1"/>
  <c r="J35" i="37"/>
  <c r="J89" i="37"/>
  <c r="J91" i="37"/>
  <c r="E86" i="37"/>
  <c r="B92" i="37"/>
  <c r="G23" i="37"/>
  <c r="F167" i="37"/>
  <c r="B93" i="37"/>
  <c r="F51" i="37"/>
  <c r="X167" i="18"/>
  <c r="Y116" i="18"/>
  <c r="Y177" i="18" s="1"/>
  <c r="E41" i="10"/>
  <c r="E45" i="10" s="1"/>
  <c r="B43" i="10"/>
  <c r="B42" i="10"/>
  <c r="J181" i="39"/>
  <c r="B181" i="39"/>
  <c r="J179" i="39"/>
  <c r="B179" i="39"/>
  <c r="J178" i="39"/>
  <c r="B178" i="39"/>
  <c r="J177" i="39"/>
  <c r="B177" i="39"/>
  <c r="J176" i="39"/>
  <c r="B176" i="39"/>
  <c r="J175" i="39"/>
  <c r="B175" i="39"/>
  <c r="N165" i="39"/>
  <c r="F165" i="39"/>
  <c r="N164" i="39"/>
  <c r="F164" i="39"/>
  <c r="N163" i="39"/>
  <c r="F163" i="39"/>
  <c r="N161" i="39"/>
  <c r="F161" i="39"/>
  <c r="N160" i="39"/>
  <c r="F160" i="39"/>
  <c r="N153" i="39"/>
  <c r="J153" i="39"/>
  <c r="F153" i="39"/>
  <c r="B153" i="39"/>
  <c r="N152" i="39"/>
  <c r="J152" i="39"/>
  <c r="B152" i="39"/>
  <c r="N151" i="39"/>
  <c r="J151" i="39"/>
  <c r="B151" i="39"/>
  <c r="J146" i="39"/>
  <c r="B146" i="39"/>
  <c r="J145" i="39"/>
  <c r="B145" i="39"/>
  <c r="G138" i="39"/>
  <c r="G139" i="39" s="1"/>
  <c r="G146" i="39" s="1"/>
  <c r="N131" i="39"/>
  <c r="J131" i="39"/>
  <c r="F131" i="39"/>
  <c r="B131" i="39"/>
  <c r="J130" i="39"/>
  <c r="B130" i="39"/>
  <c r="J129" i="39"/>
  <c r="B129" i="39"/>
  <c r="J128" i="39"/>
  <c r="B128" i="39"/>
  <c r="J127" i="39"/>
  <c r="B127" i="39"/>
  <c r="N126" i="39"/>
  <c r="J126" i="39"/>
  <c r="F126" i="39"/>
  <c r="B126" i="39"/>
  <c r="J115" i="39"/>
  <c r="B115" i="39"/>
  <c r="J114" i="39"/>
  <c r="B114" i="39"/>
  <c r="J113" i="39"/>
  <c r="B113" i="39"/>
  <c r="J112" i="39"/>
  <c r="B112" i="39"/>
  <c r="J111" i="39"/>
  <c r="B111" i="39"/>
  <c r="J110" i="39"/>
  <c r="B110" i="39"/>
  <c r="J109" i="39"/>
  <c r="B109" i="39"/>
  <c r="J104" i="39"/>
  <c r="B104" i="39"/>
  <c r="J103" i="39"/>
  <c r="B103" i="39"/>
  <c r="J102" i="39"/>
  <c r="B102" i="39"/>
  <c r="N94" i="39"/>
  <c r="F94" i="39"/>
  <c r="G94" i="39" s="1"/>
  <c r="N93" i="39"/>
  <c r="F93" i="39"/>
  <c r="G93" i="39" s="1"/>
  <c r="N92" i="39"/>
  <c r="F92" i="39"/>
  <c r="G92" i="39" s="1"/>
  <c r="N91" i="39"/>
  <c r="F91" i="39"/>
  <c r="N90" i="39"/>
  <c r="F90" i="39"/>
  <c r="N89" i="39"/>
  <c r="F89" i="39"/>
  <c r="G89" i="39" s="1"/>
  <c r="N88" i="39"/>
  <c r="F88" i="39"/>
  <c r="N87" i="39"/>
  <c r="N86" i="39"/>
  <c r="F86" i="39"/>
  <c r="N85" i="39"/>
  <c r="J85" i="39"/>
  <c r="F85" i="39"/>
  <c r="B85" i="39"/>
  <c r="N84" i="39"/>
  <c r="N73" i="39"/>
  <c r="J73" i="39"/>
  <c r="F73" i="39"/>
  <c r="B73" i="39"/>
  <c r="N72" i="39"/>
  <c r="J72" i="39"/>
  <c r="F72" i="39"/>
  <c r="B72" i="39"/>
  <c r="N71" i="39"/>
  <c r="J71" i="39"/>
  <c r="F71" i="39"/>
  <c r="B71" i="39"/>
  <c r="N70" i="39"/>
  <c r="J70" i="39"/>
  <c r="F70" i="39"/>
  <c r="B70" i="39"/>
  <c r="N69" i="39"/>
  <c r="J69" i="39"/>
  <c r="F69" i="39"/>
  <c r="B69" i="39"/>
  <c r="J68" i="39"/>
  <c r="B68" i="39"/>
  <c r="N67" i="39"/>
  <c r="J67" i="39"/>
  <c r="F67" i="39"/>
  <c r="B67" i="39"/>
  <c r="N66" i="39"/>
  <c r="J66" i="39"/>
  <c r="F66" i="39"/>
  <c r="B66" i="39"/>
  <c r="J61" i="39"/>
  <c r="B61" i="39"/>
  <c r="J60" i="39"/>
  <c r="B60" i="39"/>
  <c r="N50" i="39"/>
  <c r="J50" i="39"/>
  <c r="F50" i="39"/>
  <c r="B50" i="39"/>
  <c r="N49" i="39"/>
  <c r="J49" i="39"/>
  <c r="F49" i="39"/>
  <c r="B49" i="39"/>
  <c r="N38" i="39"/>
  <c r="F38" i="39"/>
  <c r="N36" i="39"/>
  <c r="J36" i="39"/>
  <c r="F36" i="39"/>
  <c r="B36" i="39"/>
  <c r="F31" i="39"/>
  <c r="F30" i="39"/>
  <c r="F29" i="39"/>
  <c r="B94" i="39" s="1"/>
  <c r="F27" i="39"/>
  <c r="N23" i="39"/>
  <c r="M23" i="39"/>
  <c r="L23" i="39"/>
  <c r="K23" i="39"/>
  <c r="I23" i="39"/>
  <c r="G23" i="39"/>
  <c r="D23" i="39"/>
  <c r="C23" i="39"/>
  <c r="E86" i="39" s="1"/>
  <c r="F19" i="39"/>
  <c r="F18" i="39"/>
  <c r="F17" i="39"/>
  <c r="I14" i="39"/>
  <c r="A14" i="39"/>
  <c r="K13" i="39"/>
  <c r="C13" i="39"/>
  <c r="K12" i="39"/>
  <c r="C12" i="39"/>
  <c r="A8" i="39"/>
  <c r="A6" i="39"/>
  <c r="A5" i="39"/>
  <c r="I2" i="39"/>
  <c r="A2" i="39"/>
  <c r="I1" i="39"/>
  <c r="A1" i="39"/>
  <c r="B85" i="38"/>
  <c r="M41" i="37" l="1"/>
  <c r="M36" i="37"/>
  <c r="Q36" i="37"/>
  <c r="Q41" i="37" s="1"/>
  <c r="N51" i="39"/>
  <c r="N74" i="39"/>
  <c r="J36" i="37"/>
  <c r="J41" i="37" s="1"/>
  <c r="G86" i="37"/>
  <c r="G60" i="37"/>
  <c r="G175" i="37"/>
  <c r="G50" i="37"/>
  <c r="G49" i="37"/>
  <c r="J91" i="39"/>
  <c r="F167" i="39"/>
  <c r="B93" i="39"/>
  <c r="J89" i="39"/>
  <c r="B92" i="39"/>
  <c r="N167" i="39"/>
  <c r="J84" i="39"/>
  <c r="J94" i="39"/>
  <c r="F74" i="39"/>
  <c r="J87" i="39"/>
  <c r="J92" i="39"/>
  <c r="G36" i="39"/>
  <c r="G41" i="39" s="1"/>
  <c r="G49" i="39" s="1"/>
  <c r="F51" i="39"/>
  <c r="J93" i="39"/>
  <c r="E84" i="39"/>
  <c r="J86" i="39"/>
  <c r="J88" i="39"/>
  <c r="J90" i="39"/>
  <c r="M86" i="39"/>
  <c r="M84" i="39"/>
  <c r="Q175" i="37" l="1"/>
  <c r="Q49" i="37"/>
  <c r="M175" i="37"/>
  <c r="M60" i="37"/>
  <c r="Q50" i="37"/>
  <c r="Q60" i="37"/>
  <c r="M50" i="37"/>
  <c r="M49" i="37"/>
  <c r="M51" i="37" s="1"/>
  <c r="J49" i="37"/>
  <c r="J50" i="37"/>
  <c r="J60" i="37"/>
  <c r="J175" i="37"/>
  <c r="G51" i="37"/>
  <c r="G61" i="37" s="1"/>
  <c r="G62" i="37" s="1"/>
  <c r="G50" i="39"/>
  <c r="G51" i="39" s="1"/>
  <c r="G175" i="39"/>
  <c r="G60" i="39"/>
  <c r="M61" i="37" l="1"/>
  <c r="M62" i="37" s="1"/>
  <c r="M102" i="37"/>
  <c r="Q51" i="37"/>
  <c r="J51" i="37"/>
  <c r="G102" i="37"/>
  <c r="G67" i="37"/>
  <c r="G70" i="37"/>
  <c r="G131" i="37"/>
  <c r="G73" i="37"/>
  <c r="G126" i="37"/>
  <c r="G72" i="37"/>
  <c r="G71" i="37"/>
  <c r="G66" i="37"/>
  <c r="G69" i="37"/>
  <c r="G102" i="39"/>
  <c r="G61" i="39"/>
  <c r="G62" i="39" s="1"/>
  <c r="Q102" i="37" l="1"/>
  <c r="Q61" i="37"/>
  <c r="Q62" i="37" s="1"/>
  <c r="Q131" i="37" s="1"/>
  <c r="M113" i="37"/>
  <c r="M126" i="37"/>
  <c r="M114" i="37"/>
  <c r="Q114" i="37"/>
  <c r="M112" i="37"/>
  <c r="Q113" i="37"/>
  <c r="Q112" i="37"/>
  <c r="M109" i="37"/>
  <c r="M131" i="37"/>
  <c r="Q109" i="37"/>
  <c r="Q126" i="37"/>
  <c r="J102" i="37"/>
  <c r="J61" i="37"/>
  <c r="J62" i="37" s="1"/>
  <c r="G73" i="39"/>
  <c r="G69" i="39"/>
  <c r="G126" i="39"/>
  <c r="G66" i="39"/>
  <c r="G70" i="39"/>
  <c r="G131" i="39"/>
  <c r="G67" i="39"/>
  <c r="G71" i="39"/>
  <c r="G68" i="39"/>
  <c r="G72" i="39"/>
  <c r="G112" i="39"/>
  <c r="G113" i="39"/>
  <c r="G114" i="39"/>
  <c r="M72" i="37" l="1"/>
  <c r="M71" i="37"/>
  <c r="M70" i="37"/>
  <c r="Q115" i="37"/>
  <c r="Q72" i="37"/>
  <c r="Q73" i="37"/>
  <c r="M69" i="37"/>
  <c r="M68" i="37"/>
  <c r="M73" i="37"/>
  <c r="Q71" i="37"/>
  <c r="M67" i="37"/>
  <c r="Q70" i="37"/>
  <c r="M66" i="37"/>
  <c r="M74" i="37" s="1"/>
  <c r="M103" i="37" s="1"/>
  <c r="Q69" i="37"/>
  <c r="Q111" i="37"/>
  <c r="Q68" i="37"/>
  <c r="Q110" i="37"/>
  <c r="Q67" i="37"/>
  <c r="Q66" i="37"/>
  <c r="J131" i="37"/>
  <c r="J126" i="37"/>
  <c r="J113" i="37"/>
  <c r="J73" i="37"/>
  <c r="J72" i="37"/>
  <c r="J71" i="37"/>
  <c r="J70" i="37"/>
  <c r="J69" i="37"/>
  <c r="J68" i="37"/>
  <c r="J67" i="37"/>
  <c r="J66" i="37"/>
  <c r="G74" i="39"/>
  <c r="G103" i="39" s="1"/>
  <c r="Q116" i="37" l="1"/>
  <c r="Q177" i="37" s="1"/>
  <c r="Q74" i="37"/>
  <c r="Q103" i="37" s="1"/>
  <c r="J74" i="37"/>
  <c r="J103" i="37" s="1"/>
  <c r="E60" i="13" l="1"/>
  <c r="E59" i="13"/>
  <c r="E58" i="13"/>
  <c r="E57" i="13"/>
  <c r="F31" i="38"/>
  <c r="F31" i="18"/>
  <c r="F30" i="38"/>
  <c r="F30" i="18"/>
  <c r="J49" i="8"/>
  <c r="G72" i="8"/>
  <c r="H72" i="8" s="1"/>
  <c r="J45" i="8"/>
  <c r="F13" i="35"/>
  <c r="F14" i="35"/>
  <c r="F15" i="35"/>
  <c r="F16" i="35"/>
  <c r="F17" i="35"/>
  <c r="F18" i="35"/>
  <c r="F19" i="35"/>
  <c r="F20" i="35"/>
  <c r="F21" i="35"/>
  <c r="F26" i="35"/>
  <c r="F27" i="35"/>
  <c r="G93" i="8"/>
  <c r="G90" i="8"/>
  <c r="G103" i="8"/>
  <c r="G102" i="8"/>
  <c r="G101" i="8"/>
  <c r="G100" i="8"/>
  <c r="G82" i="8"/>
  <c r="F68" i="37" s="1"/>
  <c r="L130" i="37" l="1"/>
  <c r="O130" i="37"/>
  <c r="G95" i="8"/>
  <c r="O127" i="37"/>
  <c r="L127" i="37"/>
  <c r="L129" i="37"/>
  <c r="O129" i="37"/>
  <c r="L128" i="37"/>
  <c r="O128" i="37"/>
  <c r="I114" i="37"/>
  <c r="F114" i="37"/>
  <c r="N114" i="39"/>
  <c r="I109" i="37"/>
  <c r="F109" i="37"/>
  <c r="N109" i="39"/>
  <c r="F109" i="39"/>
  <c r="I128" i="37"/>
  <c r="J128" i="37" s="1"/>
  <c r="F128" i="37"/>
  <c r="N128" i="39"/>
  <c r="F128" i="39"/>
  <c r="G128" i="39" s="1"/>
  <c r="F84" i="37"/>
  <c r="F84" i="39"/>
  <c r="G84" i="39" s="1"/>
  <c r="G85" i="39" s="1"/>
  <c r="G96" i="39" s="1"/>
  <c r="G104" i="39" s="1"/>
  <c r="G105" i="39" s="1"/>
  <c r="G176" i="39" s="1"/>
  <c r="F87" i="37"/>
  <c r="G87" i="37" s="1"/>
  <c r="F87" i="39"/>
  <c r="I130" i="37"/>
  <c r="J130" i="37" s="1"/>
  <c r="F130" i="37"/>
  <c r="F130" i="39"/>
  <c r="G130" i="39" s="1"/>
  <c r="N130" i="39"/>
  <c r="I112" i="37"/>
  <c r="F112" i="37"/>
  <c r="N112" i="39"/>
  <c r="I129" i="37"/>
  <c r="J129" i="37" s="1"/>
  <c r="F129" i="37"/>
  <c r="N129" i="39"/>
  <c r="F129" i="39"/>
  <c r="G129" i="39" s="1"/>
  <c r="F74" i="37"/>
  <c r="G68" i="37"/>
  <c r="G74" i="37" s="1"/>
  <c r="G103" i="37" s="1"/>
  <c r="I127" i="37"/>
  <c r="J127" i="37" s="1"/>
  <c r="F127" i="37"/>
  <c r="N127" i="39"/>
  <c r="F127" i="39"/>
  <c r="G91" i="8"/>
  <c r="G92" i="8"/>
  <c r="Q128" i="37" l="1"/>
  <c r="M128" i="37"/>
  <c r="M129" i="37"/>
  <c r="Q129" i="37"/>
  <c r="L132" i="37"/>
  <c r="Q127" i="37"/>
  <c r="M127" i="37"/>
  <c r="N132" i="39"/>
  <c r="O132" i="37"/>
  <c r="M130" i="37"/>
  <c r="Q130" i="37"/>
  <c r="Q84" i="37"/>
  <c r="M84" i="37"/>
  <c r="F132" i="37"/>
  <c r="G127" i="37"/>
  <c r="G128" i="37"/>
  <c r="G109" i="39"/>
  <c r="F132" i="39"/>
  <c r="G127" i="39"/>
  <c r="G132" i="39" s="1"/>
  <c r="G145" i="39" s="1"/>
  <c r="G147" i="39" s="1"/>
  <c r="G178" i="39" s="1"/>
  <c r="J84" i="37"/>
  <c r="G84" i="37"/>
  <c r="G109" i="37"/>
  <c r="I132" i="37"/>
  <c r="J109" i="37"/>
  <c r="G129" i="37"/>
  <c r="J112" i="37"/>
  <c r="G112" i="37"/>
  <c r="I111" i="37"/>
  <c r="M111" i="37" s="1"/>
  <c r="F111" i="37"/>
  <c r="F111" i="39"/>
  <c r="G111" i="39" s="1"/>
  <c r="N111" i="39"/>
  <c r="J114" i="37"/>
  <c r="G114" i="37"/>
  <c r="I110" i="37"/>
  <c r="M110" i="37" s="1"/>
  <c r="F110" i="37"/>
  <c r="N110" i="39"/>
  <c r="F110" i="39"/>
  <c r="G110" i="39" s="1"/>
  <c r="G130" i="37"/>
  <c r="G88" i="8"/>
  <c r="G94" i="8" s="1"/>
  <c r="G78" i="8"/>
  <c r="G96" i="8" s="1"/>
  <c r="T74" i="8"/>
  <c r="F23" i="10" s="1"/>
  <c r="T75" i="8"/>
  <c r="T73" i="8"/>
  <c r="R76" i="8"/>
  <c r="G105" i="8"/>
  <c r="M59" i="13"/>
  <c r="M132" i="37" l="1"/>
  <c r="M145" i="37" s="1"/>
  <c r="M147" i="37" s="1"/>
  <c r="M178" i="37" s="1"/>
  <c r="Q132" i="37"/>
  <c r="Q145" i="37" s="1"/>
  <c r="Q147" i="37" s="1"/>
  <c r="Q178" i="37" s="1"/>
  <c r="F41" i="10"/>
  <c r="F45" i="10" s="1"/>
  <c r="I24" i="43"/>
  <c r="M26" i="43" s="1"/>
  <c r="M85" i="37"/>
  <c r="M96" i="37" s="1"/>
  <c r="M104" i="37" s="1"/>
  <c r="M105" i="37" s="1"/>
  <c r="M176" i="37" s="1"/>
  <c r="Q85" i="37"/>
  <c r="Q96" i="37" s="1"/>
  <c r="Q104" i="37" s="1"/>
  <c r="Q105" i="37" s="1"/>
  <c r="Q176" i="37" s="1"/>
  <c r="G85" i="37"/>
  <c r="G96" i="37" s="1"/>
  <c r="G104" i="37" s="1"/>
  <c r="G105" i="37" s="1"/>
  <c r="G176" i="37" s="1"/>
  <c r="J85" i="37"/>
  <c r="J96" i="37" s="1"/>
  <c r="J104" i="37" s="1"/>
  <c r="J105" i="37" s="1"/>
  <c r="J176" i="37" s="1"/>
  <c r="J111" i="37"/>
  <c r="G111" i="37"/>
  <c r="I115" i="37"/>
  <c r="F115" i="37"/>
  <c r="N115" i="39"/>
  <c r="N116" i="39" s="1"/>
  <c r="F115" i="39"/>
  <c r="G115" i="39" s="1"/>
  <c r="G116" i="39" s="1"/>
  <c r="G177" i="39" s="1"/>
  <c r="G97" i="8"/>
  <c r="G106" i="8" s="1"/>
  <c r="F113" i="37"/>
  <c r="G113" i="37" s="1"/>
  <c r="G132" i="37"/>
  <c r="G145" i="37" s="1"/>
  <c r="G147" i="37" s="1"/>
  <c r="G178" i="37" s="1"/>
  <c r="J110" i="37"/>
  <c r="G110" i="37"/>
  <c r="J132" i="37"/>
  <c r="J145" i="37" s="1"/>
  <c r="J147" i="37" s="1"/>
  <c r="J178" i="37" s="1"/>
  <c r="T76" i="8"/>
  <c r="N27" i="38"/>
  <c r="F27" i="38"/>
  <c r="N26" i="38"/>
  <c r="F26" i="38"/>
  <c r="F27" i="18"/>
  <c r="F26" i="18"/>
  <c r="K12" i="18"/>
  <c r="K13" i="18"/>
  <c r="I14" i="18"/>
  <c r="Y152" i="38" l="1"/>
  <c r="Y152" i="18"/>
  <c r="Y153" i="18" s="1"/>
  <c r="I116" i="37"/>
  <c r="M115" i="37"/>
  <c r="M116" i="37" s="1"/>
  <c r="M177" i="37" s="1"/>
  <c r="J115" i="37"/>
  <c r="J116" i="37" s="1"/>
  <c r="J177" i="37" s="1"/>
  <c r="G115" i="37"/>
  <c r="G116" i="37" s="1"/>
  <c r="G177" i="37" s="1"/>
  <c r="F116" i="39"/>
  <c r="F116" i="37"/>
  <c r="W155" i="38"/>
  <c r="W179" i="38" s="1"/>
  <c r="W147" i="38"/>
  <c r="W178" i="38" s="1"/>
  <c r="W132" i="38"/>
  <c r="V132" i="38"/>
  <c r="W105" i="38"/>
  <c r="W176" i="38" s="1"/>
  <c r="W96" i="38"/>
  <c r="W74" i="38"/>
  <c r="V74" i="38"/>
  <c r="W62" i="38"/>
  <c r="W51" i="38"/>
  <c r="V51" i="38"/>
  <c r="W41" i="38"/>
  <c r="W175" i="38" s="1"/>
  <c r="Y153" i="38" l="1"/>
  <c r="Y155" i="38" s="1"/>
  <c r="Y179" i="38" s="1"/>
  <c r="Y112" i="38"/>
  <c r="Y113" i="38"/>
  <c r="Y114" i="38"/>
  <c r="W115" i="18"/>
  <c r="W110" i="18"/>
  <c r="W109" i="18"/>
  <c r="Q14" i="18"/>
  <c r="S13" i="18"/>
  <c r="S12" i="18"/>
  <c r="M17" i="15"/>
  <c r="G30" i="15"/>
  <c r="G17" i="15"/>
  <c r="G10" i="15"/>
  <c r="Y116" i="38" l="1"/>
  <c r="Y177" i="38" s="1"/>
  <c r="Y180" i="38" s="1"/>
  <c r="V161" i="18"/>
  <c r="V160" i="18"/>
  <c r="Y160" i="38" l="1"/>
  <c r="Y161" i="38" s="1"/>
  <c r="Y164" i="38" s="1"/>
  <c r="M44" i="15"/>
  <c r="G44" i="15"/>
  <c r="M10" i="15"/>
  <c r="O9" i="15"/>
  <c r="M3" i="15"/>
  <c r="M2" i="15"/>
  <c r="M5" i="15"/>
  <c r="M4" i="15"/>
  <c r="G3" i="15"/>
  <c r="G2" i="15"/>
  <c r="Y163" i="38" l="1"/>
  <c r="Y165" i="38"/>
  <c r="I9" i="15"/>
  <c r="G5" i="15"/>
  <c r="G4" i="15"/>
  <c r="O38" i="15"/>
  <c r="Y167" i="38" l="1"/>
  <c r="B34" i="10"/>
  <c r="B33" i="10"/>
  <c r="B32" i="10"/>
  <c r="V116" i="38"/>
  <c r="W114" i="38"/>
  <c r="W113" i="38"/>
  <c r="W112" i="38"/>
  <c r="W116" i="38" s="1"/>
  <c r="W177" i="38" s="1"/>
  <c r="W180" i="38" s="1"/>
  <c r="W160" i="38" l="1"/>
  <c r="W114" i="18"/>
  <c r="W113" i="18"/>
  <c r="W112" i="18"/>
  <c r="Q2" i="18"/>
  <c r="Q1" i="18"/>
  <c r="Q2" i="38"/>
  <c r="Q1" i="38"/>
  <c r="J36" i="38"/>
  <c r="W116" i="18" l="1"/>
  <c r="W177" i="18" s="1"/>
  <c r="W180" i="18" s="1"/>
  <c r="W161" i="38"/>
  <c r="B24" i="10"/>
  <c r="B22" i="10"/>
  <c r="W160" i="18" l="1"/>
  <c r="W161" i="18" s="1"/>
  <c r="N161" i="38"/>
  <c r="N160" i="38"/>
  <c r="J153" i="38"/>
  <c r="J152" i="38"/>
  <c r="J151" i="38"/>
  <c r="J85" i="38"/>
  <c r="I14" i="38"/>
  <c r="K13" i="38"/>
  <c r="K12" i="38"/>
  <c r="I2" i="38"/>
  <c r="I1" i="38"/>
  <c r="J181" i="38"/>
  <c r="J179" i="38"/>
  <c r="J178" i="38"/>
  <c r="J177" i="38"/>
  <c r="J176" i="38"/>
  <c r="J175" i="38"/>
  <c r="N151" i="38"/>
  <c r="J146" i="38"/>
  <c r="J145" i="38"/>
  <c r="O138" i="38"/>
  <c r="O139" i="38" s="1"/>
  <c r="O146" i="38" s="1"/>
  <c r="J104" i="38"/>
  <c r="J103" i="38"/>
  <c r="J102" i="38"/>
  <c r="N94" i="38"/>
  <c r="O94" i="38" s="1"/>
  <c r="N93" i="38"/>
  <c r="O93" i="38" s="1"/>
  <c r="N92" i="38"/>
  <c r="O92" i="38" s="1"/>
  <c r="N91" i="38"/>
  <c r="N90" i="38"/>
  <c r="N89" i="38"/>
  <c r="N88" i="38"/>
  <c r="N87" i="38"/>
  <c r="N86" i="38"/>
  <c r="N84" i="38"/>
  <c r="J61" i="38"/>
  <c r="J60" i="38"/>
  <c r="I2" i="18"/>
  <c r="I1" i="18"/>
  <c r="A1" i="18"/>
  <c r="O113" i="18"/>
  <c r="Y181" i="38" l="1"/>
  <c r="Y182" i="38" s="1"/>
  <c r="D43" i="10" s="1"/>
  <c r="J85" i="18"/>
  <c r="J36" i="18"/>
  <c r="N161" i="18" l="1"/>
  <c r="N160" i="18"/>
  <c r="J153" i="18"/>
  <c r="J152" i="18"/>
  <c r="J151" i="18"/>
  <c r="J181" i="18"/>
  <c r="J179" i="18"/>
  <c r="J178" i="18"/>
  <c r="J177" i="18"/>
  <c r="J176" i="18"/>
  <c r="J175" i="18"/>
  <c r="N151" i="18"/>
  <c r="J146" i="18"/>
  <c r="J145" i="18"/>
  <c r="O138" i="18"/>
  <c r="O139" i="18" s="1"/>
  <c r="O146" i="18" s="1"/>
  <c r="J104" i="18"/>
  <c r="J103" i="18"/>
  <c r="J102" i="18"/>
  <c r="N94" i="18"/>
  <c r="O94" i="18" s="1"/>
  <c r="N93" i="18"/>
  <c r="O93" i="18" s="1"/>
  <c r="N92" i="18"/>
  <c r="O92" i="18" s="1"/>
  <c r="N91" i="18"/>
  <c r="N90" i="18"/>
  <c r="N89" i="18"/>
  <c r="N88" i="18"/>
  <c r="N87" i="18"/>
  <c r="N86" i="18"/>
  <c r="N84" i="18"/>
  <c r="J61" i="18"/>
  <c r="J60" i="18"/>
  <c r="N38" i="18"/>
  <c r="G42" i="21" l="1"/>
  <c r="G43" i="21"/>
  <c r="G44" i="21"/>
  <c r="G45" i="21"/>
  <c r="G41" i="21"/>
  <c r="G33" i="21"/>
  <c r="G34" i="21"/>
  <c r="G35" i="21"/>
  <c r="G32" i="21"/>
  <c r="G15" i="21" l="1"/>
  <c r="A79" i="9" l="1"/>
  <c r="D16" i="35" l="1"/>
  <c r="G16" i="35" l="1"/>
  <c r="H16" i="35" s="1"/>
  <c r="F23" i="38" l="1"/>
  <c r="A23" i="38"/>
  <c r="B181" i="38"/>
  <c r="B179" i="38"/>
  <c r="B178" i="38"/>
  <c r="B177" i="38"/>
  <c r="B176" i="38"/>
  <c r="B175" i="38"/>
  <c r="F161" i="38"/>
  <c r="F160" i="38"/>
  <c r="F153" i="38"/>
  <c r="B153" i="38"/>
  <c r="B152" i="38"/>
  <c r="B151" i="38"/>
  <c r="B146" i="38"/>
  <c r="B145" i="38"/>
  <c r="G138" i="38"/>
  <c r="G139" i="38" s="1"/>
  <c r="G146" i="38" s="1"/>
  <c r="B104" i="38"/>
  <c r="B103" i="38"/>
  <c r="B102" i="38"/>
  <c r="B61" i="38"/>
  <c r="B60" i="38"/>
  <c r="B36" i="38"/>
  <c r="D23" i="38"/>
  <c r="C23" i="38"/>
  <c r="F19" i="38"/>
  <c r="F18" i="38"/>
  <c r="A14" i="38"/>
  <c r="C13" i="38"/>
  <c r="C12" i="38"/>
  <c r="A8" i="38"/>
  <c r="A6" i="38"/>
  <c r="A5" i="38"/>
  <c r="A2" i="38"/>
  <c r="A1" i="38"/>
  <c r="B36" i="18"/>
  <c r="H37" i="15" l="1"/>
  <c r="J115" i="38"/>
  <c r="J115" i="18"/>
  <c r="B37" i="15"/>
  <c r="B115" i="38"/>
  <c r="B115" i="18"/>
  <c r="F42" i="21" l="1"/>
  <c r="F43" i="21"/>
  <c r="F44" i="21"/>
  <c r="F45" i="21"/>
  <c r="F41" i="21"/>
  <c r="F33" i="21"/>
  <c r="F34" i="21"/>
  <c r="F35" i="21"/>
  <c r="F32" i="21"/>
  <c r="F16" i="21"/>
  <c r="F17" i="21"/>
  <c r="F18" i="21"/>
  <c r="F19" i="21"/>
  <c r="F20" i="21"/>
  <c r="F21" i="21"/>
  <c r="F22" i="21"/>
  <c r="F23" i="21"/>
  <c r="F15" i="21"/>
  <c r="G16" i="21"/>
  <c r="H16" i="21" l="1"/>
  <c r="G18" i="35"/>
  <c r="H18" i="35" s="1"/>
  <c r="G52" i="21"/>
  <c r="H45" i="21"/>
  <c r="H44" i="21"/>
  <c r="H43" i="21"/>
  <c r="H42" i="21"/>
  <c r="H41" i="21"/>
  <c r="H35" i="21"/>
  <c r="H34" i="21"/>
  <c r="H33" i="21"/>
  <c r="H32" i="21"/>
  <c r="G17" i="21"/>
  <c r="H17" i="21" s="1"/>
  <c r="G18" i="21"/>
  <c r="H18" i="21" s="1"/>
  <c r="G19" i="21"/>
  <c r="H19" i="21" s="1"/>
  <c r="G20" i="21"/>
  <c r="H20" i="21" s="1"/>
  <c r="G21" i="21"/>
  <c r="H21" i="21" s="1"/>
  <c r="G22" i="21"/>
  <c r="H22" i="21" s="1"/>
  <c r="G23" i="21"/>
  <c r="H23" i="21" s="1"/>
  <c r="H15" i="21"/>
  <c r="G27" i="35"/>
  <c r="H27" i="35" s="1"/>
  <c r="G26" i="35"/>
  <c r="H26" i="35" s="1"/>
  <c r="G14" i="35"/>
  <c r="H14" i="35" s="1"/>
  <c r="G15" i="35"/>
  <c r="H15" i="35" s="1"/>
  <c r="G17" i="35"/>
  <c r="H17" i="35" s="1"/>
  <c r="G19" i="35"/>
  <c r="H19" i="35" s="1"/>
  <c r="G20" i="35"/>
  <c r="H20" i="35" s="1"/>
  <c r="G21" i="35"/>
  <c r="H21" i="35" s="1"/>
  <c r="G13" i="35"/>
  <c r="H13" i="35" s="1"/>
  <c r="H22" i="35" l="1"/>
  <c r="H28" i="35"/>
  <c r="H24" i="21"/>
  <c r="H46" i="21"/>
  <c r="H47" i="21" s="1"/>
  <c r="H51" i="21" s="1"/>
  <c r="H36" i="21"/>
  <c r="H37" i="21" s="1"/>
  <c r="H50" i="21" s="1"/>
  <c r="A5" i="35"/>
  <c r="A4" i="35"/>
  <c r="A3" i="35"/>
  <c r="A2" i="35"/>
  <c r="H36" i="34"/>
  <c r="H34" i="34"/>
  <c r="H52" i="21" l="1"/>
  <c r="J61" i="8" s="1"/>
  <c r="F151" i="37" l="1"/>
  <c r="F151" i="39"/>
  <c r="E34" i="10"/>
  <c r="E24" i="10"/>
  <c r="E23" i="38"/>
  <c r="B47" i="13"/>
  <c r="M151" i="37" l="1"/>
  <c r="G151" i="37"/>
  <c r="J151" i="37"/>
  <c r="Q155" i="37" s="1"/>
  <c r="E32" i="10"/>
  <c r="E22" i="10"/>
  <c r="G23" i="38"/>
  <c r="H25" i="34" l="1"/>
  <c r="E14" i="10" l="1"/>
  <c r="F24" i="34"/>
  <c r="H35" i="34" s="1"/>
  <c r="H31" i="34"/>
  <c r="H32" i="34" s="1"/>
  <c r="A5" i="34"/>
  <c r="A4" i="34"/>
  <c r="A3" i="34"/>
  <c r="A2" i="34"/>
  <c r="B36" i="13"/>
  <c r="B37" i="13"/>
  <c r="B13" i="13"/>
  <c r="F34" i="10" l="1"/>
  <c r="F24" i="10"/>
  <c r="E35" i="10"/>
  <c r="E25" i="10"/>
  <c r="E13" i="10"/>
  <c r="F14" i="10"/>
  <c r="F33" i="10" l="1"/>
  <c r="N153" i="38"/>
  <c r="N153" i="18"/>
  <c r="F13" i="10"/>
  <c r="E47" i="13"/>
  <c r="E52" i="13" s="1"/>
  <c r="F24" i="9"/>
  <c r="G24" i="9"/>
  <c r="F25" i="9"/>
  <c r="G25" i="9"/>
  <c r="B13" i="10"/>
  <c r="B14" i="10"/>
  <c r="B24" i="9"/>
  <c r="B25" i="9"/>
  <c r="G138" i="18" l="1"/>
  <c r="F153" i="18" l="1"/>
  <c r="B153" i="18"/>
  <c r="B152" i="18"/>
  <c r="A5" i="10" l="1"/>
  <c r="A4" i="10"/>
  <c r="A5" i="28"/>
  <c r="A4" i="28"/>
  <c r="A5" i="15"/>
  <c r="A4" i="15"/>
  <c r="A5" i="13"/>
  <c r="A4" i="13"/>
  <c r="A5" i="21"/>
  <c r="A4" i="21"/>
  <c r="A6" i="18"/>
  <c r="A5" i="18"/>
  <c r="F28" i="18" l="1"/>
  <c r="Y35" i="18" s="1"/>
  <c r="Y41" i="18" s="1"/>
  <c r="D35" i="13"/>
  <c r="L35" i="13"/>
  <c r="H28" i="34"/>
  <c r="H13" i="34"/>
  <c r="H27" i="34"/>
  <c r="H14" i="34"/>
  <c r="H29" i="34"/>
  <c r="H15" i="34"/>
  <c r="B12" i="13"/>
  <c r="B46" i="13"/>
  <c r="A7" i="9"/>
  <c r="C23" i="18"/>
  <c r="M86" i="38" l="1"/>
  <c r="M84" i="38"/>
  <c r="W35" i="18"/>
  <c r="W41" i="18" s="1"/>
  <c r="O35" i="18"/>
  <c r="M84" i="18"/>
  <c r="M86" i="18"/>
  <c r="E86" i="38"/>
  <c r="E84" i="38"/>
  <c r="D13" i="13"/>
  <c r="B61" i="18" l="1"/>
  <c r="B60" i="18"/>
  <c r="F93" i="18" l="1"/>
  <c r="A44" i="15"/>
  <c r="A30" i="15"/>
  <c r="A17" i="15"/>
  <c r="A10" i="15"/>
  <c r="N85" i="38" l="1"/>
  <c r="N85" i="18"/>
  <c r="F88" i="38"/>
  <c r="G88" i="38" s="1"/>
  <c r="F88" i="18"/>
  <c r="F91" i="38"/>
  <c r="G91" i="38" s="1"/>
  <c r="F89" i="38"/>
  <c r="G89" i="38" s="1"/>
  <c r="F85" i="38"/>
  <c r="F92" i="38"/>
  <c r="G92" i="38" s="1"/>
  <c r="F90" i="38"/>
  <c r="G90" i="38" s="1"/>
  <c r="F93" i="38"/>
  <c r="G93" i="38" s="1"/>
  <c r="F87" i="38"/>
  <c r="G87" i="38" s="1"/>
  <c r="F94" i="38"/>
  <c r="G94" i="38" s="1"/>
  <c r="F94" i="18"/>
  <c r="G94" i="18" s="1"/>
  <c r="F92" i="18"/>
  <c r="G92" i="18" s="1"/>
  <c r="F90" i="18"/>
  <c r="G90" i="18" s="1"/>
  <c r="F87" i="18"/>
  <c r="F89" i="18"/>
  <c r="F91" i="18"/>
  <c r="G93" i="18"/>
  <c r="W91" i="18" l="1"/>
  <c r="O91" i="18"/>
  <c r="O88" i="18"/>
  <c r="W88" i="18"/>
  <c r="O89" i="18"/>
  <c r="W89" i="18"/>
  <c r="G89" i="18"/>
  <c r="Y89" i="18" s="1"/>
  <c r="G91" i="18"/>
  <c r="Y91" i="18" s="1"/>
  <c r="G88" i="18"/>
  <c r="Y88" i="18" s="1"/>
  <c r="B181" i="18"/>
  <c r="B179" i="18"/>
  <c r="B178" i="18"/>
  <c r="B177" i="18"/>
  <c r="B176" i="18"/>
  <c r="B175" i="18"/>
  <c r="B146" i="18"/>
  <c r="B145" i="18"/>
  <c r="G139" i="18"/>
  <c r="G146" i="18" s="1"/>
  <c r="B104" i="18"/>
  <c r="B103" i="18"/>
  <c r="B102" i="18"/>
  <c r="N25" i="15" l="1"/>
  <c r="H25" i="15"/>
  <c r="J73" i="38"/>
  <c r="J73" i="18"/>
  <c r="N22" i="15"/>
  <c r="H22" i="15"/>
  <c r="J70" i="38"/>
  <c r="J70" i="18"/>
  <c r="N21" i="15"/>
  <c r="H21" i="15"/>
  <c r="J69" i="38"/>
  <c r="J69" i="18"/>
  <c r="N24" i="15"/>
  <c r="H24" i="15"/>
  <c r="J72" i="38"/>
  <c r="J72" i="18"/>
  <c r="N20" i="15"/>
  <c r="H20" i="15"/>
  <c r="J68" i="38"/>
  <c r="J68" i="18"/>
  <c r="N23" i="15"/>
  <c r="H23" i="15"/>
  <c r="J71" i="38"/>
  <c r="J71" i="18"/>
  <c r="N19" i="15"/>
  <c r="H19" i="15"/>
  <c r="J67" i="38"/>
  <c r="J67" i="18"/>
  <c r="B73" i="38"/>
  <c r="B70" i="38"/>
  <c r="B69" i="38"/>
  <c r="B72" i="38"/>
  <c r="B68" i="38"/>
  <c r="B71" i="38"/>
  <c r="B67" i="38"/>
  <c r="B17" i="15" l="1"/>
  <c r="N17" i="15"/>
  <c r="H17" i="15"/>
  <c r="B30" i="15"/>
  <c r="H30" i="15"/>
  <c r="B10" i="15"/>
  <c r="N10" i="15"/>
  <c r="H10" i="15"/>
  <c r="B44" i="15"/>
  <c r="H44" i="15"/>
  <c r="N44" i="15"/>
  <c r="N11" i="15" l="1"/>
  <c r="H11" i="15"/>
  <c r="J49" i="38"/>
  <c r="B49" i="18"/>
  <c r="J49" i="18"/>
  <c r="H45" i="15"/>
  <c r="N45" i="15"/>
  <c r="J126" i="38"/>
  <c r="J126" i="18"/>
  <c r="N12" i="15"/>
  <c r="H12" i="15"/>
  <c r="J50" i="38"/>
  <c r="J50" i="18"/>
  <c r="N49" i="15"/>
  <c r="H49" i="15"/>
  <c r="J130" i="38"/>
  <c r="J130" i="18"/>
  <c r="N18" i="15"/>
  <c r="H18" i="15"/>
  <c r="J66" i="38"/>
  <c r="J66" i="18"/>
  <c r="N48" i="15"/>
  <c r="H48" i="15"/>
  <c r="J129" i="38"/>
  <c r="J129" i="18"/>
  <c r="H32" i="15"/>
  <c r="J110" i="38"/>
  <c r="J110" i="18"/>
  <c r="N47" i="15"/>
  <c r="H47" i="15"/>
  <c r="J128" i="38"/>
  <c r="J128" i="18"/>
  <c r="H31" i="15"/>
  <c r="J109" i="38"/>
  <c r="J109" i="18"/>
  <c r="H35" i="15"/>
  <c r="J113" i="38"/>
  <c r="J113" i="18"/>
  <c r="H46" i="15"/>
  <c r="N46" i="15"/>
  <c r="J127" i="38"/>
  <c r="J127" i="18"/>
  <c r="H33" i="15"/>
  <c r="J111" i="38"/>
  <c r="J111" i="18"/>
  <c r="H36" i="15"/>
  <c r="J114" i="38"/>
  <c r="J114" i="18"/>
  <c r="H34" i="15"/>
  <c r="J112" i="38"/>
  <c r="J112" i="18"/>
  <c r="H50" i="15"/>
  <c r="N50" i="15"/>
  <c r="J131" i="38"/>
  <c r="J131" i="18"/>
  <c r="B50" i="38"/>
  <c r="B109" i="38"/>
  <c r="B111" i="38"/>
  <c r="B129" i="38"/>
  <c r="B114" i="38"/>
  <c r="B128" i="38"/>
  <c r="B110" i="38"/>
  <c r="B49" i="38"/>
  <c r="B113" i="38"/>
  <c r="B126" i="38"/>
  <c r="B127" i="38"/>
  <c r="B66" i="38"/>
  <c r="B112" i="38"/>
  <c r="B130" i="38"/>
  <c r="B131" i="38"/>
  <c r="A14" i="18"/>
  <c r="A12" i="9"/>
  <c r="C13" i="18" l="1"/>
  <c r="V165" i="18" l="1"/>
  <c r="N165" i="38"/>
  <c r="N165" i="18"/>
  <c r="V163" i="18"/>
  <c r="N163" i="38"/>
  <c r="N163" i="18"/>
  <c r="F165" i="38"/>
  <c r="A74" i="9"/>
  <c r="F17" i="38"/>
  <c r="F163" i="38"/>
  <c r="A5" i="9" l="1"/>
  <c r="A6" i="9"/>
  <c r="C12" i="28" l="1"/>
  <c r="C11" i="28"/>
  <c r="A3" i="28"/>
  <c r="A2" i="28"/>
  <c r="F28" i="38" l="1"/>
  <c r="O35" i="38" s="1"/>
  <c r="D37" i="13"/>
  <c r="L37" i="13"/>
  <c r="D36" i="13"/>
  <c r="F36" i="13" s="1"/>
  <c r="L36" i="13"/>
  <c r="G35" i="38"/>
  <c r="H30" i="34"/>
  <c r="H17" i="34"/>
  <c r="H18" i="34"/>
  <c r="H16" i="34"/>
  <c r="F37" i="13"/>
  <c r="H20" i="34"/>
  <c r="H24" i="34"/>
  <c r="H21" i="34"/>
  <c r="H19" i="34"/>
  <c r="H22" i="34"/>
  <c r="H23" i="34"/>
  <c r="F29" i="18" l="1"/>
  <c r="F29" i="38"/>
  <c r="C47" i="9"/>
  <c r="B85" i="18"/>
  <c r="D12" i="13"/>
  <c r="F17" i="18"/>
  <c r="C42" i="13"/>
  <c r="E46" i="13"/>
  <c r="E51" i="13" s="1"/>
  <c r="B93" i="38" l="1"/>
  <c r="B94" i="38"/>
  <c r="B92" i="38"/>
  <c r="J92" i="38"/>
  <c r="J88" i="38"/>
  <c r="J84" i="38"/>
  <c r="J91" i="38"/>
  <c r="J87" i="38"/>
  <c r="J94" i="38"/>
  <c r="J90" i="38"/>
  <c r="J93" i="38"/>
  <c r="J86" i="38"/>
  <c r="J89" i="38"/>
  <c r="C9" i="15"/>
  <c r="G51" i="13" l="1"/>
  <c r="G52" i="13"/>
  <c r="J93" i="18" l="1"/>
  <c r="J89" i="18"/>
  <c r="J94" i="18"/>
  <c r="J90" i="18"/>
  <c r="J84" i="18"/>
  <c r="J92" i="18"/>
  <c r="J88" i="18"/>
  <c r="J91" i="18"/>
  <c r="J87" i="18"/>
  <c r="J86" i="18"/>
  <c r="B93" i="18"/>
  <c r="B94" i="18"/>
  <c r="B92" i="18"/>
  <c r="E84" i="18"/>
  <c r="N38" i="38"/>
  <c r="V164" i="18" l="1"/>
  <c r="N164" i="38"/>
  <c r="N167" i="38" s="1"/>
  <c r="N164" i="18"/>
  <c r="N167" i="18" s="1"/>
  <c r="N36" i="38"/>
  <c r="O36" i="38" s="1"/>
  <c r="N36" i="18"/>
  <c r="F164" i="38"/>
  <c r="F167" i="38" s="1"/>
  <c r="F38" i="38"/>
  <c r="F36" i="38"/>
  <c r="G36" i="38" s="1"/>
  <c r="C43" i="13"/>
  <c r="C50" i="9"/>
  <c r="F165" i="18"/>
  <c r="C18" i="28"/>
  <c r="F164" i="18"/>
  <c r="C15" i="28"/>
  <c r="F163" i="18"/>
  <c r="C16" i="28"/>
  <c r="V167" i="18" l="1"/>
  <c r="O38" i="38"/>
  <c r="O41" i="38" s="1"/>
  <c r="G38" i="38"/>
  <c r="G41" i="38" s="1"/>
  <c r="F86" i="38"/>
  <c r="G86" i="38" s="1"/>
  <c r="G46" i="13"/>
  <c r="G47" i="13"/>
  <c r="F86" i="18"/>
  <c r="O175" i="38" l="1"/>
  <c r="O60" i="38"/>
  <c r="G175" i="38"/>
  <c r="G60" i="38"/>
  <c r="F38" i="18"/>
  <c r="B35" i="13" l="1"/>
  <c r="A2" i="18" l="1"/>
  <c r="F23" i="18"/>
  <c r="C20" i="15" l="1"/>
  <c r="E86" i="18"/>
  <c r="G87" i="18" s="1"/>
  <c r="I33" i="15" l="1"/>
  <c r="N111" i="38"/>
  <c r="N111" i="18"/>
  <c r="O19" i="15"/>
  <c r="I19" i="15"/>
  <c r="N67" i="38"/>
  <c r="N67" i="18"/>
  <c r="I36" i="15"/>
  <c r="N114" i="38"/>
  <c r="N114" i="18"/>
  <c r="F131" i="18"/>
  <c r="O50" i="15"/>
  <c r="I50" i="15"/>
  <c r="N131" i="38"/>
  <c r="N131" i="18"/>
  <c r="F127" i="18"/>
  <c r="I46" i="15"/>
  <c r="O46" i="15"/>
  <c r="N127" i="38"/>
  <c r="N127" i="18"/>
  <c r="O25" i="15"/>
  <c r="I25" i="15"/>
  <c r="N73" i="38"/>
  <c r="N73" i="18"/>
  <c r="F128" i="18"/>
  <c r="O47" i="15"/>
  <c r="I47" i="15"/>
  <c r="N128" i="38"/>
  <c r="N128" i="18"/>
  <c r="I31" i="15"/>
  <c r="N109" i="38"/>
  <c r="N109" i="18"/>
  <c r="F129" i="18"/>
  <c r="I48" i="15"/>
  <c r="O48" i="15"/>
  <c r="N129" i="38"/>
  <c r="N129" i="18"/>
  <c r="O21" i="15"/>
  <c r="I21" i="15"/>
  <c r="N69" i="38"/>
  <c r="N69" i="18"/>
  <c r="O23" i="15"/>
  <c r="I23" i="15"/>
  <c r="N71" i="38"/>
  <c r="N71" i="18"/>
  <c r="O18" i="15"/>
  <c r="I18" i="15"/>
  <c r="N66" i="38"/>
  <c r="N66" i="18"/>
  <c r="I45" i="15"/>
  <c r="O45" i="15"/>
  <c r="N126" i="38"/>
  <c r="N126" i="18"/>
  <c r="O11" i="15"/>
  <c r="I11" i="15"/>
  <c r="N49" i="38"/>
  <c r="N49" i="18"/>
  <c r="O24" i="15"/>
  <c r="I24" i="15"/>
  <c r="N72" i="38"/>
  <c r="N72" i="18"/>
  <c r="F130" i="18"/>
  <c r="O49" i="15"/>
  <c r="I49" i="15"/>
  <c r="N130" i="38"/>
  <c r="N130" i="18"/>
  <c r="O22" i="15"/>
  <c r="I22" i="15"/>
  <c r="N70" i="38"/>
  <c r="N70" i="18"/>
  <c r="O12" i="15"/>
  <c r="I12" i="15"/>
  <c r="N50" i="38"/>
  <c r="O50" i="38" s="1"/>
  <c r="N50" i="18"/>
  <c r="I34" i="15"/>
  <c r="C34" i="15"/>
  <c r="N112" i="38"/>
  <c r="N112" i="18"/>
  <c r="C37" i="15"/>
  <c r="I37" i="15"/>
  <c r="N115" i="38"/>
  <c r="N115" i="18"/>
  <c r="F115" i="18"/>
  <c r="F129" i="38"/>
  <c r="F67" i="38"/>
  <c r="F73" i="38"/>
  <c r="F68" i="38"/>
  <c r="F70" i="38"/>
  <c r="F71" i="38"/>
  <c r="F112" i="38"/>
  <c r="F127" i="38"/>
  <c r="F126" i="38"/>
  <c r="F49" i="38"/>
  <c r="F109" i="38"/>
  <c r="F72" i="38"/>
  <c r="F69" i="38"/>
  <c r="C33" i="15"/>
  <c r="F111" i="38"/>
  <c r="F131" i="38"/>
  <c r="F130" i="38"/>
  <c r="F50" i="18"/>
  <c r="F50" i="38"/>
  <c r="G50" i="38" s="1"/>
  <c r="C36" i="15"/>
  <c r="F114" i="38"/>
  <c r="F66" i="38"/>
  <c r="F128" i="38"/>
  <c r="F115" i="38"/>
  <c r="F126" i="18"/>
  <c r="A23" i="18"/>
  <c r="F32" i="10" l="1"/>
  <c r="F35" i="10" s="1"/>
  <c r="F22" i="10"/>
  <c r="F25" i="10" s="1"/>
  <c r="N51" i="18"/>
  <c r="O51" i="15"/>
  <c r="I51" i="15"/>
  <c r="I32" i="15"/>
  <c r="I38" i="15" s="1"/>
  <c r="N110" i="38"/>
  <c r="N110" i="18"/>
  <c r="N116" i="18" s="1"/>
  <c r="N51" i="38"/>
  <c r="O49" i="38"/>
  <c r="O51" i="38" s="1"/>
  <c r="I13" i="15"/>
  <c r="N74" i="18"/>
  <c r="O13" i="15"/>
  <c r="N74" i="38"/>
  <c r="N132" i="18"/>
  <c r="I26" i="15"/>
  <c r="N132" i="38"/>
  <c r="O26" i="15"/>
  <c r="F74" i="38"/>
  <c r="F132" i="38"/>
  <c r="C32" i="15"/>
  <c r="F110" i="38"/>
  <c r="F51" i="38"/>
  <c r="G49" i="38"/>
  <c r="G51" i="38" s="1"/>
  <c r="H23" i="35"/>
  <c r="H24" i="35" s="1"/>
  <c r="J62" i="8" s="1"/>
  <c r="H29" i="35"/>
  <c r="H30" i="35" s="1"/>
  <c r="G86" i="18"/>
  <c r="J63" i="8" l="1"/>
  <c r="C35" i="15"/>
  <c r="F113" i="18"/>
  <c r="N116" i="38"/>
  <c r="O102" i="38"/>
  <c r="O61" i="38"/>
  <c r="O62" i="38" s="1"/>
  <c r="O110" i="38" s="1"/>
  <c r="F113" i="38"/>
  <c r="F116" i="38" s="1"/>
  <c r="F152" i="38"/>
  <c r="G61" i="38"/>
  <c r="G62" i="38" s="1"/>
  <c r="G102" i="38"/>
  <c r="F152" i="18"/>
  <c r="E12" i="13"/>
  <c r="F12" i="13" s="1"/>
  <c r="F152" i="37" l="1"/>
  <c r="F152" i="39"/>
  <c r="O152" i="18"/>
  <c r="W152" i="18"/>
  <c r="G152" i="38"/>
  <c r="O152" i="38"/>
  <c r="O72" i="38"/>
  <c r="O113" i="38"/>
  <c r="O73" i="38"/>
  <c r="O127" i="38"/>
  <c r="O68" i="38"/>
  <c r="O129" i="38"/>
  <c r="O70" i="38"/>
  <c r="O66" i="38"/>
  <c r="O69" i="38"/>
  <c r="O130" i="38"/>
  <c r="O71" i="38"/>
  <c r="O126" i="38"/>
  <c r="O67" i="38"/>
  <c r="O128" i="38"/>
  <c r="O114" i="38"/>
  <c r="O115" i="38"/>
  <c r="O109" i="38"/>
  <c r="O112" i="38"/>
  <c r="O131" i="38"/>
  <c r="O111" i="38"/>
  <c r="G152" i="18"/>
  <c r="F84" i="38"/>
  <c r="G127" i="38"/>
  <c r="G130" i="38"/>
  <c r="G72" i="38"/>
  <c r="G73" i="38"/>
  <c r="G126" i="38"/>
  <c r="G68" i="38"/>
  <c r="G69" i="38"/>
  <c r="G70" i="38"/>
  <c r="G71" i="38"/>
  <c r="G131" i="38"/>
  <c r="G128" i="38"/>
  <c r="G129" i="38"/>
  <c r="G66" i="38"/>
  <c r="G67" i="38"/>
  <c r="G114" i="38"/>
  <c r="G115" i="38"/>
  <c r="G109" i="38"/>
  <c r="G111" i="38"/>
  <c r="G112" i="38"/>
  <c r="G110" i="38"/>
  <c r="G113" i="38"/>
  <c r="F84" i="18"/>
  <c r="Y84" i="18" s="1"/>
  <c r="G13" i="13"/>
  <c r="E36" i="13" s="1"/>
  <c r="G12" i="13"/>
  <c r="D23" i="18"/>
  <c r="E23" i="18"/>
  <c r="C12" i="18"/>
  <c r="Q179" i="37" l="1"/>
  <c r="M152" i="37"/>
  <c r="G155" i="39"/>
  <c r="G179" i="39" s="1"/>
  <c r="G180" i="39" s="1"/>
  <c r="J152" i="37"/>
  <c r="G152" i="37"/>
  <c r="M153" i="37" s="1"/>
  <c r="O74" i="38"/>
  <c r="O103" i="38" s="1"/>
  <c r="O116" i="38"/>
  <c r="O177" i="38" s="1"/>
  <c r="O132" i="38"/>
  <c r="O145" i="38" s="1"/>
  <c r="O147" i="38" s="1"/>
  <c r="O178" i="38" s="1"/>
  <c r="G153" i="38"/>
  <c r="O153" i="38"/>
  <c r="W84" i="18"/>
  <c r="O84" i="18"/>
  <c r="G84" i="38"/>
  <c r="G85" i="38" s="1"/>
  <c r="G96" i="38" s="1"/>
  <c r="G104" i="38" s="1"/>
  <c r="O84" i="38"/>
  <c r="W153" i="18"/>
  <c r="O153" i="18"/>
  <c r="G84" i="18"/>
  <c r="G153" i="18"/>
  <c r="G116" i="38"/>
  <c r="G74" i="38"/>
  <c r="G103" i="38" s="1"/>
  <c r="G132" i="38"/>
  <c r="G145" i="38" s="1"/>
  <c r="G147" i="38" s="1"/>
  <c r="G36" i="13"/>
  <c r="E37" i="13"/>
  <c r="G37" i="13" s="1"/>
  <c r="G23" i="18"/>
  <c r="E29" i="13"/>
  <c r="E30" i="13" s="1"/>
  <c r="F29" i="13"/>
  <c r="F30" i="13" s="1"/>
  <c r="G29" i="13"/>
  <c r="G30" i="13" s="1"/>
  <c r="M155" i="37" l="1"/>
  <c r="J153" i="37"/>
  <c r="J155" i="37" s="1"/>
  <c r="J179" i="37" s="1"/>
  <c r="J180" i="37" s="1"/>
  <c r="G153" i="37"/>
  <c r="G155" i="37" s="1"/>
  <c r="G179" i="37" s="1"/>
  <c r="G180" i="37" s="1"/>
  <c r="G160" i="39"/>
  <c r="G161" i="39" s="1"/>
  <c r="G165" i="39" s="1"/>
  <c r="O85" i="38"/>
  <c r="O96" i="38" s="1"/>
  <c r="O104" i="38" s="1"/>
  <c r="O105" i="38" s="1"/>
  <c r="O176" i="38" s="1"/>
  <c r="G178" i="38"/>
  <c r="G177" i="38"/>
  <c r="G105" i="38"/>
  <c r="F36" i="18"/>
  <c r="B23" i="9"/>
  <c r="B12" i="10"/>
  <c r="G163" i="39" l="1"/>
  <c r="G164" i="39"/>
  <c r="J160" i="37"/>
  <c r="Q180" i="37"/>
  <c r="M179" i="37"/>
  <c r="M180" i="37" s="1"/>
  <c r="G160" i="37"/>
  <c r="G162" i="39"/>
  <c r="G176" i="38"/>
  <c r="F19" i="18"/>
  <c r="A3" i="21"/>
  <c r="A2" i="21"/>
  <c r="B127" i="18"/>
  <c r="B128" i="18"/>
  <c r="B129" i="18"/>
  <c r="B130" i="18"/>
  <c r="B131" i="18"/>
  <c r="B126" i="18"/>
  <c r="F112" i="18"/>
  <c r="B110" i="18"/>
  <c r="B111" i="18"/>
  <c r="B112" i="18"/>
  <c r="B113" i="18"/>
  <c r="B114" i="18"/>
  <c r="F109" i="18"/>
  <c r="B109" i="18"/>
  <c r="B50" i="18"/>
  <c r="F49" i="18"/>
  <c r="F67" i="18"/>
  <c r="F68" i="18"/>
  <c r="F69" i="18"/>
  <c r="F70" i="18"/>
  <c r="F71" i="18"/>
  <c r="F72" i="18"/>
  <c r="F73" i="18"/>
  <c r="B67" i="18"/>
  <c r="B68" i="18"/>
  <c r="B69" i="18"/>
  <c r="B70" i="18"/>
  <c r="B71" i="18"/>
  <c r="B72" i="18"/>
  <c r="B73" i="18"/>
  <c r="B66" i="18"/>
  <c r="B46" i="15"/>
  <c r="B47" i="15"/>
  <c r="B48" i="15"/>
  <c r="B49" i="15"/>
  <c r="B50" i="15"/>
  <c r="B45" i="15"/>
  <c r="C45" i="15"/>
  <c r="C46" i="15"/>
  <c r="C47" i="15"/>
  <c r="C48" i="15"/>
  <c r="C49" i="15"/>
  <c r="C50" i="15"/>
  <c r="C19" i="15"/>
  <c r="C21" i="15"/>
  <c r="C22" i="15"/>
  <c r="C23" i="15"/>
  <c r="C24" i="15"/>
  <c r="C25" i="15"/>
  <c r="B19" i="15"/>
  <c r="B20" i="15"/>
  <c r="B21" i="15"/>
  <c r="B22" i="15"/>
  <c r="B23" i="15"/>
  <c r="B24" i="15"/>
  <c r="B25" i="15"/>
  <c r="B18" i="15"/>
  <c r="C11" i="15"/>
  <c r="B12" i="15"/>
  <c r="B11" i="15"/>
  <c r="C31" i="15"/>
  <c r="C38" i="15" s="1"/>
  <c r="B32" i="15"/>
  <c r="B33" i="15"/>
  <c r="B34" i="15"/>
  <c r="B35" i="15"/>
  <c r="B36" i="15"/>
  <c r="B31" i="15"/>
  <c r="G23" i="9"/>
  <c r="F114" i="18"/>
  <c r="F111" i="18"/>
  <c r="F18" i="18"/>
  <c r="D29" i="13"/>
  <c r="D30" i="13" s="1"/>
  <c r="G31" i="13" s="1"/>
  <c r="F161" i="18"/>
  <c r="F160" i="18"/>
  <c r="A2" i="10"/>
  <c r="A3" i="10"/>
  <c r="E12" i="10"/>
  <c r="A2" i="15"/>
  <c r="A3" i="15"/>
  <c r="A2" i="13"/>
  <c r="A3" i="13"/>
  <c r="A8" i="18"/>
  <c r="F85" i="18"/>
  <c r="B151" i="18"/>
  <c r="A1" i="9"/>
  <c r="A4" i="9"/>
  <c r="B11" i="9"/>
  <c r="F23" i="9"/>
  <c r="G167" i="39" l="1"/>
  <c r="G181" i="39" s="1"/>
  <c r="G182" i="39" s="1"/>
  <c r="D17" i="44" s="1"/>
  <c r="G17" i="44" s="1"/>
  <c r="Q160" i="37"/>
  <c r="J161" i="37"/>
  <c r="J164" i="37" s="1"/>
  <c r="J165" i="37"/>
  <c r="M160" i="37"/>
  <c r="M161" i="37" s="1"/>
  <c r="J163" i="37"/>
  <c r="G161" i="37"/>
  <c r="G162" i="37" s="1"/>
  <c r="J162" i="37"/>
  <c r="Y85" i="18"/>
  <c r="Y96" i="18" s="1"/>
  <c r="Y104" i="18" s="1"/>
  <c r="W85" i="18"/>
  <c r="W96" i="18" s="1"/>
  <c r="W104" i="18" s="1"/>
  <c r="O85" i="18"/>
  <c r="O96" i="18" s="1"/>
  <c r="W164" i="38"/>
  <c r="W165" i="38"/>
  <c r="W163" i="38"/>
  <c r="W165" i="18"/>
  <c r="W164" i="18"/>
  <c r="W163" i="18"/>
  <c r="G35" i="18"/>
  <c r="G36" i="18" s="1"/>
  <c r="E15" i="10"/>
  <c r="F26" i="9"/>
  <c r="F51" i="18"/>
  <c r="F110" i="18"/>
  <c r="H25" i="21"/>
  <c r="J60" i="8" s="1"/>
  <c r="E35" i="13"/>
  <c r="F35" i="13"/>
  <c r="F12" i="10"/>
  <c r="F167" i="18"/>
  <c r="C51" i="15"/>
  <c r="H17" i="44" l="1"/>
  <c r="H18" i="44" s="1"/>
  <c r="K17" i="44" s="1"/>
  <c r="K19" i="44" s="1"/>
  <c r="G18" i="44"/>
  <c r="G184" i="39"/>
  <c r="D44" i="10"/>
  <c r="G44" i="10" s="1"/>
  <c r="H44" i="10" s="1"/>
  <c r="Q161" i="37"/>
  <c r="Q165" i="37" s="1"/>
  <c r="M162" i="37"/>
  <c r="M163" i="37"/>
  <c r="M164" i="37"/>
  <c r="M165" i="37"/>
  <c r="G164" i="37"/>
  <c r="G163" i="37"/>
  <c r="G165" i="37"/>
  <c r="W167" i="38"/>
  <c r="W181" i="38" s="1"/>
  <c r="W182" i="38" s="1"/>
  <c r="G85" i="18"/>
  <c r="G96" i="18" s="1"/>
  <c r="G104" i="18" s="1"/>
  <c r="W167" i="18"/>
  <c r="W181" i="18" s="1"/>
  <c r="W182" i="18" s="1"/>
  <c r="O104" i="18"/>
  <c r="O36" i="18"/>
  <c r="O41" i="18" s="1"/>
  <c r="F151" i="18"/>
  <c r="Y155" i="18" s="1"/>
  <c r="Y179" i="18" s="1"/>
  <c r="Y180" i="18" s="1"/>
  <c r="F151" i="38"/>
  <c r="F15" i="10"/>
  <c r="G41" i="18"/>
  <c r="G35" i="13"/>
  <c r="Y160" i="18" l="1"/>
  <c r="Y161" i="18" s="1"/>
  <c r="Q163" i="37"/>
  <c r="Q164" i="37"/>
  <c r="M167" i="37"/>
  <c r="M181" i="37" s="1"/>
  <c r="M182" i="37" s="1"/>
  <c r="M186" i="37" s="1"/>
  <c r="D33" i="10" s="1"/>
  <c r="G33" i="10" s="1"/>
  <c r="H33" i="10" s="1"/>
  <c r="G167" i="37"/>
  <c r="G181" i="37" s="1"/>
  <c r="G182" i="37" s="1"/>
  <c r="G184" i="37" s="1"/>
  <c r="D34" i="10"/>
  <c r="G34" i="10" s="1"/>
  <c r="H34" i="10" s="1"/>
  <c r="G43" i="10"/>
  <c r="H43" i="10" s="1"/>
  <c r="J167" i="37"/>
  <c r="J181" i="37" s="1"/>
  <c r="J182" i="37" s="1"/>
  <c r="J186" i="37" s="1"/>
  <c r="D23" i="10" s="1"/>
  <c r="G23" i="10" s="1"/>
  <c r="H23" i="10" s="1"/>
  <c r="Y60" i="18"/>
  <c r="Y49" i="18"/>
  <c r="Y50" i="18"/>
  <c r="D32" i="10"/>
  <c r="G32" i="10" s="1"/>
  <c r="H32" i="10" s="1"/>
  <c r="G151" i="38"/>
  <c r="G155" i="38" s="1"/>
  <c r="O151" i="38"/>
  <c r="O155" i="38" s="1"/>
  <c r="O179" i="38" s="1"/>
  <c r="O180" i="38" s="1"/>
  <c r="O151" i="18"/>
  <c r="W151" i="18"/>
  <c r="W60" i="18"/>
  <c r="O49" i="18"/>
  <c r="W50" i="18"/>
  <c r="O50" i="18"/>
  <c r="W49" i="18"/>
  <c r="G151" i="18"/>
  <c r="G155" i="18" s="1"/>
  <c r="O175" i="18"/>
  <c r="O60" i="18"/>
  <c r="G26" i="9"/>
  <c r="G60" i="18"/>
  <c r="G49" i="18"/>
  <c r="G175" i="18"/>
  <c r="Y165" i="18" l="1"/>
  <c r="Y163" i="18"/>
  <c r="H35" i="10"/>
  <c r="Y164" i="18"/>
  <c r="Q167" i="37"/>
  <c r="Q181" i="37" s="1"/>
  <c r="Q182" i="37" s="1"/>
  <c r="R186" i="37" s="1"/>
  <c r="G35" i="10"/>
  <c r="G179" i="38"/>
  <c r="G180" i="38" s="1"/>
  <c r="G160" i="38" s="1"/>
  <c r="W155" i="18"/>
  <c r="O155" i="18"/>
  <c r="O160" i="38"/>
  <c r="O161" i="38" s="1"/>
  <c r="O51" i="18"/>
  <c r="D13" i="10"/>
  <c r="G13" i="10" s="1"/>
  <c r="H13" i="10" s="1"/>
  <c r="G179" i="18"/>
  <c r="D42" i="10" l="1"/>
  <c r="G42" i="10" s="1"/>
  <c r="H42" i="10" s="1"/>
  <c r="Y167" i="18"/>
  <c r="Y181" i="18" s="1"/>
  <c r="Y182" i="18" s="1"/>
  <c r="D41" i="10" s="1"/>
  <c r="G41" i="10" s="1"/>
  <c r="H41" i="10" s="1"/>
  <c r="W102" i="18"/>
  <c r="Y61" i="18"/>
  <c r="Y102" i="18"/>
  <c r="O163" i="38"/>
  <c r="O164" i="38"/>
  <c r="O165" i="38"/>
  <c r="O61" i="18"/>
  <c r="O62" i="18" s="1"/>
  <c r="O72" i="18" s="1"/>
  <c r="O102" i="18"/>
  <c r="O162" i="38"/>
  <c r="W61" i="18"/>
  <c r="W70" i="18"/>
  <c r="G161" i="38"/>
  <c r="G162" i="38" s="1"/>
  <c r="E24" i="9"/>
  <c r="H24" i="9" s="1"/>
  <c r="J24" i="9" s="1"/>
  <c r="C18" i="15"/>
  <c r="C26" i="15" s="1"/>
  <c r="F66" i="18"/>
  <c r="F74" i="18" s="1"/>
  <c r="H45" i="10" l="1"/>
  <c r="G45" i="10"/>
  <c r="O115" i="18"/>
  <c r="O69" i="18"/>
  <c r="O127" i="18"/>
  <c r="W72" i="18"/>
  <c r="W129" i="18"/>
  <c r="O128" i="18"/>
  <c r="O114" i="18"/>
  <c r="W67" i="18"/>
  <c r="O110" i="18"/>
  <c r="O66" i="18"/>
  <c r="O68" i="18"/>
  <c r="O70" i="18"/>
  <c r="W127" i="18"/>
  <c r="Y69" i="18"/>
  <c r="Y68" i="18"/>
  <c r="Y67" i="18"/>
  <c r="Y66" i="18"/>
  <c r="Y126" i="18"/>
  <c r="Y71" i="18"/>
  <c r="Y130" i="18"/>
  <c r="Y129" i="18"/>
  <c r="Y128" i="18"/>
  <c r="Y127" i="18"/>
  <c r="Y73" i="18"/>
  <c r="Y72" i="18"/>
  <c r="Y70" i="18"/>
  <c r="W66" i="18"/>
  <c r="W126" i="18"/>
  <c r="W128" i="18"/>
  <c r="W130" i="18"/>
  <c r="W71" i="18"/>
  <c r="W73" i="18"/>
  <c r="O126" i="18"/>
  <c r="O112" i="18"/>
  <c r="W68" i="18"/>
  <c r="O67" i="18"/>
  <c r="O71" i="18"/>
  <c r="O167" i="38"/>
  <c r="O181" i="38" s="1"/>
  <c r="O182" i="38" s="1"/>
  <c r="D24" i="10" s="1"/>
  <c r="G24" i="10" s="1"/>
  <c r="H24" i="10" s="1"/>
  <c r="O129" i="18"/>
  <c r="O73" i="18"/>
  <c r="O130" i="18"/>
  <c r="W69" i="18"/>
  <c r="O109" i="18"/>
  <c r="G163" i="38"/>
  <c r="G164" i="38"/>
  <c r="G165" i="38"/>
  <c r="C12" i="15"/>
  <c r="C13" i="15" s="1"/>
  <c r="O74" i="18" l="1"/>
  <c r="W103" i="18" s="1"/>
  <c r="W105" i="18" s="1"/>
  <c r="W74" i="18"/>
  <c r="Y74" i="18"/>
  <c r="G167" i="38"/>
  <c r="G181" i="38" s="1"/>
  <c r="G182" i="38" s="1"/>
  <c r="G184" i="38" s="1"/>
  <c r="G50" i="18"/>
  <c r="Y103" i="18" l="1"/>
  <c r="Y105" i="18" s="1"/>
  <c r="D14" i="10"/>
  <c r="F116" i="18"/>
  <c r="G51" i="18"/>
  <c r="G61" i="18" s="1"/>
  <c r="G62" i="18" s="1"/>
  <c r="O131" i="18" l="1"/>
  <c r="Y132" i="18" s="1"/>
  <c r="O111" i="18"/>
  <c r="E25" i="9"/>
  <c r="H25" i="9" s="1"/>
  <c r="J25" i="9" s="1"/>
  <c r="G14" i="10"/>
  <c r="H14" i="10" s="1"/>
  <c r="G127" i="18"/>
  <c r="G128" i="18"/>
  <c r="G126" i="18"/>
  <c r="G129" i="18"/>
  <c r="G130" i="18"/>
  <c r="G131" i="18"/>
  <c r="G115" i="18"/>
  <c r="G111" i="18"/>
  <c r="G114" i="18"/>
  <c r="G112" i="18"/>
  <c r="G110" i="18"/>
  <c r="G113" i="18"/>
  <c r="G66" i="18"/>
  <c r="G109" i="18"/>
  <c r="G102" i="18"/>
  <c r="W132" i="18" l="1"/>
  <c r="O132" i="18"/>
  <c r="Y145" i="18" s="1"/>
  <c r="O116" i="18"/>
  <c r="O177" i="18" s="1"/>
  <c r="O103" i="18"/>
  <c r="G116" i="18"/>
  <c r="G177" i="18" s="1"/>
  <c r="O145" i="18" l="1"/>
  <c r="Y147" i="18" s="1"/>
  <c r="W145" i="18"/>
  <c r="O105" i="18"/>
  <c r="O176" i="18" s="1"/>
  <c r="G72" i="18"/>
  <c r="W147" i="18" l="1"/>
  <c r="O147" i="18"/>
  <c r="O178" i="18" s="1"/>
  <c r="G68" i="18"/>
  <c r="G67" i="18"/>
  <c r="G73" i="18"/>
  <c r="G69" i="18"/>
  <c r="G71" i="18"/>
  <c r="G70" i="18"/>
  <c r="G74" i="18" l="1"/>
  <c r="G103" i="18" s="1"/>
  <c r="G105" i="18" s="1"/>
  <c r="G176" i="18" l="1"/>
  <c r="F132" i="18" l="1"/>
  <c r="G132" i="18"/>
  <c r="G145" i="18" s="1"/>
  <c r="G147" i="18" s="1"/>
  <c r="G178" i="18" l="1"/>
  <c r="G180" i="18" s="1"/>
  <c r="G160" i="18" l="1"/>
  <c r="G161" i="18" l="1"/>
  <c r="G165" i="18" s="1"/>
  <c r="G162" i="18" l="1"/>
  <c r="G163" i="18"/>
  <c r="G164" i="18"/>
  <c r="G167" i="18" l="1"/>
  <c r="G181" i="18" s="1"/>
  <c r="G182" i="18" s="1"/>
  <c r="G184" i="18" s="1"/>
  <c r="D12" i="10" s="1"/>
  <c r="E23" i="9" l="1"/>
  <c r="H23" i="9" s="1"/>
  <c r="H26" i="9" s="1"/>
  <c r="G12" i="10"/>
  <c r="G15" i="10" s="1"/>
  <c r="J23" i="9" l="1"/>
  <c r="J26" i="9" s="1"/>
  <c r="H12" i="10"/>
  <c r="H15" i="10" s="1"/>
  <c r="N152" i="18" l="1"/>
  <c r="N152" i="38"/>
  <c r="O179" i="18"/>
  <c r="O180" i="18" s="1"/>
  <c r="O160" i="18" l="1"/>
  <c r="O161" i="18" l="1"/>
  <c r="O165" i="18" s="1"/>
  <c r="O164" i="18" l="1"/>
  <c r="O163" i="18"/>
  <c r="O162" i="18"/>
  <c r="O167" i="18" l="1"/>
  <c r="O181" i="18" s="1"/>
  <c r="O182" i="18" s="1"/>
  <c r="D22" i="10" s="1"/>
  <c r="G22" i="10" s="1"/>
  <c r="H22" i="10" l="1"/>
  <c r="H25" i="10" s="1"/>
  <c r="G25" i="10"/>
</calcChain>
</file>

<file path=xl/sharedStrings.xml><?xml version="1.0" encoding="utf-8"?>
<sst xmlns="http://schemas.openxmlformats.org/spreadsheetml/2006/main" count="3239" uniqueCount="561">
  <si>
    <t xml:space="preserve"> </t>
  </si>
  <si>
    <t>A</t>
  </si>
  <si>
    <t>B</t>
  </si>
  <si>
    <t xml:space="preserve">Município/UF </t>
  </si>
  <si>
    <t>C</t>
  </si>
  <si>
    <t>D</t>
  </si>
  <si>
    <t>E</t>
  </si>
  <si>
    <t>F</t>
  </si>
  <si>
    <t>G</t>
  </si>
  <si>
    <t>H</t>
  </si>
  <si>
    <t>Data base da categoria (dia/mês/ano)</t>
  </si>
  <si>
    <t>%</t>
  </si>
  <si>
    <t>INSS</t>
  </si>
  <si>
    <t>SESI ou SESC</t>
  </si>
  <si>
    <t>SENAI ou SENAC</t>
  </si>
  <si>
    <t>INCRA</t>
  </si>
  <si>
    <t>FGTS</t>
  </si>
  <si>
    <t>SEBRAE</t>
  </si>
  <si>
    <t>Lucro</t>
  </si>
  <si>
    <t>PIS</t>
  </si>
  <si>
    <t>COFINS</t>
  </si>
  <si>
    <t>Tributos</t>
  </si>
  <si>
    <t>Benefícios Mensais e Diários</t>
  </si>
  <si>
    <t>Custos Indiretos, Tributos e Lucro</t>
  </si>
  <si>
    <t>Custos indiretos</t>
  </si>
  <si>
    <t>Módulo 1 - Composição da Remuneração</t>
  </si>
  <si>
    <t>Nº PROCESSO:</t>
  </si>
  <si>
    <t>DATA LICITAÇÃO:</t>
  </si>
  <si>
    <t>HORAS:</t>
  </si>
  <si>
    <t>MUNICÍPIO:</t>
  </si>
  <si>
    <t>Brasília - DF</t>
  </si>
  <si>
    <t>TIPO DE SERVIÇO:</t>
  </si>
  <si>
    <t>UNIDADE MEDIDA (UM):</t>
  </si>
  <si>
    <t>QUANT. A CONTRATAR EM FUNÇÃO DA U.M</t>
  </si>
  <si>
    <t>Nº MESES EXEC. CONTR.:</t>
  </si>
  <si>
    <t>Reserva Técnica</t>
  </si>
  <si>
    <t>INSUMOS DA MÃO-DE-OBRA (BENEFÍCIOS MENSAIS E DIÁRIOS)</t>
  </si>
  <si>
    <t>INSUMOS DIVERSOS</t>
  </si>
  <si>
    <t>CATEGORIA</t>
  </si>
  <si>
    <t xml:space="preserve">QTDE. POSTOS </t>
  </si>
  <si>
    <t>QTDE. PROF.</t>
  </si>
  <si>
    <t>TOTAL</t>
  </si>
  <si>
    <t>4.1</t>
  </si>
  <si>
    <t>SINDICATOS UTILIZADOS NA ELABORAÇÃO DA PROPOSTA</t>
  </si>
  <si>
    <t>SINDICATO</t>
  </si>
  <si>
    <t>VIGÊNCIA ATUAL</t>
  </si>
  <si>
    <t>DATA-BASE</t>
  </si>
  <si>
    <t>4.2</t>
  </si>
  <si>
    <t>SUBTOTAL</t>
  </si>
  <si>
    <t>PROVISÕES PARA RESCISÃO</t>
  </si>
  <si>
    <t>Aviso Prévio Indenizado </t>
  </si>
  <si>
    <t>Outros (especificar)</t>
  </si>
  <si>
    <t>TOTAL GERAL</t>
  </si>
  <si>
    <t>TOTAIS</t>
  </si>
  <si>
    <t>---</t>
  </si>
  <si>
    <t>Declarações:</t>
  </si>
  <si>
    <t>Regime de tributação:</t>
  </si>
  <si>
    <t>Condições de pagamento:</t>
  </si>
  <si>
    <t>Sindicatos:</t>
  </si>
  <si>
    <t>Dados da empresa:</t>
  </si>
  <si>
    <t>Representante legal:</t>
  </si>
  <si>
    <t>C.I nº: 257.787/SSP-DF</t>
  </si>
  <si>
    <t>Validade da proposta:</t>
  </si>
  <si>
    <t>Item</t>
  </si>
  <si>
    <t>Quantidade de Postos</t>
  </si>
  <si>
    <t>--</t>
  </si>
  <si>
    <t>Unidade</t>
  </si>
  <si>
    <t>Quantidade</t>
  </si>
  <si>
    <t>Valor Unitário</t>
  </si>
  <si>
    <t xml:space="preserve">Valor Total Mensal </t>
  </si>
  <si>
    <t>Inicial</t>
  </si>
  <si>
    <t>6º mês</t>
  </si>
  <si>
    <t>Soma Anual</t>
  </si>
  <si>
    <t>Par</t>
  </si>
  <si>
    <t>Quantidade de Profissionais</t>
  </si>
  <si>
    <t>LICITAÇÃO Nº:</t>
  </si>
  <si>
    <t>Tipo de serviço (mesmo serviço com características distintas)</t>
  </si>
  <si>
    <t>Composição da Remuneração</t>
  </si>
  <si>
    <t>Transporte</t>
  </si>
  <si>
    <t>Insumos Diversos</t>
  </si>
  <si>
    <t>Memória de Cálculo</t>
  </si>
  <si>
    <t>Fundamento</t>
  </si>
  <si>
    <t>----</t>
  </si>
  <si>
    <t>Depreciação e manutenção dos equipamentos</t>
  </si>
  <si>
    <t>Provisão para Rescisão</t>
  </si>
  <si>
    <t>Descrição</t>
  </si>
  <si>
    <t>Declaramos que nos preços propostos estão incluídos todos os custos e despesas, taxas e impostos, ônus trabalhistas e sociais, auxílio alimentação, vale transporte, uniforme, seguro de vida em grupo, frete, todos os materiais, equipamentos e demais despesas de qualquer natureza que possam incidir, direta ou indiretamente, sobre o objeto a ser contratado.</t>
  </si>
  <si>
    <t>Uniformes</t>
  </si>
  <si>
    <t>Valor Unitário               [b]</t>
  </si>
  <si>
    <t>Custo do Transporte                [d] = [c x a]</t>
  </si>
  <si>
    <t xml:space="preserve">CÁLCULO DE DIAS ÚTEIS </t>
  </si>
  <si>
    <t>MÊS/ANO</t>
  </si>
  <si>
    <t>Nº DE DIAS DE 2ª A 6ª FEIRA</t>
  </si>
  <si>
    <t>Nº DE SÁBADOS</t>
  </si>
  <si>
    <t>Nº DE DIAS DOMINGOS</t>
  </si>
  <si>
    <t>Nº DE DIAS DE FERIADOS</t>
  </si>
  <si>
    <t>DEDUÇÃO LEGAL DO VALE TRANSPORTE - LEI Nº 7418-85</t>
  </si>
  <si>
    <t>Categoria</t>
  </si>
  <si>
    <t>Valor Unitário                 [b]</t>
  </si>
  <si>
    <t>Custo do Alimentação                      [c] = [a] x [b]</t>
  </si>
  <si>
    <t>Plano de Saúde</t>
  </si>
  <si>
    <t>Valor Diário                      (ida e volta)                    [c] = [b x 2]</t>
  </si>
  <si>
    <t>Unidade de Medida</t>
  </si>
  <si>
    <t>Licitação nº:</t>
  </si>
  <si>
    <t>Nº do Processo:</t>
  </si>
  <si>
    <t>Data da apresentação da proposta (dia/mês/ano)</t>
  </si>
  <si>
    <t>Nº de meses de execução contratual</t>
  </si>
  <si>
    <t>Valor (R$)</t>
  </si>
  <si>
    <t>Salário Base                                [e]</t>
  </si>
  <si>
    <t>O pagamento deverá ser efetuado conforme estabelecido no Edital.</t>
  </si>
  <si>
    <t>Incidência do FGTS sobre aviso prévio indenizado</t>
  </si>
  <si>
    <t>Quantidade de dias                              [a]</t>
  </si>
  <si>
    <t>(a)</t>
  </si>
  <si>
    <t>(b)</t>
  </si>
  <si>
    <t>(c ) = (a) x (b)</t>
  </si>
  <si>
    <t>CCT UTILIZADA PARA ELABORAÇÃO DA PROPOSTA</t>
  </si>
  <si>
    <t>Valores do VT</t>
  </si>
  <si>
    <t>ITEM</t>
  </si>
  <si>
    <t>RESUMO DOS SERVIÇOS</t>
  </si>
  <si>
    <t xml:space="preserve">SALÁRIO </t>
  </si>
  <si>
    <t>Vale Transporte</t>
  </si>
  <si>
    <t>FUNÇÃO</t>
  </si>
  <si>
    <t>Feriados Trabalhados</t>
  </si>
  <si>
    <t xml:space="preserve">Auxílio Alimentação </t>
  </si>
  <si>
    <t>Cidade Satélite</t>
  </si>
  <si>
    <t>Contribuição Assistencial Patronal</t>
  </si>
  <si>
    <t>ALÍQUOTAS DOS TRIBUTOS</t>
  </si>
  <si>
    <t>I</t>
  </si>
  <si>
    <t>Adicional de Insalubridade 1</t>
  </si>
  <si>
    <t xml:space="preserve">Adicional de Periculosidade </t>
  </si>
  <si>
    <t>SAL.NORMAT.</t>
  </si>
  <si>
    <t>SAL.MÍNIMO</t>
  </si>
  <si>
    <t xml:space="preserve">Treinamento/capacitação/reciclagem </t>
  </si>
  <si>
    <t>Nº REG. M.T.E</t>
  </si>
  <si>
    <t>Memória dias úteis mensal (Número de dias úteis dividido por 12 meses = 250 / 12 = 21 dias úteis)</t>
  </si>
  <si>
    <t>MÉDIA / MÊS</t>
  </si>
  <si>
    <t>Obs.: Considerando o desconto do VT do Supervisor ser maior que o valor do transporte recebido, deixa de ser viável ao empregado optar pelo VT. Sendo assim, o valor na planilha foi zerado.</t>
  </si>
  <si>
    <t>Postos de Serviços</t>
  </si>
  <si>
    <t>TIPO DE SERVIÇO</t>
  </si>
  <si>
    <t>PROF. P/ POSTO</t>
  </si>
  <si>
    <t>Escala 12x36 horas</t>
  </si>
  <si>
    <t>44 horas semanais - 5x2</t>
  </si>
  <si>
    <t>Tipo de Jornada de Trabalho</t>
  </si>
  <si>
    <t>Jornada de Trabalho Mensal</t>
  </si>
  <si>
    <t xml:space="preserve">Dias Trabalhados </t>
  </si>
  <si>
    <t>180 horas</t>
  </si>
  <si>
    <t>220 horas</t>
  </si>
  <si>
    <t>ISSQN/ISS</t>
  </si>
  <si>
    <t>Jornada de Trabalho</t>
  </si>
  <si>
    <t>Qtde de empregados por Posto</t>
  </si>
  <si>
    <t>Percurso - Residência x Local de Trabalho                                                            (vice e versa)</t>
  </si>
  <si>
    <t>Art. 22, Inciso I, da Lei nº 8.212/91</t>
  </si>
  <si>
    <t>Decreto n.º 2.318/86.</t>
  </si>
  <si>
    <t>Art. 1º, Inciso I, Decreto Lei n.º 1.146/70.</t>
  </si>
  <si>
    <t>Salário Educação</t>
  </si>
  <si>
    <t>Art. 15, Lei nº 8.036/90 e Art. 7º, Inciso III, CF/88.</t>
  </si>
  <si>
    <t>Art. 22, Inciso II, alíneas "b" e "c", Lei nº 8.212/91, Decreto nº 6.042/07 e Decreto nº 6.957/09. (Alíquotas do SAT em função do FAP).</t>
  </si>
  <si>
    <t xml:space="preserve">13º (décimo terceiro) salário  </t>
  </si>
  <si>
    <t>Aviso Prévio Trabalhado</t>
  </si>
  <si>
    <t>Total</t>
  </si>
  <si>
    <t>Provisionamento da Conta Vinculada</t>
  </si>
  <si>
    <t>Seguro de Vida e Assistência Funeral</t>
  </si>
  <si>
    <t>Descrição/Fundamento</t>
  </si>
  <si>
    <t>Adicional de Intervalo Intrajornada</t>
  </si>
  <si>
    <t>Gratificação 1</t>
  </si>
  <si>
    <t>Meias</t>
  </si>
  <si>
    <t>Camisas</t>
  </si>
  <si>
    <t>Sapatos</t>
  </si>
  <si>
    <t>Adicional de Horas Extras 1</t>
  </si>
  <si>
    <t>UASG/ID Nº:</t>
  </si>
  <si>
    <t>ANO CONV. COLETIVA:</t>
  </si>
  <si>
    <t>Adicional Motorizado</t>
  </si>
  <si>
    <t>Quantidade de dias                             [a]</t>
  </si>
  <si>
    <t>SINDICATO/CCT:</t>
  </si>
  <si>
    <t>VIGÊNCIA ATUAL:</t>
  </si>
  <si>
    <t>Tributação</t>
  </si>
  <si>
    <t>DATA DE APRESENTAÇÃO DA PROPOSTA:</t>
  </si>
  <si>
    <t>Desconto Legal sobre o salário</t>
  </si>
  <si>
    <t>Salário Base</t>
  </si>
  <si>
    <t>Valor Total por Empregado</t>
  </si>
  <si>
    <t xml:space="preserve">Custo do Transporte               [d] </t>
  </si>
  <si>
    <t>Contribuição do Empregado            [f] = [e x 6%]</t>
  </si>
  <si>
    <t>Custo Real do Vale Transporte                           [g] = [d] - [f]</t>
  </si>
  <si>
    <t>Custos Indiretos</t>
  </si>
  <si>
    <t>São os gastos com estrutura administrativa, organizacional e gerencialmento, despesas com preposto, materiais e equipamentos de escritório, ponto eletrônico, Seguros, Taxas Administrativas (água, luz, telefone, impostos, etc.), entre outros.</t>
  </si>
  <si>
    <t>Art. 3º CTN, Lei nº 5.172/66.</t>
  </si>
  <si>
    <t xml:space="preserve">Tributos Federais  (exceto IRPJ, CSLL e CPMF) </t>
  </si>
  <si>
    <t xml:space="preserve">Tributos Estaduais/Municipais </t>
  </si>
  <si>
    <t>ISSQN ou ISS</t>
  </si>
  <si>
    <t>É o ganho decorrente da exploração da atividade econômica.</t>
  </si>
  <si>
    <t>Nota 1.: Empresa optante pelo LUCRO REAL</t>
  </si>
  <si>
    <t>Nota 2.: Proposta elaborada com a utilização da apuração mensal dos percentuais dos tributos PIS e COFINS no período de 12 meses, conforme Sistema Público de Escrituração Digital (SPED) e Declaração e Recibo de Débitos e Créditos Tributários Federais (DCTF).</t>
  </si>
  <si>
    <t>MEMÓRIA DE CÁLCULO - ENCARGOS SOCIAIS E TRABALHISTAS</t>
  </si>
  <si>
    <t>Preço Unitário (R$)</t>
  </si>
  <si>
    <t>Valor Total Mensal                          (R$)</t>
  </si>
  <si>
    <t>Ref.:</t>
  </si>
  <si>
    <t>Preço Unitário</t>
  </si>
  <si>
    <t>Valor Total Mensal           (R$)</t>
  </si>
  <si>
    <t>Lei nº 10.637/02 // IN SRF 387/2004 // Decreto nº 6.022/07.</t>
  </si>
  <si>
    <t>Lei nº 10.833/03 // IN SRF 387/2004 // Decreto nº 6.022/07.</t>
  </si>
  <si>
    <t>Seguro Acidente do Trabalho - SAT = RAT x FAP</t>
  </si>
  <si>
    <t>Mão-de-obra vinculada à execução contratual (valor por empregado)</t>
  </si>
  <si>
    <t>Classificação Brasileira de Ocupações (CBO)</t>
  </si>
  <si>
    <t>CBO</t>
  </si>
  <si>
    <t>IDENTIFICAÇÃO DO SERVIÇO</t>
  </si>
  <si>
    <t>DISCRIMINAÇÃO DOS SERVIÇOS (DADOS REFERENTES À CONTRATAÇÃO)</t>
  </si>
  <si>
    <t>Adicional de Hora Noturna Reduzida</t>
  </si>
  <si>
    <r>
      <rPr>
        <b/>
        <sz val="11"/>
        <rFont val="Cambria"/>
        <family val="1"/>
        <scheme val="major"/>
      </rPr>
      <t>Nota 1:</t>
    </r>
    <r>
      <rPr>
        <sz val="11"/>
        <rFont val="Cambria"/>
        <family val="1"/>
        <scheme val="major"/>
      </rPr>
      <t xml:space="preserve"> O Módulo 1 refere-se ao </t>
    </r>
    <r>
      <rPr>
        <b/>
        <sz val="11"/>
        <rFont val="Cambria"/>
        <family val="1"/>
        <scheme val="major"/>
      </rPr>
      <t>valor mensal devido ao empregado</t>
    </r>
    <r>
      <rPr>
        <sz val="11"/>
        <rFont val="Cambria"/>
        <family val="1"/>
        <scheme val="major"/>
      </rPr>
      <t xml:space="preserve"> pela prestação do serviço no período de 12 meses.</t>
    </r>
  </si>
  <si>
    <r>
      <rPr>
        <b/>
        <sz val="11"/>
        <rFont val="Cambria"/>
        <family val="1"/>
        <scheme val="major"/>
      </rPr>
      <t xml:space="preserve">Nota 2: </t>
    </r>
    <r>
      <rPr>
        <sz val="11"/>
        <rFont val="Cambria"/>
        <family val="1"/>
        <scheme val="major"/>
      </rPr>
      <t xml:space="preserve">Para o empregado que labora a jornada 12x36, em caso da não concessão ou concessão parcial do </t>
    </r>
    <r>
      <rPr>
        <b/>
        <sz val="11"/>
        <rFont val="Cambria"/>
        <family val="1"/>
        <scheme val="major"/>
      </rPr>
      <t>intervalo intrajornada</t>
    </r>
    <r>
      <rPr>
        <sz val="11"/>
        <rFont val="Cambria"/>
        <family val="1"/>
        <scheme val="major"/>
      </rPr>
      <t xml:space="preserve"> (§ 4º do art. 71 da CLT), o valor a ser pago será inserido na remuneração utilizando a alínea “G”.</t>
    </r>
  </si>
  <si>
    <t>Módulo 2 - Encargos e Benefícios Anuais, Mensais e Diários</t>
  </si>
  <si>
    <t>2.2</t>
  </si>
  <si>
    <t>2.1</t>
  </si>
  <si>
    <t>13º SALÁRIO, FÉRIAS E ADICIONAL DE FÉRIAS</t>
  </si>
  <si>
    <t>3.</t>
  </si>
  <si>
    <t>ENCARGOS PREVIDENCIÁRIOS (GPS), FUNDO DE GARANTIA POR TEMPO DE SERVIÇO (FGTS) E OUTRAS CONTRIBUIÇÕES</t>
  </si>
  <si>
    <r>
      <rPr>
        <b/>
        <sz val="11"/>
        <rFont val="Cambria"/>
        <family val="1"/>
        <scheme val="major"/>
      </rPr>
      <t>Nota 1:</t>
    </r>
    <r>
      <rPr>
        <sz val="11"/>
        <rFont val="Cambria"/>
        <family val="1"/>
        <scheme val="major"/>
      </rPr>
      <t xml:space="preserve"> Como a planilha de custos e formação de preços é calculada </t>
    </r>
    <r>
      <rPr>
        <u/>
        <sz val="11"/>
        <rFont val="Cambria"/>
        <family val="1"/>
        <scheme val="major"/>
      </rPr>
      <t>mensalmente</t>
    </r>
    <r>
      <rPr>
        <sz val="11"/>
        <rFont val="Cambria"/>
        <family val="1"/>
        <scheme val="major"/>
      </rPr>
      <t>, provisiona-se proporcionalmente 1/12 (um doze avos) dos valores referentes a gratificação natalina e adicional de férias.</t>
    </r>
  </si>
  <si>
    <t>Submódulo 2.1 - 13º (décimo terceiro) Salário, Férias e Adicional de Férias</t>
  </si>
  <si>
    <t>Submódulo 2.2 - Encargos Previdenciários (GPS), Fundo de Garantia por Tempo de Serviço (FGTS) e outras contribuições</t>
  </si>
  <si>
    <t>Submódulo 2.3 - Benefícios Mensais e Diários</t>
  </si>
  <si>
    <t>2.3</t>
  </si>
  <si>
    <r>
      <rPr>
        <b/>
        <sz val="11"/>
        <rFont val="Cambria"/>
        <family val="1"/>
        <scheme val="major"/>
      </rPr>
      <t>Nota 1:</t>
    </r>
    <r>
      <rPr>
        <sz val="11"/>
        <rFont val="Cambria"/>
        <family val="1"/>
        <scheme val="major"/>
      </rPr>
      <t xml:space="preserve"> O valor informado deverá ser o custo real do benefício (descontado o valor eventualmente pago pelo empregado).</t>
    </r>
  </si>
  <si>
    <t>GPS, FGTS e outras contribuições</t>
  </si>
  <si>
    <t>Percentual %</t>
  </si>
  <si>
    <t>13º (décimo terceiro) Salário, Férias e Adicional de Férias</t>
  </si>
  <si>
    <t>Férias e Adicional de Férias</t>
  </si>
  <si>
    <t>Quadro-Resumo do Módulo 2 - Encargos e Benefícios Anuais, Mensais e Diários</t>
  </si>
  <si>
    <t>Encargos e Benefícios Anuais, Mensais e Diários</t>
  </si>
  <si>
    <t>Módulo 3 - Provisão para Rescisão</t>
  </si>
  <si>
    <t>Módulo 4 - Custo de Reposição do Profissional</t>
  </si>
  <si>
    <r>
      <rPr>
        <b/>
        <sz val="11"/>
        <rFont val="Cambria"/>
        <family val="1"/>
        <scheme val="major"/>
      </rPr>
      <t>Nota:</t>
    </r>
    <r>
      <rPr>
        <sz val="11"/>
        <rFont val="Cambria"/>
        <family val="1"/>
        <scheme val="major"/>
      </rPr>
      <t xml:space="preserve"> Quando houver a necessidade de reposição de um empregado durante sua ausência nos casos de intervalo para repouso ou alimentação deve-se contemplar o Submódulo 4.2.</t>
    </r>
  </si>
  <si>
    <t>Custo de Reposição do Profissional Ausente</t>
  </si>
  <si>
    <t>Quadro-Resumo do Módulo 4 - Custo de Reposição do Profissional Ausente</t>
  </si>
  <si>
    <t>Esses percentuais incidem sobre o Módulo 1 (Remuneração)</t>
  </si>
  <si>
    <t>Módulo 5 - Insumos Diversos</t>
  </si>
  <si>
    <r>
      <rPr>
        <b/>
        <sz val="11"/>
        <rFont val="Cambria"/>
        <family val="1"/>
        <scheme val="major"/>
      </rPr>
      <t>Nota:</t>
    </r>
    <r>
      <rPr>
        <sz val="11"/>
        <rFont val="Cambria"/>
        <family val="1"/>
        <scheme val="major"/>
      </rPr>
      <t xml:space="preserve"> Valores mensais por empregado.</t>
    </r>
  </si>
  <si>
    <r>
      <rPr>
        <b/>
        <sz val="11"/>
        <rFont val="Cambria"/>
        <family val="1"/>
        <scheme val="major"/>
      </rPr>
      <t>Nota 2:</t>
    </r>
    <r>
      <rPr>
        <sz val="11"/>
        <rFont val="Cambria"/>
        <family val="1"/>
        <scheme val="major"/>
      </rPr>
      <t xml:space="preserve"> O valor referente a tributos é obtido aplicando-se o percentual sobre o valor do faturamento.</t>
    </r>
  </si>
  <si>
    <r>
      <rPr>
        <b/>
        <sz val="11"/>
        <rFont val="Cambria"/>
        <family val="1"/>
        <scheme val="major"/>
      </rPr>
      <t>Nota 1:</t>
    </r>
    <r>
      <rPr>
        <sz val="11"/>
        <rFont val="Cambria"/>
        <family val="1"/>
        <scheme val="major"/>
      </rPr>
      <t xml:space="preserve"> Custos Indiretos, Tributos e Lucro por empregado.</t>
    </r>
  </si>
  <si>
    <t>Módulo 6 - Custos Indiretos, Tributos e Lucro</t>
  </si>
  <si>
    <t>Subtotal (A + B + C + D + E)</t>
  </si>
  <si>
    <t xml:space="preserve">Art. 129 e 130, da CLT. </t>
  </si>
  <si>
    <r>
      <t xml:space="preserve">Esta empresa é optante do </t>
    </r>
    <r>
      <rPr>
        <b/>
        <sz val="14"/>
        <rFont val="Arial Narrow"/>
        <family val="2"/>
      </rPr>
      <t>LUCRO REAL</t>
    </r>
    <r>
      <rPr>
        <sz val="14"/>
        <rFont val="Arial Narrow"/>
        <family val="2"/>
      </rPr>
      <t>.</t>
    </r>
  </si>
  <si>
    <t xml:space="preserve">Total </t>
  </si>
  <si>
    <t>SINDESV/SINDESP-DF</t>
  </si>
  <si>
    <t>Vigilante</t>
  </si>
  <si>
    <t>Fundo para Indenização Decorrente de Aposentadoria por invalidez por doença</t>
  </si>
  <si>
    <t>Fundo Social e Odontológico</t>
  </si>
  <si>
    <t>BRASFORT EMPRESA DE SEGURANÇA LTDA</t>
  </si>
  <si>
    <t>Esses percentuais incidem sobre o somatório do Módulo 1 (Remuneração) com o Submódulo 2.1 (13º, Férias e Adicional).</t>
  </si>
  <si>
    <t>Vigilância</t>
  </si>
  <si>
    <t>REAL SEGURANÇA</t>
  </si>
  <si>
    <t>Adicional Noturno 4</t>
  </si>
  <si>
    <t>Carta/Com nº</t>
  </si>
  <si>
    <t>DATA DE APRESENTAÇÃO DA CARTA :</t>
  </si>
  <si>
    <t>Ao</t>
  </si>
  <si>
    <t>Percentual %</t>
  </si>
  <si>
    <t>Adicional de Insalubridade</t>
  </si>
  <si>
    <t>(Instrução Normativa nº 07, de 20 de Setembro de 2018)</t>
  </si>
  <si>
    <t>Incidência de GPS, FGTS e outras contribuições sobre o aviso prévio trabalhado</t>
  </si>
  <si>
    <r>
      <rPr>
        <b/>
        <sz val="11"/>
        <rFont val="Cambria"/>
        <family val="1"/>
        <scheme val="major"/>
      </rPr>
      <t>Nota 1:</t>
    </r>
    <r>
      <rPr>
        <sz val="11"/>
        <rFont val="Cambria"/>
        <family val="1"/>
        <scheme val="major"/>
      </rPr>
      <t xml:space="preserve"> Os itens que contemplam o módulo 4 se referem ao custo dos dias trabalhados pelo repositor/substituto, quando o empregado alocado na prestação de serviço estiver ausente, conforme as previsões estabelecidas na legislação.</t>
    </r>
  </si>
  <si>
    <t>Submódulo 4.1 - Subtituto nas Ausências Legais</t>
  </si>
  <si>
    <t>Substituto na cobertura de Férias</t>
  </si>
  <si>
    <t>SUBSTITUTO NAS AUSÊNCIAS LEGAIS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</si>
  <si>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</si>
  <si>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</si>
  <si>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</si>
  <si>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</si>
  <si>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Outras ausências (especificar)</t>
  </si>
  <si>
    <t>Submódulo 4.2 - Substituto na Intrajornada</t>
  </si>
  <si>
    <t>Substituto na cobertura de intervalo para repouso ou alimentação</t>
  </si>
  <si>
    <t>Substituto nas Ausências Legais</t>
  </si>
  <si>
    <t>Declaramos que não será atendida em cláusula contratual a Nota 3 do Submódulo 2.1 - 13º (décimo terceiro) Salário, Férias e Adicional de Férias, onde determina que a rubrica férias quando da prorrogação contratual, torna-se custo não renovável.</t>
  </si>
  <si>
    <t>C.1</t>
  </si>
  <si>
    <t>C.2</t>
  </si>
  <si>
    <t>Calculado mediante incidência percentual sobre  o somatório da Remuneração, Encargos e Benefícios Anuais, Mensais e Diários, Provisão para Rescisão, Custos de Reposição do Profissional e Insumos Diversos. (Módulo 1 + Módulo 2 + Módulo 3 + Módulo 4 + Módulo 5) x Percentual de Custos Indiretos</t>
  </si>
  <si>
    <t>Calculado mediante incidência percentual sobre  o somatório da Remuneração, Encargos e Benefícios Anuais, Mensais e Diários, Provisão para Rescisão, Custos de Reposição do Profissional, Insumos Diversos e Custos Indiretos. (Módulo 1 + Módulo 2 + Módulo 3 + Módulo 4 + Módulo 5 + Custos Indiretos) x Percentual de Lucro</t>
  </si>
  <si>
    <r>
      <t xml:space="preserve">Recolhimento de impostos e contribuições incidentes sobre o faturamento. (Módulo 1 + Módulo 2 + Módulo 3 + Módulo 4 + Módulo 5 + Custos Indiretos + Lucro) </t>
    </r>
    <r>
      <rPr>
        <sz val="11"/>
        <color indexed="8"/>
        <rFont val="Calibri"/>
        <family val="2"/>
      </rPr>
      <t>÷</t>
    </r>
    <r>
      <rPr>
        <sz val="11"/>
        <color indexed="8"/>
        <rFont val="Cambria"/>
        <family val="1"/>
        <scheme val="major"/>
      </rPr>
      <t xml:space="preserve"> (1 – Soma dos percentuais de tributos)</t>
    </r>
  </si>
  <si>
    <t>MEMÓRIA DE CÁLCULO - CUSTOS INDIRETOS, LUCRO E TRIBUTOS (MÓDULO 6)</t>
  </si>
  <si>
    <t>MEMÓRIA DE CÁLCULO - BENEFÍCIOS MENSAIS E DIÁRIOS (SUBMÓDULO 2.3)</t>
  </si>
  <si>
    <t>OUTROS BENEFÍCIOS MENSAIS E DIÁRIOS - SUBMÓDULO 2.3</t>
  </si>
  <si>
    <t>Desconto de coparticipação do empregado</t>
  </si>
  <si>
    <t>DESCONTO DE COPARTICIPAÇÃO DO EMPREGADO DO VALE ALIMENTAÇÃO</t>
  </si>
  <si>
    <t>Custo do Desconto do Alimentação                      [c] = - [b] x [a]</t>
  </si>
  <si>
    <t>J</t>
  </si>
  <si>
    <t>Auxílio Lazer/Cultura</t>
  </si>
  <si>
    <t xml:space="preserve"> A empresa resguarda o direito a repactuação das novas datas-base 2019/2019, tão logo que sejam registradas nos termos legais.</t>
  </si>
  <si>
    <t xml:space="preserve">{[(7 ÷ 30)] ÷ 12} x 100 </t>
  </si>
  <si>
    <t xml:space="preserve">{[(5÷30)÷12] x 0,01} x 100 </t>
  </si>
  <si>
    <t xml:space="preserve">{[(15÷30)÷12] x 0,003} x 100 </t>
  </si>
  <si>
    <t>CONTRATO Nº __________/201__ - CONTRATANTE - PRESTAÇÃO DE SERVIÇOS --------</t>
  </si>
  <si>
    <t xml:space="preserve">REPACTUAÇÃO CONTRATUAL 20___ - </t>
  </si>
  <si>
    <t>Auxílio Alimentação - Cláusula 12ª da CCT</t>
  </si>
  <si>
    <t>Desconto do Auxílio Alimentação - Cláusula 12ª § 2º da CCT</t>
  </si>
  <si>
    <t>Auxílio Transporte - Cláusula 13ª da CCT</t>
  </si>
  <si>
    <t>Fundo Social e Odontológico - Cláusula 15ª da CCT</t>
  </si>
  <si>
    <t>Seguro de Vida - Cláusula 16ª da CCT</t>
  </si>
  <si>
    <t>Fundo Ind.Aposent. Ou Doença - Cláusula 17ª da CCT</t>
  </si>
  <si>
    <t>Treinamento/capacitação/reciclagem - Cláusula 27ª da CCT</t>
  </si>
  <si>
    <t>Contribuição Assistencial Patronal - Cláusula 52ª da CCT</t>
  </si>
  <si>
    <t xml:space="preserve">Multa sobre FGTS sobre o aviso prévio indenizado </t>
  </si>
  <si>
    <t xml:space="preserve">Multa sobre FGTS sobre o aviso prévio trabalhado </t>
  </si>
  <si>
    <t>01/01/2020 a 31/12/2020</t>
  </si>
  <si>
    <t>2020/2020</t>
  </si>
  <si>
    <t>DF000040/2020</t>
  </si>
  <si>
    <t>Os documentos complementares a proposta, estão apensos aos Documentos de Habilitação.</t>
  </si>
  <si>
    <t>Observação:</t>
  </si>
  <si>
    <t>PROPOSTA Nº 053/2020</t>
  </si>
  <si>
    <t>CONSELHO DA JUSTIÇA FEDERAL - CJF</t>
  </si>
  <si>
    <t>Poder Judiciário</t>
  </si>
  <si>
    <t>0000793-29.2020.4.90.8000</t>
  </si>
  <si>
    <t>PREGÃO ELETRÔNICO Nº 09/2020 - CJF</t>
  </si>
  <si>
    <t>PLANILHA DE CUSTOS E FORMAÇÃO DE PREÇOS - CJF</t>
  </si>
  <si>
    <t>Apresentamos proposta de preços para prestação de serviços terceirizados de continuados de vigilância armada e desarmada, por meio de postos de trabalho, incluindo o fornecimento de equipamentos (armamentos, rádios de comunicação, etc...) e EPI’s, a serem realizados nas dependências do Conselho da Justiça Federal, em Brasília/DF, conforme especificações, quantidades e condições estipuladas no Edital e seus anexos.</t>
  </si>
  <si>
    <t>Declaramos que conhecemos e aceitamos todas as condições contidas no Edital do Pregão Eletrônico n.º 09/2020 e seus anexos.</t>
  </si>
  <si>
    <t>Declaramos ciência de que o CJF realizará o contingenciamento das obrigações trabalhistas, conforme previsto na Resolução CNJ n. 169/2013 e alterações, bem como na IN CJF nº 01/2016, nos termos estabelecidos na cláusula da minuta do contrato.</t>
  </si>
  <si>
    <t>A validade da presente proposta é de 90 (noventa) dias, a contar da data de sua apresentação.</t>
  </si>
  <si>
    <t>SEDE – CONSELHO DA JUSTIÇA FEDERAL</t>
  </si>
  <si>
    <t>Cargo</t>
  </si>
  <si>
    <t>Turno</t>
  </si>
  <si>
    <t>Local</t>
  </si>
  <si>
    <t>Horário</t>
  </si>
  <si>
    <t>Qtd de Profissionais</t>
  </si>
  <si>
    <t>Salário R$</t>
  </si>
  <si>
    <t>Operacional Armado</t>
  </si>
  <si>
    <t>Diurno</t>
  </si>
  <si>
    <t>12 X 36</t>
  </si>
  <si>
    <t>Ronda</t>
  </si>
  <si>
    <t>Noturno</t>
  </si>
  <si>
    <t>Terno/Tailleur Desar.</t>
  </si>
  <si>
    <t>5 X 2</t>
  </si>
  <si>
    <t>Portaria Principal</t>
  </si>
  <si>
    <t>Garagem Principal</t>
  </si>
  <si>
    <t>COORDENADORIA DE SERVIÇOS GRÁFICOS</t>
  </si>
  <si>
    <t>Guarita Principal</t>
  </si>
  <si>
    <t>Guarita Fundos</t>
  </si>
  <si>
    <t>07h00 às 19h00</t>
  </si>
  <si>
    <t>Guarita NE - ALFA 2</t>
  </si>
  <si>
    <t>Guarita NE - ALFA 3</t>
  </si>
  <si>
    <t>19h00 às 07h00</t>
  </si>
  <si>
    <t>09h00 às 19h00</t>
  </si>
  <si>
    <t>11h00 às 21h00</t>
  </si>
  <si>
    <t>10h00 às 20h00</t>
  </si>
  <si>
    <t>Guarita NE – ALFA 2</t>
  </si>
  <si>
    <t>09/2020</t>
  </si>
  <si>
    <t>90026</t>
  </si>
  <si>
    <t>Vigilante Armado, 12 horas diunas em escala 12x36, das 07h às 19h</t>
  </si>
  <si>
    <t>Vigilância Diurna 12x36</t>
  </si>
  <si>
    <t>Vigilância Diurna 5x2</t>
  </si>
  <si>
    <t>Vigilância Noturna 12x36</t>
  </si>
  <si>
    <t>Qtd de Postos</t>
  </si>
  <si>
    <t>Vigilante Armado, 12 horas noturnas em escala 12x36, das 19h às 07h</t>
  </si>
  <si>
    <t>5173-30</t>
  </si>
  <si>
    <t>(d) = (c ) x 20</t>
  </si>
  <si>
    <t xml:space="preserve">Valor Total </t>
  </si>
  <si>
    <t>Valor Total             (R$)</t>
  </si>
  <si>
    <t>Total de Postos 12x36 Diurno</t>
  </si>
  <si>
    <t>Total de Postos 5x2 Diurno</t>
  </si>
  <si>
    <t>Total de Postos 12x36 Noturno</t>
  </si>
  <si>
    <t>Senhor Márcio Gomes da Silva - Pregoeiro</t>
  </si>
  <si>
    <t>Senhor Márcio,</t>
  </si>
  <si>
    <t>Setor de Clubes Sul - SCES, Trecho III, Polo 8, Lote 9, Edifício Sede - Brasília/DF</t>
  </si>
  <si>
    <t>Vigilante Desarmado Diurno, 44 horas semanais, sendo 8h48 trabalhadas de 2ª a 6ª feira, entre das 07h e 21h</t>
  </si>
  <si>
    <t>ANEXO I</t>
  </si>
  <si>
    <t>EFETIVO DE PESSOAL EXIGIDO / POSTOS DE TRABALHO / ESCALA</t>
  </si>
  <si>
    <t>ANEXO II</t>
  </si>
  <si>
    <t>EQUIPAMENTOS E MATERIAIS NECESSÁRIOS À EXECUÇÃO DOS SERVIÇOS DE VIGILÂNCIA</t>
  </si>
  <si>
    <t>Tipo</t>
  </si>
  <si>
    <t>Vida Útil (meses)</t>
  </si>
  <si>
    <t>Quantidade de profissionais para rateio dos custos</t>
  </si>
  <si>
    <t xml:space="preserve">Custo rateado por profissional </t>
  </si>
  <si>
    <t>Quantidade Fornecida</t>
  </si>
  <si>
    <t>Coldres para revólveres calibre 38, interno de cintura, com presilha ou passador de cinta em cordura, modelo panqueca. Prazo de troca: o equipamento deve ser trocado a cada 6 meses independente do estado de uso.</t>
  </si>
  <si>
    <t>Munições para revolver calibre 38, sendo 30 (trinta) para o carregamento total dos 05 (cinco) revolveres, 05 (cinco) munições em cada baleiros totalizando 25 munições.</t>
  </si>
  <si>
    <t>Cintos de “nylon” ou couro, para cassetetes e com baleiro; Prazo de troca: o equipamento deve ser trocado a cada 6 meses independente do estado de uso.</t>
  </si>
  <si>
    <t>Lanternas vigilight, de mão, tipo farolete, com lâmpada halógena de 55 w/luz auxiliar – lâmpada de 5w, alça metálica para transporte manual e alça de nylon a tiracolo. Dimensões 12,5cm x 18cm x 9,2cm (L x P x A), tensão do carregador: 220v, peso máximo: 3,5 kg, de longo alcance; O equipamento deve ser trocado quando houver necessidade observando suas condições de uso.</t>
  </si>
  <si>
    <t>Rádios de comunicação digital, com chamada individual ou em grupo; O equipamento deve ser trocado quando houver necessidade observando suas condições de uso.</t>
  </si>
  <si>
    <t>Apitos de aço com cordão; O equipamento deve ser trocado quando houver necessidade observando suas condições de uso.</t>
  </si>
  <si>
    <t>Cassetetes; O equipamento deve ser trocado quando houver necessidade observado suas condições de uso.</t>
  </si>
  <si>
    <t>Revólveres calibre 38, cano curto, 06 tiros, e seus respectivos acessórios. Prazo de manutenção: a empresa deverá realizar manutenção das armas a cada 6 meses. Caso seja necessário realizar a troca do equipamento ou a manutenção fora das dependências do CJF, a empresa deverá deixar outra arma enquanto providencia o conserto/troca.</t>
  </si>
  <si>
    <t>Crachás de identificação da empresa com os dados do vigilante; O equipamento deve ser trocado quando houver necessidade observando suas condições de uso.</t>
  </si>
  <si>
    <t>POSTO ARMADO</t>
  </si>
  <si>
    <t>PARA TODOS OS POSTOS</t>
  </si>
  <si>
    <t>Materiais e Equipamentos</t>
  </si>
  <si>
    <t>Armado</t>
  </si>
  <si>
    <t>Em comum</t>
  </si>
  <si>
    <t>ANEXO III</t>
  </si>
  <si>
    <t>QUANTITATIVO ANUAL/SEMESTRAL E ESPECIFICAÇÕES DOS UNIFORMES</t>
  </si>
  <si>
    <t>Camisa de mangas compridas  (Não compõe uniforme aprovado pela Polícia Federal)</t>
  </si>
  <si>
    <t>Custo Unitário</t>
  </si>
  <si>
    <t>Custo Total</t>
  </si>
  <si>
    <t>CUSTO ANUAL DO UNIFORME PARA UM PROFISSIONAL</t>
  </si>
  <si>
    <t>CUSTO MENSAL DO UNIFORME PARA UM PROFISSIONAL</t>
  </si>
  <si>
    <t>Terno (Calça + Paletó)</t>
  </si>
  <si>
    <t>Meia-calça transparente</t>
  </si>
  <si>
    <t>Valor Mensal</t>
  </si>
  <si>
    <t xml:space="preserve">Custo Médio Mensal </t>
  </si>
  <si>
    <t>Feminino</t>
  </si>
  <si>
    <t>Masculino</t>
  </si>
  <si>
    <t>Calças, conforme padrão da CONTRATADA registrado no Departamento de Polícia Federal</t>
  </si>
  <si>
    <t>Bonés, conforme padrão da CONTRATADA</t>
  </si>
  <si>
    <t>Camisas de mangas curtas, conforme padrão da CONTRATADA registrado no Departamento de Polícia Federal, com dois bolsos</t>
  </si>
  <si>
    <t>Meias social na cor preta</t>
  </si>
  <si>
    <t xml:space="preserve">Cinto, conforme padrão da CONTRATADA, registrado no Departamento de Polícia Federal </t>
  </si>
  <si>
    <t>Japona, conforme padrão da CONTRATADA registrado no Departamento de Polícia Federal</t>
  </si>
  <si>
    <t>Coturnos; cano médio para serviços de rotina, cabedal em couro nobuk hidrofugado, espessura de 2mm, dublado com tecido de poliéster e colarinho de couro pelica. Forração interna de acrílico automotivo com termoplástico leve e resistente, no bico e no calcanhar. Cadarço e linhas em poliéster e poliamida hidrofugados. Solado de borracha modelo vibram, outdoor, resistente a corrente elétrica. Vedação resistente a água ou 100% impermeável, cor preta.</t>
  </si>
  <si>
    <t>Capa de chuva impermeável em PVC, mangas longas, capuz acoplado na capa e fecho da frente com botões de pressão de alta durabilidade, com certificado de aprovação do Ministério da Economia.</t>
  </si>
  <si>
    <t xml:space="preserve">Armado </t>
  </si>
  <si>
    <t>Desarmado</t>
  </si>
  <si>
    <r>
      <t xml:space="preserve">Tipo: </t>
    </r>
    <r>
      <rPr>
        <sz val="11"/>
        <rFont val="Cambria"/>
        <family val="1"/>
      </rPr>
      <t>Sexo Masculino de terno</t>
    </r>
  </si>
  <si>
    <r>
      <t xml:space="preserve">Tipo: </t>
    </r>
    <r>
      <rPr>
        <sz val="11"/>
        <rFont val="Cambria"/>
        <family val="1"/>
      </rPr>
      <t>Sexo Feminino Tailleur</t>
    </r>
  </si>
  <si>
    <r>
      <t xml:space="preserve">CATEGORIA: </t>
    </r>
    <r>
      <rPr>
        <sz val="11"/>
        <rFont val="Cambria"/>
        <family val="1"/>
        <scheme val="major"/>
      </rPr>
      <t xml:space="preserve">Vigilantes Terno/Tailleur (06 Vigilantes) </t>
    </r>
  </si>
  <si>
    <r>
      <t>CATEGORIA:</t>
    </r>
    <r>
      <rPr>
        <sz val="11"/>
        <rFont val="Cambria"/>
        <family val="1"/>
      </rPr>
      <t xml:space="preserve"> Vigilantes Operacional (20 Vigilantes)</t>
    </r>
  </si>
  <si>
    <t>Saias retas/calças</t>
  </si>
  <si>
    <t>Blazeres, mangas compridas, com bolsos laterais, na mesma tonalidade da saia/calça</t>
  </si>
  <si>
    <t>Blusas/camisas, mangas curtas, bolso no lado esquerdo</t>
  </si>
  <si>
    <t>Sapatos social</t>
  </si>
  <si>
    <t>Dados para composição dos custos referente a mão de obra</t>
  </si>
  <si>
    <t>Salário da Categoria Profissional</t>
  </si>
  <si>
    <t>Sindicato da Categoria Profissional (vinculada à execução contratual)</t>
  </si>
  <si>
    <t>Nº da Convenção Coletiva de Trabalho (CCT)</t>
  </si>
  <si>
    <r>
      <rPr>
        <b/>
        <sz val="11"/>
        <rFont val="Cambria"/>
        <family val="1"/>
        <scheme val="major"/>
      </rPr>
      <t>Nota 3:</t>
    </r>
    <r>
      <rPr>
        <sz val="11"/>
        <rFont val="Cambria"/>
        <family val="1"/>
        <scheme val="major"/>
      </rPr>
      <t xml:space="preserve"> Levando em consideração a vigência contratual prevista no art. 57 da Lei nº 8.666, de 23 de junho de 1993, a rubrica férias tem como objetivo principal suprir a necessidade do pagamento das férias remuneradas ao final do contrato de 12 meses.</t>
    </r>
  </si>
  <si>
    <t>Base de Cálculo do Submódulo 2.2 - Módulo 3 - Submódulo 4.1</t>
  </si>
  <si>
    <t xml:space="preserve">[(40% x 8,00% x 0,90)] x (1 + 9,09% + 12,12%) </t>
  </si>
  <si>
    <r>
      <rPr>
        <b/>
        <sz val="11"/>
        <rFont val="Cambria"/>
        <family val="1"/>
        <scheme val="major"/>
      </rPr>
      <t>Nota 1:</t>
    </r>
    <r>
      <rPr>
        <sz val="11"/>
        <rFont val="Cambria"/>
        <family val="1"/>
        <scheme val="major"/>
      </rPr>
      <t> O percentual de 1,94% indicado no Aviso Prévio Trabalhado torna-se custo não renovável decorridos 12 meses.</t>
    </r>
  </si>
  <si>
    <r>
      <rPr>
        <b/>
        <sz val="11"/>
        <rFont val="Cambria"/>
        <family val="1"/>
        <scheme val="major"/>
      </rPr>
      <t>Nota 2: </t>
    </r>
    <r>
      <rPr>
        <sz val="11"/>
        <rFont val="Cambria"/>
        <family val="1"/>
        <scheme val="major"/>
      </rPr>
      <t>Os percentuais do Módulo 3 já incidem sobre remuneração, 13º salário, férias e adicional de férias.</t>
    </r>
  </si>
  <si>
    <r>
      <rPr>
        <b/>
        <sz val="11"/>
        <rFont val="Cambria"/>
        <family val="1"/>
        <scheme val="major"/>
      </rPr>
      <t>Nota 1:</t>
    </r>
    <r>
      <rPr>
        <sz val="11"/>
        <rFont val="Cambria"/>
        <family val="1"/>
        <scheme val="major"/>
      </rPr>
      <t> Os percentuais do Submódulo 4.1 já incidem sobre remuneração, 13º salário, férias e adicional de férias.</t>
    </r>
  </si>
  <si>
    <t>Substituto na Intrajornada</t>
  </si>
  <si>
    <t>Tributos (C.1 + C.2 + C.3)</t>
  </si>
  <si>
    <t>Tributos Federais (PIS)</t>
  </si>
  <si>
    <t>C.3</t>
  </si>
  <si>
    <t>Contribuição Previdenciária sobre a Receita Bruta - CPRB</t>
  </si>
  <si>
    <r>
      <rPr>
        <b/>
        <sz val="11"/>
        <rFont val="Cambria"/>
        <family val="1"/>
        <scheme val="major"/>
      </rPr>
      <t>Nota 2:</t>
    </r>
    <r>
      <rPr>
        <sz val="11"/>
        <rFont val="Cambria"/>
        <family val="1"/>
        <scheme val="major"/>
      </rPr>
      <t xml:space="preserve"> Os percentuais dos encargos previdenciários, do FGTS e demais contribuições são aqueles estabelecidos pela legislação vigente.</t>
    </r>
  </si>
  <si>
    <r>
      <rPr>
        <b/>
        <sz val="11"/>
        <rFont val="Cambria"/>
        <family val="1"/>
        <scheme val="major"/>
      </rPr>
      <t>Nota 5: </t>
    </r>
    <r>
      <rPr>
        <sz val="11"/>
        <rFont val="Cambria"/>
        <family val="1"/>
        <scheme val="major"/>
      </rPr>
      <t>Os percentuais do Submódulo 2.2 já incidem sobre remuneração, 13º salário, férias e adicional de férias.</t>
    </r>
  </si>
  <si>
    <r>
      <rPr>
        <b/>
        <sz val="11"/>
        <rFont val="Cambria"/>
        <family val="1"/>
        <scheme val="major"/>
      </rPr>
      <t>Nota 1:</t>
    </r>
    <r>
      <rPr>
        <sz val="11"/>
        <rFont val="Cambria"/>
        <family val="1"/>
        <scheme val="major"/>
      </rPr>
      <t xml:space="preserve"> O percentual do INSS poderá sofrer alteração de acordo com a "Desoneração da Folha de Pagamento" (Lei 12.546/2011).</t>
    </r>
  </si>
  <si>
    <r>
      <rPr>
        <b/>
        <sz val="11"/>
        <rFont val="Cambria"/>
        <family val="1"/>
        <scheme val="major"/>
      </rPr>
      <t>Nota 3:</t>
    </r>
    <r>
      <rPr>
        <sz val="11"/>
        <rFont val="Cambria"/>
        <family val="1"/>
        <scheme val="major"/>
      </rPr>
      <t xml:space="preserve"> A empresa que indicar "desoneração" do Submódulo 2.2 deverá incluir uma rubrica para tributação da Contribuição Previdenciária sobre a Receita Bruta - CPRB.</t>
    </r>
  </si>
  <si>
    <t>QUADRO-RESUMO DO CUSTO POR EMPREGADO</t>
  </si>
  <si>
    <t>Prazo de Prestação dos Serviços:</t>
  </si>
  <si>
    <t>Valor do Plano de Saúde - Pago por Ressarcimento</t>
  </si>
  <si>
    <r>
      <t xml:space="preserve">Adicional Noturno - Salário base + Adicional de Periculosidade x 20% x (7 </t>
    </r>
    <r>
      <rPr>
        <sz val="11"/>
        <rFont val="Calibri"/>
        <family val="2"/>
      </rPr>
      <t>÷</t>
    </r>
    <r>
      <rPr>
        <sz val="11"/>
        <rFont val="Cambria"/>
        <family val="1"/>
        <scheme val="major"/>
      </rPr>
      <t xml:space="preserve"> 52,5 x 60) x 15 dias</t>
    </r>
  </si>
  <si>
    <r>
      <t xml:space="preserve">Adicional Noturno - Salário base + Adicional de Periculosidade x 20% x (7 </t>
    </r>
    <r>
      <rPr>
        <sz val="11"/>
        <rFont val="Calibri"/>
        <family val="2"/>
      </rPr>
      <t>÷</t>
    </r>
    <r>
      <rPr>
        <sz val="11"/>
        <rFont val="Cambria"/>
        <family val="1"/>
        <scheme val="major"/>
      </rPr>
      <t xml:space="preserve"> 52,3 x 60) x 15 dias</t>
    </r>
  </si>
  <si>
    <t>CNPJ Nº 00.508.903/0001-88</t>
  </si>
  <si>
    <t>Incidência do FGTS sobre aviso prévio indenizado.</t>
  </si>
  <si>
    <t>((1,94% + (40% x 1,94%)) 8% x 1,94%</t>
  </si>
  <si>
    <t>Em atendimento ao Edital</t>
  </si>
  <si>
    <t>Coletes balísticos</t>
  </si>
  <si>
    <t>Capa resistente na cor preta com ajuste por velcro nos ombros e nas laterais e suporte para placas balísticas, individual, modelo social discreto com proteção frontal, dorsal e lateral, nível II NIJ 0101-04 ou superior, com fibras de aramida ou polietileno. Para cada colete balístico a empresa deverá providenciar mais 3 (três) capas além do especificado acima. Prazo de troca: o equipamento deve ser trocado a cada 6 meses independente do estado de uso.</t>
  </si>
  <si>
    <t>PROPOSTA LANCE FINAL</t>
  </si>
  <si>
    <t>Razão Social: BRASFORT EMPRESA DE SEGURANÇA LTDA</t>
  </si>
  <si>
    <t>CNPJ: 03.497.401/0001-97</t>
  </si>
  <si>
    <t>Inscrição Estadual: 07.328.028/001-25</t>
  </si>
  <si>
    <t>Endereço: SAA/Norte Quadra 03 nº 1.230 e 1.240</t>
  </si>
  <si>
    <t>Cidade: Brasília/DF                   CEP: 70.632-300</t>
  </si>
  <si>
    <t xml:space="preserve">Telefone: (61) 3878-3434          Fax: (61) 3878-3433                     </t>
  </si>
  <si>
    <t>Dados Bancários: Banco: Banco do Brasil, Agência nº 3382-0, Conta Corrente nº 435.247-5</t>
  </si>
  <si>
    <t>E-mail: brasfort@brasfort.com.br // comercial@brasfort.com.br</t>
  </si>
  <si>
    <t>Nome: Robério Bandeira de Negreiros</t>
  </si>
  <si>
    <t>Cargo: Sócio Administrador</t>
  </si>
  <si>
    <t>Robério Bandeira de Negreiros</t>
  </si>
  <si>
    <t>[(1÷12) x 0,03] x 100</t>
  </si>
  <si>
    <t>((0,25% + (40% x 0,25%)) 8% x 0,25%</t>
  </si>
  <si>
    <t xml:space="preserve">{(8,33% x 4) + (12,12% x 4)} ÷12 x 0,001 x 100 </t>
  </si>
  <si>
    <t>07h00 às 17h00</t>
  </si>
  <si>
    <t>Arts. 83 e 473 da CLT. Estimativa de 5 (cinco) dias de licença por ano, para 1% dos empregados.</t>
  </si>
  <si>
    <t>Art. 7º, inciso XVIII, CF/88, Regulado pela Lei nº 8.213/1991, Art. 72. Estima-se que 0,10% das empregadas usufruem os 4 (meses) meses de licença a cada ano de execução contratual.</t>
  </si>
  <si>
    <t>(*) O Auxílio Saúde - Será pago por ressarcimento (subitem 4.66.1 TR)</t>
  </si>
  <si>
    <t>20 (vinte) meses, contados da assinatura do contrato.</t>
  </si>
  <si>
    <t>Art. 30 da Lei n. 8.036/1990 e art. 1º da Lei n. 8.154/1990.</t>
  </si>
  <si>
    <t>Lei n. 8.029/1990, alterada pela Lei n. 8.154/1990.</t>
  </si>
  <si>
    <t>Art. 3º, inciso I, do Decreto n. 87.043/1982, Lei n. 9.424/1996.</t>
  </si>
  <si>
    <t>§1º do art. 487 da CLT. Estima-se que cerca de 3% do pessoal é demitido pelo empregador, antes do término do contrato de trabalho.</t>
  </si>
  <si>
    <t xml:space="preserve">O art. 12 da Lei n. 13.932/2019 extiguiu a cobraça da contribuição de 10% devida pelos empregadores em caso de despedida sem justa causa (art. 1º da Lei Complementar 110/2001). </t>
  </si>
  <si>
    <t>CF, art. 7º inciso XIX, combinado com o art. 10, §1º, ADCT. Estimativa de 1% dos empregados usufruindo 5 (cinco) dias da licença por ano.</t>
  </si>
  <si>
    <t>Art.131 da CLT, Lei nº 8.213/91, Decreto nº 3.048/99. Estimativa de 1 (uma) licença de 15 (quinze) dias por ano para 0,30% (trinta décimos por cento) dos empregados.</t>
  </si>
  <si>
    <t>Art. 7º, Inciso VIII, CF/88, Art. 1º ao 3º, Lei nº 4.090/62, Art. 1º, parágrafo único, Lei nº 7.787/89. Resoluções. CNJ ns. 98/2009 e 169/2013. Instrução Normativa CJF n. 001/2016.</t>
  </si>
  <si>
    <t>Art. 7º, Inciso VIII, CF/88 e Inciso XVII do art. 7º da Constituição Federal e art. 142 da CLT. Resoluções. CNJ ns. 98/2009 e 169/2013. Instrução Normativa CJF n. 001/2016.</t>
  </si>
  <si>
    <t>Resoluções. CNJ ns. 98/2009 e 169/2013. Instrução Normativa CJF n. 001/2016 - Provisionamento da Conta Vinculada</t>
  </si>
  <si>
    <t>MÓDULO II</t>
  </si>
  <si>
    <t>Art. 488, da CLT. Acórdão TCU n. 1.904/2007.</t>
  </si>
  <si>
    <r>
      <rPr>
        <b/>
        <sz val="11"/>
        <rFont val="Cambria"/>
        <family val="1"/>
        <scheme val="major"/>
      </rPr>
      <t>Nota 2:</t>
    </r>
    <r>
      <rPr>
        <sz val="11"/>
        <rFont val="Cambria"/>
        <family val="1"/>
        <scheme val="major"/>
      </rPr>
      <t xml:space="preserve"> O adicional de férias contido no Submódulo 2.1 corresponde a 1/3 (um terço) da remuneração que por sua vez é divido por 12 (doze) conforme Nota 1 acima. </t>
    </r>
  </si>
  <si>
    <r>
      <t>Nota 2:</t>
    </r>
    <r>
      <rPr>
        <sz val="11"/>
        <rFont val="Cambria"/>
        <family val="1"/>
        <scheme val="major"/>
      </rPr>
      <t xml:space="preserve"> O adicional de férias contido no Submódulo 2.1 corresponde a 1/3 (um terço) da remuneração que por sua vez é divido por 12 (doze) conforme Nota 1 acima. </t>
    </r>
  </si>
  <si>
    <r>
      <rPr>
        <b/>
        <sz val="11"/>
        <rFont val="Cambria"/>
        <family val="1"/>
        <scheme val="major"/>
      </rPr>
      <t>Nota 3:</t>
    </r>
    <r>
      <rPr>
        <sz val="11"/>
        <rFont val="Cambria"/>
        <family val="1"/>
        <scheme val="major"/>
      </rPr>
      <t xml:space="preserve"> O SAT a depender do grau de risco do serviço irá variar entre 1%, para risco leve, de 2%, para risco médio, e de 3% de risco grave. Deverá ser ajustado ao fator acidentário previdenciário (FAP).</t>
    </r>
  </si>
  <si>
    <r>
      <t>Nota 3:</t>
    </r>
    <r>
      <rPr>
        <sz val="11"/>
        <rFont val="Cambria"/>
        <family val="1"/>
        <scheme val="major"/>
      </rPr>
      <t xml:space="preserve"> O SAT a depender do grau de risco do serviço irá variar entre 1%, para risco leve, de 2%, para risco médio, e de 3% de risco grave. Deverá ser ajustado ao fator acidentário previdenciário (FAP).</t>
    </r>
  </si>
  <si>
    <r>
      <rPr>
        <b/>
        <sz val="11"/>
        <rFont val="Cambria"/>
        <family val="1"/>
        <scheme val="major"/>
      </rPr>
      <t>Nota 2:</t>
    </r>
    <r>
      <rPr>
        <sz val="11"/>
        <rFont val="Cambria"/>
        <family val="1"/>
        <scheme val="major"/>
      </rPr>
      <t xml:space="preserve"> Observar a previsão dos benefícios contidos em Acordos, Convenções e Dissídios Coletivos de Trabalho.</t>
    </r>
  </si>
  <si>
    <r>
      <t>Nota 2:</t>
    </r>
    <r>
      <rPr>
        <sz val="11"/>
        <rFont val="Cambria"/>
        <family val="1"/>
        <scheme val="major"/>
      </rPr>
      <t xml:space="preserve"> Observar a previsão dos benefícios contidos em Acordos, Convenções e Dissídios Coletivos de Trabalho.</t>
    </r>
  </si>
  <si>
    <t>Multa FGTS - rescisão sem justa causa</t>
  </si>
  <si>
    <t>Tributos Federais (COFINS)</t>
  </si>
  <si>
    <t>Incidência do submódulo 2.2 sobre aviso prévio trabalhado.</t>
  </si>
  <si>
    <t>Tributos Municipais (ISS)</t>
  </si>
  <si>
    <t>RAT x FAP = (3% x 0,8563) = 2,57%</t>
  </si>
  <si>
    <t>Repactuação data-base 2021</t>
  </si>
  <si>
    <t>0,71%</t>
  </si>
  <si>
    <t>RESUMO DO I TERMO ADITIVO AO CONTRATO N. 015/2020-CJF</t>
  </si>
  <si>
    <r>
      <rPr>
        <b/>
        <sz val="11"/>
        <rFont val="Cambria"/>
        <family val="1"/>
        <scheme val="major"/>
      </rPr>
      <t>COM EFEITOS A PARTIR DE</t>
    </r>
    <r>
      <rPr>
        <b/>
        <sz val="11"/>
        <color rgb="FFFF0000"/>
        <rFont val="Cambria"/>
        <family val="1"/>
        <scheme val="major"/>
      </rPr>
      <t xml:space="preserve"> 01º/01/2021</t>
    </r>
  </si>
  <si>
    <t>DF000680/2020</t>
  </si>
  <si>
    <t>Adicional de Periculosidade  - Salário base x 30%</t>
  </si>
  <si>
    <t>Adicional Noturno - Salário base + Adicional de Periculosidade x 20% x (7 ÷ 52,5 x 60) x 15 dias</t>
  </si>
  <si>
    <t>Nota 1: O Módulo 1 refere-se ao valor mensal devido ao empregado pela prestação do serviço no período de 12 meses.</t>
  </si>
  <si>
    <t>Nota 2: Para o empregado que labora a jornada 12x36, em caso da não concessão ou concessão parcial do intervalo intrajornada (§ 4º do art. 71 da CLT), o valor a ser pago será inserido na remuneração utilizando a alínea “G”.</t>
  </si>
  <si>
    <t>Nota 4: Esses percentuais incidem sobre o Módulo 1, o Submódulo 2.1.</t>
  </si>
  <si>
    <t>Nota 5: Os percentuais do Submódulo 2.2 já incidem sobre remuneração, 13º salário, férias e adicional de férias.</t>
  </si>
  <si>
    <t>Base de Cálculo: Módulo 1 + Submódulo 2.1</t>
  </si>
  <si>
    <t>Auxílio Saúde - Cláusula 14ª da CCT (Pago por ressarcimento)</t>
  </si>
  <si>
    <t>Nota 1: O valor informado deverá ser o custo real do benefício (descontado o valor eventualmente pago pelo empregado).</t>
  </si>
  <si>
    <t>Nota 1: O percentual de 1,94% indicado no Aviso Prévio Trabalhado torna-se custo não renovável decorridos 12 meses.</t>
  </si>
  <si>
    <t>Nota 2: Os percentuais do Módulo 3 já incidem sobre remuneração, 13º salário, férias e adicional de férias.</t>
  </si>
  <si>
    <t>Nota 1: Os percentuais do Submódulo 4.1 já incidem sobre remuneração, 13º salário, férias e adicional de férias.</t>
  </si>
  <si>
    <t>Nota: Quando houver a necessidade de reposição de um empregado durante sua ausência nos casos de intervalo para repouso ou alimentação deve-se contemplar o Submódulo 4.2.</t>
  </si>
  <si>
    <t>Nota: Valores mensais por empregado.</t>
  </si>
  <si>
    <t>Nota 1: Custos Indiretos, Tributos e Lucro por empregado.</t>
  </si>
  <si>
    <t>Nota 2: O valor referente a tributos é obtido aplicando-se o percentual sobre o valor do faturamento.</t>
  </si>
  <si>
    <t>Adicional Noturno - Salário base + Adicional de Periculosidade x 20% x (7 ÷ 52,3 x 60) x 15 dias</t>
  </si>
  <si>
    <t>(0,3637 x 0,00194) x 100</t>
  </si>
  <si>
    <t>( 0,08 x 0,0025 ) x 100</t>
  </si>
  <si>
    <t>((0,194% + (40% x 0,194%)) 8% x 0,194%</t>
  </si>
  <si>
    <t>0,07%</t>
  </si>
  <si>
    <t xml:space="preserve">{[(7 ÷ 30) ÷ 12] x 100}x10% </t>
  </si>
  <si>
    <t>Art. 488, da CLT. Acórdãos TCU n. 1.904/2007 e n. 1.186/2017.</t>
  </si>
  <si>
    <t>Auxílio Saúde - Cláusula 14ª da CCT (*)</t>
  </si>
  <si>
    <t>01/01/2021 a 31/12/2021</t>
  </si>
  <si>
    <t>Redução do percentual do aviso prévio trabalhado</t>
  </si>
  <si>
    <r>
      <rPr>
        <b/>
        <sz val="11"/>
        <rFont val="Cambria"/>
        <family val="1"/>
        <scheme val="major"/>
      </rPr>
      <t>COM EFEITOS A PARTIR DE</t>
    </r>
    <r>
      <rPr>
        <b/>
        <sz val="11"/>
        <color rgb="FFFF0000"/>
        <rFont val="Cambria"/>
        <family val="1"/>
        <scheme val="major"/>
      </rPr>
      <t xml:space="preserve"> 1º/08/2021</t>
    </r>
  </si>
  <si>
    <t>Valor inicial(R$)</t>
  </si>
  <si>
    <t>Valor I T.A. Repactuação 1º/1/2021</t>
  </si>
  <si>
    <t>Valor I T.A. Redução % aviso prévio trabalhado 1º/8/2021</t>
  </si>
  <si>
    <t>Valor inicial (R$)</t>
  </si>
  <si>
    <t>Dados para composição dos custos referentes a mão de obra - I T.A.</t>
  </si>
  <si>
    <t xml:space="preserve">[(1 ÷ 11) x 100] </t>
  </si>
  <si>
    <t>( 0,3637 x 0,0194 ) x 100</t>
  </si>
  <si>
    <t>( 0,3629 x 0,0194 ) x 100</t>
  </si>
  <si>
    <t>- Valor Total Mensal: R$ 176.680,44 (cento e setenta e seis mil, seiscentos e oitenta reais e quarenta e quatro centavos)</t>
  </si>
  <si>
    <t>- Valor Total para 20 (vinte) meses: R$ 3.533.608,80 (três milhões, quinhentos e trinta e três mil, seiscentos e oito reais e oitenta centavos)</t>
  </si>
  <si>
    <t>RAT x FAP = (3% x 0,8298) = 2,49%</t>
  </si>
  <si>
    <t>Desconto do Auxílio Alimentação-Cláusula 12ª §2º da CCT</t>
  </si>
  <si>
    <t>Auxílio Transporte-Cláusula 13ª da CCT</t>
  </si>
  <si>
    <t>Auxílio Alimentação-Cláusula 12ª da CCT</t>
  </si>
  <si>
    <t>Auxílio Saúde Cláusula 14ª da CCT (pago por ressarcimento)</t>
  </si>
  <si>
    <t>Fundo Ind.Aposent.Ou Doença-Cláusula 17ª da CCT</t>
  </si>
  <si>
    <t>Seguro de Vida-Cláusula 16ª da CCT</t>
  </si>
  <si>
    <t>Fundo Assistencial e Odontológico-Cláusula 15ª da CCT</t>
  </si>
  <si>
    <t>Supervisor Diurno 5x2</t>
  </si>
  <si>
    <t>Supervisor, 44 horas semanais, sendo 8h48 trabalhadas de 2ª a 6ª feira, entre 07h e 21h</t>
  </si>
  <si>
    <t>RESUMO DO II TERMO ADITIVO AO CONTRATO N. 015/2020-CJF</t>
  </si>
  <si>
    <t>Cálculo do percentual de acréscimo - Art. 65, §1º, da Lei 8.666/1993</t>
  </si>
  <si>
    <t>Valor II T.A. Acréscimo/Prorrogação 1º/4/2022</t>
  </si>
  <si>
    <t>12º mês</t>
  </si>
  <si>
    <t>18º mês</t>
  </si>
  <si>
    <t>Soma para os 20 meses</t>
  </si>
  <si>
    <t>Soma para 20 meses</t>
  </si>
  <si>
    <t>Quantidade fornecida com acréscimo</t>
  </si>
  <si>
    <t>CUSTO DO CONTRATO PARA UM PROFISSIONAL (20 MESES)</t>
  </si>
  <si>
    <t>Valor inicial atualizado com a repactuação</t>
  </si>
  <si>
    <t>Valor inicial atualizado com a repactuação acrescido</t>
  </si>
  <si>
    <t>Supervisor de Vigilância</t>
  </si>
  <si>
    <t>ANEXO I - Segundo Termo Aditivo - A partir de 1º/04/2022</t>
  </si>
  <si>
    <t>Guarita NE - ALFA 4</t>
  </si>
  <si>
    <t>Prorrogação e Acréscimo</t>
  </si>
  <si>
    <r>
      <rPr>
        <b/>
        <sz val="11"/>
        <rFont val="Cambria"/>
        <family val="1"/>
        <scheme val="major"/>
      </rPr>
      <t>Nota 4:</t>
    </r>
    <r>
      <rPr>
        <sz val="11"/>
        <rFont val="Cambria"/>
        <family val="1"/>
        <scheme val="major"/>
      </rPr>
      <t xml:space="preserve"> Esses percentuais incidem sobre o Módulo 1, o Submódulo 2.1.</t>
    </r>
  </si>
  <si>
    <r>
      <rPr>
        <b/>
        <sz val="11"/>
        <rFont val="Cambria"/>
        <family val="1"/>
        <scheme val="major"/>
      </rPr>
      <t>Base de Cálculo:</t>
    </r>
    <r>
      <rPr>
        <sz val="11"/>
        <rFont val="Cambria"/>
        <family val="1"/>
        <scheme val="major"/>
      </rPr>
      <t xml:space="preserve"> Módulo 1 + Submódulo 2.1</t>
    </r>
  </si>
  <si>
    <r>
      <t>Nota 4:</t>
    </r>
    <r>
      <rPr>
        <sz val="11"/>
        <rFont val="Cambria"/>
        <family val="1"/>
        <scheme val="major"/>
      </rPr>
      <t xml:space="preserve"> Esses percentuais incidem sobre o Módulo 1, o Submódulo 2.1.</t>
    </r>
  </si>
  <si>
    <t>COM EFEITOS A PARTIR DE 1º/04/2022</t>
  </si>
  <si>
    <t>Munições para revolver calibre 38, sendo 36 (trinta e seis) para o carregamento total dos 06 (seis) revolveres, 05 (cinco) munições em cada baleiros totalizando 30 munições.</t>
  </si>
  <si>
    <t>Supervisor, 44 horas semanais, sendo 8h48 trabalhadas de 2ª a 6ª feira, entre das 07h e 21h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</si>
</sst>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.00;[Red]\-&quot;R$&quot;#,##0.00"/>
    <numFmt numFmtId="165" formatCode="_(&quot;R$&quot;* #,##0.00_);_(&quot;R$&quot;* \(#,##0.00\);_(&quot;R$&quot;* &quot;-&quot;??_);_(@_)"/>
    <numFmt numFmtId="166" formatCode="_(* #,##0.00_);_(* \(#,##0.00\);_(* &quot;-&quot;??_);_(@_)"/>
    <numFmt numFmtId="167" formatCode="_(&quot;R$ &quot;* #,##0.00_);_(&quot;R$ &quot;* \(#,##0.00\);_(&quot;R$ &quot;* &quot;-&quot;??_);_(@_)"/>
    <numFmt numFmtId="168" formatCode="&quot;R$ &quot;#,##0.00"/>
    <numFmt numFmtId="169" formatCode="00"/>
    <numFmt numFmtId="170" formatCode="[$-F800]dddd\,\ mmmm\ dd\,\ yyyy"/>
    <numFmt numFmtId="171" formatCode="_-[$R$-416]\ * #,##0.00_-;\-[$R$-416]\ * #,##0.00_-;_-[$R$-416]\ * &quot;-&quot;??_-;_-@_-"/>
    <numFmt numFmtId="172" formatCode="[$-416]mmm\-yy;@"/>
    <numFmt numFmtId="173" formatCode="#,##0_ ;\-#,##0\ "/>
    <numFmt numFmtId="174" formatCode="00.00"/>
    <numFmt numFmtId="175" formatCode="[$-416]d\-mmm;@"/>
    <numFmt numFmtId="176" formatCode="[$-416]General"/>
    <numFmt numFmtId="177" formatCode="000000"/>
    <numFmt numFmtId="178" formatCode="[$R$-416]&quot; &quot;#,##0.00;[Red]&quot;-&quot;[$R$-416]&quot; &quot;#,##0.00"/>
    <numFmt numFmtId="179" formatCode="0.0000%"/>
    <numFmt numFmtId="180" formatCode="0.000%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/>
      <sz val="14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sz val="10"/>
      <name val="Cambria"/>
      <family val="1"/>
      <scheme val="major"/>
    </font>
    <font>
      <sz val="11"/>
      <name val="Cambria"/>
      <family val="1"/>
      <scheme val="major"/>
    </font>
    <font>
      <b/>
      <u/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indexed="8"/>
      <name val="Cambria"/>
      <family val="1"/>
      <scheme val="major"/>
    </font>
    <font>
      <sz val="11"/>
      <color indexed="8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theme="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sz val="11"/>
      <color rgb="FFFF0000"/>
      <name val="Cambria"/>
      <family val="1"/>
      <scheme val="major"/>
    </font>
    <font>
      <sz val="8"/>
      <name val="Cambria"/>
      <family val="1"/>
      <scheme val="major"/>
    </font>
    <font>
      <sz val="11"/>
      <color indexed="12"/>
      <name val="Cambria"/>
      <family val="1"/>
      <scheme val="major"/>
    </font>
    <font>
      <u/>
      <sz val="11"/>
      <name val="Cambria"/>
      <family val="1"/>
      <scheme val="major"/>
    </font>
    <font>
      <u/>
      <sz val="10"/>
      <color theme="10"/>
      <name val="Arial"/>
      <family val="2"/>
    </font>
    <font>
      <b/>
      <sz val="12"/>
      <name val="Cambria"/>
      <family val="1"/>
      <scheme val="major"/>
    </font>
    <font>
      <b/>
      <u/>
      <sz val="11"/>
      <color rgb="FFFF0000"/>
      <name val="Cambria"/>
      <family val="1"/>
      <scheme val="major"/>
    </font>
    <font>
      <i/>
      <sz val="11"/>
      <name val="Cambria"/>
      <family val="1"/>
      <scheme val="major"/>
    </font>
    <font>
      <u/>
      <sz val="11"/>
      <color theme="10"/>
      <name val="Calibri"/>
      <family val="2"/>
    </font>
    <font>
      <b/>
      <i/>
      <sz val="16"/>
      <color rgb="FF000000"/>
      <name val="Calibri"/>
      <family val="2"/>
    </font>
    <font>
      <sz val="12"/>
      <color indexed="8"/>
      <name val="Verdana"/>
      <family val="2"/>
    </font>
    <font>
      <sz val="11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4"/>
      <color rgb="FFFF0000"/>
      <name val="Arial Narrow"/>
      <family val="2"/>
    </font>
    <font>
      <b/>
      <i/>
      <sz val="11"/>
      <name val="Cambria"/>
      <family val="1"/>
      <scheme val="major"/>
    </font>
    <font>
      <sz val="10"/>
      <name val="Arial"/>
      <family val="2"/>
    </font>
    <font>
      <sz val="11"/>
      <name val="Cambria"/>
      <family val="1"/>
    </font>
    <font>
      <i/>
      <sz val="14"/>
      <name val="Arial Narrow"/>
      <family val="2"/>
    </font>
    <font>
      <i/>
      <sz val="10"/>
      <name val="Arial Narrow"/>
      <family val="2"/>
    </font>
    <font>
      <sz val="11"/>
      <name val="Calibri"/>
      <family val="2"/>
    </font>
    <font>
      <u/>
      <sz val="14"/>
      <name val="Arial Narrow"/>
      <family val="2"/>
    </font>
    <font>
      <u/>
      <sz val="10"/>
      <name val="Arial"/>
      <family val="2"/>
    </font>
    <font>
      <sz val="11"/>
      <name val="Times New Roman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50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7" fontId="10" fillId="0" borderId="0" applyFont="0" applyFill="0" applyBorder="0" applyAlignment="0" applyProtection="0"/>
    <xf numFmtId="167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0" borderId="0"/>
    <xf numFmtId="0" fontId="24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166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0" borderId="0"/>
    <xf numFmtId="0" fontId="9" fillId="0" borderId="0"/>
    <xf numFmtId="0" fontId="39" fillId="0" borderId="0" applyNumberForma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0" fontId="7" fillId="0" borderId="0"/>
    <xf numFmtId="0" fontId="7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" fillId="0" borderId="0"/>
    <xf numFmtId="0" fontId="6" fillId="0" borderId="0"/>
    <xf numFmtId="0" fontId="10" fillId="0" borderId="0"/>
    <xf numFmtId="167" fontId="6" fillId="0" borderId="0" applyFont="0" applyFill="0" applyBorder="0" applyAlignment="0" applyProtection="0"/>
    <xf numFmtId="0" fontId="10" fillId="0" borderId="0"/>
    <xf numFmtId="0" fontId="4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7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3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44" fillId="0" borderId="0" applyNumberFormat="0" applyBorder="0" applyProtection="0">
      <alignment horizontal="center"/>
    </xf>
    <xf numFmtId="176" fontId="44" fillId="0" borderId="0">
      <alignment horizontal="center"/>
    </xf>
    <xf numFmtId="176" fontId="44" fillId="0" borderId="0" applyNumberFormat="0" applyBorder="0" applyProtection="0">
      <alignment horizontal="center" textRotation="90"/>
    </xf>
    <xf numFmtId="176" fontId="44" fillId="0" borderId="0">
      <alignment horizontal="center" textRotation="90"/>
    </xf>
    <xf numFmtId="4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3" fillId="0" borderId="0"/>
    <xf numFmtId="0" fontId="45" fillId="0" borderId="0" applyNumberFormat="0" applyFill="0" applyBorder="0" applyProtection="0">
      <alignment vertical="top" wrapText="1"/>
    </xf>
    <xf numFmtId="0" fontId="45" fillId="0" borderId="0" applyNumberFormat="0" applyFill="0" applyBorder="0" applyProtection="0">
      <alignment vertical="top" wrapText="1"/>
    </xf>
    <xf numFmtId="0" fontId="45" fillId="0" borderId="0" applyNumberFormat="0" applyFill="0" applyBorder="0" applyProtection="0">
      <alignment vertical="top" wrapText="1"/>
    </xf>
    <xf numFmtId="0" fontId="45" fillId="0" borderId="0" applyNumberFormat="0" applyFill="0" applyBorder="0" applyProtection="0">
      <alignment vertical="top" wrapText="1"/>
    </xf>
    <xf numFmtId="0" fontId="45" fillId="0" borderId="0" applyNumberFormat="0" applyFill="0" applyBorder="0" applyProtection="0">
      <alignment vertical="top" wrapText="1"/>
    </xf>
    <xf numFmtId="176" fontId="46" fillId="0" borderId="0"/>
    <xf numFmtId="0" fontId="13" fillId="0" borderId="0"/>
    <xf numFmtId="0" fontId="3" fillId="0" borderId="0"/>
    <xf numFmtId="0" fontId="3" fillId="0" borderId="0"/>
    <xf numFmtId="0" fontId="3" fillId="0" borderId="0"/>
    <xf numFmtId="177" fontId="46" fillId="0" borderId="0"/>
    <xf numFmtId="177" fontId="46" fillId="0" borderId="0"/>
    <xf numFmtId="0" fontId="10" fillId="0" borderId="0"/>
    <xf numFmtId="9" fontId="10" fillId="0" borderId="0" applyFont="0" applyFill="0" applyBorder="0" applyAlignment="0" applyProtection="0"/>
    <xf numFmtId="176" fontId="47" fillId="0" borderId="0" applyNumberFormat="0" applyBorder="0" applyProtection="0"/>
    <xf numFmtId="176" fontId="47" fillId="0" borderId="0"/>
    <xf numFmtId="178" fontId="47" fillId="0" borderId="0" applyBorder="0" applyProtection="0"/>
    <xf numFmtId="178" fontId="47" fillId="0" borderId="0"/>
    <xf numFmtId="166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3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45" fillId="0" borderId="0" applyNumberFormat="0" applyFill="0" applyBorder="0" applyProtection="0">
      <alignment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46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5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7" fontId="5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5">
    <xf numFmtId="0" fontId="0" fillId="0" borderId="0" xfId="0"/>
    <xf numFmtId="0" fontId="28" fillId="2" borderId="2" xfId="15" applyFont="1" applyFill="1" applyBorder="1" applyAlignment="1">
      <alignment horizontal="center" vertical="center" wrapText="1"/>
    </xf>
    <xf numFmtId="3" fontId="26" fillId="0" borderId="2" xfId="28" applyNumberFormat="1" applyFont="1" applyBorder="1" applyAlignment="1">
      <alignment horizontal="center" vertical="center"/>
    </xf>
    <xf numFmtId="44" fontId="26" fillId="0" borderId="2" xfId="15" applyNumberFormat="1" applyFont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169" fontId="30" fillId="0" borderId="2" xfId="0" applyNumberFormat="1" applyFont="1" applyBorder="1" applyAlignment="1">
      <alignment horizontal="center" vertical="center"/>
    </xf>
    <xf numFmtId="169" fontId="26" fillId="0" borderId="2" xfId="0" applyNumberFormat="1" applyFont="1" applyBorder="1" applyAlignment="1">
      <alignment horizontal="center" vertical="center"/>
    </xf>
    <xf numFmtId="169" fontId="29" fillId="2" borderId="2" xfId="0" applyNumberFormat="1" applyFont="1" applyFill="1" applyBorder="1" applyAlignment="1">
      <alignment horizontal="center" vertical="center"/>
    </xf>
    <xf numFmtId="165" fontId="26" fillId="0" borderId="2" xfId="6" applyFont="1" applyBorder="1" applyAlignment="1">
      <alignment vertical="center"/>
    </xf>
    <xf numFmtId="165" fontId="26" fillId="0" borderId="2" xfId="15" applyNumberFormat="1" applyFont="1" applyBorder="1" applyAlignment="1">
      <alignment vertical="center"/>
    </xf>
    <xf numFmtId="0" fontId="26" fillId="0" borderId="0" xfId="15" applyFont="1" applyAlignment="1">
      <alignment horizontal="center" vertical="center"/>
    </xf>
    <xf numFmtId="0" fontId="26" fillId="0" borderId="0" xfId="15" applyFont="1" applyBorder="1" applyAlignment="1">
      <alignment horizontal="center" vertical="center"/>
    </xf>
    <xf numFmtId="0" fontId="26" fillId="0" borderId="0" xfId="15" applyFont="1" applyBorder="1" applyAlignment="1">
      <alignment horizontal="center" vertical="center" wrapText="1"/>
    </xf>
    <xf numFmtId="3" fontId="26" fillId="0" borderId="0" xfId="28" applyNumberFormat="1" applyFont="1" applyBorder="1" applyAlignment="1">
      <alignment horizontal="center" vertical="center"/>
    </xf>
    <xf numFmtId="165" fontId="26" fillId="0" borderId="0" xfId="6" applyFont="1" applyBorder="1" applyAlignment="1">
      <alignment horizontal="center" vertical="center" wrapText="1"/>
    </xf>
    <xf numFmtId="44" fontId="26" fillId="0" borderId="0" xfId="15" applyNumberFormat="1" applyFont="1" applyBorder="1" applyAlignment="1">
      <alignment horizontal="center" vertical="center" wrapText="1"/>
    </xf>
    <xf numFmtId="0" fontId="26" fillId="0" borderId="0" xfId="15" applyFont="1" applyFill="1" applyAlignment="1">
      <alignment horizontal="center" vertical="center"/>
    </xf>
    <xf numFmtId="0" fontId="26" fillId="0" borderId="0" xfId="15" applyFont="1" applyFill="1" applyAlignment="1">
      <alignment vertical="center"/>
    </xf>
    <xf numFmtId="0" fontId="26" fillId="0" borderId="0" xfId="15" applyFont="1" applyAlignment="1">
      <alignment vertical="center"/>
    </xf>
    <xf numFmtId="0" fontId="28" fillId="0" borderId="0" xfId="15" applyFont="1" applyFill="1" applyAlignment="1">
      <alignment horizontal="center" vertical="center"/>
    </xf>
    <xf numFmtId="0" fontId="27" fillId="0" borderId="0" xfId="8" applyFont="1" applyFill="1" applyAlignment="1">
      <alignment vertical="center" wrapText="1"/>
    </xf>
    <xf numFmtId="169" fontId="26" fillId="0" borderId="2" xfId="15" applyNumberFormat="1" applyFont="1" applyFill="1" applyBorder="1" applyAlignment="1">
      <alignment horizontal="center" vertical="center"/>
    </xf>
    <xf numFmtId="0" fontId="26" fillId="0" borderId="2" xfId="9" applyFont="1" applyFill="1" applyBorder="1" applyAlignment="1">
      <alignment vertical="center"/>
    </xf>
    <xf numFmtId="169" fontId="28" fillId="0" borderId="0" xfId="15" applyNumberFormat="1" applyFont="1" applyFill="1" applyBorder="1" applyAlignment="1">
      <alignment horizontal="center" vertical="center"/>
    </xf>
    <xf numFmtId="0" fontId="26" fillId="0" borderId="2" xfId="15" applyFont="1" applyFill="1" applyBorder="1" applyAlignment="1">
      <alignment vertical="center"/>
    </xf>
    <xf numFmtId="0" fontId="26" fillId="0" borderId="2" xfId="15" applyFont="1" applyFill="1" applyBorder="1" applyAlignment="1">
      <alignment horizontal="justify" vertical="center" wrapText="1"/>
    </xf>
    <xf numFmtId="0" fontId="26" fillId="0" borderId="2" xfId="9" applyFont="1" applyFill="1" applyBorder="1" applyAlignment="1">
      <alignment horizontal="center" vertical="center"/>
    </xf>
    <xf numFmtId="0" fontId="26" fillId="0" borderId="2" xfId="9" applyFont="1" applyFill="1" applyBorder="1" applyAlignment="1">
      <alignment horizontal="justify" vertical="center"/>
    </xf>
    <xf numFmtId="0" fontId="26" fillId="0" borderId="0" xfId="8" applyFont="1" applyAlignment="1">
      <alignment vertical="center"/>
    </xf>
    <xf numFmtId="2" fontId="28" fillId="0" borderId="0" xfId="8" applyNumberFormat="1" applyFont="1" applyFill="1" applyBorder="1" applyAlignment="1">
      <alignment vertical="center"/>
    </xf>
    <xf numFmtId="165" fontId="26" fillId="0" borderId="0" xfId="6" applyFont="1" applyFill="1" applyBorder="1" applyAlignment="1">
      <alignment vertical="center"/>
    </xf>
    <xf numFmtId="10" fontId="26" fillId="0" borderId="0" xfId="19" applyNumberFormat="1" applyFont="1" applyFill="1" applyBorder="1" applyAlignment="1">
      <alignment vertical="center"/>
    </xf>
    <xf numFmtId="171" fontId="26" fillId="0" borderId="0" xfId="6" applyNumberFormat="1" applyFont="1" applyFill="1" applyBorder="1" applyAlignment="1">
      <alignment vertical="center"/>
    </xf>
    <xf numFmtId="0" fontId="28" fillId="0" borderId="0" xfId="8" applyFont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8" applyFont="1" applyFill="1" applyBorder="1" applyAlignment="1">
      <alignment vertical="center"/>
    </xf>
    <xf numFmtId="0" fontId="16" fillId="0" borderId="0" xfId="10" applyFont="1" applyAlignment="1">
      <alignment vertical="center"/>
    </xf>
    <xf numFmtId="0" fontId="17" fillId="0" borderId="0" xfId="10" applyFont="1" applyAlignment="1">
      <alignment vertical="center"/>
    </xf>
    <xf numFmtId="0" fontId="18" fillId="0" borderId="0" xfId="10" applyFont="1"/>
    <xf numFmtId="0" fontId="18" fillId="0" borderId="0" xfId="10" applyFont="1" applyBorder="1"/>
    <xf numFmtId="0" fontId="19" fillId="0" borderId="0" xfId="10" applyFont="1"/>
    <xf numFmtId="0" fontId="16" fillId="0" borderId="0" xfId="10" applyFont="1" applyAlignment="1">
      <alignment horizontal="left" vertical="center"/>
    </xf>
    <xf numFmtId="0" fontId="17" fillId="0" borderId="0" xfId="10" applyFont="1" applyAlignment="1">
      <alignment horizontal="left" vertical="center"/>
    </xf>
    <xf numFmtId="0" fontId="20" fillId="0" borderId="0" xfId="10" applyFont="1" applyAlignment="1">
      <alignment vertical="center"/>
    </xf>
    <xf numFmtId="0" fontId="17" fillId="0" borderId="0" xfId="10" applyFont="1" applyAlignment="1">
      <alignment horizontal="justify" vertical="center"/>
    </xf>
    <xf numFmtId="0" fontId="16" fillId="2" borderId="45" xfId="10" applyFont="1" applyFill="1" applyBorder="1" applyAlignment="1">
      <alignment horizontal="center" vertical="center" wrapText="1"/>
    </xf>
    <xf numFmtId="0" fontId="21" fillId="0" borderId="0" xfId="10" applyFont="1" applyFill="1" applyAlignment="1">
      <alignment horizontal="center" vertical="center"/>
    </xf>
    <xf numFmtId="165" fontId="21" fillId="0" borderId="0" xfId="10" applyNumberFormat="1" applyFont="1" applyFill="1" applyAlignment="1">
      <alignment horizontal="center" vertical="center"/>
    </xf>
    <xf numFmtId="0" fontId="16" fillId="2" borderId="3" xfId="8" quotePrefix="1" applyFont="1" applyFill="1" applyBorder="1" applyAlignment="1">
      <alignment horizontal="center" vertical="center" wrapText="1"/>
    </xf>
    <xf numFmtId="0" fontId="16" fillId="2" borderId="3" xfId="10" quotePrefix="1" applyFont="1" applyFill="1" applyBorder="1" applyAlignment="1">
      <alignment horizontal="center" vertical="center"/>
    </xf>
    <xf numFmtId="167" fontId="17" fillId="0" borderId="2" xfId="4" applyFont="1" applyFill="1" applyBorder="1" applyAlignment="1">
      <alignment horizontal="center" vertical="center"/>
    </xf>
    <xf numFmtId="169" fontId="17" fillId="0" borderId="2" xfId="10" applyNumberFormat="1" applyFont="1" applyFill="1" applyBorder="1" applyAlignment="1">
      <alignment horizontal="center" vertical="center"/>
    </xf>
    <xf numFmtId="43" fontId="22" fillId="0" borderId="0" xfId="10" applyNumberFormat="1" applyFont="1" applyFill="1" applyAlignment="1">
      <alignment vertical="center"/>
    </xf>
    <xf numFmtId="165" fontId="22" fillId="0" borderId="0" xfId="10" applyNumberFormat="1" applyFont="1" applyFill="1" applyAlignment="1">
      <alignment vertical="center"/>
    </xf>
    <xf numFmtId="0" fontId="22" fillId="0" borderId="0" xfId="10" applyFont="1" applyFill="1" applyAlignment="1">
      <alignment vertical="center"/>
    </xf>
    <xf numFmtId="167" fontId="16" fillId="2" borderId="2" xfId="10" quotePrefix="1" applyNumberFormat="1" applyFont="1" applyFill="1" applyBorder="1" applyAlignment="1">
      <alignment horizontal="center" vertical="center"/>
    </xf>
    <xf numFmtId="169" fontId="16" fillId="2" borderId="2" xfId="10" applyNumberFormat="1" applyFont="1" applyFill="1" applyBorder="1" applyAlignment="1">
      <alignment horizontal="center" vertical="center"/>
    </xf>
    <xf numFmtId="0" fontId="18" fillId="0" borderId="0" xfId="10" applyFont="1" applyAlignment="1">
      <alignment vertical="center"/>
    </xf>
    <xf numFmtId="0" fontId="23" fillId="0" borderId="0" xfId="10" applyFont="1" applyAlignment="1">
      <alignment vertical="center"/>
    </xf>
    <xf numFmtId="0" fontId="17" fillId="0" borderId="0" xfId="10" applyFont="1"/>
    <xf numFmtId="0" fontId="18" fillId="0" borderId="0" xfId="10" applyFont="1" applyAlignment="1">
      <alignment horizontal="justify" vertical="justify"/>
    </xf>
    <xf numFmtId="0" fontId="17" fillId="0" borderId="0" xfId="10" applyFont="1" applyAlignment="1"/>
    <xf numFmtId="0" fontId="17" fillId="0" borderId="0" xfId="10" applyFont="1" applyAlignment="1">
      <alignment horizontal="right" vertical="center"/>
    </xf>
    <xf numFmtId="14" fontId="17" fillId="0" borderId="0" xfId="10" applyNumberFormat="1" applyFont="1" applyAlignment="1">
      <alignment vertical="center"/>
    </xf>
    <xf numFmtId="0" fontId="3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26" fillId="0" borderId="46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 applyProtection="1">
      <alignment vertical="center" wrapText="1"/>
      <protection locked="0"/>
    </xf>
    <xf numFmtId="14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20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>
      <alignment vertical="center" wrapText="1"/>
    </xf>
    <xf numFmtId="0" fontId="26" fillId="0" borderId="0" xfId="0" applyFont="1" applyFill="1" applyAlignment="1">
      <alignment horizontal="center" vertical="center" wrapText="1"/>
    </xf>
    <xf numFmtId="10" fontId="26" fillId="0" borderId="0" xfId="0" applyNumberFormat="1" applyFont="1" applyFill="1" applyBorder="1" applyAlignment="1">
      <alignment horizontal="center" vertical="center" wrapText="1"/>
    </xf>
    <xf numFmtId="167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justify" vertical="center"/>
    </xf>
    <xf numFmtId="0" fontId="26" fillId="0" borderId="0" xfId="0" applyFont="1" applyFill="1" applyBorder="1" applyAlignment="1">
      <alignment vertical="center"/>
    </xf>
    <xf numFmtId="167" fontId="26" fillId="0" borderId="0" xfId="0" applyNumberFormat="1" applyFont="1" applyFill="1" applyBorder="1" applyAlignment="1">
      <alignment horizontal="center" vertical="center"/>
    </xf>
    <xf numFmtId="168" fontId="26" fillId="0" borderId="0" xfId="0" applyNumberFormat="1" applyFont="1" applyFill="1" applyAlignment="1">
      <alignment horizontal="center" vertical="center" wrapText="1"/>
    </xf>
    <xf numFmtId="0" fontId="26" fillId="0" borderId="0" xfId="14" applyFont="1" applyAlignment="1">
      <alignment horizontal="center" vertical="center" wrapText="1"/>
    </xf>
    <xf numFmtId="0" fontId="38" fillId="0" borderId="0" xfId="14" applyFont="1" applyAlignment="1">
      <alignment vertical="center"/>
    </xf>
    <xf numFmtId="0" fontId="38" fillId="0" borderId="0" xfId="14" applyFont="1" applyFill="1" applyAlignment="1">
      <alignment vertical="center"/>
    </xf>
    <xf numFmtId="0" fontId="38" fillId="0" borderId="0" xfId="14" applyFont="1" applyFill="1" applyAlignment="1">
      <alignment horizontal="center" vertical="center"/>
    </xf>
    <xf numFmtId="0" fontId="26" fillId="0" borderId="0" xfId="14" applyFont="1" applyAlignment="1">
      <alignment vertical="center"/>
    </xf>
    <xf numFmtId="0" fontId="27" fillId="0" borderId="0" xfId="14" applyFont="1" applyFill="1" applyAlignment="1">
      <alignment horizontal="center" vertical="center" wrapText="1"/>
    </xf>
    <xf numFmtId="0" fontId="28" fillId="0" borderId="2" xfId="14" applyFont="1" applyFill="1" applyBorder="1" applyAlignment="1">
      <alignment horizontal="center" vertical="center" wrapText="1"/>
    </xf>
    <xf numFmtId="0" fontId="26" fillId="0" borderId="2" xfId="14" applyFont="1" applyFill="1" applyBorder="1" applyAlignment="1">
      <alignment horizontal="center" vertical="center" wrapText="1"/>
    </xf>
    <xf numFmtId="1" fontId="26" fillId="0" borderId="2" xfId="6" applyNumberFormat="1" applyFont="1" applyFill="1" applyBorder="1" applyAlignment="1">
      <alignment horizontal="center" vertical="center" wrapText="1"/>
    </xf>
    <xf numFmtId="169" fontId="26" fillId="0" borderId="2" xfId="6" applyNumberFormat="1" applyFont="1" applyFill="1" applyBorder="1" applyAlignment="1">
      <alignment horizontal="center" vertical="center" wrapText="1"/>
    </xf>
    <xf numFmtId="165" fontId="26" fillId="0" borderId="2" xfId="6" applyFont="1" applyFill="1" applyBorder="1" applyAlignment="1">
      <alignment horizontal="center" vertical="center" wrapText="1"/>
    </xf>
    <xf numFmtId="0" fontId="28" fillId="0" borderId="0" xfId="14" applyFont="1" applyFill="1" applyBorder="1" applyAlignment="1">
      <alignment horizontal="left" vertical="center" wrapText="1"/>
    </xf>
    <xf numFmtId="0" fontId="28" fillId="0" borderId="0" xfId="14" applyFont="1" applyAlignment="1">
      <alignment horizontal="left" vertical="center"/>
    </xf>
    <xf numFmtId="0" fontId="26" fillId="0" borderId="0" xfId="14" applyFont="1" applyFill="1" applyAlignment="1">
      <alignment vertical="center" wrapText="1"/>
    </xf>
    <xf numFmtId="0" fontId="26" fillId="0" borderId="0" xfId="14" applyFont="1" applyFill="1" applyAlignment="1">
      <alignment horizontal="center" vertical="center" wrapText="1"/>
    </xf>
    <xf numFmtId="0" fontId="26" fillId="0" borderId="0" xfId="14" applyFont="1" applyAlignment="1">
      <alignment vertical="center" wrapText="1"/>
    </xf>
    <xf numFmtId="0" fontId="26" fillId="0" borderId="0" xfId="14" applyFont="1" applyFill="1" applyAlignment="1">
      <alignment vertical="center"/>
    </xf>
    <xf numFmtId="0" fontId="26" fillId="0" borderId="0" xfId="14" applyFont="1" applyFill="1" applyAlignment="1">
      <alignment horizontal="center" vertical="center"/>
    </xf>
    <xf numFmtId="0" fontId="26" fillId="0" borderId="0" xfId="14" applyFont="1" applyBorder="1" applyAlignment="1">
      <alignment vertical="center"/>
    </xf>
    <xf numFmtId="0" fontId="27" fillId="0" borderId="0" xfId="8" applyFont="1" applyFill="1" applyBorder="1" applyAlignment="1">
      <alignment horizontal="center" vertical="center"/>
    </xf>
    <xf numFmtId="167" fontId="26" fillId="0" borderId="2" xfId="4" applyFont="1" applyFill="1" applyBorder="1" applyAlignment="1">
      <alignment horizontal="center" vertical="center"/>
    </xf>
    <xf numFmtId="169" fontId="26" fillId="0" borderId="2" xfId="8" applyNumberFormat="1" applyFont="1" applyFill="1" applyBorder="1" applyAlignment="1">
      <alignment horizontal="center" vertical="center"/>
    </xf>
    <xf numFmtId="165" fontId="26" fillId="0" borderId="2" xfId="6" applyFont="1" applyFill="1" applyBorder="1" applyAlignment="1">
      <alignment horizontal="center" vertical="center"/>
    </xf>
    <xf numFmtId="169" fontId="28" fillId="2" borderId="2" xfId="8" quotePrefix="1" applyNumberFormat="1" applyFont="1" applyFill="1" applyBorder="1" applyAlignment="1">
      <alignment horizontal="center" vertical="center"/>
    </xf>
    <xf numFmtId="169" fontId="28" fillId="2" borderId="2" xfId="8" applyNumberFormat="1" applyFont="1" applyFill="1" applyBorder="1" applyAlignment="1">
      <alignment horizontal="center" vertical="center"/>
    </xf>
    <xf numFmtId="165" fontId="28" fillId="2" borderId="2" xfId="8" quotePrefix="1" applyNumberFormat="1" applyFont="1" applyFill="1" applyBorder="1" applyAlignment="1">
      <alignment horizontal="center" vertical="center"/>
    </xf>
    <xf numFmtId="169" fontId="17" fillId="0" borderId="45" xfId="1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8" applyFont="1" applyFill="1" applyBorder="1" applyAlignment="1">
      <alignment vertical="center"/>
    </xf>
    <xf numFmtId="165" fontId="28" fillId="0" borderId="0" xfId="6" applyFont="1" applyFill="1" applyBorder="1" applyAlignment="1">
      <alignment vertical="center"/>
    </xf>
    <xf numFmtId="0" fontId="26" fillId="0" borderId="39" xfId="8" applyFont="1" applyFill="1" applyBorder="1" applyAlignment="1">
      <alignment horizontal="left" vertical="center" wrapText="1"/>
    </xf>
    <xf numFmtId="169" fontId="26" fillId="0" borderId="3" xfId="6" applyNumberFormat="1" applyFont="1" applyFill="1" applyBorder="1" applyAlignment="1">
      <alignment horizontal="center" vertical="center" wrapText="1"/>
    </xf>
    <xf numFmtId="165" fontId="26" fillId="0" borderId="49" xfId="6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6" fillId="0" borderId="40" xfId="9" applyFont="1" applyFill="1" applyBorder="1" applyAlignment="1">
      <alignment horizontal="center" vertical="center"/>
    </xf>
    <xf numFmtId="0" fontId="26" fillId="0" borderId="0" xfId="9" applyFont="1" applyFill="1" applyBorder="1" applyAlignment="1">
      <alignment vertical="center"/>
    </xf>
    <xf numFmtId="10" fontId="26" fillId="0" borderId="0" xfId="0" applyNumberFormat="1" applyFont="1" applyFill="1" applyBorder="1" applyAlignment="1">
      <alignment vertical="center"/>
    </xf>
    <xf numFmtId="0" fontId="28" fillId="0" borderId="0" xfId="7" applyNumberFormat="1" applyFont="1" applyFill="1" applyBorder="1" applyAlignment="1">
      <alignment vertical="center"/>
    </xf>
    <xf numFmtId="0" fontId="26" fillId="0" borderId="4" xfId="0" applyFont="1" applyFill="1" applyBorder="1" applyAlignment="1">
      <alignment horizontal="left" vertical="center"/>
    </xf>
    <xf numFmtId="0" fontId="26" fillId="0" borderId="4" xfId="0" applyFont="1" applyFill="1" applyBorder="1" applyAlignment="1">
      <alignment vertical="center"/>
    </xf>
    <xf numFmtId="0" fontId="26" fillId="0" borderId="4" xfId="9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8" fillId="0" borderId="17" xfId="0" applyFont="1" applyFill="1" applyBorder="1" applyAlignment="1">
      <alignment horizontal="center" vertical="center"/>
    </xf>
    <xf numFmtId="169" fontId="28" fillId="0" borderId="17" xfId="0" applyNumberFormat="1" applyFont="1" applyFill="1" applyBorder="1" applyAlignment="1">
      <alignment horizontal="center" vertical="center"/>
    </xf>
    <xf numFmtId="169" fontId="28" fillId="0" borderId="0" xfId="0" applyNumberFormat="1" applyFont="1" applyFill="1" applyBorder="1" applyAlignment="1">
      <alignment horizontal="center" vertical="center"/>
    </xf>
    <xf numFmtId="2" fontId="28" fillId="0" borderId="17" xfId="0" applyNumberFormat="1" applyFont="1" applyFill="1" applyBorder="1" applyAlignment="1">
      <alignment vertical="center"/>
    </xf>
    <xf numFmtId="2" fontId="28" fillId="0" borderId="0" xfId="0" applyNumberFormat="1" applyFont="1" applyFill="1" applyBorder="1" applyAlignment="1">
      <alignment vertical="center"/>
    </xf>
    <xf numFmtId="0" fontId="26" fillId="0" borderId="17" xfId="9" applyFont="1" applyFill="1" applyBorder="1" applyAlignment="1">
      <alignment vertical="center"/>
    </xf>
    <xf numFmtId="0" fontId="26" fillId="0" borderId="0" xfId="8" applyFont="1" applyFill="1" applyBorder="1" applyAlignment="1">
      <alignment wrapText="1"/>
    </xf>
    <xf numFmtId="0" fontId="28" fillId="0" borderId="0" xfId="8" applyFont="1" applyFill="1" applyAlignment="1">
      <alignment horizontal="center" vertical="center" wrapText="1"/>
    </xf>
    <xf numFmtId="0" fontId="26" fillId="0" borderId="0" xfId="8" applyFont="1" applyFill="1" applyAlignment="1">
      <alignment vertical="center" wrapText="1"/>
    </xf>
    <xf numFmtId="0" fontId="26" fillId="0" borderId="0" xfId="8" applyFont="1" applyFill="1" applyAlignment="1">
      <alignment vertical="center"/>
    </xf>
    <xf numFmtId="2" fontId="28" fillId="0" borderId="0" xfId="0" applyNumberFormat="1" applyFont="1" applyFill="1" applyBorder="1" applyAlignment="1">
      <alignment horizontal="center" vertical="center"/>
    </xf>
    <xf numFmtId="169" fontId="26" fillId="0" borderId="48" xfId="0" applyNumberFormat="1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169" fontId="26" fillId="0" borderId="54" xfId="0" applyNumberFormat="1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vertical="center"/>
    </xf>
    <xf numFmtId="0" fontId="26" fillId="0" borderId="23" xfId="0" applyFont="1" applyFill="1" applyBorder="1" applyAlignment="1">
      <alignment vertical="center"/>
    </xf>
    <xf numFmtId="2" fontId="28" fillId="0" borderId="33" xfId="0" applyNumberFormat="1" applyFont="1" applyFill="1" applyBorder="1" applyAlignment="1">
      <alignment horizontal="center" vertical="center"/>
    </xf>
    <xf numFmtId="0" fontId="26" fillId="0" borderId="48" xfId="9" applyFont="1" applyFill="1" applyBorder="1" applyAlignment="1">
      <alignment horizontal="center" vertical="center"/>
    </xf>
    <xf numFmtId="0" fontId="26" fillId="0" borderId="47" xfId="9" applyFont="1" applyFill="1" applyBorder="1" applyAlignment="1">
      <alignment vertical="center"/>
    </xf>
    <xf numFmtId="0" fontId="26" fillId="0" borderId="21" xfId="9" applyFont="1" applyFill="1" applyBorder="1" applyAlignment="1">
      <alignment vertical="center"/>
    </xf>
    <xf numFmtId="0" fontId="26" fillId="0" borderId="54" xfId="9" applyFont="1" applyFill="1" applyBorder="1" applyAlignment="1">
      <alignment horizontal="center" vertical="center"/>
    </xf>
    <xf numFmtId="169" fontId="34" fillId="2" borderId="2" xfId="0" applyNumberFormat="1" applyFont="1" applyFill="1" applyBorder="1" applyAlignment="1">
      <alignment horizontal="center" vertical="center"/>
    </xf>
    <xf numFmtId="167" fontId="28" fillId="0" borderId="0" xfId="5" applyFont="1" applyFill="1" applyBorder="1" applyAlignment="1">
      <alignment vertical="center"/>
    </xf>
    <xf numFmtId="2" fontId="28" fillId="0" borderId="0" xfId="8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169" fontId="3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" xfId="4" applyNumberFormat="1" applyFont="1" applyFill="1" applyBorder="1" applyAlignment="1">
      <alignment horizontal="center" vertical="center"/>
    </xf>
    <xf numFmtId="0" fontId="26" fillId="5" borderId="2" xfId="15" quotePrefix="1" applyNumberFormat="1" applyFont="1" applyFill="1" applyBorder="1" applyAlignment="1">
      <alignment horizontal="center" vertical="center"/>
    </xf>
    <xf numFmtId="0" fontId="28" fillId="0" borderId="0" xfId="15" applyNumberFormat="1" applyFont="1" applyFill="1" applyBorder="1" applyAlignment="1">
      <alignment horizontal="center" vertical="center"/>
    </xf>
    <xf numFmtId="0" fontId="26" fillId="0" borderId="0" xfId="15" applyNumberFormat="1" applyFont="1" applyFill="1" applyBorder="1" applyAlignment="1">
      <alignment vertical="center"/>
    </xf>
    <xf numFmtId="10" fontId="26" fillId="5" borderId="2" xfId="43" quotePrefix="1" applyNumberFormat="1" applyFont="1" applyFill="1" applyBorder="1" applyAlignment="1">
      <alignment horizontal="center" vertical="center"/>
    </xf>
    <xf numFmtId="0" fontId="26" fillId="0" borderId="2" xfId="4" applyNumberFormat="1" applyFont="1" applyFill="1" applyBorder="1" applyAlignment="1">
      <alignment horizontal="center" vertical="center" wrapText="1"/>
    </xf>
    <xf numFmtId="0" fontId="28" fillId="0" borderId="0" xfId="15" applyFont="1" applyFill="1" applyBorder="1" applyAlignment="1">
      <alignment vertical="center"/>
    </xf>
    <xf numFmtId="2" fontId="26" fillId="0" borderId="0" xfId="10" applyNumberFormat="1" applyFont="1" applyFill="1" applyBorder="1" applyAlignment="1">
      <alignment vertical="center" wrapText="1"/>
    </xf>
    <xf numFmtId="0" fontId="30" fillId="0" borderId="6" xfId="1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167" fontId="26" fillId="0" borderId="38" xfId="4" applyFont="1" applyFill="1" applyBorder="1" applyAlignment="1">
      <alignment vertical="center"/>
    </xf>
    <xf numFmtId="0" fontId="30" fillId="0" borderId="4" xfId="10" applyFont="1" applyBorder="1" applyAlignment="1">
      <alignment vertical="center"/>
    </xf>
    <xf numFmtId="0" fontId="35" fillId="0" borderId="0" xfId="0" applyFont="1" applyFill="1" applyBorder="1" applyAlignment="1">
      <alignment horizontal="justify" vertical="center" wrapText="1"/>
    </xf>
    <xf numFmtId="14" fontId="35" fillId="0" borderId="0" xfId="0" applyNumberFormat="1" applyFont="1" applyFill="1" applyBorder="1" applyAlignment="1">
      <alignment horizontal="justify" vertical="center" wrapText="1"/>
    </xf>
    <xf numFmtId="167" fontId="26" fillId="0" borderId="0" xfId="4" applyFont="1" applyFill="1" applyBorder="1" applyAlignment="1">
      <alignment vertical="center"/>
    </xf>
    <xf numFmtId="167" fontId="30" fillId="0" borderId="2" xfId="4" applyFont="1" applyBorder="1" applyAlignment="1">
      <alignment vertical="center"/>
    </xf>
    <xf numFmtId="0" fontId="28" fillId="2" borderId="2" xfId="43" applyFont="1" applyFill="1" applyBorder="1" applyAlignment="1">
      <alignment horizontal="center" vertical="center" wrapText="1"/>
    </xf>
    <xf numFmtId="0" fontId="26" fillId="0" borderId="0" xfId="49" applyFont="1" applyFill="1" applyAlignment="1">
      <alignment horizontal="center" vertical="center"/>
    </xf>
    <xf numFmtId="0" fontId="26" fillId="2" borderId="2" xfId="43" applyFont="1" applyFill="1" applyBorder="1" applyAlignment="1">
      <alignment horizontal="center" vertical="center"/>
    </xf>
    <xf numFmtId="0" fontId="31" fillId="2" borderId="6" xfId="43" applyFont="1" applyFill="1" applyBorder="1" applyAlignment="1">
      <alignment horizontal="center" vertical="center" wrapText="1"/>
    </xf>
    <xf numFmtId="0" fontId="31" fillId="2" borderId="2" xfId="43" applyFont="1" applyFill="1" applyBorder="1" applyAlignment="1">
      <alignment horizontal="center" vertical="center" wrapText="1"/>
    </xf>
    <xf numFmtId="0" fontId="26" fillId="0" borderId="2" xfId="53" applyFont="1" applyFill="1" applyBorder="1" applyAlignment="1">
      <alignment horizontal="center" vertical="center" wrapText="1"/>
    </xf>
    <xf numFmtId="0" fontId="26" fillId="0" borderId="6" xfId="53" applyFont="1" applyFill="1" applyBorder="1" applyAlignment="1">
      <alignment vertical="center" wrapText="1"/>
    </xf>
    <xf numFmtId="10" fontId="30" fillId="0" borderId="2" xfId="53" applyNumberFormat="1" applyFont="1" applyBorder="1" applyAlignment="1">
      <alignment horizontal="center" vertical="center" wrapText="1"/>
    </xf>
    <xf numFmtId="0" fontId="30" fillId="0" borderId="2" xfId="53" quotePrefix="1" applyFont="1" applyBorder="1" applyAlignment="1">
      <alignment horizontal="justify" vertical="center" wrapText="1"/>
    </xf>
    <xf numFmtId="0" fontId="30" fillId="0" borderId="2" xfId="53" applyFont="1" applyBorder="1" applyAlignment="1">
      <alignment horizontal="justify" vertical="center" wrapText="1"/>
    </xf>
    <xf numFmtId="0" fontId="30" fillId="0" borderId="2" xfId="53" applyFont="1" applyBorder="1" applyAlignment="1">
      <alignment horizontal="left" vertical="center" wrapText="1"/>
    </xf>
    <xf numFmtId="0" fontId="30" fillId="5" borderId="2" xfId="53" applyFont="1" applyFill="1" applyBorder="1" applyAlignment="1">
      <alignment horizontal="justify" vertical="center" wrapText="1"/>
    </xf>
    <xf numFmtId="0" fontId="26" fillId="0" borderId="0" xfId="49" applyFont="1" applyFill="1" applyBorder="1" applyAlignment="1">
      <alignment vertical="center" wrapText="1"/>
    </xf>
    <xf numFmtId="0" fontId="26" fillId="0" borderId="0" xfId="49" applyFont="1" applyFill="1" applyBorder="1" applyAlignment="1">
      <alignment horizontal="center" vertical="center" wrapText="1"/>
    </xf>
    <xf numFmtId="165" fontId="26" fillId="0" borderId="0" xfId="50" applyFont="1" applyFill="1" applyBorder="1" applyAlignment="1">
      <alignment vertical="center" wrapText="1"/>
    </xf>
    <xf numFmtId="0" fontId="26" fillId="0" borderId="0" xfId="54" applyFont="1" applyFill="1" applyBorder="1" applyAlignment="1">
      <alignment vertical="center" wrapText="1"/>
    </xf>
    <xf numFmtId="0" fontId="26" fillId="0" borderId="0" xfId="54" applyFont="1" applyFill="1" applyBorder="1" applyAlignment="1">
      <alignment horizontal="center" vertical="center" wrapText="1"/>
    </xf>
    <xf numFmtId="167" fontId="26" fillId="0" borderId="0" xfId="55" applyFont="1" applyFill="1" applyBorder="1" applyAlignment="1">
      <alignment vertical="center" wrapText="1"/>
    </xf>
    <xf numFmtId="0" fontId="28" fillId="2" borderId="3" xfId="49" quotePrefix="1" applyFont="1" applyFill="1" applyBorder="1" applyAlignment="1">
      <alignment horizontal="center" vertical="center" wrapText="1"/>
    </xf>
    <xf numFmtId="0" fontId="28" fillId="2" borderId="3" xfId="49" quotePrefix="1" applyFont="1" applyFill="1" applyBorder="1" applyAlignment="1">
      <alignment horizontal="center" vertical="center"/>
    </xf>
    <xf numFmtId="10" fontId="26" fillId="0" borderId="0" xfId="19" quotePrefix="1" applyNumberFormat="1" applyFont="1" applyFill="1" applyBorder="1" applyAlignment="1">
      <alignment vertical="center"/>
    </xf>
    <xf numFmtId="10" fontId="26" fillId="0" borderId="0" xfId="19" applyNumberFormat="1" applyFont="1" applyFill="1" applyBorder="1" applyAlignment="1">
      <alignment vertical="center" wrapText="1"/>
    </xf>
    <xf numFmtId="0" fontId="28" fillId="0" borderId="0" xfId="8" applyFont="1" applyFill="1" applyBorder="1" applyAlignment="1" applyProtection="1">
      <alignment vertical="center"/>
      <protection locked="0"/>
    </xf>
    <xf numFmtId="0" fontId="26" fillId="0" borderId="0" xfId="8" applyFont="1" applyFill="1" applyBorder="1" applyAlignment="1" applyProtection="1">
      <alignment vertical="center"/>
      <protection locked="0"/>
    </xf>
    <xf numFmtId="0" fontId="16" fillId="2" borderId="45" xfId="10" applyFont="1" applyFill="1" applyBorder="1" applyAlignment="1">
      <alignment horizontal="center" vertical="center" wrapText="1"/>
    </xf>
    <xf numFmtId="0" fontId="17" fillId="0" borderId="0" xfId="49" applyFont="1" applyAlignment="1">
      <alignment vertical="center"/>
    </xf>
    <xf numFmtId="0" fontId="17" fillId="0" borderId="0" xfId="10" applyFont="1" applyAlignment="1">
      <alignment horizontal="justify" vertical="center"/>
    </xf>
    <xf numFmtId="0" fontId="26" fillId="0" borderId="0" xfId="0" applyFont="1" applyFill="1" applyAlignment="1">
      <alignment horizontal="left" vertical="center"/>
    </xf>
    <xf numFmtId="10" fontId="26" fillId="0" borderId="0" xfId="0" applyNumberFormat="1" applyFont="1" applyFill="1" applyBorder="1" applyAlignment="1">
      <alignment horizontal="left" vertical="center"/>
    </xf>
    <xf numFmtId="167" fontId="26" fillId="0" borderId="0" xfId="0" applyNumberFormat="1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2" fontId="28" fillId="0" borderId="2" xfId="15" applyNumberFormat="1" applyFont="1" applyFill="1" applyBorder="1" applyAlignment="1">
      <alignment horizontal="center" vertical="center"/>
    </xf>
    <xf numFmtId="169" fontId="28" fillId="0" borderId="0" xfId="15" applyNumberFormat="1" applyFont="1" applyFill="1" applyBorder="1" applyAlignment="1">
      <alignment horizontal="left" vertical="center"/>
    </xf>
    <xf numFmtId="167" fontId="26" fillId="0" borderId="61" xfId="4" applyFont="1" applyFill="1" applyBorder="1" applyAlignment="1">
      <alignment horizontal="center" vertical="center" wrapText="1"/>
    </xf>
    <xf numFmtId="0" fontId="26" fillId="0" borderId="0" xfId="49" applyFont="1" applyAlignment="1">
      <alignment vertical="center"/>
    </xf>
    <xf numFmtId="0" fontId="17" fillId="0" borderId="0" xfId="49" applyFont="1" applyAlignment="1">
      <alignment horizontal="justify" vertical="center" wrapText="1"/>
    </xf>
    <xf numFmtId="172" fontId="29" fillId="0" borderId="2" xfId="0" applyNumberFormat="1" applyFont="1" applyBorder="1" applyAlignment="1">
      <alignment horizontal="center" vertical="center"/>
    </xf>
    <xf numFmtId="172" fontId="29" fillId="2" borderId="7" xfId="0" applyNumberFormat="1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8" fillId="2" borderId="2" xfId="15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justify" vertical="center" wrapText="1"/>
    </xf>
    <xf numFmtId="0" fontId="26" fillId="0" borderId="2" xfId="15" applyFont="1" applyBorder="1" applyAlignment="1">
      <alignment horizontal="center" vertical="center"/>
    </xf>
    <xf numFmtId="0" fontId="27" fillId="0" borderId="0" xfId="49" applyFont="1" applyFill="1" applyAlignment="1">
      <alignment horizontal="center" vertical="center" wrapText="1"/>
    </xf>
    <xf numFmtId="0" fontId="28" fillId="2" borderId="45" xfId="49" applyFont="1" applyFill="1" applyBorder="1" applyAlignment="1">
      <alignment horizontal="center" vertical="center" wrapText="1"/>
    </xf>
    <xf numFmtId="14" fontId="26" fillId="0" borderId="56" xfId="8" applyNumberFormat="1" applyFont="1" applyFill="1" applyBorder="1" applyAlignment="1">
      <alignment horizontal="center" vertical="center" shrinkToFit="1"/>
    </xf>
    <xf numFmtId="175" fontId="26" fillId="0" borderId="52" xfId="8" applyNumberFormat="1" applyFont="1" applyFill="1" applyBorder="1" applyAlignment="1">
      <alignment horizontal="center" vertical="center" shrinkToFit="1"/>
    </xf>
    <xf numFmtId="0" fontId="26" fillId="0" borderId="0" xfId="10" applyFont="1" applyAlignment="1">
      <alignment vertical="center"/>
    </xf>
    <xf numFmtId="0" fontId="27" fillId="0" borderId="0" xfId="10" applyFont="1" applyAlignment="1">
      <alignment vertical="center"/>
    </xf>
    <xf numFmtId="0" fontId="26" fillId="0" borderId="7" xfId="10" applyFont="1" applyBorder="1" applyAlignment="1">
      <alignment vertical="center"/>
    </xf>
    <xf numFmtId="0" fontId="32" fillId="0" borderId="0" xfId="52" applyFont="1" applyAlignment="1">
      <alignment vertical="center"/>
    </xf>
    <xf numFmtId="0" fontId="26" fillId="0" borderId="0" xfId="49" applyFont="1" applyFill="1" applyAlignment="1">
      <alignment vertical="center"/>
    </xf>
    <xf numFmtId="0" fontId="28" fillId="0" borderId="0" xfId="54" applyFont="1" applyFill="1" applyAlignment="1">
      <alignment vertical="center"/>
    </xf>
    <xf numFmtId="0" fontId="28" fillId="0" borderId="0" xfId="8" applyFont="1" applyAlignment="1">
      <alignment vertical="center" wrapText="1"/>
    </xf>
    <xf numFmtId="0" fontId="33" fillId="0" borderId="0" xfId="8" applyFont="1" applyAlignment="1">
      <alignment vertical="center"/>
    </xf>
    <xf numFmtId="14" fontId="33" fillId="0" borderId="0" xfId="8" applyNumberFormat="1" applyFont="1" applyAlignment="1">
      <alignment horizontal="center" vertical="center"/>
    </xf>
    <xf numFmtId="14" fontId="33" fillId="0" borderId="0" xfId="8" applyNumberFormat="1" applyFont="1" applyAlignment="1">
      <alignment vertical="center"/>
    </xf>
    <xf numFmtId="0" fontId="34" fillId="0" borderId="0" xfId="8" applyFont="1" applyAlignment="1">
      <alignment vertical="center"/>
    </xf>
    <xf numFmtId="14" fontId="34" fillId="0" borderId="0" xfId="8" applyNumberFormat="1" applyFont="1" applyAlignment="1">
      <alignment vertical="center"/>
    </xf>
    <xf numFmtId="0" fontId="16" fillId="0" borderId="0" xfId="49" applyFont="1" applyAlignment="1">
      <alignment vertical="center"/>
    </xf>
    <xf numFmtId="0" fontId="28" fillId="2" borderId="2" xfId="15" applyFont="1" applyFill="1" applyBorder="1" applyAlignment="1">
      <alignment horizontal="center" vertical="center"/>
    </xf>
    <xf numFmtId="0" fontId="26" fillId="0" borderId="2" xfId="15" applyFont="1" applyBorder="1" applyAlignment="1">
      <alignment horizontal="center" vertical="center"/>
    </xf>
    <xf numFmtId="10" fontId="26" fillId="0" borderId="36" xfId="20" applyNumberFormat="1" applyFont="1" applyFill="1" applyBorder="1" applyAlignment="1">
      <alignment horizontal="center" vertical="center"/>
    </xf>
    <xf numFmtId="0" fontId="48" fillId="0" borderId="0" xfId="49" applyFont="1" applyAlignment="1">
      <alignment horizontal="left" vertical="center"/>
    </xf>
    <xf numFmtId="49" fontId="38" fillId="0" borderId="0" xfId="0" applyNumberFormat="1" applyFont="1" applyFill="1" applyBorder="1" applyAlignment="1">
      <alignment vertical="center"/>
    </xf>
    <xf numFmtId="0" fontId="17" fillId="0" borderId="0" xfId="49" applyFont="1" applyAlignment="1">
      <alignment horizontal="justify" vertical="center" wrapText="1"/>
    </xf>
    <xf numFmtId="10" fontId="26" fillId="0" borderId="9" xfId="19" applyNumberFormat="1" applyFont="1" applyFill="1" applyBorder="1" applyAlignment="1">
      <alignment horizontal="center" vertical="center"/>
    </xf>
    <xf numFmtId="169" fontId="17" fillId="0" borderId="5" xfId="10" applyNumberFormat="1" applyFont="1" applyFill="1" applyBorder="1" applyAlignment="1">
      <alignment horizontal="center" vertical="center"/>
    </xf>
    <xf numFmtId="0" fontId="27" fillId="0" borderId="0" xfId="14" applyFont="1" applyFill="1" applyAlignment="1">
      <alignment horizontal="center" vertical="center" wrapText="1"/>
    </xf>
    <xf numFmtId="0" fontId="26" fillId="0" borderId="2" xfId="15" applyFont="1" applyBorder="1" applyAlignment="1">
      <alignment horizontal="center" vertical="center"/>
    </xf>
    <xf numFmtId="169" fontId="26" fillId="0" borderId="71" xfId="50" applyNumberFormat="1" applyFont="1" applyFill="1" applyBorder="1" applyAlignment="1">
      <alignment horizontal="center" vertical="center" wrapText="1"/>
    </xf>
    <xf numFmtId="169" fontId="26" fillId="0" borderId="38" xfId="5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vertical="center"/>
    </xf>
    <xf numFmtId="0" fontId="26" fillId="0" borderId="0" xfId="14" applyFont="1" applyAlignment="1">
      <alignment horizontal="center" vertical="center"/>
    </xf>
    <xf numFmtId="0" fontId="38" fillId="0" borderId="0" xfId="14" applyFont="1" applyAlignment="1">
      <alignment horizontal="center" vertical="center"/>
    </xf>
    <xf numFmtId="0" fontId="26" fillId="0" borderId="0" xfId="14" applyFont="1" applyBorder="1" applyAlignment="1">
      <alignment horizontal="center" vertical="center"/>
    </xf>
    <xf numFmtId="0" fontId="30" fillId="0" borderId="75" xfId="0" applyFont="1" applyBorder="1" applyAlignment="1">
      <alignment horizontal="center" vertical="center" wrapText="1"/>
    </xf>
    <xf numFmtId="0" fontId="30" fillId="0" borderId="76" xfId="0" applyFont="1" applyBorder="1" applyAlignment="1">
      <alignment horizontal="center" vertical="center" wrapText="1"/>
    </xf>
    <xf numFmtId="0" fontId="29" fillId="0" borderId="75" xfId="0" applyFont="1" applyBorder="1" applyAlignment="1">
      <alignment horizontal="center" vertical="center" wrapText="1"/>
    </xf>
    <xf numFmtId="0" fontId="29" fillId="0" borderId="76" xfId="0" applyFont="1" applyBorder="1" applyAlignment="1">
      <alignment horizontal="center" vertical="center" wrapText="1"/>
    </xf>
    <xf numFmtId="169" fontId="30" fillId="0" borderId="75" xfId="0" applyNumberFormat="1" applyFont="1" applyBorder="1" applyAlignment="1">
      <alignment horizontal="center" vertical="center" wrapText="1"/>
    </xf>
    <xf numFmtId="169" fontId="29" fillId="0" borderId="75" xfId="0" applyNumberFormat="1" applyFont="1" applyBorder="1" applyAlignment="1">
      <alignment horizontal="center" vertical="center" wrapText="1"/>
    </xf>
    <xf numFmtId="0" fontId="26" fillId="0" borderId="46" xfId="0" applyFont="1" applyFill="1" applyBorder="1" applyAlignment="1">
      <alignment vertical="center"/>
    </xf>
    <xf numFmtId="0" fontId="26" fillId="0" borderId="59" xfId="8" applyFont="1" applyFill="1" applyBorder="1" applyAlignment="1">
      <alignment horizontal="left" vertical="center" wrapText="1"/>
    </xf>
    <xf numFmtId="169" fontId="26" fillId="0" borderId="57" xfId="6" applyNumberFormat="1" applyFont="1" applyFill="1" applyBorder="1" applyAlignment="1">
      <alignment horizontal="center" vertical="center" wrapText="1"/>
    </xf>
    <xf numFmtId="165" fontId="26" fillId="0" borderId="71" xfId="6" applyFont="1" applyFill="1" applyBorder="1" applyAlignment="1">
      <alignment horizontal="center" vertical="center" wrapText="1"/>
    </xf>
    <xf numFmtId="169" fontId="28" fillId="0" borderId="34" xfId="8" applyNumberFormat="1" applyFont="1" applyFill="1" applyBorder="1" applyAlignment="1">
      <alignment horizontal="center" vertical="center" wrapText="1"/>
    </xf>
    <xf numFmtId="169" fontId="28" fillId="0" borderId="34" xfId="8" quotePrefix="1" applyNumberFormat="1" applyFont="1" applyFill="1" applyBorder="1" applyAlignment="1">
      <alignment horizontal="center" vertical="center" wrapText="1"/>
    </xf>
    <xf numFmtId="165" fontId="28" fillId="0" borderId="35" xfId="6" quotePrefix="1" applyFont="1" applyFill="1" applyBorder="1" applyAlignment="1">
      <alignment horizontal="center" vertical="center" wrapText="1"/>
    </xf>
    <xf numFmtId="0" fontId="27" fillId="0" borderId="0" xfId="14" applyFont="1" applyFill="1" applyAlignment="1">
      <alignment horizontal="center" vertical="center" wrapText="1"/>
    </xf>
    <xf numFmtId="0" fontId="28" fillId="0" borderId="2" xfId="14" applyFont="1" applyBorder="1" applyAlignment="1">
      <alignment horizontal="center" vertical="center" wrapText="1"/>
    </xf>
    <xf numFmtId="0" fontId="28" fillId="0" borderId="2" xfId="14" applyFont="1" applyFill="1" applyBorder="1" applyAlignment="1">
      <alignment horizontal="center" vertical="center" wrapText="1"/>
    </xf>
    <xf numFmtId="167" fontId="26" fillId="0" borderId="75" xfId="4" applyFont="1" applyBorder="1" applyAlignment="1">
      <alignment horizontal="center" vertical="center" wrapText="1"/>
    </xf>
    <xf numFmtId="169" fontId="29" fillId="0" borderId="77" xfId="0" applyNumberFormat="1" applyFont="1" applyBorder="1" applyAlignment="1">
      <alignment horizontal="center" vertical="center" wrapText="1"/>
    </xf>
    <xf numFmtId="49" fontId="42" fillId="0" borderId="0" xfId="0" quotePrefix="1" applyNumberFormat="1" applyFont="1" applyFill="1" applyBorder="1" applyAlignment="1">
      <alignment horizontal="left" vertical="center"/>
    </xf>
    <xf numFmtId="10" fontId="26" fillId="0" borderId="0" xfId="19" applyNumberFormat="1" applyFont="1" applyFill="1" applyBorder="1" applyAlignment="1">
      <alignment horizontal="left" vertical="center"/>
    </xf>
    <xf numFmtId="0" fontId="27" fillId="0" borderId="0" xfId="14" applyFont="1" applyFill="1" applyAlignment="1">
      <alignment horizontal="center" vertical="center" wrapText="1"/>
    </xf>
    <xf numFmtId="0" fontId="28" fillId="0" borderId="2" xfId="14" applyFont="1" applyFill="1" applyBorder="1" applyAlignment="1">
      <alignment horizontal="center" vertical="center" wrapText="1"/>
    </xf>
    <xf numFmtId="0" fontId="26" fillId="3" borderId="6" xfId="14" applyFont="1" applyFill="1" applyBorder="1" applyAlignment="1">
      <alignment horizontal="justify" vertical="center" wrapText="1"/>
    </xf>
    <xf numFmtId="0" fontId="28" fillId="0" borderId="6" xfId="14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/>
    </xf>
    <xf numFmtId="167" fontId="26" fillId="0" borderId="0" xfId="4" applyFont="1" applyAlignment="1">
      <alignment vertical="center"/>
    </xf>
    <xf numFmtId="167" fontId="26" fillId="0" borderId="0" xfId="4" applyFont="1" applyAlignment="1">
      <alignment horizontal="center" vertical="center" wrapText="1"/>
    </xf>
    <xf numFmtId="167" fontId="26" fillId="0" borderId="0" xfId="4" applyFont="1" applyBorder="1" applyAlignment="1">
      <alignment vertical="center"/>
    </xf>
    <xf numFmtId="167" fontId="26" fillId="0" borderId="0" xfId="4" applyFont="1" applyAlignment="1">
      <alignment vertical="center" wrapText="1"/>
    </xf>
    <xf numFmtId="169" fontId="28" fillId="0" borderId="2" xfId="6" applyNumberFormat="1" applyFont="1" applyFill="1" applyBorder="1" applyAlignment="1">
      <alignment horizontal="center" vertical="center" wrapText="1"/>
    </xf>
    <xf numFmtId="165" fontId="28" fillId="0" borderId="2" xfId="6" applyFont="1" applyFill="1" applyBorder="1" applyAlignment="1">
      <alignment horizontal="center" vertical="center"/>
    </xf>
    <xf numFmtId="0" fontId="26" fillId="0" borderId="45" xfId="14" applyFont="1" applyFill="1" applyBorder="1" applyAlignment="1">
      <alignment horizontal="center" vertical="center" wrapText="1"/>
    </xf>
    <xf numFmtId="0" fontId="26" fillId="0" borderId="6" xfId="49" applyFont="1" applyFill="1" applyBorder="1" applyAlignment="1">
      <alignment horizontal="justify" vertical="center"/>
    </xf>
    <xf numFmtId="0" fontId="26" fillId="0" borderId="6" xfId="49" applyFont="1" applyFill="1" applyBorder="1" applyAlignment="1">
      <alignment vertical="center" wrapText="1"/>
    </xf>
    <xf numFmtId="167" fontId="28" fillId="0" borderId="2" xfId="4" applyFont="1" applyFill="1" applyBorder="1" applyAlignment="1">
      <alignment horizontal="center" vertical="center"/>
    </xf>
    <xf numFmtId="10" fontId="28" fillId="0" borderId="2" xfId="18" applyNumberFormat="1" applyFont="1" applyFill="1" applyBorder="1" applyAlignment="1">
      <alignment horizontal="center" vertical="center"/>
    </xf>
    <xf numFmtId="10" fontId="26" fillId="0" borderId="2" xfId="18" applyNumberFormat="1" applyFont="1" applyFill="1" applyBorder="1" applyAlignment="1">
      <alignment horizontal="center" vertical="center"/>
    </xf>
    <xf numFmtId="1" fontId="26" fillId="0" borderId="2" xfId="50" applyNumberFormat="1" applyFont="1" applyFill="1" applyBorder="1" applyAlignment="1">
      <alignment horizontal="center" vertical="center" wrapText="1"/>
    </xf>
    <xf numFmtId="169" fontId="26" fillId="0" borderId="2" xfId="50" applyNumberFormat="1" applyFont="1" applyFill="1" applyBorder="1" applyAlignment="1">
      <alignment horizontal="center" vertical="center" wrapText="1"/>
    </xf>
    <xf numFmtId="165" fontId="28" fillId="0" borderId="2" xfId="50" quotePrefix="1" applyFont="1" applyFill="1" applyBorder="1" applyAlignment="1">
      <alignment horizontal="center" vertical="center" wrapText="1"/>
    </xf>
    <xf numFmtId="0" fontId="28" fillId="0" borderId="2" xfId="14" applyFont="1" applyFill="1" applyBorder="1" applyAlignment="1">
      <alignment horizontal="center" vertical="center"/>
    </xf>
    <xf numFmtId="0" fontId="28" fillId="0" borderId="0" xfId="49" applyFont="1" applyFill="1" applyAlignment="1">
      <alignment horizontal="left" vertical="center"/>
    </xf>
    <xf numFmtId="165" fontId="28" fillId="0" borderId="2" xfId="50" quotePrefix="1" applyFont="1" applyFill="1" applyBorder="1" applyAlignment="1">
      <alignment horizontal="center" vertical="center" wrapText="1"/>
    </xf>
    <xf numFmtId="0" fontId="26" fillId="0" borderId="45" xfId="49" applyFont="1" applyFill="1" applyBorder="1" applyAlignment="1">
      <alignment horizontal="center" vertical="center" wrapText="1"/>
    </xf>
    <xf numFmtId="0" fontId="26" fillId="0" borderId="6" xfId="49" applyFont="1" applyFill="1" applyBorder="1" applyAlignment="1">
      <alignment vertical="center"/>
    </xf>
    <xf numFmtId="1" fontId="26" fillId="0" borderId="2" xfId="50" applyNumberFormat="1" applyFont="1" applyFill="1" applyBorder="1" applyAlignment="1">
      <alignment horizontal="center" vertical="center" wrapText="1"/>
    </xf>
    <xf numFmtId="169" fontId="26" fillId="0" borderId="2" xfId="50" applyNumberFormat="1" applyFont="1" applyFill="1" applyBorder="1" applyAlignment="1">
      <alignment horizontal="center" vertical="center" wrapText="1"/>
    </xf>
    <xf numFmtId="0" fontId="26" fillId="0" borderId="2" xfId="49" applyFont="1" applyFill="1" applyBorder="1" applyAlignment="1">
      <alignment horizontal="center" vertical="center" wrapText="1"/>
    </xf>
    <xf numFmtId="0" fontId="28" fillId="0" borderId="0" xfId="49" applyFont="1" applyFill="1" applyAlignment="1">
      <alignment horizontal="left" vertical="center"/>
    </xf>
    <xf numFmtId="165" fontId="28" fillId="0" borderId="2" xfId="50" quotePrefix="1" applyFont="1" applyFill="1" applyBorder="1" applyAlignment="1">
      <alignment horizontal="center" vertical="center" wrapText="1"/>
    </xf>
    <xf numFmtId="0" fontId="28" fillId="0" borderId="0" xfId="49" applyFont="1" applyFill="1" applyAlignment="1">
      <alignment horizontal="left" vertical="center"/>
    </xf>
    <xf numFmtId="0" fontId="28" fillId="0" borderId="0" xfId="49" applyFont="1" applyFill="1" applyAlignment="1">
      <alignment horizontal="left" vertical="center"/>
    </xf>
    <xf numFmtId="0" fontId="26" fillId="0" borderId="45" xfId="49" applyFont="1" applyFill="1" applyBorder="1" applyAlignment="1">
      <alignment horizontal="center" vertical="center" wrapText="1"/>
    </xf>
    <xf numFmtId="0" fontId="26" fillId="0" borderId="6" xfId="49" applyFont="1" applyFill="1" applyBorder="1" applyAlignment="1">
      <alignment vertical="center"/>
    </xf>
    <xf numFmtId="1" fontId="26" fillId="0" borderId="2" xfId="50" applyNumberFormat="1" applyFont="1" applyFill="1" applyBorder="1" applyAlignment="1">
      <alignment horizontal="center" vertical="center" wrapText="1"/>
    </xf>
    <xf numFmtId="169" fontId="26" fillId="0" borderId="2" xfId="50" applyNumberFormat="1" applyFont="1" applyFill="1" applyBorder="1" applyAlignment="1">
      <alignment horizontal="center" vertical="center" wrapText="1"/>
    </xf>
    <xf numFmtId="0" fontId="26" fillId="0" borderId="6" xfId="49" applyFont="1" applyFill="1" applyBorder="1" applyAlignment="1">
      <alignment horizontal="justify" vertical="center" wrapText="1"/>
    </xf>
    <xf numFmtId="0" fontId="26" fillId="0" borderId="2" xfId="49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/>
    </xf>
    <xf numFmtId="10" fontId="26" fillId="0" borderId="2" xfId="0" applyNumberFormat="1" applyFont="1" applyFill="1" applyBorder="1" applyAlignment="1">
      <alignment horizontal="center" vertical="center"/>
    </xf>
    <xf numFmtId="167" fontId="26" fillId="0" borderId="2" xfId="0" applyNumberFormat="1" applyFont="1" applyFill="1" applyBorder="1" applyAlignment="1" applyProtection="1">
      <alignment horizontal="left" vertical="center"/>
    </xf>
    <xf numFmtId="167" fontId="26" fillId="0" borderId="2" xfId="0" applyNumberFormat="1" applyFont="1" applyFill="1" applyBorder="1" applyAlignment="1" applyProtection="1">
      <alignment horizontal="left" vertical="center"/>
      <protection locked="0"/>
    </xf>
    <xf numFmtId="0" fontId="26" fillId="0" borderId="6" xfId="0" applyFont="1" applyFill="1" applyBorder="1" applyAlignment="1">
      <alignment horizontal="left" vertical="center"/>
    </xf>
    <xf numFmtId="10" fontId="26" fillId="0" borderId="2" xfId="0" applyNumberFormat="1" applyFont="1" applyFill="1" applyBorder="1" applyAlignment="1" applyProtection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167" fontId="28" fillId="0" borderId="2" xfId="0" applyNumberFormat="1" applyFont="1" applyFill="1" applyBorder="1" applyAlignment="1">
      <alignment horizontal="center" vertical="center" wrapText="1"/>
    </xf>
    <xf numFmtId="0" fontId="26" fillId="0" borderId="6" xfId="0" applyFont="1" applyFill="1" applyBorder="1" applyAlignment="1" applyProtection="1">
      <alignment vertical="center"/>
      <protection locked="0"/>
    </xf>
    <xf numFmtId="0" fontId="26" fillId="0" borderId="7" xfId="0" applyFont="1" applyFill="1" applyBorder="1" applyAlignment="1">
      <alignment vertical="center" wrapText="1"/>
    </xf>
    <xf numFmtId="0" fontId="26" fillId="0" borderId="4" xfId="0" applyFont="1" applyFill="1" applyBorder="1" applyAlignment="1">
      <alignment horizontal="justify" vertical="center" wrapText="1"/>
    </xf>
    <xf numFmtId="0" fontId="26" fillId="0" borderId="4" xfId="0" applyFont="1" applyFill="1" applyBorder="1" applyAlignment="1" applyProtection="1">
      <alignment vertical="center"/>
      <protection locked="0"/>
    </xf>
    <xf numFmtId="0" fontId="26" fillId="0" borderId="4" xfId="0" applyFont="1" applyFill="1" applyBorder="1" applyAlignment="1" applyProtection="1">
      <alignment vertical="center" wrapText="1"/>
      <protection locked="0"/>
    </xf>
    <xf numFmtId="10" fontId="26" fillId="0" borderId="2" xfId="0" applyNumberFormat="1" applyFont="1" applyFill="1" applyBorder="1" applyAlignment="1" applyProtection="1">
      <alignment horizontal="center" vertical="center" wrapText="1"/>
    </xf>
    <xf numFmtId="10" fontId="26" fillId="0" borderId="2" xfId="18" applyNumberFormat="1" applyFont="1" applyFill="1" applyBorder="1" applyAlignment="1">
      <alignment horizontal="center" vertical="center" wrapText="1"/>
    </xf>
    <xf numFmtId="167" fontId="26" fillId="0" borderId="2" xfId="4" applyFont="1" applyFill="1" applyBorder="1" applyAlignment="1">
      <alignment horizontal="right" vertical="center"/>
    </xf>
    <xf numFmtId="10" fontId="28" fillId="0" borderId="2" xfId="0" applyNumberFormat="1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vertical="center" wrapText="1"/>
    </xf>
    <xf numFmtId="0" fontId="26" fillId="0" borderId="6" xfId="0" applyFont="1" applyFill="1" applyBorder="1" applyAlignment="1">
      <alignment vertical="center"/>
    </xf>
    <xf numFmtId="0" fontId="26" fillId="0" borderId="7" xfId="0" applyFont="1" applyFill="1" applyBorder="1" applyAlignment="1">
      <alignment vertical="center"/>
    </xf>
    <xf numFmtId="0" fontId="26" fillId="0" borderId="4" xfId="0" applyFont="1" applyFill="1" applyBorder="1" applyAlignment="1">
      <alignment vertical="center" wrapText="1"/>
    </xf>
    <xf numFmtId="167" fontId="28" fillId="0" borderId="2" xfId="0" applyNumberFormat="1" applyFont="1" applyFill="1" applyBorder="1" applyAlignment="1">
      <alignment horizontal="center" vertical="center"/>
    </xf>
    <xf numFmtId="10" fontId="26" fillId="0" borderId="7" xfId="0" applyNumberFormat="1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vertical="center"/>
    </xf>
    <xf numFmtId="0" fontId="28" fillId="0" borderId="4" xfId="0" applyFont="1" applyFill="1" applyBorder="1" applyAlignment="1">
      <alignment vertical="center"/>
    </xf>
    <xf numFmtId="0" fontId="26" fillId="0" borderId="6" xfId="0" applyFont="1" applyFill="1" applyBorder="1" applyAlignment="1">
      <alignment horizontal="justify" vertical="center" wrapText="1"/>
    </xf>
    <xf numFmtId="0" fontId="37" fillId="0" borderId="7" xfId="0" applyFont="1" applyFill="1" applyBorder="1" applyAlignment="1" applyProtection="1">
      <alignment vertical="center" wrapText="1"/>
      <protection locked="0"/>
    </xf>
    <xf numFmtId="0" fontId="26" fillId="0" borderId="7" xfId="0" applyFont="1" applyFill="1" applyBorder="1" applyAlignment="1" applyProtection="1">
      <alignment vertical="center" wrapText="1"/>
      <protection locked="0"/>
    </xf>
    <xf numFmtId="0" fontId="26" fillId="0" borderId="7" xfId="0" applyFont="1" applyFill="1" applyBorder="1" applyAlignment="1">
      <alignment horizontal="left" vertical="center" shrinkToFit="1"/>
    </xf>
    <xf numFmtId="0" fontId="26" fillId="0" borderId="4" xfId="0" applyFont="1" applyFill="1" applyBorder="1" applyAlignment="1">
      <alignment horizontal="left" vertical="center" shrinkToFit="1"/>
    </xf>
    <xf numFmtId="169" fontId="26" fillId="0" borderId="2" xfId="0" applyNumberFormat="1" applyFont="1" applyFill="1" applyBorder="1" applyAlignment="1" applyProtection="1">
      <alignment horizontal="center" vertical="center"/>
      <protection locked="0"/>
    </xf>
    <xf numFmtId="167" fontId="28" fillId="4" borderId="2" xfId="0" applyNumberFormat="1" applyFont="1" applyFill="1" applyBorder="1" applyAlignment="1">
      <alignment horizontal="center" vertical="center"/>
    </xf>
    <xf numFmtId="10" fontId="26" fillId="0" borderId="45" xfId="0" applyNumberFormat="1" applyFont="1" applyFill="1" applyBorder="1" applyAlignment="1" applyProtection="1">
      <alignment horizontal="center" vertical="center" wrapText="1"/>
    </xf>
    <xf numFmtId="167" fontId="26" fillId="0" borderId="45" xfId="0" applyNumberFormat="1" applyFont="1" applyFill="1" applyBorder="1" applyAlignment="1">
      <alignment horizontal="center" vertical="center" wrapText="1"/>
    </xf>
    <xf numFmtId="10" fontId="28" fillId="0" borderId="0" xfId="0" applyNumberFormat="1" applyFont="1" applyFill="1" applyBorder="1" applyAlignment="1">
      <alignment horizontal="center" vertical="center" wrapText="1"/>
    </xf>
    <xf numFmtId="167" fontId="28" fillId="0" borderId="0" xfId="0" applyNumberFormat="1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vertical="center" wrapText="1"/>
    </xf>
    <xf numFmtId="0" fontId="26" fillId="0" borderId="46" xfId="9" applyFont="1" applyFill="1" applyBorder="1" applyAlignment="1">
      <alignment vertical="center"/>
    </xf>
    <xf numFmtId="0" fontId="26" fillId="0" borderId="23" xfId="9" applyFont="1" applyFill="1" applyBorder="1" applyAlignment="1">
      <alignment vertical="center"/>
    </xf>
    <xf numFmtId="0" fontId="26" fillId="0" borderId="5" xfId="9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 wrapText="1"/>
    </xf>
    <xf numFmtId="0" fontId="26" fillId="0" borderId="4" xfId="0" applyFont="1" applyFill="1" applyBorder="1" applyAlignment="1">
      <alignment horizontal="justify" vertical="center"/>
    </xf>
    <xf numFmtId="0" fontId="26" fillId="0" borderId="6" xfId="0" applyFont="1" applyFill="1" applyBorder="1" applyAlignment="1">
      <alignment horizontal="justify" vertical="center"/>
    </xf>
    <xf numFmtId="0" fontId="52" fillId="0" borderId="0" xfId="10" applyFont="1" applyAlignment="1">
      <alignment vertical="center"/>
    </xf>
    <xf numFmtId="0" fontId="53" fillId="0" borderId="0" xfId="10" applyFont="1"/>
    <xf numFmtId="10" fontId="42" fillId="0" borderId="0" xfId="19" applyNumberFormat="1" applyFont="1" applyFill="1" applyBorder="1" applyAlignment="1">
      <alignment vertical="center"/>
    </xf>
    <xf numFmtId="10" fontId="26" fillId="0" borderId="12" xfId="19" applyNumberFormat="1" applyFont="1" applyFill="1" applyBorder="1" applyAlignment="1">
      <alignment horizontal="center" vertical="center"/>
    </xf>
    <xf numFmtId="0" fontId="26" fillId="0" borderId="2" xfId="9" applyFont="1" applyBorder="1" applyAlignment="1">
      <alignment horizontal="justify" vertical="center" wrapText="1"/>
    </xf>
    <xf numFmtId="0" fontId="26" fillId="0" borderId="2" xfId="9" applyFont="1" applyFill="1" applyBorder="1" applyAlignment="1">
      <alignment horizontal="justify" vertical="center" wrapText="1"/>
    </xf>
    <xf numFmtId="0" fontId="26" fillId="0" borderId="0" xfId="14" applyFont="1" applyAlignment="1">
      <alignment horizontal="center" vertical="center" wrapText="1"/>
    </xf>
    <xf numFmtId="10" fontId="26" fillId="0" borderId="0" xfId="15" applyNumberFormat="1" applyFont="1" applyFill="1" applyAlignment="1">
      <alignment vertical="center"/>
    </xf>
    <xf numFmtId="10" fontId="28" fillId="0" borderId="0" xfId="15" applyNumberFormat="1" applyFont="1" applyFill="1" applyAlignment="1">
      <alignment horizontal="center" vertical="center"/>
    </xf>
    <xf numFmtId="10" fontId="26" fillId="0" borderId="2" xfId="15" applyNumberFormat="1" applyFont="1" applyFill="1" applyBorder="1" applyAlignment="1">
      <alignment horizontal="center" vertical="center"/>
    </xf>
    <xf numFmtId="10" fontId="28" fillId="0" borderId="2" xfId="15" applyNumberFormat="1" applyFont="1" applyFill="1" applyBorder="1" applyAlignment="1">
      <alignment horizontal="center" vertical="center"/>
    </xf>
    <xf numFmtId="10" fontId="28" fillId="0" borderId="0" xfId="15" applyNumberFormat="1" applyFont="1" applyFill="1" applyBorder="1" applyAlignment="1">
      <alignment horizontal="center" vertical="center"/>
    </xf>
    <xf numFmtId="10" fontId="28" fillId="0" borderId="0" xfId="15" applyNumberFormat="1" applyFont="1" applyFill="1" applyBorder="1" applyAlignment="1">
      <alignment horizontal="justify" vertical="center" wrapText="1"/>
    </xf>
    <xf numFmtId="10" fontId="26" fillId="0" borderId="2" xfId="20" applyNumberFormat="1" applyFont="1" applyFill="1" applyBorder="1" applyAlignment="1">
      <alignment horizontal="center" vertical="center"/>
    </xf>
    <xf numFmtId="10" fontId="28" fillId="0" borderId="2" xfId="20" applyNumberFormat="1" applyFont="1" applyFill="1" applyBorder="1" applyAlignment="1">
      <alignment horizontal="center" vertical="center"/>
    </xf>
    <xf numFmtId="10" fontId="26" fillId="0" borderId="0" xfId="15" applyNumberFormat="1" applyFont="1" applyAlignment="1">
      <alignment vertical="center"/>
    </xf>
    <xf numFmtId="179" fontId="26" fillId="0" borderId="2" xfId="0" applyNumberFormat="1" applyFont="1" applyFill="1" applyBorder="1" applyAlignment="1" applyProtection="1">
      <alignment horizontal="center" vertical="center" wrapText="1"/>
    </xf>
    <xf numFmtId="167" fontId="28" fillId="0" borderId="0" xfId="4" applyFont="1" applyAlignment="1">
      <alignment vertical="center" wrapText="1"/>
    </xf>
    <xf numFmtId="43" fontId="28" fillId="0" borderId="0" xfId="8" applyNumberFormat="1" applyFont="1" applyAlignment="1">
      <alignment vertical="center" wrapText="1"/>
    </xf>
    <xf numFmtId="0" fontId="17" fillId="0" borderId="0" xfId="10" applyFont="1" applyAlignment="1">
      <alignment horizontal="justify" vertical="center" wrapText="1"/>
    </xf>
    <xf numFmtId="0" fontId="17" fillId="0" borderId="0" xfId="1" applyFont="1" applyAlignment="1" applyProtection="1">
      <alignment vertical="center"/>
    </xf>
    <xf numFmtId="0" fontId="55" fillId="0" borderId="0" xfId="2" applyFont="1" applyAlignment="1" applyProtection="1">
      <alignment vertical="center"/>
    </xf>
    <xf numFmtId="0" fontId="49" fillId="0" borderId="0" xfId="49" applyFont="1" applyAlignment="1">
      <alignment vertical="center"/>
    </xf>
    <xf numFmtId="0" fontId="26" fillId="0" borderId="7" xfId="43" applyFont="1" applyFill="1" applyBorder="1" applyAlignment="1">
      <alignment horizontal="justify" vertical="center" wrapText="1"/>
    </xf>
    <xf numFmtId="0" fontId="26" fillId="0" borderId="2" xfId="141" quotePrefix="1" applyFont="1" applyFill="1" applyBorder="1" applyAlignment="1">
      <alignment horizontal="justify" vertical="center" wrapText="1"/>
    </xf>
    <xf numFmtId="0" fontId="26" fillId="0" borderId="0" xfId="14" applyFont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8" fillId="2" borderId="45" xfId="49" applyFont="1" applyFill="1" applyBorder="1" applyAlignment="1">
      <alignment horizontal="center" vertical="center" wrapText="1"/>
    </xf>
    <xf numFmtId="49" fontId="26" fillId="0" borderId="2" xfId="0" applyNumberFormat="1" applyFont="1" applyFill="1" applyBorder="1" applyAlignment="1" applyProtection="1">
      <alignment horizontal="center" vertical="center" wrapText="1"/>
    </xf>
    <xf numFmtId="0" fontId="28" fillId="2" borderId="45" xfId="49" applyFont="1" applyFill="1" applyBorder="1" applyAlignment="1">
      <alignment horizontal="center" vertical="center" wrapText="1"/>
    </xf>
    <xf numFmtId="167" fontId="35" fillId="0" borderId="2" xfId="4" applyFont="1" applyFill="1" applyBorder="1" applyAlignment="1">
      <alignment horizontal="center" vertical="center"/>
    </xf>
    <xf numFmtId="0" fontId="30" fillId="0" borderId="6" xfId="10" applyFont="1" applyFill="1" applyBorder="1" applyAlignment="1">
      <alignment vertical="center"/>
    </xf>
    <xf numFmtId="165" fontId="35" fillId="0" borderId="2" xfId="6" applyFont="1" applyFill="1" applyBorder="1" applyAlignment="1">
      <alignment horizontal="center" vertical="center"/>
    </xf>
    <xf numFmtId="165" fontId="34" fillId="2" borderId="2" xfId="8" quotePrefix="1" applyNumberFormat="1" applyFont="1" applyFill="1" applyBorder="1" applyAlignment="1">
      <alignment horizontal="center" vertical="center"/>
    </xf>
    <xf numFmtId="167" fontId="26" fillId="0" borderId="2" xfId="4" applyFont="1" applyBorder="1" applyAlignment="1">
      <alignment vertical="center"/>
    </xf>
    <xf numFmtId="0" fontId="26" fillId="0" borderId="0" xfId="0" applyFont="1" applyFill="1" applyBorder="1" applyAlignment="1">
      <alignment horizontal="justify" vertical="center" wrapText="1"/>
    </xf>
    <xf numFmtId="0" fontId="26" fillId="0" borderId="0" xfId="0" applyFont="1" applyFill="1" applyBorder="1" applyAlignment="1">
      <alignment horizontal="center" vertical="center" wrapText="1"/>
    </xf>
    <xf numFmtId="169" fontId="26" fillId="0" borderId="6" xfId="0" applyNumberFormat="1" applyFont="1" applyFill="1" applyBorder="1" applyAlignment="1" applyProtection="1">
      <alignment horizontal="center" vertical="center"/>
      <protection locked="0"/>
    </xf>
    <xf numFmtId="169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3" borderId="0" xfId="0" applyFont="1" applyFill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Fill="1" applyBorder="1" applyAlignment="1">
      <alignment horizontal="left" vertical="center" shrinkToFit="1"/>
    </xf>
    <xf numFmtId="0" fontId="26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vertical="center" wrapText="1"/>
    </xf>
    <xf numFmtId="0" fontId="26" fillId="3" borderId="0" xfId="0" applyFont="1" applyFill="1" applyBorder="1" applyAlignment="1">
      <alignment horizontal="justify" vertical="center" wrapText="1"/>
    </xf>
    <xf numFmtId="0" fontId="37" fillId="3" borderId="0" xfId="0" applyFont="1" applyFill="1" applyBorder="1" applyAlignment="1" applyProtection="1">
      <alignment vertical="center" wrapText="1"/>
      <protection locked="0"/>
    </xf>
    <xf numFmtId="0" fontId="26" fillId="3" borderId="0" xfId="0" applyFont="1" applyFill="1" applyBorder="1" applyAlignment="1" applyProtection="1">
      <alignment vertical="center" wrapText="1"/>
      <protection locked="0"/>
    </xf>
    <xf numFmtId="0" fontId="26" fillId="3" borderId="0" xfId="0" applyFont="1" applyFill="1" applyBorder="1" applyAlignment="1">
      <alignment vertical="center"/>
    </xf>
    <xf numFmtId="169" fontId="33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33" fillId="3" borderId="0" xfId="0" applyFont="1" applyFill="1" applyBorder="1" applyAlignment="1">
      <alignment horizontal="center" vertical="center" wrapText="1"/>
    </xf>
    <xf numFmtId="20" fontId="26" fillId="3" borderId="0" xfId="0" applyNumberFormat="1" applyFont="1" applyFill="1" applyBorder="1" applyAlignment="1" applyProtection="1">
      <alignment horizontal="center" vertical="center" wrapText="1"/>
      <protection locked="0"/>
    </xf>
    <xf numFmtId="14" fontId="26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4" xfId="0" applyFont="1" applyFill="1" applyBorder="1" applyAlignment="1">
      <alignment horizontal="left" vertical="center"/>
    </xf>
    <xf numFmtId="10" fontId="26" fillId="0" borderId="0" xfId="8" applyNumberFormat="1" applyFont="1" applyFill="1" applyBorder="1" applyAlignment="1">
      <alignment vertical="center"/>
    </xf>
    <xf numFmtId="0" fontId="28" fillId="0" borderId="0" xfId="13" applyFont="1" applyFill="1" applyBorder="1" applyAlignment="1">
      <alignment vertical="center"/>
    </xf>
    <xf numFmtId="0" fontId="26" fillId="0" borderId="0" xfId="13" applyFont="1" applyFill="1"/>
    <xf numFmtId="0" fontId="26" fillId="0" borderId="0" xfId="13" applyFont="1" applyFill="1" applyBorder="1"/>
    <xf numFmtId="0" fontId="40" fillId="0" borderId="0" xfId="13" applyFont="1" applyFill="1" applyBorder="1" applyAlignment="1">
      <alignment vertical="center" wrapText="1"/>
    </xf>
    <xf numFmtId="167" fontId="26" fillId="0" borderId="0" xfId="5" applyFont="1" applyFill="1" applyBorder="1" applyAlignment="1">
      <alignment vertical="center"/>
    </xf>
    <xf numFmtId="0" fontId="28" fillId="0" borderId="0" xfId="8" applyFont="1" applyFill="1" applyBorder="1" applyAlignment="1">
      <alignment horizontal="left" vertical="center"/>
    </xf>
    <xf numFmtId="0" fontId="28" fillId="0" borderId="0" xfId="13" applyFont="1" applyFill="1" applyBorder="1" applyAlignment="1">
      <alignment horizontal="center" vertical="center"/>
    </xf>
    <xf numFmtId="0" fontId="26" fillId="0" borderId="0" xfId="8" applyFont="1" applyFill="1" applyBorder="1" applyAlignment="1">
      <alignment horizontal="center" vertical="center" wrapText="1"/>
    </xf>
    <xf numFmtId="169" fontId="26" fillId="0" borderId="0" xfId="6" applyNumberFormat="1" applyFont="1" applyFill="1" applyBorder="1" applyAlignment="1">
      <alignment horizontal="center" vertical="center" wrapText="1"/>
    </xf>
    <xf numFmtId="10" fontId="28" fillId="0" borderId="0" xfId="8" applyNumberFormat="1" applyFont="1" applyFill="1" applyBorder="1" applyAlignment="1">
      <alignment vertical="center"/>
    </xf>
    <xf numFmtId="167" fontId="28" fillId="0" borderId="0" xfId="4" applyFont="1" applyFill="1" applyBorder="1" applyAlignment="1">
      <alignment vertical="center"/>
    </xf>
    <xf numFmtId="0" fontId="28" fillId="0" borderId="0" xfId="8" applyFont="1" applyFill="1" applyBorder="1" applyAlignment="1" applyProtection="1">
      <alignment horizontal="left" vertical="center"/>
      <protection locked="0"/>
    </xf>
    <xf numFmtId="0" fontId="28" fillId="0" borderId="0" xfId="8" applyFont="1" applyFill="1" applyBorder="1" applyAlignment="1">
      <alignment horizontal="center" vertical="center"/>
    </xf>
    <xf numFmtId="0" fontId="28" fillId="0" borderId="0" xfId="49" applyFont="1" applyFill="1" applyBorder="1" applyAlignment="1">
      <alignment horizontal="center" vertical="center"/>
    </xf>
    <xf numFmtId="0" fontId="42" fillId="0" borderId="15" xfId="8" applyFont="1" applyFill="1" applyBorder="1" applyAlignment="1">
      <alignment vertical="center"/>
    </xf>
    <xf numFmtId="0" fontId="28" fillId="0" borderId="10" xfId="8" applyFont="1" applyFill="1" applyBorder="1" applyAlignment="1">
      <alignment horizontal="left" vertical="center"/>
    </xf>
    <xf numFmtId="0" fontId="28" fillId="0" borderId="8" xfId="8" applyFont="1" applyFill="1" applyBorder="1" applyAlignment="1">
      <alignment horizontal="center" vertical="center"/>
    </xf>
    <xf numFmtId="167" fontId="26" fillId="0" borderId="61" xfId="4" applyFont="1" applyFill="1" applyBorder="1" applyAlignment="1">
      <alignment vertical="center"/>
    </xf>
    <xf numFmtId="0" fontId="28" fillId="0" borderId="11" xfId="8" applyFont="1" applyFill="1" applyBorder="1" applyAlignment="1">
      <alignment vertical="center"/>
    </xf>
    <xf numFmtId="0" fontId="26" fillId="0" borderId="4" xfId="8" applyFont="1" applyFill="1" applyBorder="1" applyAlignment="1">
      <alignment vertical="center"/>
    </xf>
    <xf numFmtId="0" fontId="26" fillId="0" borderId="0" xfId="8" applyFont="1" applyFill="1" applyBorder="1" applyAlignment="1">
      <alignment horizontal="right" vertical="center"/>
    </xf>
    <xf numFmtId="0" fontId="26" fillId="0" borderId="4" xfId="49" applyFont="1" applyFill="1" applyBorder="1" applyAlignment="1">
      <alignment vertical="center"/>
    </xf>
    <xf numFmtId="0" fontId="28" fillId="0" borderId="17" xfId="8" applyFont="1" applyFill="1" applyBorder="1" applyAlignment="1">
      <alignment horizontal="left" vertical="center"/>
    </xf>
    <xf numFmtId="0" fontId="28" fillId="0" borderId="22" xfId="8" applyFont="1" applyFill="1" applyBorder="1" applyAlignment="1">
      <alignment vertical="center"/>
    </xf>
    <xf numFmtId="0" fontId="26" fillId="0" borderId="23" xfId="8" applyFont="1" applyFill="1" applyBorder="1" applyAlignment="1">
      <alignment vertical="center"/>
    </xf>
    <xf numFmtId="1" fontId="26" fillId="0" borderId="0" xfId="8" applyNumberFormat="1" applyFont="1" applyFill="1" applyBorder="1" applyAlignment="1">
      <alignment horizontal="center" vertical="center"/>
    </xf>
    <xf numFmtId="0" fontId="28" fillId="0" borderId="4" xfId="8" applyFont="1" applyFill="1" applyBorder="1" applyAlignment="1">
      <alignment horizontal="center" vertical="center"/>
    </xf>
    <xf numFmtId="0" fontId="28" fillId="0" borderId="11" xfId="8" applyFont="1" applyFill="1" applyBorder="1" applyAlignment="1">
      <alignment horizontal="left" vertical="center"/>
    </xf>
    <xf numFmtId="0" fontId="28" fillId="0" borderId="41" xfId="8" applyFont="1" applyFill="1" applyBorder="1" applyAlignment="1">
      <alignment horizontal="left" vertical="center"/>
    </xf>
    <xf numFmtId="0" fontId="28" fillId="0" borderId="12" xfId="8" applyFont="1" applyFill="1" applyBorder="1" applyAlignment="1">
      <alignment horizontal="center" vertical="center"/>
    </xf>
    <xf numFmtId="169" fontId="26" fillId="0" borderId="0" xfId="8" applyNumberFormat="1" applyFont="1" applyFill="1" applyBorder="1" applyAlignment="1" applyProtection="1">
      <alignment horizontal="center" vertical="center"/>
      <protection locked="0"/>
    </xf>
    <xf numFmtId="0" fontId="26" fillId="0" borderId="10" xfId="8" applyFont="1" applyFill="1" applyBorder="1" applyAlignment="1">
      <alignment vertical="center"/>
    </xf>
    <xf numFmtId="0" fontId="26" fillId="0" borderId="8" xfId="8" applyFont="1" applyFill="1" applyBorder="1" applyAlignment="1">
      <alignment vertical="center"/>
    </xf>
    <xf numFmtId="10" fontId="26" fillId="0" borderId="24" xfId="18" applyNumberFormat="1" applyFont="1" applyFill="1" applyBorder="1" applyAlignment="1" applyProtection="1">
      <alignment horizontal="center" vertical="center"/>
      <protection locked="0"/>
    </xf>
    <xf numFmtId="10" fontId="26" fillId="0" borderId="0" xfId="18" applyNumberFormat="1" applyFont="1" applyFill="1" applyBorder="1" applyAlignment="1">
      <alignment vertical="center"/>
    </xf>
    <xf numFmtId="10" fontId="26" fillId="0" borderId="19" xfId="18" applyNumberFormat="1" applyFont="1" applyFill="1" applyBorder="1" applyAlignment="1" applyProtection="1">
      <alignment horizontal="center" vertical="center"/>
      <protection locked="0"/>
    </xf>
    <xf numFmtId="0" fontId="26" fillId="0" borderId="22" xfId="8" applyFont="1" applyFill="1" applyBorder="1" applyAlignment="1">
      <alignment vertical="center"/>
    </xf>
    <xf numFmtId="10" fontId="26" fillId="0" borderId="74" xfId="18" applyNumberFormat="1" applyFont="1" applyFill="1" applyBorder="1" applyAlignment="1" applyProtection="1">
      <alignment horizontal="center" vertical="center"/>
      <protection locked="0"/>
    </xf>
    <xf numFmtId="10" fontId="26" fillId="0" borderId="16" xfId="18" applyNumberFormat="1" applyFont="1" applyFill="1" applyBorder="1" applyAlignment="1" applyProtection="1">
      <alignment horizontal="center" vertical="center"/>
      <protection locked="0"/>
    </xf>
    <xf numFmtId="10" fontId="26" fillId="0" borderId="29" xfId="18" applyNumberFormat="1" applyFont="1" applyFill="1" applyBorder="1" applyAlignment="1" applyProtection="1">
      <alignment horizontal="center" vertical="center"/>
      <protection locked="0"/>
    </xf>
    <xf numFmtId="10" fontId="26" fillId="0" borderId="18" xfId="18" applyNumberFormat="1" applyFont="1" applyFill="1" applyBorder="1" applyAlignment="1" applyProtection="1">
      <alignment horizontal="center" vertical="center"/>
      <protection locked="0"/>
    </xf>
    <xf numFmtId="10" fontId="26" fillId="0" borderId="0" xfId="20" applyNumberFormat="1" applyFont="1" applyFill="1" applyBorder="1" applyAlignment="1">
      <alignment horizontal="center" vertical="center"/>
    </xf>
    <xf numFmtId="0" fontId="26" fillId="0" borderId="12" xfId="8" applyFont="1" applyFill="1" applyBorder="1" applyAlignment="1">
      <alignment vertical="center"/>
    </xf>
    <xf numFmtId="1" fontId="26" fillId="0" borderId="58" xfId="18" applyNumberFormat="1" applyFont="1" applyFill="1" applyBorder="1" applyAlignment="1" applyProtection="1">
      <alignment horizontal="center" vertical="center"/>
      <protection locked="0"/>
    </xf>
    <xf numFmtId="173" fontId="26" fillId="0" borderId="0" xfId="29" applyNumberFormat="1" applyFont="1" applyFill="1" applyBorder="1" applyAlignment="1">
      <alignment vertical="center"/>
    </xf>
    <xf numFmtId="0" fontId="28" fillId="0" borderId="9" xfId="8" applyFont="1" applyFill="1" applyBorder="1" applyAlignment="1">
      <alignment vertical="center"/>
    </xf>
    <xf numFmtId="0" fontId="26" fillId="0" borderId="9" xfId="8" applyFont="1" applyFill="1" applyBorder="1" applyAlignment="1">
      <alignment vertical="center"/>
    </xf>
    <xf numFmtId="44" fontId="26" fillId="0" borderId="8" xfId="13" applyNumberFormat="1" applyFont="1" applyFill="1" applyBorder="1"/>
    <xf numFmtId="10" fontId="26" fillId="0" borderId="29" xfId="18" applyNumberFormat="1" applyFont="1" applyFill="1" applyBorder="1" applyAlignment="1">
      <alignment horizontal="center" vertical="center"/>
    </xf>
    <xf numFmtId="0" fontId="28" fillId="0" borderId="24" xfId="8" applyFont="1" applyFill="1" applyBorder="1" applyAlignment="1">
      <alignment horizontal="center" vertical="center" shrinkToFit="1"/>
    </xf>
    <xf numFmtId="0" fontId="26" fillId="0" borderId="14" xfId="0" applyFont="1" applyFill="1" applyBorder="1" applyAlignment="1">
      <alignment horizontal="left" vertical="center"/>
    </xf>
    <xf numFmtId="0" fontId="26" fillId="0" borderId="15" xfId="49" applyFont="1" applyFill="1" applyBorder="1" applyAlignment="1">
      <alignment vertical="center"/>
    </xf>
    <xf numFmtId="0" fontId="26" fillId="0" borderId="15" xfId="8" applyFont="1" applyFill="1" applyBorder="1" applyAlignment="1">
      <alignment vertical="center"/>
    </xf>
    <xf numFmtId="167" fontId="26" fillId="0" borderId="24" xfId="4" applyFont="1" applyFill="1" applyBorder="1" applyAlignment="1">
      <alignment horizontal="left" vertical="center"/>
    </xf>
    <xf numFmtId="167" fontId="26" fillId="0" borderId="19" xfId="4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left" vertical="center"/>
    </xf>
    <xf numFmtId="0" fontId="25" fillId="0" borderId="4" xfId="8" applyFont="1" applyFill="1" applyBorder="1" applyAlignment="1">
      <alignment vertical="center"/>
    </xf>
    <xf numFmtId="10" fontId="26" fillId="0" borderId="0" xfId="20" applyNumberFormat="1" applyFont="1" applyFill="1" applyBorder="1" applyAlignment="1">
      <alignment vertical="center"/>
    </xf>
    <xf numFmtId="169" fontId="25" fillId="0" borderId="48" xfId="0" applyNumberFormat="1" applyFont="1" applyFill="1" applyBorder="1" applyAlignment="1">
      <alignment horizontal="left" vertical="center"/>
    </xf>
    <xf numFmtId="0" fontId="26" fillId="0" borderId="21" xfId="8" applyFont="1" applyFill="1" applyBorder="1" applyAlignment="1">
      <alignment vertical="center"/>
    </xf>
    <xf numFmtId="167" fontId="26" fillId="0" borderId="72" xfId="4" applyFont="1" applyFill="1" applyBorder="1" applyAlignment="1">
      <alignment horizontal="left" vertical="center"/>
    </xf>
    <xf numFmtId="0" fontId="26" fillId="0" borderId="41" xfId="0" applyFont="1" applyFill="1" applyBorder="1" applyAlignment="1">
      <alignment horizontal="left" vertical="center"/>
    </xf>
    <xf numFmtId="167" fontId="26" fillId="0" borderId="12" xfId="4" applyFont="1" applyFill="1" applyBorder="1" applyAlignment="1">
      <alignment horizontal="left" vertical="center"/>
    </xf>
    <xf numFmtId="167" fontId="26" fillId="0" borderId="29" xfId="4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left" vertical="center"/>
    </xf>
    <xf numFmtId="167" fontId="26" fillId="0" borderId="58" xfId="4" applyFont="1" applyFill="1" applyBorder="1" applyAlignment="1">
      <alignment horizontal="left" vertical="center"/>
    </xf>
    <xf numFmtId="0" fontId="26" fillId="0" borderId="8" xfId="8" applyFont="1" applyFill="1" applyBorder="1" applyAlignment="1">
      <alignment horizontal="left" vertical="center"/>
    </xf>
    <xf numFmtId="0" fontId="26" fillId="0" borderId="8" xfId="8" applyFont="1" applyFill="1" applyBorder="1" applyAlignment="1">
      <alignment horizontal="right" vertical="center"/>
    </xf>
    <xf numFmtId="2" fontId="26" fillId="0" borderId="16" xfId="8" applyNumberFormat="1" applyFont="1" applyFill="1" applyBorder="1" applyAlignment="1">
      <alignment horizontal="center" vertical="center"/>
    </xf>
    <xf numFmtId="165" fontId="26" fillId="0" borderId="16" xfId="6" applyFont="1" applyFill="1" applyBorder="1" applyAlignment="1">
      <alignment vertical="center"/>
    </xf>
    <xf numFmtId="0" fontId="26" fillId="0" borderId="9" xfId="8" applyFont="1" applyFill="1" applyBorder="1" applyAlignment="1">
      <alignment horizontal="right" vertical="center"/>
    </xf>
    <xf numFmtId="2" fontId="26" fillId="0" borderId="58" xfId="8" applyNumberFormat="1" applyFont="1" applyFill="1" applyBorder="1" applyAlignment="1">
      <alignment horizontal="center" vertical="center"/>
    </xf>
    <xf numFmtId="165" fontId="26" fillId="0" borderId="58" xfId="6" applyFont="1" applyFill="1" applyBorder="1" applyAlignment="1">
      <alignment vertical="center"/>
    </xf>
    <xf numFmtId="165" fontId="26" fillId="0" borderId="0" xfId="6" applyFont="1" applyFill="1" applyBorder="1" applyAlignment="1">
      <alignment horizontal="center" vertical="center"/>
    </xf>
    <xf numFmtId="167" fontId="26" fillId="0" borderId="0" xfId="4" applyFont="1" applyFill="1" applyBorder="1" applyAlignment="1">
      <alignment vertical="center" shrinkToFit="1"/>
    </xf>
    <xf numFmtId="9" fontId="26" fillId="0" borderId="69" xfId="20" applyFont="1" applyFill="1" applyBorder="1" applyAlignment="1">
      <alignment vertical="center"/>
    </xf>
    <xf numFmtId="9" fontId="26" fillId="0" borderId="9" xfId="20" applyFont="1" applyFill="1" applyBorder="1" applyAlignment="1">
      <alignment vertical="center"/>
    </xf>
    <xf numFmtId="10" fontId="26" fillId="0" borderId="58" xfId="8" applyNumberFormat="1" applyFont="1" applyFill="1" applyBorder="1" applyAlignment="1">
      <alignment horizontal="center" vertical="center"/>
    </xf>
    <xf numFmtId="0" fontId="26" fillId="0" borderId="0" xfId="8" applyFont="1" applyFill="1" applyAlignment="1">
      <alignment horizontal="center" vertical="center"/>
    </xf>
    <xf numFmtId="0" fontId="26" fillId="0" borderId="0" xfId="8" applyFont="1" applyFill="1" applyBorder="1" applyAlignment="1">
      <alignment vertical="center" shrinkToFit="1"/>
    </xf>
    <xf numFmtId="10" fontId="26" fillId="0" borderId="16" xfId="20" applyNumberFormat="1" applyFont="1" applyFill="1" applyBorder="1" applyAlignment="1">
      <alignment horizontal="center" vertical="center"/>
    </xf>
    <xf numFmtId="0" fontId="26" fillId="0" borderId="13" xfId="8" applyFont="1" applyFill="1" applyBorder="1" applyAlignment="1">
      <alignment vertical="center"/>
    </xf>
    <xf numFmtId="10" fontId="26" fillId="0" borderId="29" xfId="20" applyNumberFormat="1" applyFont="1" applyFill="1" applyBorder="1" applyAlignment="1">
      <alignment horizontal="center" vertical="center"/>
    </xf>
    <xf numFmtId="0" fontId="28" fillId="0" borderId="34" xfId="8" applyNumberFormat="1" applyFont="1" applyFill="1" applyBorder="1" applyAlignment="1">
      <alignment horizontal="center" vertical="center"/>
    </xf>
    <xf numFmtId="0" fontId="28" fillId="0" borderId="34" xfId="8" applyNumberFormat="1" applyFont="1" applyFill="1" applyBorder="1" applyAlignment="1">
      <alignment horizontal="center" vertical="center" wrapText="1"/>
    </xf>
    <xf numFmtId="10" fontId="26" fillId="0" borderId="63" xfId="28" applyNumberFormat="1" applyFont="1" applyFill="1" applyBorder="1" applyAlignment="1" applyProtection="1">
      <alignment horizontal="center" vertical="center"/>
    </xf>
    <xf numFmtId="10" fontId="28" fillId="0" borderId="63" xfId="8" applyNumberFormat="1" applyFont="1" applyFill="1" applyBorder="1" applyAlignment="1">
      <alignment horizontal="center" vertical="center" wrapText="1"/>
    </xf>
    <xf numFmtId="0" fontId="26" fillId="0" borderId="48" xfId="8" applyFont="1" applyFill="1" applyBorder="1" applyAlignment="1">
      <alignment horizontal="center" vertical="center" wrapText="1"/>
    </xf>
    <xf numFmtId="0" fontId="26" fillId="0" borderId="3" xfId="8" applyFont="1" applyFill="1" applyBorder="1" applyAlignment="1">
      <alignment horizontal="left" vertical="center"/>
    </xf>
    <xf numFmtId="0" fontId="26" fillId="0" borderId="3" xfId="49" applyFont="1" applyFill="1" applyBorder="1" applyAlignment="1">
      <alignment horizontal="center" vertical="center"/>
    </xf>
    <xf numFmtId="0" fontId="26" fillId="0" borderId="21" xfId="8" applyFont="1" applyFill="1" applyBorder="1" applyAlignment="1">
      <alignment horizontal="left" vertical="center"/>
    </xf>
    <xf numFmtId="0" fontId="26" fillId="0" borderId="0" xfId="8" applyFont="1" applyFill="1" applyBorder="1" applyAlignment="1">
      <alignment vertical="center" wrapText="1"/>
    </xf>
    <xf numFmtId="0" fontId="26" fillId="0" borderId="2" xfId="8" applyFont="1" applyFill="1" applyBorder="1" applyAlignment="1">
      <alignment horizontal="left" vertical="center"/>
    </xf>
    <xf numFmtId="0" fontId="26" fillId="0" borderId="73" xfId="8" applyFont="1" applyFill="1" applyBorder="1" applyAlignment="1">
      <alignment horizontal="center" vertical="center" wrapText="1"/>
    </xf>
    <xf numFmtId="0" fontId="26" fillId="0" borderId="45" xfId="8" applyFont="1" applyFill="1" applyBorder="1" applyAlignment="1">
      <alignment horizontal="left" vertical="center"/>
    </xf>
    <xf numFmtId="0" fontId="26" fillId="0" borderId="0" xfId="8" applyFont="1" applyFill="1" applyAlignment="1">
      <alignment wrapText="1"/>
    </xf>
    <xf numFmtId="10" fontId="28" fillId="0" borderId="35" xfId="0" applyNumberFormat="1" applyFont="1" applyFill="1" applyBorder="1" applyAlignment="1">
      <alignment horizontal="center" vertical="center"/>
    </xf>
    <xf numFmtId="10" fontId="26" fillId="0" borderId="49" xfId="0" applyNumberFormat="1" applyFont="1" applyFill="1" applyBorder="1" applyAlignment="1">
      <alignment horizontal="center" vertical="center"/>
    </xf>
    <xf numFmtId="169" fontId="26" fillId="0" borderId="40" xfId="0" applyNumberFormat="1" applyFont="1" applyFill="1" applyBorder="1" applyAlignment="1">
      <alignment horizontal="center" vertical="center"/>
    </xf>
    <xf numFmtId="0" fontId="28" fillId="0" borderId="0" xfId="8" applyFont="1" applyFill="1" applyAlignment="1">
      <alignment vertical="justify"/>
    </xf>
    <xf numFmtId="0" fontId="38" fillId="0" borderId="0" xfId="13" applyFont="1" applyFill="1"/>
    <xf numFmtId="0" fontId="38" fillId="0" borderId="0" xfId="0" applyFont="1" applyFill="1" applyAlignment="1">
      <alignment vertical="center"/>
    </xf>
    <xf numFmtId="49" fontId="38" fillId="0" borderId="0" xfId="8" applyNumberFormat="1" applyFont="1" applyFill="1" applyAlignment="1">
      <alignment vertical="center" wrapText="1"/>
    </xf>
    <xf numFmtId="49" fontId="38" fillId="0" borderId="0" xfId="13" applyNumberFormat="1" applyFont="1" applyFill="1"/>
    <xf numFmtId="49" fontId="38" fillId="0" borderId="0" xfId="0" quotePrefix="1" applyNumberFormat="1" applyFont="1" applyFill="1" applyBorder="1" applyAlignment="1">
      <alignment vertical="center"/>
    </xf>
    <xf numFmtId="10" fontId="26" fillId="0" borderId="71" xfId="0" applyNumberFormat="1" applyFont="1" applyFill="1" applyBorder="1" applyAlignment="1">
      <alignment horizontal="center" vertical="center"/>
    </xf>
    <xf numFmtId="49" fontId="38" fillId="0" borderId="0" xfId="8" applyNumberFormat="1" applyFont="1" applyFill="1" applyBorder="1" applyAlignment="1">
      <alignment vertical="center"/>
    </xf>
    <xf numFmtId="49" fontId="42" fillId="0" borderId="0" xfId="0" applyNumberFormat="1" applyFont="1" applyFill="1" applyAlignment="1">
      <alignment horizontal="left" vertical="center"/>
    </xf>
    <xf numFmtId="49" fontId="38" fillId="0" borderId="0" xfId="8" quotePrefix="1" applyNumberFormat="1" applyFont="1" applyFill="1" applyAlignment="1">
      <alignment horizontal="left" vertical="center"/>
    </xf>
    <xf numFmtId="49" fontId="38" fillId="0" borderId="0" xfId="0" applyNumberFormat="1" applyFont="1" applyFill="1" applyAlignment="1">
      <alignment vertical="center"/>
    </xf>
    <xf numFmtId="49" fontId="38" fillId="0" borderId="0" xfId="8" applyNumberFormat="1" applyFont="1" applyFill="1" applyAlignment="1">
      <alignment vertical="center"/>
    </xf>
    <xf numFmtId="49" fontId="38" fillId="0" borderId="0" xfId="8" quotePrefix="1" applyNumberFormat="1" applyFont="1" applyFill="1" applyBorder="1" applyAlignment="1">
      <alignment vertical="center"/>
    </xf>
    <xf numFmtId="10" fontId="28" fillId="0" borderId="71" xfId="0" applyNumberFormat="1" applyFont="1" applyFill="1" applyBorder="1" applyAlignment="1">
      <alignment horizontal="center" vertical="center"/>
    </xf>
    <xf numFmtId="49" fontId="38" fillId="0" borderId="0" xfId="8" quotePrefix="1" applyNumberFormat="1" applyFont="1" applyFill="1" applyBorder="1" applyAlignment="1">
      <alignment horizontal="left" vertical="center"/>
    </xf>
    <xf numFmtId="0" fontId="28" fillId="0" borderId="0" xfId="8" quotePrefix="1" applyFont="1" applyFill="1" applyBorder="1" applyAlignment="1">
      <alignment horizontal="left" vertical="center"/>
    </xf>
    <xf numFmtId="0" fontId="26" fillId="0" borderId="0" xfId="8" applyFont="1" applyFill="1" applyBorder="1" applyAlignment="1">
      <alignment horizontal="left" vertical="center"/>
    </xf>
    <xf numFmtId="0" fontId="28" fillId="0" borderId="0" xfId="9" applyFont="1" applyFill="1" applyBorder="1" applyAlignment="1">
      <alignment vertical="center"/>
    </xf>
    <xf numFmtId="165" fontId="26" fillId="0" borderId="0" xfId="6" applyFont="1" applyFill="1" applyAlignment="1">
      <alignment vertical="center"/>
    </xf>
    <xf numFmtId="0" fontId="26" fillId="0" borderId="0" xfId="8" applyFont="1" applyFill="1"/>
    <xf numFmtId="0" fontId="28" fillId="0" borderId="0" xfId="8" applyFont="1" applyFill="1" applyAlignment="1">
      <alignment vertical="center"/>
    </xf>
    <xf numFmtId="0" fontId="28" fillId="0" borderId="0" xfId="49" applyFont="1" applyFill="1" applyBorder="1" applyAlignment="1">
      <alignment horizontal="left" vertical="center"/>
    </xf>
    <xf numFmtId="0" fontId="28" fillId="0" borderId="0" xfId="49" applyFont="1" applyFill="1" applyBorder="1" applyAlignment="1" applyProtection="1">
      <alignment vertical="center"/>
      <protection locked="0"/>
    </xf>
    <xf numFmtId="0" fontId="26" fillId="0" borderId="4" xfId="8" applyFont="1" applyFill="1" applyBorder="1" applyAlignment="1">
      <alignment horizontal="right" vertical="center"/>
    </xf>
    <xf numFmtId="14" fontId="26" fillId="0" borderId="0" xfId="8" applyNumberFormat="1" applyFont="1" applyFill="1" applyBorder="1" applyAlignment="1">
      <alignment vertical="center"/>
    </xf>
    <xf numFmtId="0" fontId="28" fillId="0" borderId="11" xfId="49" applyFont="1" applyFill="1" applyBorder="1" applyAlignment="1">
      <alignment vertical="center"/>
    </xf>
    <xf numFmtId="0" fontId="26" fillId="0" borderId="4" xfId="49" applyFont="1" applyFill="1" applyBorder="1" applyAlignment="1">
      <alignment horizontal="right" vertical="center"/>
    </xf>
    <xf numFmtId="0" fontId="26" fillId="0" borderId="9" xfId="13" applyFont="1" applyFill="1" applyBorder="1"/>
    <xf numFmtId="0" fontId="26" fillId="0" borderId="9" xfId="13" applyFont="1" applyFill="1" applyBorder="1" applyAlignment="1">
      <alignment horizontal="center" vertical="center"/>
    </xf>
    <xf numFmtId="0" fontId="26" fillId="0" borderId="9" xfId="13" applyFont="1" applyFill="1" applyBorder="1" applyAlignment="1" applyProtection="1">
      <alignment horizontal="center" vertical="center"/>
      <protection locked="0"/>
    </xf>
    <xf numFmtId="0" fontId="49" fillId="0" borderId="17" xfId="13" applyFont="1" applyFill="1" applyBorder="1" applyAlignment="1">
      <alignment vertical="center"/>
    </xf>
    <xf numFmtId="0" fontId="49" fillId="0" borderId="0" xfId="13" applyFont="1" applyFill="1" applyAlignment="1">
      <alignment vertical="center"/>
    </xf>
    <xf numFmtId="0" fontId="26" fillId="0" borderId="73" xfId="13" applyFont="1" applyFill="1" applyBorder="1"/>
    <xf numFmtId="0" fontId="26" fillId="0" borderId="26" xfId="13" applyFont="1" applyFill="1" applyBorder="1"/>
    <xf numFmtId="0" fontId="26" fillId="0" borderId="15" xfId="13" applyFont="1" applyFill="1" applyBorder="1"/>
    <xf numFmtId="0" fontId="26" fillId="0" borderId="15" xfId="13" applyFont="1" applyFill="1" applyBorder="1" applyAlignment="1">
      <alignment vertical="center"/>
    </xf>
    <xf numFmtId="0" fontId="26" fillId="0" borderId="15" xfId="13" applyFont="1" applyFill="1" applyBorder="1" applyAlignment="1" applyProtection="1">
      <alignment horizontal="center" vertical="center"/>
      <protection locked="0"/>
    </xf>
    <xf numFmtId="0" fontId="26" fillId="0" borderId="14" xfId="8" applyFont="1" applyFill="1" applyBorder="1" applyAlignment="1">
      <alignment vertical="center"/>
    </xf>
    <xf numFmtId="0" fontId="26" fillId="0" borderId="0" xfId="13" applyFont="1" applyFill="1" applyBorder="1" applyAlignment="1">
      <alignment horizontal="center" vertical="center"/>
    </xf>
    <xf numFmtId="0" fontId="26" fillId="0" borderId="41" xfId="8" applyFont="1" applyFill="1" applyBorder="1" applyAlignment="1">
      <alignment vertical="center"/>
    </xf>
    <xf numFmtId="10" fontId="56" fillId="0" borderId="0" xfId="1" applyNumberFormat="1" applyFont="1" applyFill="1" applyBorder="1" applyAlignment="1" applyProtection="1">
      <alignment horizontal="center" vertical="center"/>
    </xf>
    <xf numFmtId="0" fontId="26" fillId="0" borderId="10" xfId="8" applyFont="1" applyFill="1" applyBorder="1" applyAlignment="1">
      <alignment horizontal="left" vertical="center"/>
    </xf>
    <xf numFmtId="44" fontId="26" fillId="0" borderId="24" xfId="13" applyNumberFormat="1" applyFont="1" applyFill="1" applyBorder="1"/>
    <xf numFmtId="0" fontId="26" fillId="0" borderId="0" xfId="6" applyNumberFormat="1" applyFont="1" applyFill="1" applyBorder="1" applyAlignment="1">
      <alignment horizontal="left" vertical="center"/>
    </xf>
    <xf numFmtId="0" fontId="26" fillId="0" borderId="17" xfId="8" applyFont="1" applyFill="1" applyBorder="1" applyAlignment="1">
      <alignment vertical="center"/>
    </xf>
    <xf numFmtId="0" fontId="26" fillId="0" borderId="0" xfId="6" applyNumberFormat="1" applyFont="1" applyFill="1" applyBorder="1" applyAlignment="1">
      <alignment horizontal="center" vertical="center"/>
    </xf>
    <xf numFmtId="167" fontId="26" fillId="0" borderId="0" xfId="4" applyFont="1" applyFill="1" applyBorder="1" applyAlignment="1">
      <alignment horizontal="center" vertical="center"/>
    </xf>
    <xf numFmtId="10" fontId="26" fillId="0" borderId="15" xfId="19" applyNumberFormat="1" applyFont="1" applyFill="1" applyBorder="1" applyAlignment="1">
      <alignment horizontal="center" vertical="center"/>
    </xf>
    <xf numFmtId="167" fontId="26" fillId="0" borderId="0" xfId="4" applyFont="1" applyFill="1" applyBorder="1" applyAlignment="1">
      <alignment horizontal="left" vertical="center"/>
    </xf>
    <xf numFmtId="0" fontId="26" fillId="0" borderId="11" xfId="8" applyFont="1" applyFill="1" applyBorder="1" applyAlignment="1">
      <alignment vertical="center"/>
    </xf>
    <xf numFmtId="10" fontId="26" fillId="0" borderId="4" xfId="19" applyNumberFormat="1" applyFont="1" applyFill="1" applyBorder="1" applyAlignment="1">
      <alignment horizontal="center" vertical="center"/>
    </xf>
    <xf numFmtId="0" fontId="28" fillId="0" borderId="4" xfId="49" applyFont="1" applyFill="1" applyBorder="1" applyAlignment="1">
      <alignment horizontal="center" vertical="center"/>
    </xf>
    <xf numFmtId="10" fontId="26" fillId="0" borderId="21" xfId="19" applyNumberFormat="1" applyFont="1" applyFill="1" applyBorder="1" applyAlignment="1">
      <alignment horizontal="center" vertical="center"/>
    </xf>
    <xf numFmtId="0" fontId="26" fillId="0" borderId="4" xfId="13" applyFont="1" applyFill="1" applyBorder="1"/>
    <xf numFmtId="0" fontId="28" fillId="0" borderId="21" xfId="49" applyFont="1" applyFill="1" applyBorder="1" applyAlignment="1">
      <alignment horizontal="center" vertical="center"/>
    </xf>
    <xf numFmtId="0" fontId="26" fillId="0" borderId="21" xfId="13" applyFont="1" applyFill="1" applyBorder="1"/>
    <xf numFmtId="0" fontId="28" fillId="0" borderId="21" xfId="8" applyFont="1" applyFill="1" applyBorder="1" applyAlignment="1">
      <alignment horizontal="center" vertical="center"/>
    </xf>
    <xf numFmtId="0" fontId="28" fillId="0" borderId="12" xfId="49" applyFont="1" applyFill="1" applyBorder="1" applyAlignment="1">
      <alignment horizontal="center" vertical="center"/>
    </xf>
    <xf numFmtId="0" fontId="26" fillId="0" borderId="12" xfId="13" applyFont="1" applyFill="1" applyBorder="1"/>
    <xf numFmtId="0" fontId="28" fillId="0" borderId="9" xfId="49" applyFont="1" applyFill="1" applyBorder="1" applyAlignment="1">
      <alignment horizontal="center" vertical="center"/>
    </xf>
    <xf numFmtId="0" fontId="28" fillId="0" borderId="9" xfId="8" applyFont="1" applyFill="1" applyBorder="1" applyAlignment="1">
      <alignment horizontal="center" vertical="center"/>
    </xf>
    <xf numFmtId="0" fontId="42" fillId="0" borderId="0" xfId="13" applyFont="1" applyFill="1" applyBorder="1" applyAlignment="1">
      <alignment vertical="center"/>
    </xf>
    <xf numFmtId="0" fontId="26" fillId="0" borderId="0" xfId="13" applyFont="1" applyFill="1" applyAlignment="1">
      <alignment horizontal="center" vertical="center"/>
    </xf>
    <xf numFmtId="167" fontId="26" fillId="0" borderId="0" xfId="4" applyFont="1" applyFill="1"/>
    <xf numFmtId="167" fontId="26" fillId="0" borderId="0" xfId="13" applyNumberFormat="1" applyFont="1" applyFill="1"/>
    <xf numFmtId="0" fontId="26" fillId="0" borderId="62" xfId="8" applyFont="1" applyFill="1" applyBorder="1" applyAlignment="1">
      <alignment vertical="center"/>
    </xf>
    <xf numFmtId="10" fontId="28" fillId="0" borderId="0" xfId="8" applyNumberFormat="1" applyFont="1" applyFill="1" applyBorder="1" applyAlignment="1">
      <alignment horizontal="center" vertical="center"/>
    </xf>
    <xf numFmtId="10" fontId="42" fillId="0" borderId="17" xfId="20" applyNumberFormat="1" applyFont="1" applyFill="1" applyBorder="1" applyAlignment="1">
      <alignment vertical="center" wrapText="1"/>
    </xf>
    <xf numFmtId="10" fontId="42" fillId="0" borderId="0" xfId="20" applyNumberFormat="1" applyFont="1" applyFill="1" applyBorder="1" applyAlignment="1">
      <alignment vertical="center" wrapText="1"/>
    </xf>
    <xf numFmtId="165" fontId="26" fillId="0" borderId="0" xfId="13" applyNumberFormat="1" applyFont="1" applyFill="1"/>
    <xf numFmtId="0" fontId="42" fillId="0" borderId="0" xfId="13" applyFont="1" applyFill="1" applyAlignment="1">
      <alignment horizontal="center" vertical="center"/>
    </xf>
    <xf numFmtId="0" fontId="26" fillId="0" borderId="0" xfId="4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42" fillId="0" borderId="0" xfId="13" applyFont="1" applyFill="1"/>
    <xf numFmtId="169" fontId="28" fillId="0" borderId="15" xfId="0" applyNumberFormat="1" applyFont="1" applyFill="1" applyBorder="1" applyAlignment="1">
      <alignment vertical="center"/>
    </xf>
    <xf numFmtId="0" fontId="28" fillId="0" borderId="0" xfId="13" applyFont="1" applyFill="1" applyBorder="1" applyAlignment="1"/>
    <xf numFmtId="49" fontId="42" fillId="0" borderId="0" xfId="0" applyNumberFormat="1" applyFont="1" applyFill="1" applyAlignment="1">
      <alignment vertical="center" wrapText="1"/>
    </xf>
    <xf numFmtId="49" fontId="49" fillId="0" borderId="0" xfId="0" applyNumberFormat="1" applyFont="1" applyFill="1" applyAlignment="1">
      <alignment vertical="center" wrapText="1"/>
    </xf>
    <xf numFmtId="0" fontId="26" fillId="0" borderId="28" xfId="8" applyFont="1" applyFill="1" applyBorder="1" applyAlignment="1">
      <alignment vertical="center"/>
    </xf>
    <xf numFmtId="2" fontId="28" fillId="0" borderId="56" xfId="0" applyNumberFormat="1" applyFont="1" applyFill="1" applyBorder="1" applyAlignment="1">
      <alignment vertical="center"/>
    </xf>
    <xf numFmtId="2" fontId="28" fillId="0" borderId="51" xfId="0" applyNumberFormat="1" applyFont="1" applyFill="1" applyBorder="1" applyAlignment="1">
      <alignment vertical="center"/>
    </xf>
    <xf numFmtId="2" fontId="28" fillId="0" borderId="52" xfId="0" applyNumberFormat="1" applyFont="1" applyFill="1" applyBorder="1" applyAlignment="1">
      <alignment vertical="center"/>
    </xf>
    <xf numFmtId="179" fontId="26" fillId="0" borderId="36" xfId="20" applyNumberFormat="1" applyFont="1" applyFill="1" applyBorder="1" applyAlignment="1">
      <alignment horizontal="center" vertical="center"/>
    </xf>
    <xf numFmtId="10" fontId="28" fillId="0" borderId="44" xfId="49" applyNumberFormat="1" applyFont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left" vertical="center"/>
    </xf>
    <xf numFmtId="0" fontId="26" fillId="0" borderId="4" xfId="0" applyFont="1" applyFill="1" applyBorder="1" applyAlignment="1">
      <alignment horizontal="left" vertical="center"/>
    </xf>
    <xf numFmtId="0" fontId="26" fillId="0" borderId="6" xfId="0" applyFont="1" applyFill="1" applyBorder="1" applyAlignment="1">
      <alignment horizontal="justify" vertical="center" wrapText="1"/>
    </xf>
    <xf numFmtId="0" fontId="26" fillId="0" borderId="4" xfId="0" applyFont="1" applyFill="1" applyBorder="1" applyAlignment="1">
      <alignment horizontal="justify" vertical="center" wrapText="1"/>
    </xf>
    <xf numFmtId="0" fontId="26" fillId="0" borderId="0" xfId="0" applyFont="1" applyFill="1" applyBorder="1" applyAlignment="1">
      <alignment horizontal="center" vertical="center" wrapText="1"/>
    </xf>
    <xf numFmtId="14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 applyProtection="1">
      <alignment horizontal="center" vertical="center" wrapText="1"/>
      <protection locked="0"/>
    </xf>
    <xf numFmtId="14" fontId="26" fillId="3" borderId="0" xfId="0" applyNumberFormat="1" applyFont="1" applyFill="1" applyBorder="1" applyAlignment="1" applyProtection="1">
      <alignment horizontal="center" vertical="center" wrapText="1"/>
      <protection locked="0"/>
    </xf>
    <xf numFmtId="180" fontId="26" fillId="0" borderId="2" xfId="0" applyNumberFormat="1" applyFont="1" applyFill="1" applyBorder="1" applyAlignment="1" applyProtection="1">
      <alignment horizontal="center" vertical="center" wrapText="1"/>
    </xf>
    <xf numFmtId="9" fontId="26" fillId="0" borderId="0" xfId="18" applyFont="1" applyAlignment="1">
      <alignment vertical="center"/>
    </xf>
    <xf numFmtId="44" fontId="26" fillId="7" borderId="19" xfId="8" applyNumberFormat="1" applyFont="1" applyFill="1" applyBorder="1" applyAlignment="1">
      <alignment vertical="center"/>
    </xf>
    <xf numFmtId="0" fontId="26" fillId="7" borderId="19" xfId="8" applyFont="1" applyFill="1" applyBorder="1" applyAlignment="1">
      <alignment vertical="center"/>
    </xf>
    <xf numFmtId="0" fontId="28" fillId="6" borderId="16" xfId="8" applyFont="1" applyFill="1" applyBorder="1" applyAlignment="1">
      <alignment vertical="center" wrapText="1"/>
    </xf>
    <xf numFmtId="0" fontId="28" fillId="7" borderId="29" xfId="8" applyFont="1" applyFill="1" applyBorder="1" applyAlignment="1">
      <alignment vertical="center"/>
    </xf>
    <xf numFmtId="0" fontId="28" fillId="0" borderId="2" xfId="14" applyFont="1" applyFill="1" applyBorder="1" applyAlignment="1">
      <alignment horizontal="center" vertical="center"/>
    </xf>
    <xf numFmtId="0" fontId="28" fillId="0" borderId="2" xfId="14" applyFont="1" applyFill="1" applyBorder="1" applyAlignment="1">
      <alignment horizontal="center" vertical="center" wrapText="1"/>
    </xf>
    <xf numFmtId="0" fontId="27" fillId="0" borderId="0" xfId="14" applyFont="1" applyFill="1" applyAlignment="1">
      <alignment horizontal="center" vertical="center" wrapText="1"/>
    </xf>
    <xf numFmtId="0" fontId="26" fillId="0" borderId="45" xfId="14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left" vertical="center"/>
    </xf>
    <xf numFmtId="0" fontId="26" fillId="0" borderId="21" xfId="0" applyFont="1" applyFill="1" applyBorder="1" applyAlignment="1">
      <alignment horizontal="justify" vertical="center"/>
    </xf>
    <xf numFmtId="10" fontId="26" fillId="0" borderId="39" xfId="0" applyNumberFormat="1" applyFont="1" applyFill="1" applyBorder="1" applyAlignment="1">
      <alignment horizontal="center" vertical="center"/>
    </xf>
    <xf numFmtId="167" fontId="26" fillId="0" borderId="3" xfId="0" applyNumberFormat="1" applyFont="1" applyFill="1" applyBorder="1" applyAlignment="1" applyProtection="1">
      <alignment horizontal="center" vertical="center"/>
      <protection locked="0"/>
    </xf>
    <xf numFmtId="0" fontId="26" fillId="0" borderId="2" xfId="0" applyFont="1" applyFill="1" applyBorder="1" applyAlignment="1">
      <alignment horizontal="justify" vertical="center"/>
    </xf>
    <xf numFmtId="0" fontId="26" fillId="0" borderId="2" xfId="0" applyFont="1" applyFill="1" applyBorder="1" applyAlignment="1">
      <alignment vertical="center"/>
    </xf>
    <xf numFmtId="0" fontId="26" fillId="0" borderId="2" xfId="0" applyFont="1" applyFill="1" applyBorder="1" applyAlignment="1">
      <alignment vertical="center" wrapText="1"/>
    </xf>
    <xf numFmtId="0" fontId="26" fillId="0" borderId="2" xfId="0" applyFont="1" applyFill="1" applyBorder="1" applyAlignment="1" applyProtection="1">
      <alignment vertical="center" wrapText="1"/>
      <protection locked="0"/>
    </xf>
    <xf numFmtId="20" fontId="2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1" xfId="0" applyFont="1" applyFill="1" applyBorder="1" applyAlignment="1">
      <alignment vertical="center" wrapText="1"/>
    </xf>
    <xf numFmtId="0" fontId="26" fillId="0" borderId="39" xfId="0" applyFont="1" applyFill="1" applyBorder="1" applyAlignment="1">
      <alignment vertical="center" wrapText="1"/>
    </xf>
    <xf numFmtId="10" fontId="26" fillId="0" borderId="3" xfId="0" applyNumberFormat="1" applyFont="1" applyFill="1" applyBorder="1" applyAlignment="1" applyProtection="1">
      <alignment horizontal="center" vertical="center" wrapText="1"/>
    </xf>
    <xf numFmtId="167" fontId="26" fillId="0" borderId="3" xfId="0" applyNumberFormat="1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left" vertical="center"/>
    </xf>
    <xf numFmtId="0" fontId="26" fillId="0" borderId="21" xfId="0" applyFont="1" applyFill="1" applyBorder="1" applyAlignment="1">
      <alignment horizontal="justify" vertical="center" wrapText="1"/>
    </xf>
    <xf numFmtId="0" fontId="26" fillId="0" borderId="39" xfId="0" applyFont="1" applyFill="1" applyBorder="1" applyAlignment="1">
      <alignment vertical="center"/>
    </xf>
    <xf numFmtId="0" fontId="26" fillId="0" borderId="47" xfId="0" applyFont="1" applyFill="1" applyBorder="1" applyAlignment="1">
      <alignment horizontal="justify" vertical="center"/>
    </xf>
    <xf numFmtId="0" fontId="26" fillId="0" borderId="47" xfId="0" applyFont="1" applyFill="1" applyBorder="1" applyAlignment="1">
      <alignment vertical="center" wrapText="1"/>
    </xf>
    <xf numFmtId="167" fontId="26" fillId="0" borderId="3" xfId="4" applyFont="1" applyFill="1" applyBorder="1" applyAlignment="1">
      <alignment horizontal="center" vertical="center"/>
    </xf>
    <xf numFmtId="10" fontId="26" fillId="0" borderId="39" xfId="0" applyNumberFormat="1" applyFont="1" applyFill="1" applyBorder="1" applyAlignment="1">
      <alignment horizontal="center" vertical="center" wrapText="1"/>
    </xf>
    <xf numFmtId="167" fontId="26" fillId="0" borderId="3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left" vertical="center" shrinkToFit="1"/>
    </xf>
    <xf numFmtId="167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39" xfId="0" applyFont="1" applyFill="1" applyBorder="1" applyAlignment="1">
      <alignment horizontal="left" vertical="center"/>
    </xf>
    <xf numFmtId="10" fontId="26" fillId="0" borderId="3" xfId="0" applyNumberFormat="1" applyFont="1" applyFill="1" applyBorder="1" applyAlignment="1">
      <alignment horizontal="center" vertical="center"/>
    </xf>
    <xf numFmtId="167" fontId="26" fillId="0" borderId="3" xfId="0" applyNumberFormat="1" applyFont="1" applyFill="1" applyBorder="1" applyAlignment="1" applyProtection="1">
      <alignment horizontal="left" vertical="center"/>
    </xf>
    <xf numFmtId="0" fontId="26" fillId="0" borderId="23" xfId="0" applyFont="1" applyFill="1" applyBorder="1" applyAlignment="1">
      <alignment vertical="center" wrapText="1"/>
    </xf>
    <xf numFmtId="10" fontId="26" fillId="0" borderId="53" xfId="0" applyNumberFormat="1" applyFont="1" applyFill="1" applyBorder="1" applyAlignment="1" applyProtection="1">
      <alignment horizontal="center" vertical="center" wrapText="1"/>
    </xf>
    <xf numFmtId="0" fontId="26" fillId="0" borderId="45" xfId="0" applyFont="1" applyFill="1" applyBorder="1" applyAlignment="1">
      <alignment vertical="center"/>
    </xf>
    <xf numFmtId="0" fontId="26" fillId="0" borderId="53" xfId="0" applyFont="1" applyFill="1" applyBorder="1" applyAlignment="1">
      <alignment vertical="center"/>
    </xf>
    <xf numFmtId="10" fontId="26" fillId="0" borderId="2" xfId="0" applyNumberFormat="1" applyFont="1" applyFill="1" applyBorder="1" applyAlignment="1">
      <alignment horizontal="left" vertical="center"/>
    </xf>
    <xf numFmtId="167" fontId="26" fillId="0" borderId="2" xfId="0" applyNumberFormat="1" applyFont="1" applyFill="1" applyBorder="1" applyAlignment="1">
      <alignment horizontal="left" vertical="center"/>
    </xf>
    <xf numFmtId="167" fontId="26" fillId="0" borderId="47" xfId="0" applyNumberFormat="1" applyFont="1" applyFill="1" applyBorder="1" applyAlignment="1" applyProtection="1">
      <alignment horizontal="center" vertical="center"/>
      <protection locked="0"/>
    </xf>
    <xf numFmtId="0" fontId="26" fillId="0" borderId="45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left" vertical="center"/>
    </xf>
    <xf numFmtId="0" fontId="26" fillId="0" borderId="23" xfId="0" applyFont="1" applyFill="1" applyBorder="1" applyAlignment="1">
      <alignment horizontal="justify" vertical="center"/>
    </xf>
    <xf numFmtId="10" fontId="26" fillId="0" borderId="53" xfId="0" applyNumberFormat="1" applyFont="1" applyFill="1" applyBorder="1" applyAlignment="1">
      <alignment horizontal="center" vertical="center"/>
    </xf>
    <xf numFmtId="167" fontId="26" fillId="0" borderId="45" xfId="0" applyNumberFormat="1" applyFont="1" applyFill="1" applyBorder="1" applyAlignment="1" applyProtection="1">
      <alignment horizontal="center" vertical="center"/>
      <protection locked="0"/>
    </xf>
    <xf numFmtId="167" fontId="26" fillId="0" borderId="5" xfId="0" applyNumberFormat="1" applyFont="1" applyFill="1" applyBorder="1" applyAlignment="1" applyProtection="1">
      <alignment horizontal="center" vertical="center"/>
      <protection locked="0"/>
    </xf>
    <xf numFmtId="0" fontId="26" fillId="0" borderId="3" xfId="0" applyFont="1" applyFill="1" applyBorder="1" applyAlignment="1">
      <alignment horizontal="justify" vertical="center"/>
    </xf>
    <xf numFmtId="0" fontId="26" fillId="0" borderId="3" xfId="0" applyFont="1" applyFill="1" applyBorder="1" applyAlignment="1">
      <alignment vertical="center"/>
    </xf>
    <xf numFmtId="0" fontId="26" fillId="0" borderId="45" xfId="0" applyFont="1" applyFill="1" applyBorder="1" applyAlignment="1">
      <alignment horizontal="justify" vertical="center" wrapText="1"/>
    </xf>
    <xf numFmtId="0" fontId="26" fillId="0" borderId="45" xfId="0" applyFont="1" applyFill="1" applyBorder="1" applyAlignment="1">
      <alignment horizontal="justify" vertical="center"/>
    </xf>
    <xf numFmtId="167" fontId="26" fillId="0" borderId="2" xfId="4" applyFont="1" applyFill="1" applyBorder="1" applyAlignment="1">
      <alignment horizontal="center" vertical="center"/>
    </xf>
    <xf numFmtId="167" fontId="28" fillId="4" borderId="3" xfId="0" applyNumberFormat="1" applyFont="1" applyFill="1" applyBorder="1" applyAlignment="1">
      <alignment horizontal="center" vertical="center"/>
    </xf>
    <xf numFmtId="167" fontId="26" fillId="0" borderId="2" xfId="0" applyNumberFormat="1" applyFont="1" applyFill="1" applyBorder="1" applyAlignment="1" applyProtection="1">
      <alignment vertical="center"/>
      <protection locked="0"/>
    </xf>
    <xf numFmtId="0" fontId="28" fillId="0" borderId="2" xfId="0" applyFont="1" applyFill="1" applyBorder="1" applyAlignment="1">
      <alignment horizontal="left" vertical="center"/>
    </xf>
    <xf numFmtId="0" fontId="26" fillId="0" borderId="2" xfId="0" applyFont="1" applyFill="1" applyBorder="1" applyAlignment="1" applyProtection="1">
      <alignment vertical="center"/>
      <protection locked="0"/>
    </xf>
    <xf numFmtId="10" fontId="26" fillId="0" borderId="2" xfId="0" applyNumberFormat="1" applyFont="1" applyFill="1" applyBorder="1" applyAlignment="1">
      <alignment horizontal="center" vertical="center" wrapText="1"/>
    </xf>
    <xf numFmtId="168" fontId="26" fillId="0" borderId="2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justify" vertical="center"/>
    </xf>
    <xf numFmtId="0" fontId="26" fillId="0" borderId="45" xfId="0" applyFont="1" applyFill="1" applyBorder="1" applyAlignment="1">
      <alignment horizontal="left" vertical="center"/>
    </xf>
    <xf numFmtId="10" fontId="26" fillId="0" borderId="45" xfId="0" applyNumberFormat="1" applyFont="1" applyFill="1" applyBorder="1" applyAlignment="1">
      <alignment horizontal="left" vertical="center"/>
    </xf>
    <xf numFmtId="167" fontId="26" fillId="0" borderId="45" xfId="0" applyNumberFormat="1" applyFont="1" applyFill="1" applyBorder="1" applyAlignment="1">
      <alignment horizontal="left" vertical="center"/>
    </xf>
    <xf numFmtId="0" fontId="26" fillId="0" borderId="45" xfId="0" applyFont="1" applyFill="1" applyBorder="1" applyAlignment="1">
      <alignment horizontal="left" vertical="center" wrapText="1"/>
    </xf>
    <xf numFmtId="10" fontId="26" fillId="0" borderId="45" xfId="0" applyNumberFormat="1" applyFont="1" applyFill="1" applyBorder="1" applyAlignment="1">
      <alignment horizontal="center" vertical="center" wrapText="1"/>
    </xf>
    <xf numFmtId="167" fontId="26" fillId="0" borderId="45" xfId="0" applyNumberFormat="1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vertical="center" wrapText="1"/>
    </xf>
    <xf numFmtId="0" fontId="28" fillId="0" borderId="45" xfId="0" applyFont="1" applyFill="1" applyBorder="1" applyAlignment="1">
      <alignment horizontal="left" vertical="center"/>
    </xf>
    <xf numFmtId="0" fontId="26" fillId="0" borderId="0" xfId="0" applyFont="1" applyFill="1" applyBorder="1" applyAlignment="1" applyProtection="1">
      <alignment vertical="center"/>
      <protection locked="0"/>
    </xf>
    <xf numFmtId="168" fontId="26" fillId="0" borderId="0" xfId="0" applyNumberFormat="1" applyFont="1" applyFill="1" applyBorder="1" applyAlignment="1" applyProtection="1">
      <alignment vertical="center" wrapText="1"/>
      <protection locked="0"/>
    </xf>
    <xf numFmtId="14" fontId="26" fillId="0" borderId="0" xfId="0" applyNumberFormat="1" applyFont="1" applyFill="1" applyBorder="1" applyAlignment="1" applyProtection="1">
      <alignment vertical="center" wrapText="1"/>
      <protection locked="0"/>
    </xf>
    <xf numFmtId="0" fontId="26" fillId="0" borderId="45" xfId="0" applyFont="1" applyFill="1" applyBorder="1" applyAlignment="1" applyProtection="1">
      <alignment vertical="center"/>
      <protection locked="0"/>
    </xf>
    <xf numFmtId="0" fontId="26" fillId="0" borderId="45" xfId="0" applyFont="1" applyFill="1" applyBorder="1" applyAlignment="1" applyProtection="1">
      <alignment vertical="center" wrapText="1"/>
      <protection locked="0"/>
    </xf>
    <xf numFmtId="167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44" fontId="26" fillId="0" borderId="0" xfId="14" applyNumberFormat="1" applyFont="1" applyAlignment="1">
      <alignment vertical="center" wrapText="1"/>
    </xf>
    <xf numFmtId="43" fontId="26" fillId="0" borderId="0" xfId="14" applyNumberFormat="1" applyFont="1" applyAlignment="1">
      <alignment vertical="center"/>
    </xf>
    <xf numFmtId="44" fontId="26" fillId="0" borderId="0" xfId="8" applyNumberFormat="1" applyFont="1" applyAlignment="1">
      <alignment vertical="center"/>
    </xf>
    <xf numFmtId="167" fontId="26" fillId="0" borderId="2" xfId="4" applyFont="1" applyFill="1" applyBorder="1" applyAlignment="1">
      <alignment horizontal="center" vertical="center"/>
    </xf>
    <xf numFmtId="0" fontId="28" fillId="2" borderId="45" xfId="49" applyFont="1" applyFill="1" applyBorder="1" applyAlignment="1">
      <alignment horizontal="center" vertical="center" wrapText="1"/>
    </xf>
    <xf numFmtId="165" fontId="26" fillId="0" borderId="2" xfId="6" applyFont="1" applyFill="1" applyBorder="1" applyAlignment="1">
      <alignment vertical="center"/>
    </xf>
    <xf numFmtId="0" fontId="28" fillId="0" borderId="33" xfId="8" applyFont="1" applyBorder="1" applyAlignment="1">
      <alignment vertical="center"/>
    </xf>
    <xf numFmtId="44" fontId="26" fillId="0" borderId="35" xfId="8" applyNumberFormat="1" applyFont="1" applyBorder="1" applyAlignment="1">
      <alignment vertical="center"/>
    </xf>
    <xf numFmtId="0" fontId="26" fillId="0" borderId="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justify" vertical="center" wrapText="1"/>
    </xf>
    <xf numFmtId="14" fontId="2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6" xfId="0" applyFont="1" applyFill="1" applyBorder="1" applyAlignment="1">
      <alignment horizontal="left" vertical="center"/>
    </xf>
    <xf numFmtId="0" fontId="26" fillId="0" borderId="4" xfId="0" applyFont="1" applyFill="1" applyBorder="1" applyAlignment="1">
      <alignment horizontal="left" vertical="center"/>
    </xf>
    <xf numFmtId="0" fontId="26" fillId="0" borderId="7" xfId="0" applyFont="1" applyFill="1" applyBorder="1" applyAlignment="1">
      <alignment horizontal="left" vertical="center"/>
    </xf>
    <xf numFmtId="0" fontId="26" fillId="0" borderId="0" xfId="0" applyFont="1" applyFill="1" applyAlignment="1">
      <alignment horizontal="justify" vertical="center" wrapText="1"/>
    </xf>
    <xf numFmtId="0" fontId="28" fillId="0" borderId="2" xfId="0" applyFont="1" applyFill="1" applyBorder="1" applyAlignment="1">
      <alignment horizontal="right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14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" xfId="0" applyFont="1" applyFill="1" applyBorder="1" applyAlignment="1">
      <alignment horizontal="justify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justify" vertical="center" wrapText="1"/>
    </xf>
    <xf numFmtId="0" fontId="26" fillId="0" borderId="4" xfId="0" applyFont="1" applyFill="1" applyBorder="1" applyAlignment="1">
      <alignment horizontal="justify" vertical="center" wrapText="1"/>
    </xf>
    <xf numFmtId="0" fontId="26" fillId="0" borderId="7" xfId="0" applyFont="1" applyFill="1" applyBorder="1" applyAlignment="1">
      <alignment horizontal="justify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>
      <alignment horizontal="center" vertical="center" wrapText="1"/>
    </xf>
    <xf numFmtId="0" fontId="26" fillId="0" borderId="45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left" vertical="center"/>
    </xf>
    <xf numFmtId="167" fontId="26" fillId="0" borderId="2" xfId="0" applyNumberFormat="1" applyFont="1" applyFill="1" applyBorder="1" applyAlignment="1" applyProtection="1">
      <alignment horizontal="center" vertical="center"/>
      <protection locked="0"/>
    </xf>
    <xf numFmtId="167" fontId="26" fillId="0" borderId="2" xfId="0" applyNumberFormat="1" applyFont="1" applyFill="1" applyBorder="1" applyAlignment="1">
      <alignment horizontal="center" vertical="center"/>
    </xf>
    <xf numFmtId="167" fontId="26" fillId="0" borderId="2" xfId="4" applyFont="1" applyFill="1" applyBorder="1" applyAlignment="1">
      <alignment horizontal="center" vertical="center"/>
    </xf>
    <xf numFmtId="167" fontId="26" fillId="0" borderId="2" xfId="0" applyNumberFormat="1" applyFont="1" applyFill="1" applyBorder="1" applyAlignment="1">
      <alignment horizontal="center" vertical="center" wrapText="1"/>
    </xf>
    <xf numFmtId="167" fontId="28" fillId="0" borderId="2" xfId="4" applyFont="1" applyFill="1" applyBorder="1" applyAlignment="1">
      <alignment horizontal="center" vertical="center" wrapText="1"/>
    </xf>
    <xf numFmtId="167" fontId="26" fillId="0" borderId="2" xfId="0" applyNumberFormat="1" applyFont="1" applyFill="1" applyBorder="1" applyAlignment="1" applyProtection="1">
      <alignment horizontal="center" vertical="center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10" fontId="26" fillId="0" borderId="7" xfId="0" applyNumberFormat="1" applyFont="1" applyFill="1" applyBorder="1" applyAlignment="1">
      <alignment horizontal="center" vertical="center"/>
    </xf>
    <xf numFmtId="10" fontId="26" fillId="0" borderId="7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>
      <alignment horizontal="justify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8" fillId="0" borderId="2" xfId="14" applyFont="1" applyFill="1" applyBorder="1" applyAlignment="1">
      <alignment horizontal="center" vertical="center" wrapText="1"/>
    </xf>
    <xf numFmtId="0" fontId="27" fillId="0" borderId="0" xfId="14" applyFont="1" applyFill="1" applyAlignment="1">
      <alignment horizontal="center" vertical="center" wrapText="1"/>
    </xf>
    <xf numFmtId="0" fontId="28" fillId="2" borderId="2" xfId="15" applyFont="1" applyFill="1" applyBorder="1" applyAlignment="1">
      <alignment horizontal="center" vertical="center"/>
    </xf>
    <xf numFmtId="0" fontId="26" fillId="0" borderId="2" xfId="15" applyFont="1" applyBorder="1" applyAlignment="1">
      <alignment horizontal="center" vertical="center"/>
    </xf>
    <xf numFmtId="169" fontId="28" fillId="0" borderId="0" xfId="15" applyNumberFormat="1" applyFont="1" applyFill="1" applyBorder="1" applyAlignment="1">
      <alignment horizontal="justify" vertical="center" wrapText="1"/>
    </xf>
    <xf numFmtId="169" fontId="28" fillId="0" borderId="2" xfId="15" applyNumberFormat="1" applyFont="1" applyFill="1" applyBorder="1" applyAlignment="1">
      <alignment horizontal="center" vertical="center"/>
    </xf>
    <xf numFmtId="0" fontId="28" fillId="2" borderId="45" xfId="49" applyFont="1" applyFill="1" applyBorder="1" applyAlignment="1">
      <alignment horizontal="center" vertical="center" wrapText="1"/>
    </xf>
    <xf numFmtId="43" fontId="26" fillId="0" borderId="0" xfId="8" applyNumberFormat="1" applyFont="1" applyAlignment="1">
      <alignment vertical="center"/>
    </xf>
    <xf numFmtId="0" fontId="28" fillId="0" borderId="0" xfId="8" applyFont="1" applyFill="1" applyBorder="1" applyAlignment="1">
      <alignment vertical="center" wrapText="1"/>
    </xf>
    <xf numFmtId="44" fontId="26" fillId="7" borderId="16" xfId="8" applyNumberFormat="1" applyFont="1" applyFill="1" applyBorder="1" applyAlignment="1">
      <alignment vertic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 wrapText="1"/>
    </xf>
    <xf numFmtId="167" fontId="28" fillId="0" borderId="2" xfId="0" applyNumberFormat="1" applyFont="1" applyFill="1" applyBorder="1" applyAlignment="1">
      <alignment horizontal="left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/>
    </xf>
    <xf numFmtId="167" fontId="28" fillId="0" borderId="0" xfId="0" applyNumberFormat="1" applyFont="1" applyFill="1" applyBorder="1" applyAlignment="1">
      <alignment horizontal="center" vertical="center" wrapText="1"/>
    </xf>
    <xf numFmtId="167" fontId="26" fillId="0" borderId="2" xfId="0" applyNumberFormat="1" applyFont="1" applyFill="1" applyBorder="1" applyAlignment="1">
      <alignment vertical="center"/>
    </xf>
    <xf numFmtId="169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4" xfId="0" applyNumberFormat="1" applyFont="1" applyFill="1" applyBorder="1" applyAlignment="1" applyProtection="1">
      <alignment vertical="center" wrapText="1"/>
      <protection locked="0"/>
    </xf>
    <xf numFmtId="14" fontId="26" fillId="0" borderId="4" xfId="0" applyNumberFormat="1" applyFont="1" applyFill="1" applyBorder="1" applyAlignment="1" applyProtection="1">
      <alignment vertical="center" wrapText="1"/>
      <protection locked="0"/>
    </xf>
    <xf numFmtId="0" fontId="57" fillId="0" borderId="0" xfId="0" applyFont="1" applyFill="1" applyAlignment="1">
      <alignment horizontal="left" vertical="center"/>
    </xf>
    <xf numFmtId="0" fontId="26" fillId="0" borderId="39" xfId="0" applyFont="1" applyFill="1" applyBorder="1" applyAlignment="1">
      <alignment horizontal="center" vertical="center" wrapText="1"/>
    </xf>
    <xf numFmtId="10" fontId="26" fillId="0" borderId="0" xfId="0" applyNumberFormat="1" applyFont="1" applyFill="1" applyBorder="1" applyAlignment="1">
      <alignment horizontal="center" vertical="center"/>
    </xf>
    <xf numFmtId="174" fontId="26" fillId="0" borderId="0" xfId="0" applyNumberFormat="1" applyFont="1" applyFill="1" applyBorder="1" applyAlignment="1">
      <alignment horizontal="center" vertical="center"/>
    </xf>
    <xf numFmtId="167" fontId="26" fillId="0" borderId="39" xfId="4" applyFont="1" applyFill="1" applyBorder="1" applyAlignment="1">
      <alignment horizontal="center" vertical="center"/>
    </xf>
    <xf numFmtId="167" fontId="26" fillId="0" borderId="7" xfId="4" applyFont="1" applyFill="1" applyBorder="1" applyAlignment="1">
      <alignment horizontal="center" vertical="center"/>
    </xf>
    <xf numFmtId="179" fontId="26" fillId="0" borderId="2" xfId="0" applyNumberFormat="1" applyFont="1" applyFill="1" applyBorder="1" applyAlignment="1">
      <alignment horizontal="center" vertical="center" wrapText="1"/>
    </xf>
    <xf numFmtId="169" fontId="2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45" xfId="0" applyFont="1" applyFill="1" applyBorder="1" applyAlignment="1">
      <alignment horizontal="left" vertical="center"/>
    </xf>
    <xf numFmtId="167" fontId="26" fillId="0" borderId="45" xfId="4" applyFont="1" applyFill="1" applyBorder="1" applyAlignment="1">
      <alignment horizontal="center" vertical="center"/>
    </xf>
    <xf numFmtId="180" fontId="26" fillId="0" borderId="2" xfId="0" applyNumberFormat="1" applyFont="1" applyFill="1" applyBorder="1" applyAlignment="1">
      <alignment horizontal="center" vertical="center" wrapText="1"/>
    </xf>
    <xf numFmtId="2" fontId="26" fillId="0" borderId="4" xfId="0" applyNumberFormat="1" applyFont="1" applyFill="1" applyBorder="1" applyAlignment="1" applyProtection="1">
      <alignment vertical="center" wrapText="1"/>
      <protection locked="0"/>
    </xf>
    <xf numFmtId="14" fontId="26" fillId="0" borderId="7" xfId="0" applyNumberFormat="1" applyFont="1" applyFill="1" applyBorder="1" applyAlignment="1" applyProtection="1">
      <alignment vertical="center" wrapText="1"/>
      <protection locked="0"/>
    </xf>
    <xf numFmtId="14" fontId="26" fillId="0" borderId="2" xfId="0" applyNumberFormat="1" applyFont="1" applyFill="1" applyBorder="1" applyAlignment="1" applyProtection="1">
      <alignment vertical="center" wrapText="1"/>
      <protection locked="0"/>
    </xf>
    <xf numFmtId="0" fontId="28" fillId="0" borderId="2" xfId="0" applyFont="1" applyFill="1" applyBorder="1" applyAlignment="1">
      <alignment vertical="center" wrapText="1"/>
    </xf>
    <xf numFmtId="0" fontId="28" fillId="0" borderId="0" xfId="0" applyFont="1" applyFill="1" applyAlignment="1">
      <alignment horizontal="left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0" fontId="28" fillId="0" borderId="57" xfId="0" applyFont="1" applyFill="1" applyBorder="1" applyAlignment="1">
      <alignment horizontal="center" vertical="center" wrapText="1"/>
    </xf>
    <xf numFmtId="0" fontId="28" fillId="0" borderId="57" xfId="0" applyFont="1" applyFill="1" applyBorder="1" applyAlignment="1">
      <alignment horizontal="center" vertical="center"/>
    </xf>
    <xf numFmtId="167" fontId="26" fillId="0" borderId="75" xfId="4" applyFont="1" applyFill="1" applyBorder="1" applyAlignment="1">
      <alignment horizontal="center" vertical="center" wrapText="1"/>
    </xf>
    <xf numFmtId="0" fontId="28" fillId="0" borderId="75" xfId="0" applyFont="1" applyFill="1" applyBorder="1" applyAlignment="1">
      <alignment horizontal="center" vertical="center" wrapText="1"/>
    </xf>
    <xf numFmtId="0" fontId="28" fillId="0" borderId="76" xfId="0" applyFont="1" applyFill="1" applyBorder="1" applyAlignment="1">
      <alignment horizontal="center" vertical="center" wrapText="1"/>
    </xf>
    <xf numFmtId="0" fontId="26" fillId="0" borderId="75" xfId="0" applyFont="1" applyFill="1" applyBorder="1" applyAlignment="1">
      <alignment horizontal="center" vertical="center" wrapText="1"/>
    </xf>
    <xf numFmtId="0" fontId="26" fillId="0" borderId="76" xfId="0" applyFont="1" applyFill="1" applyBorder="1" applyAlignment="1">
      <alignment horizontal="center" vertical="center" wrapText="1"/>
    </xf>
    <xf numFmtId="169" fontId="26" fillId="0" borderId="75" xfId="0" applyNumberFormat="1" applyFont="1" applyFill="1" applyBorder="1" applyAlignment="1">
      <alignment horizontal="center" vertical="center" wrapText="1"/>
    </xf>
    <xf numFmtId="169" fontId="28" fillId="0" borderId="75" xfId="0" applyNumberFormat="1" applyFont="1" applyFill="1" applyBorder="1" applyAlignment="1">
      <alignment horizontal="center" vertical="center" wrapText="1"/>
    </xf>
    <xf numFmtId="169" fontId="28" fillId="0" borderId="77" xfId="0" applyNumberFormat="1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 wrapText="1"/>
    </xf>
    <xf numFmtId="172" fontId="28" fillId="0" borderId="2" xfId="0" applyNumberFormat="1" applyFont="1" applyBorder="1" applyAlignment="1">
      <alignment horizontal="center" vertical="center"/>
    </xf>
    <xf numFmtId="172" fontId="28" fillId="2" borderId="7" xfId="0" applyNumberFormat="1" applyFont="1" applyFill="1" applyBorder="1" applyAlignment="1">
      <alignment horizontal="center" vertical="center"/>
    </xf>
    <xf numFmtId="169" fontId="28" fillId="2" borderId="2" xfId="0" applyNumberFormat="1" applyFont="1" applyFill="1" applyBorder="1" applyAlignment="1">
      <alignment horizontal="center" vertical="center"/>
    </xf>
    <xf numFmtId="44" fontId="28" fillId="0" borderId="0" xfId="0" applyNumberFormat="1" applyFont="1" applyFill="1" applyBorder="1" applyAlignment="1">
      <alignment horizontal="justify" vertical="center" wrapText="1"/>
    </xf>
    <xf numFmtId="14" fontId="26" fillId="0" borderId="0" xfId="0" applyNumberFormat="1" applyFont="1" applyFill="1" applyBorder="1" applyAlignment="1">
      <alignment horizontal="justify" vertical="center" wrapText="1"/>
    </xf>
    <xf numFmtId="0" fontId="26" fillId="0" borderId="6" xfId="10" applyFont="1" applyBorder="1" applyAlignment="1">
      <alignment vertical="center"/>
    </xf>
    <xf numFmtId="0" fontId="26" fillId="0" borderId="4" xfId="10" applyFont="1" applyBorder="1" applyAlignment="1">
      <alignment vertical="center"/>
    </xf>
    <xf numFmtId="0" fontId="26" fillId="0" borderId="6" xfId="10" applyFont="1" applyFill="1" applyBorder="1" applyAlignment="1">
      <alignment vertical="center"/>
    </xf>
    <xf numFmtId="10" fontId="26" fillId="0" borderId="0" xfId="18" applyNumberFormat="1" applyFont="1" applyFill="1" applyAlignment="1">
      <alignment horizontal="center" vertical="center"/>
    </xf>
    <xf numFmtId="2" fontId="28" fillId="0" borderId="6" xfId="15" applyNumberFormat="1" applyFont="1" applyFill="1" applyBorder="1" applyAlignment="1">
      <alignment horizontal="center" vertical="center" wrapText="1"/>
    </xf>
    <xf numFmtId="10" fontId="28" fillId="0" borderId="45" xfId="15" applyNumberFormat="1" applyFont="1" applyFill="1" applyBorder="1" applyAlignment="1">
      <alignment horizontal="center" vertical="center" wrapText="1"/>
    </xf>
    <xf numFmtId="0" fontId="28" fillId="0" borderId="45" xfId="15" applyNumberFormat="1" applyFont="1" applyFill="1" applyBorder="1" applyAlignment="1">
      <alignment horizontal="center" vertical="center" wrapText="1"/>
    </xf>
    <xf numFmtId="0" fontId="26" fillId="0" borderId="2" xfId="141" applyFont="1" applyFill="1" applyBorder="1" applyAlignment="1">
      <alignment horizontal="justify" vertical="center" wrapText="1"/>
    </xf>
    <xf numFmtId="2" fontId="28" fillId="0" borderId="5" xfId="15" applyNumberFormat="1" applyFont="1" applyFill="1" applyBorder="1" applyAlignment="1">
      <alignment horizontal="center" vertical="center" wrapText="1"/>
    </xf>
    <xf numFmtId="0" fontId="28" fillId="0" borderId="45" xfId="15" applyFont="1" applyFill="1" applyBorder="1" applyAlignment="1">
      <alignment horizontal="center" vertical="center" wrapText="1"/>
    </xf>
    <xf numFmtId="0" fontId="26" fillId="0" borderId="2" xfId="141" applyFont="1" applyBorder="1" applyAlignment="1">
      <alignment horizontal="justify" vertical="center" wrapText="1"/>
    </xf>
    <xf numFmtId="179" fontId="26" fillId="0" borderId="2" xfId="20" applyNumberFormat="1" applyFont="1" applyFill="1" applyBorder="1" applyAlignment="1">
      <alignment horizontal="center" vertical="center"/>
    </xf>
    <xf numFmtId="180" fontId="26" fillId="0" borderId="2" xfId="20" applyNumberFormat="1" applyFont="1" applyFill="1" applyBorder="1" applyAlignment="1">
      <alignment horizontal="center" vertical="center"/>
    </xf>
    <xf numFmtId="2" fontId="28" fillId="0" borderId="2" xfId="15" applyNumberFormat="1" applyFont="1" applyFill="1" applyBorder="1" applyAlignment="1">
      <alignment horizontal="center" vertical="center" wrapText="1"/>
    </xf>
    <xf numFmtId="14" fontId="26" fillId="0" borderId="0" xfId="8" applyNumberFormat="1" applyFont="1" applyAlignment="1">
      <alignment vertical="center"/>
    </xf>
    <xf numFmtId="14" fontId="28" fillId="0" borderId="0" xfId="8" applyNumberFormat="1" applyFont="1" applyAlignment="1">
      <alignment vertical="center"/>
    </xf>
    <xf numFmtId="167" fontId="26" fillId="0" borderId="0" xfId="4" applyFont="1" applyFill="1" applyAlignment="1">
      <alignment vertical="center"/>
    </xf>
    <xf numFmtId="167" fontId="26" fillId="0" borderId="0" xfId="4" applyFont="1" applyFill="1" applyAlignment="1">
      <alignment horizontal="center" vertical="center" wrapText="1"/>
    </xf>
    <xf numFmtId="0" fontId="26" fillId="0" borderId="6" xfId="14" applyFont="1" applyFill="1" applyBorder="1" applyAlignment="1">
      <alignment horizontal="justify" vertical="center" wrapText="1"/>
    </xf>
    <xf numFmtId="0" fontId="26" fillId="0" borderId="0" xfId="14" applyFont="1" applyFill="1" applyBorder="1" applyAlignment="1">
      <alignment vertical="center"/>
    </xf>
    <xf numFmtId="44" fontId="26" fillId="0" borderId="0" xfId="14" applyNumberFormat="1" applyFont="1" applyFill="1" applyBorder="1" applyAlignment="1">
      <alignment vertical="center"/>
    </xf>
    <xf numFmtId="14" fontId="40" fillId="0" borderId="11" xfId="8" applyNumberFormat="1" applyFont="1" applyFill="1" applyBorder="1" applyAlignment="1" applyProtection="1">
      <alignment horizontal="center" vertical="center"/>
      <protection locked="0"/>
    </xf>
    <xf numFmtId="14" fontId="40" fillId="0" borderId="25" xfId="8" applyNumberFormat="1" applyFont="1" applyFill="1" applyBorder="1" applyAlignment="1" applyProtection="1">
      <alignment horizontal="center" vertical="center"/>
      <protection locked="0"/>
    </xf>
    <xf numFmtId="0" fontId="28" fillId="0" borderId="14" xfId="8" applyFont="1" applyFill="1" applyBorder="1" applyAlignment="1">
      <alignment horizontal="center" vertical="center"/>
    </xf>
    <xf numFmtId="0" fontId="28" fillId="0" borderId="15" xfId="8" applyFont="1" applyFill="1" applyBorder="1" applyAlignment="1">
      <alignment horizontal="center" vertical="center"/>
    </xf>
    <xf numFmtId="169" fontId="26" fillId="0" borderId="41" xfId="8" applyNumberFormat="1" applyFont="1" applyFill="1" applyBorder="1" applyAlignment="1" applyProtection="1">
      <alignment horizontal="center" vertical="center"/>
      <protection locked="0"/>
    </xf>
    <xf numFmtId="169" fontId="26" fillId="0" borderId="28" xfId="8" applyNumberFormat="1" applyFont="1" applyFill="1" applyBorder="1" applyAlignment="1" applyProtection="1">
      <alignment horizontal="center" vertical="center"/>
      <protection locked="0"/>
    </xf>
    <xf numFmtId="0" fontId="26" fillId="0" borderId="14" xfId="8" applyFont="1" applyFill="1" applyBorder="1" applyAlignment="1">
      <alignment horizontal="left" vertical="center"/>
    </xf>
    <xf numFmtId="0" fontId="26" fillId="0" borderId="15" xfId="8" applyFont="1" applyFill="1" applyBorder="1" applyAlignment="1">
      <alignment horizontal="left" vertical="center"/>
    </xf>
    <xf numFmtId="0" fontId="26" fillId="0" borderId="68" xfId="8" applyFont="1" applyFill="1" applyBorder="1" applyAlignment="1">
      <alignment horizontal="left" vertical="center"/>
    </xf>
    <xf numFmtId="0" fontId="26" fillId="0" borderId="13" xfId="8" applyFont="1" applyFill="1" applyBorder="1" applyAlignment="1">
      <alignment horizontal="left" vertical="center"/>
    </xf>
    <xf numFmtId="0" fontId="26" fillId="0" borderId="9" xfId="8" applyFont="1" applyFill="1" applyBorder="1" applyAlignment="1">
      <alignment horizontal="left" vertical="center"/>
    </xf>
    <xf numFmtId="0" fontId="26" fillId="0" borderId="55" xfId="8" applyFont="1" applyFill="1" applyBorder="1" applyAlignment="1">
      <alignment horizontal="left" vertical="center"/>
    </xf>
    <xf numFmtId="0" fontId="26" fillId="0" borderId="20" xfId="8" applyFont="1" applyFill="1" applyBorder="1" applyAlignment="1">
      <alignment horizontal="left" vertical="center"/>
    </xf>
    <xf numFmtId="0" fontId="26" fillId="0" borderId="21" xfId="8" applyFont="1" applyFill="1" applyBorder="1" applyAlignment="1">
      <alignment horizontal="left" vertical="center"/>
    </xf>
    <xf numFmtId="0" fontId="26" fillId="0" borderId="64" xfId="8" applyFont="1" applyFill="1" applyBorder="1" applyAlignment="1">
      <alignment horizontal="left" vertical="center"/>
    </xf>
    <xf numFmtId="0" fontId="26" fillId="0" borderId="11" xfId="8" applyFont="1" applyFill="1" applyBorder="1" applyAlignment="1">
      <alignment horizontal="left" vertical="center"/>
    </xf>
    <xf numFmtId="0" fontId="26" fillId="0" borderId="4" xfId="8" applyFont="1" applyFill="1" applyBorder="1" applyAlignment="1">
      <alignment horizontal="left" vertical="center"/>
    </xf>
    <xf numFmtId="0" fontId="26" fillId="0" borderId="25" xfId="8" applyFont="1" applyFill="1" applyBorder="1" applyAlignment="1">
      <alignment horizontal="left" vertical="center"/>
    </xf>
    <xf numFmtId="0" fontId="28" fillId="0" borderId="33" xfId="8" applyFont="1" applyFill="1" applyBorder="1" applyAlignment="1">
      <alignment horizontal="center" vertical="center"/>
    </xf>
    <xf numFmtId="0" fontId="28" fillId="0" borderId="34" xfId="8" applyFont="1" applyFill="1" applyBorder="1" applyAlignment="1">
      <alignment horizontal="center" vertical="center"/>
    </xf>
    <xf numFmtId="0" fontId="28" fillId="0" borderId="35" xfId="8" applyFont="1" applyFill="1" applyBorder="1" applyAlignment="1">
      <alignment horizontal="center" vertical="center"/>
    </xf>
    <xf numFmtId="0" fontId="26" fillId="0" borderId="31" xfId="8" applyFont="1" applyFill="1" applyBorder="1" applyAlignment="1">
      <alignment horizontal="right" vertical="center"/>
    </xf>
    <xf numFmtId="0" fontId="26" fillId="0" borderId="60" xfId="8" applyFont="1" applyFill="1" applyBorder="1" applyAlignment="1">
      <alignment horizontal="right" vertical="center"/>
    </xf>
    <xf numFmtId="0" fontId="26" fillId="0" borderId="26" xfId="8" applyFont="1" applyFill="1" applyBorder="1" applyAlignment="1">
      <alignment horizontal="right" vertical="center"/>
    </xf>
    <xf numFmtId="0" fontId="26" fillId="0" borderId="27" xfId="8" applyFont="1" applyFill="1" applyBorder="1" applyAlignment="1">
      <alignment horizontal="right" vertical="center"/>
    </xf>
    <xf numFmtId="14" fontId="26" fillId="0" borderId="11" xfId="8" applyNumberFormat="1" applyFont="1" applyFill="1" applyBorder="1" applyAlignment="1" applyProtection="1">
      <alignment horizontal="center" vertical="center"/>
      <protection locked="0"/>
    </xf>
    <xf numFmtId="14" fontId="26" fillId="0" borderId="25" xfId="8" applyNumberFormat="1" applyFont="1" applyFill="1" applyBorder="1" applyAlignment="1" applyProtection="1">
      <alignment horizontal="center" vertical="center"/>
      <protection locked="0"/>
    </xf>
    <xf numFmtId="20" fontId="26" fillId="0" borderId="11" xfId="8" applyNumberFormat="1" applyFont="1" applyFill="1" applyBorder="1" applyAlignment="1" applyProtection="1">
      <alignment horizontal="center" vertical="center"/>
      <protection locked="0"/>
    </xf>
    <xf numFmtId="20" fontId="26" fillId="0" borderId="25" xfId="8" applyNumberFormat="1" applyFont="1" applyFill="1" applyBorder="1" applyAlignment="1" applyProtection="1">
      <alignment horizontal="center" vertical="center"/>
      <protection locked="0"/>
    </xf>
    <xf numFmtId="49" fontId="26" fillId="0" borderId="11" xfId="8" quotePrefix="1" applyNumberFormat="1" applyFont="1" applyFill="1" applyBorder="1" applyAlignment="1" applyProtection="1">
      <alignment horizontal="center" vertical="center"/>
      <protection locked="0"/>
    </xf>
    <xf numFmtId="49" fontId="26" fillId="0" borderId="25" xfId="8" quotePrefix="1" applyNumberFormat="1" applyFont="1" applyFill="1" applyBorder="1" applyAlignment="1" applyProtection="1">
      <alignment horizontal="center" vertical="center"/>
      <protection locked="0"/>
    </xf>
    <xf numFmtId="0" fontId="26" fillId="0" borderId="10" xfId="8" applyFont="1" applyFill="1" applyBorder="1" applyAlignment="1">
      <alignment horizontal="center" vertical="center" shrinkToFit="1"/>
    </xf>
    <xf numFmtId="0" fontId="26" fillId="0" borderId="30" xfId="8" applyFont="1" applyFill="1" applyBorder="1" applyAlignment="1">
      <alignment horizontal="center" vertical="center" shrinkToFit="1"/>
    </xf>
    <xf numFmtId="14" fontId="26" fillId="0" borderId="11" xfId="49" applyNumberFormat="1" applyFont="1" applyFill="1" applyBorder="1" applyAlignment="1" applyProtection="1">
      <alignment horizontal="center" vertical="center"/>
      <protection locked="0"/>
    </xf>
    <xf numFmtId="14" fontId="26" fillId="0" borderId="25" xfId="49" applyNumberFormat="1" applyFont="1" applyFill="1" applyBorder="1" applyAlignment="1" applyProtection="1">
      <alignment horizontal="center" vertical="center"/>
      <protection locked="0"/>
    </xf>
    <xf numFmtId="0" fontId="26" fillId="0" borderId="20" xfId="8" applyFont="1" applyFill="1" applyBorder="1" applyAlignment="1" applyProtection="1">
      <alignment horizontal="center" vertical="center"/>
      <protection locked="0"/>
    </xf>
    <xf numFmtId="0" fontId="26" fillId="0" borderId="64" xfId="8" applyFont="1" applyFill="1" applyBorder="1" applyAlignment="1" applyProtection="1">
      <alignment horizontal="center" vertical="center"/>
      <protection locked="0"/>
    </xf>
    <xf numFmtId="169" fontId="26" fillId="0" borderId="11" xfId="8" applyNumberFormat="1" applyFont="1" applyFill="1" applyBorder="1" applyAlignment="1" applyProtection="1">
      <alignment horizontal="center" vertical="center"/>
      <protection locked="0"/>
    </xf>
    <xf numFmtId="169" fontId="26" fillId="0" borderId="25" xfId="8" applyNumberFormat="1" applyFont="1" applyFill="1" applyBorder="1" applyAlignment="1" applyProtection="1">
      <alignment horizontal="center" vertical="center"/>
      <protection locked="0"/>
    </xf>
    <xf numFmtId="0" fontId="28" fillId="0" borderId="70" xfId="13" applyFont="1" applyFill="1" applyBorder="1" applyAlignment="1">
      <alignment horizontal="center" vertical="center" wrapText="1"/>
    </xf>
    <xf numFmtId="0" fontId="28" fillId="0" borderId="62" xfId="13" applyFont="1" applyFill="1" applyBorder="1" applyAlignment="1">
      <alignment horizontal="center" vertical="center" wrapText="1"/>
    </xf>
    <xf numFmtId="165" fontId="28" fillId="0" borderId="42" xfId="6" applyFont="1" applyFill="1" applyBorder="1" applyAlignment="1">
      <alignment horizontal="center" vertical="center"/>
    </xf>
    <xf numFmtId="165" fontId="28" fillId="0" borderId="51" xfId="6" applyFont="1" applyFill="1" applyBorder="1" applyAlignment="1">
      <alignment horizontal="center" vertical="center"/>
    </xf>
    <xf numFmtId="165" fontId="28" fillId="0" borderId="52" xfId="6" applyFont="1" applyFill="1" applyBorder="1" applyAlignment="1">
      <alignment horizontal="center" vertical="center"/>
    </xf>
    <xf numFmtId="0" fontId="28" fillId="0" borderId="37" xfId="8" applyFont="1" applyFill="1" applyBorder="1" applyAlignment="1">
      <alignment horizontal="center" vertical="center" wrapText="1"/>
    </xf>
    <xf numFmtId="0" fontId="28" fillId="0" borderId="50" xfId="8" applyFont="1" applyFill="1" applyBorder="1" applyAlignment="1">
      <alignment horizontal="center" vertical="center" wrapText="1"/>
    </xf>
    <xf numFmtId="0" fontId="28" fillId="0" borderId="32" xfId="8" applyFont="1" applyFill="1" applyBorder="1" applyAlignment="1">
      <alignment horizontal="center" vertical="center" wrapText="1"/>
    </xf>
    <xf numFmtId="0" fontId="28" fillId="0" borderId="38" xfId="8" applyFont="1" applyFill="1" applyBorder="1" applyAlignment="1">
      <alignment horizontal="center" vertical="center" wrapText="1"/>
    </xf>
    <xf numFmtId="0" fontId="28" fillId="0" borderId="37" xfId="13" applyFont="1" applyFill="1" applyBorder="1" applyAlignment="1">
      <alignment horizontal="center" vertical="center" shrinkToFit="1"/>
    </xf>
    <xf numFmtId="0" fontId="28" fillId="0" borderId="50" xfId="13" applyFont="1" applyFill="1" applyBorder="1" applyAlignment="1">
      <alignment horizontal="center" vertical="center" shrinkToFit="1"/>
    </xf>
    <xf numFmtId="0" fontId="28" fillId="0" borderId="61" xfId="13" applyFont="1" applyFill="1" applyBorder="1" applyAlignment="1">
      <alignment horizontal="center" vertical="center" wrapText="1" shrinkToFit="1"/>
    </xf>
    <xf numFmtId="0" fontId="28" fillId="0" borderId="44" xfId="13" applyFont="1" applyFill="1" applyBorder="1" applyAlignment="1">
      <alignment horizontal="center" vertical="center" wrapText="1" shrinkToFit="1"/>
    </xf>
    <xf numFmtId="0" fontId="28" fillId="0" borderId="65" xfId="8" applyFont="1" applyFill="1" applyBorder="1" applyAlignment="1">
      <alignment horizontal="center" vertical="center" wrapText="1"/>
    </xf>
    <xf numFmtId="0" fontId="28" fillId="0" borderId="66" xfId="8" applyFont="1" applyFill="1" applyBorder="1" applyAlignment="1">
      <alignment horizontal="center" vertical="center" wrapText="1"/>
    </xf>
    <xf numFmtId="0" fontId="26" fillId="0" borderId="67" xfId="13" applyFont="1" applyFill="1" applyBorder="1" applyAlignment="1">
      <alignment horizontal="center" vertical="center"/>
    </xf>
    <xf numFmtId="0" fontId="26" fillId="0" borderId="68" xfId="13" applyFont="1" applyFill="1" applyBorder="1" applyAlignment="1">
      <alignment horizontal="center" vertical="center"/>
    </xf>
    <xf numFmtId="0" fontId="26" fillId="0" borderId="42" xfId="49" applyFont="1" applyFill="1" applyBorder="1" applyAlignment="1">
      <alignment horizontal="center" vertical="center"/>
    </xf>
    <xf numFmtId="0" fontId="26" fillId="0" borderId="43" xfId="49" applyFont="1" applyFill="1" applyBorder="1" applyAlignment="1">
      <alignment horizontal="center" vertical="center"/>
    </xf>
    <xf numFmtId="0" fontId="28" fillId="0" borderId="33" xfId="13" applyFont="1" applyFill="1" applyBorder="1" applyAlignment="1">
      <alignment horizontal="center" vertical="center"/>
    </xf>
    <xf numFmtId="0" fontId="28" fillId="0" borderId="34" xfId="13" applyFont="1" applyFill="1" applyBorder="1" applyAlignment="1">
      <alignment horizontal="center" vertical="center"/>
    </xf>
    <xf numFmtId="0" fontId="28" fillId="0" borderId="62" xfId="13" applyFont="1" applyFill="1" applyBorder="1" applyAlignment="1" applyProtection="1">
      <alignment horizontal="center" vertical="center" shrinkToFit="1"/>
      <protection locked="0"/>
    </xf>
    <xf numFmtId="0" fontId="28" fillId="0" borderId="63" xfId="13" applyFont="1" applyFill="1" applyBorder="1" applyAlignment="1" applyProtection="1">
      <alignment horizontal="center" vertical="center" shrinkToFit="1"/>
      <protection locked="0"/>
    </xf>
    <xf numFmtId="0" fontId="28" fillId="0" borderId="56" xfId="8" applyFont="1" applyFill="1" applyBorder="1" applyAlignment="1">
      <alignment horizontal="center" vertical="center"/>
    </xf>
    <xf numFmtId="0" fontId="28" fillId="0" borderId="52" xfId="8" applyFont="1" applyFill="1" applyBorder="1" applyAlignment="1">
      <alignment horizontal="center" vertical="center"/>
    </xf>
    <xf numFmtId="169" fontId="28" fillId="0" borderId="42" xfId="0" applyNumberFormat="1" applyFont="1" applyFill="1" applyBorder="1" applyAlignment="1">
      <alignment horizontal="right" vertical="center"/>
    </xf>
    <xf numFmtId="169" fontId="28" fillId="0" borderId="51" xfId="0" applyNumberFormat="1" applyFont="1" applyFill="1" applyBorder="1" applyAlignment="1">
      <alignment horizontal="right" vertical="center"/>
    </xf>
    <xf numFmtId="169" fontId="28" fillId="0" borderId="43" xfId="0" applyNumberFormat="1" applyFont="1" applyFill="1" applyBorder="1" applyAlignment="1">
      <alignment horizontal="right" vertical="center"/>
    </xf>
    <xf numFmtId="2" fontId="28" fillId="0" borderId="56" xfId="0" applyNumberFormat="1" applyFont="1" applyFill="1" applyBorder="1" applyAlignment="1">
      <alignment horizontal="left" vertical="center"/>
    </xf>
    <xf numFmtId="2" fontId="28" fillId="0" borderId="51" xfId="0" applyNumberFormat="1" applyFont="1" applyFill="1" applyBorder="1" applyAlignment="1">
      <alignment horizontal="left" vertical="center"/>
    </xf>
    <xf numFmtId="2" fontId="28" fillId="0" borderId="52" xfId="0" applyNumberFormat="1" applyFont="1" applyFill="1" applyBorder="1" applyAlignment="1">
      <alignment horizontal="left" vertical="center"/>
    </xf>
    <xf numFmtId="0" fontId="28" fillId="0" borderId="34" xfId="8" applyNumberFormat="1" applyFont="1" applyFill="1" applyBorder="1" applyAlignment="1">
      <alignment horizontal="center" vertical="center"/>
    </xf>
    <xf numFmtId="10" fontId="26" fillId="0" borderId="63" xfId="28" applyNumberFormat="1" applyFont="1" applyFill="1" applyBorder="1" applyAlignment="1" applyProtection="1">
      <alignment horizontal="center" vertical="center"/>
    </xf>
    <xf numFmtId="2" fontId="28" fillId="0" borderId="42" xfId="0" applyNumberFormat="1" applyFont="1" applyFill="1" applyBorder="1" applyAlignment="1">
      <alignment horizontal="right" vertical="center"/>
    </xf>
    <xf numFmtId="2" fontId="28" fillId="0" borderId="51" xfId="0" applyNumberFormat="1" applyFont="1" applyFill="1" applyBorder="1" applyAlignment="1">
      <alignment horizontal="right" vertical="center"/>
    </xf>
    <xf numFmtId="2" fontId="28" fillId="0" borderId="43" xfId="0" applyNumberFormat="1" applyFont="1" applyFill="1" applyBorder="1" applyAlignment="1">
      <alignment horizontal="right" vertical="center"/>
    </xf>
    <xf numFmtId="0" fontId="28" fillId="0" borderId="42" xfId="0" applyFont="1" applyFill="1" applyBorder="1" applyAlignment="1">
      <alignment horizontal="right" vertical="center"/>
    </xf>
    <xf numFmtId="0" fontId="28" fillId="0" borderId="51" xfId="0" applyFont="1" applyFill="1" applyBorder="1" applyAlignment="1">
      <alignment horizontal="right" vertical="center"/>
    </xf>
    <xf numFmtId="0" fontId="28" fillId="0" borderId="43" xfId="0" applyFont="1" applyFill="1" applyBorder="1" applyAlignment="1">
      <alignment horizontal="right" vertical="center"/>
    </xf>
    <xf numFmtId="0" fontId="28" fillId="0" borderId="67" xfId="13" applyFont="1" applyFill="1" applyBorder="1" applyAlignment="1">
      <alignment horizontal="center" vertical="center" wrapText="1"/>
    </xf>
    <xf numFmtId="0" fontId="28" fillId="0" borderId="68" xfId="13" applyFont="1" applyFill="1" applyBorder="1" applyAlignment="1">
      <alignment horizontal="center" vertical="center" wrapText="1"/>
    </xf>
    <xf numFmtId="0" fontId="28" fillId="0" borderId="69" xfId="13" applyFont="1" applyFill="1" applyBorder="1" applyAlignment="1">
      <alignment horizontal="center" vertical="center" wrapText="1"/>
    </xf>
    <xf numFmtId="0" fontId="28" fillId="0" borderId="55" xfId="13" applyFont="1" applyFill="1" applyBorder="1" applyAlignment="1">
      <alignment horizontal="center" vertical="center" wrapText="1"/>
    </xf>
    <xf numFmtId="14" fontId="26" fillId="0" borderId="63" xfId="8" applyNumberFormat="1" applyFont="1" applyFill="1" applyBorder="1" applyAlignment="1">
      <alignment horizontal="center" vertical="center"/>
    </xf>
    <xf numFmtId="14" fontId="28" fillId="0" borderId="34" xfId="8" applyNumberFormat="1" applyFont="1" applyFill="1" applyBorder="1" applyAlignment="1">
      <alignment horizontal="center" vertical="center"/>
    </xf>
    <xf numFmtId="14" fontId="28" fillId="0" borderId="35" xfId="8" applyNumberFormat="1" applyFont="1" applyFill="1" applyBorder="1" applyAlignment="1">
      <alignment horizontal="center" vertical="center"/>
    </xf>
    <xf numFmtId="14" fontId="28" fillId="0" borderId="42" xfId="8" applyNumberFormat="1" applyFont="1" applyFill="1" applyBorder="1" applyAlignment="1">
      <alignment horizontal="center" vertical="center"/>
    </xf>
    <xf numFmtId="14" fontId="28" fillId="0" borderId="43" xfId="8" applyNumberFormat="1" applyFont="1" applyFill="1" applyBorder="1" applyAlignment="1">
      <alignment horizontal="center" vertical="center"/>
    </xf>
    <xf numFmtId="0" fontId="28" fillId="0" borderId="42" xfId="8" applyFont="1" applyFill="1" applyBorder="1" applyAlignment="1">
      <alignment horizontal="right" vertical="center" wrapText="1"/>
    </xf>
    <xf numFmtId="0" fontId="28" fillId="0" borderId="51" xfId="8" applyFont="1" applyFill="1" applyBorder="1" applyAlignment="1">
      <alignment horizontal="right" vertical="center" wrapText="1"/>
    </xf>
    <xf numFmtId="0" fontId="28" fillId="0" borderId="43" xfId="8" applyFont="1" applyFill="1" applyBorder="1" applyAlignment="1">
      <alignment horizontal="right" vertical="center" wrapText="1"/>
    </xf>
    <xf numFmtId="14" fontId="26" fillId="0" borderId="42" xfId="8" applyNumberFormat="1" applyFont="1" applyFill="1" applyBorder="1" applyAlignment="1">
      <alignment horizontal="center" vertical="center" shrinkToFit="1"/>
    </xf>
    <xf numFmtId="14" fontId="26" fillId="0" borderId="43" xfId="8" applyNumberFormat="1" applyFont="1" applyFill="1" applyBorder="1" applyAlignment="1">
      <alignment horizontal="center" vertical="center" shrinkToFit="1"/>
    </xf>
    <xf numFmtId="0" fontId="26" fillId="0" borderId="56" xfId="8" applyFont="1" applyFill="1" applyBorder="1" applyAlignment="1">
      <alignment horizontal="center" shrinkToFit="1"/>
    </xf>
    <xf numFmtId="0" fontId="26" fillId="0" borderId="51" xfId="8" applyFont="1" applyFill="1" applyBorder="1" applyAlignment="1">
      <alignment horizontal="center" shrinkToFit="1"/>
    </xf>
    <xf numFmtId="0" fontId="26" fillId="0" borderId="43" xfId="8" applyFont="1" applyFill="1" applyBorder="1" applyAlignment="1">
      <alignment horizontal="center" shrinkToFit="1"/>
    </xf>
    <xf numFmtId="0" fontId="28" fillId="0" borderId="51" xfId="8" applyFont="1" applyFill="1" applyBorder="1" applyAlignment="1">
      <alignment horizontal="center" vertical="center"/>
    </xf>
    <xf numFmtId="0" fontId="28" fillId="0" borderId="43" xfId="8" applyFont="1" applyFill="1" applyBorder="1" applyAlignment="1">
      <alignment horizontal="center" vertical="center"/>
    </xf>
    <xf numFmtId="0" fontId="28" fillId="0" borderId="31" xfId="13" applyFont="1" applyFill="1" applyBorder="1" applyAlignment="1">
      <alignment horizontal="center" vertical="center"/>
    </xf>
    <xf numFmtId="0" fontId="28" fillId="0" borderId="26" xfId="13" applyFont="1" applyFill="1" applyBorder="1" applyAlignment="1">
      <alignment horizontal="center" vertical="center"/>
    </xf>
    <xf numFmtId="0" fontId="26" fillId="0" borderId="27" xfId="13" applyFont="1" applyFill="1" applyBorder="1" applyAlignment="1">
      <alignment horizontal="center" vertical="center"/>
    </xf>
    <xf numFmtId="0" fontId="26" fillId="0" borderId="66" xfId="13" applyFont="1" applyFill="1" applyBorder="1" applyAlignment="1">
      <alignment horizontal="center" vertical="center"/>
    </xf>
    <xf numFmtId="165" fontId="17" fillId="0" borderId="6" xfId="6" applyFont="1" applyFill="1" applyBorder="1" applyAlignment="1">
      <alignment horizontal="center" vertical="center"/>
    </xf>
    <xf numFmtId="165" fontId="17" fillId="0" borderId="7" xfId="6" applyFont="1" applyFill="1" applyBorder="1" applyAlignment="1">
      <alignment horizontal="center" vertical="center"/>
    </xf>
    <xf numFmtId="0" fontId="17" fillId="0" borderId="6" xfId="10" applyFont="1" applyFill="1" applyBorder="1" applyAlignment="1">
      <alignment horizontal="justify" vertical="center" wrapText="1"/>
    </xf>
    <xf numFmtId="0" fontId="17" fillId="0" borderId="4" xfId="10" applyFont="1" applyFill="1" applyBorder="1" applyAlignment="1">
      <alignment horizontal="justify" vertical="center" wrapText="1"/>
    </xf>
    <xf numFmtId="0" fontId="17" fillId="0" borderId="7" xfId="10" applyFont="1" applyFill="1" applyBorder="1" applyAlignment="1">
      <alignment horizontal="justify" vertical="center" wrapText="1"/>
    </xf>
    <xf numFmtId="165" fontId="16" fillId="2" borderId="6" xfId="10" applyNumberFormat="1" applyFont="1" applyFill="1" applyBorder="1" applyAlignment="1">
      <alignment horizontal="center" vertical="center"/>
    </xf>
    <xf numFmtId="165" fontId="16" fillId="2" borderId="7" xfId="10" applyNumberFormat="1" applyFont="1" applyFill="1" applyBorder="1" applyAlignment="1">
      <alignment horizontal="center" vertical="center"/>
    </xf>
    <xf numFmtId="0" fontId="16" fillId="2" borderId="6" xfId="10" applyFont="1" applyFill="1" applyBorder="1" applyAlignment="1">
      <alignment horizontal="right" vertical="center"/>
    </xf>
    <xf numFmtId="0" fontId="16" fillId="2" borderId="4" xfId="10" applyFont="1" applyFill="1" applyBorder="1" applyAlignment="1">
      <alignment horizontal="right" vertical="center"/>
    </xf>
    <xf numFmtId="0" fontId="16" fillId="2" borderId="7" xfId="10" applyFont="1" applyFill="1" applyBorder="1" applyAlignment="1">
      <alignment horizontal="right" vertical="center"/>
    </xf>
    <xf numFmtId="0" fontId="16" fillId="0" borderId="0" xfId="49" applyFont="1" applyAlignment="1">
      <alignment horizontal="center" vertical="center"/>
    </xf>
    <xf numFmtId="0" fontId="17" fillId="0" borderId="0" xfId="10" applyFont="1" applyAlignment="1">
      <alignment horizontal="justify" vertical="center" wrapText="1"/>
    </xf>
    <xf numFmtId="0" fontId="17" fillId="0" borderId="0" xfId="49" applyFont="1" applyAlignment="1">
      <alignment horizontal="justify" vertical="center" wrapText="1"/>
    </xf>
    <xf numFmtId="0" fontId="17" fillId="0" borderId="0" xfId="43" applyFont="1" applyAlignment="1">
      <alignment horizontal="justify" vertical="center" wrapText="1"/>
    </xf>
    <xf numFmtId="170" fontId="16" fillId="0" borderId="0" xfId="49" applyNumberFormat="1" applyFont="1" applyAlignment="1">
      <alignment horizontal="center" vertical="center"/>
    </xf>
    <xf numFmtId="0" fontId="16" fillId="2" borderId="47" xfId="8" quotePrefix="1" applyFont="1" applyFill="1" applyBorder="1" applyAlignment="1">
      <alignment horizontal="center" vertical="center" wrapText="1"/>
    </xf>
    <xf numFmtId="0" fontId="16" fillId="2" borderId="39" xfId="8" quotePrefix="1" applyFont="1" applyFill="1" applyBorder="1" applyAlignment="1">
      <alignment horizontal="center" vertical="center" wrapText="1"/>
    </xf>
    <xf numFmtId="0" fontId="16" fillId="2" borderId="5" xfId="10" applyFont="1" applyFill="1" applyBorder="1" applyAlignment="1">
      <alignment horizontal="center" vertical="center" wrapText="1"/>
    </xf>
    <xf numFmtId="0" fontId="16" fillId="2" borderId="53" xfId="10" applyFont="1" applyFill="1" applyBorder="1" applyAlignment="1">
      <alignment horizontal="center" vertical="center" wrapText="1"/>
    </xf>
    <xf numFmtId="0" fontId="17" fillId="0" borderId="0" xfId="49" applyFont="1" applyAlignment="1">
      <alignment horizontal="justify" vertical="center"/>
    </xf>
    <xf numFmtId="0" fontId="16" fillId="2" borderId="45" xfId="10" applyFont="1" applyFill="1" applyBorder="1" applyAlignment="1">
      <alignment horizontal="center" vertical="center"/>
    </xf>
    <xf numFmtId="0" fontId="16" fillId="2" borderId="3" xfId="10" applyFont="1" applyFill="1" applyBorder="1" applyAlignment="1">
      <alignment horizontal="center" vertical="center"/>
    </xf>
    <xf numFmtId="0" fontId="16" fillId="2" borderId="5" xfId="10" applyFont="1" applyFill="1" applyBorder="1" applyAlignment="1">
      <alignment horizontal="center" vertical="center"/>
    </xf>
    <xf numFmtId="0" fontId="16" fillId="2" borderId="23" xfId="10" applyFont="1" applyFill="1" applyBorder="1" applyAlignment="1">
      <alignment horizontal="center" vertical="center"/>
    </xf>
    <xf numFmtId="0" fontId="16" fillId="2" borderId="53" xfId="10" applyFont="1" applyFill="1" applyBorder="1" applyAlignment="1">
      <alignment horizontal="center" vertical="center"/>
    </xf>
    <xf numFmtId="0" fontId="16" fillId="2" borderId="47" xfId="10" applyFont="1" applyFill="1" applyBorder="1" applyAlignment="1">
      <alignment horizontal="center" vertical="center"/>
    </xf>
    <xf numFmtId="0" fontId="16" fillId="2" borderId="21" xfId="10" applyFont="1" applyFill="1" applyBorder="1" applyAlignment="1">
      <alignment horizontal="center" vertical="center"/>
    </xf>
    <xf numFmtId="0" fontId="16" fillId="2" borderId="39" xfId="10" applyFont="1" applyFill="1" applyBorder="1" applyAlignment="1">
      <alignment horizontal="center" vertical="center"/>
    </xf>
    <xf numFmtId="0" fontId="16" fillId="2" borderId="45" xfId="10" applyFont="1" applyFill="1" applyBorder="1" applyAlignment="1">
      <alignment horizontal="center" vertical="center" wrapText="1"/>
    </xf>
    <xf numFmtId="0" fontId="16" fillId="2" borderId="3" xfId="1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left" vertical="center" wrapText="1"/>
    </xf>
    <xf numFmtId="168" fontId="2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>
      <alignment horizontal="justify" vertical="center" wrapText="1"/>
    </xf>
    <xf numFmtId="164" fontId="26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6" xfId="0" applyFont="1" applyFill="1" applyBorder="1" applyAlignment="1" applyProtection="1">
      <alignment horizontal="center" vertical="center" wrapText="1"/>
      <protection locked="0"/>
    </xf>
    <xf numFmtId="0" fontId="26" fillId="0" borderId="7" xfId="0" applyFont="1" applyFill="1" applyBorder="1" applyAlignment="1" applyProtection="1">
      <alignment horizontal="center" vertical="center" wrapText="1"/>
      <protection locked="0"/>
    </xf>
    <xf numFmtId="14" fontId="26" fillId="0" borderId="6" xfId="0" applyNumberFormat="1" applyFont="1" applyFill="1" applyBorder="1" applyAlignment="1" applyProtection="1">
      <alignment horizontal="center" vertical="center" wrapText="1"/>
      <protection locked="0"/>
    </xf>
    <xf numFmtId="14" fontId="26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2" xfId="0" applyFont="1" applyFill="1" applyBorder="1" applyAlignment="1">
      <alignment horizontal="center" vertical="center"/>
    </xf>
    <xf numFmtId="14" fontId="2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2" xfId="0" applyFont="1" applyFill="1" applyBorder="1" applyAlignment="1">
      <alignment horizontal="right" vertical="center" wrapText="1"/>
    </xf>
    <xf numFmtId="0" fontId="28" fillId="0" borderId="47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right" vertical="center" wrapText="1"/>
    </xf>
    <xf numFmtId="0" fontId="28" fillId="0" borderId="4" xfId="0" applyFont="1" applyFill="1" applyBorder="1" applyAlignment="1">
      <alignment horizontal="right" vertical="center" wrapText="1"/>
    </xf>
    <xf numFmtId="0" fontId="28" fillId="0" borderId="7" xfId="0" applyFont="1" applyFill="1" applyBorder="1" applyAlignment="1">
      <alignment horizontal="right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right" vertic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right" vertical="center"/>
    </xf>
    <xf numFmtId="0" fontId="28" fillId="0" borderId="4" xfId="0" applyFont="1" applyFill="1" applyBorder="1" applyAlignment="1">
      <alignment horizontal="right" vertical="center"/>
    </xf>
    <xf numFmtId="0" fontId="28" fillId="0" borderId="7" xfId="0" applyFont="1" applyFill="1" applyBorder="1" applyAlignment="1">
      <alignment horizontal="right" vertical="center"/>
    </xf>
    <xf numFmtId="0" fontId="26" fillId="0" borderId="23" xfId="0" applyFont="1" applyFill="1" applyBorder="1" applyAlignment="1">
      <alignment horizontal="justify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 applyProtection="1">
      <alignment horizontal="center" vertical="center" wrapText="1"/>
      <protection locked="0"/>
    </xf>
    <xf numFmtId="0" fontId="28" fillId="4" borderId="2" xfId="0" applyFont="1" applyFill="1" applyBorder="1" applyAlignment="1">
      <alignment horizontal="right" vertical="center" wrapText="1"/>
    </xf>
    <xf numFmtId="0" fontId="26" fillId="0" borderId="6" xfId="0" applyFont="1" applyFill="1" applyBorder="1" applyAlignment="1">
      <alignment horizontal="left" vertical="center"/>
    </xf>
    <xf numFmtId="0" fontId="26" fillId="0" borderId="4" xfId="0" applyFont="1" applyFill="1" applyBorder="1" applyAlignment="1">
      <alignment horizontal="left" vertical="center"/>
    </xf>
    <xf numFmtId="0" fontId="26" fillId="0" borderId="7" xfId="0" applyFont="1" applyFill="1" applyBorder="1" applyAlignment="1">
      <alignment horizontal="left" vertical="center"/>
    </xf>
    <xf numFmtId="0" fontId="26" fillId="0" borderId="0" xfId="0" applyFont="1" applyFill="1" applyAlignment="1">
      <alignment horizontal="justify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3" fontId="26" fillId="0" borderId="2" xfId="0" applyNumberFormat="1" applyFont="1" applyFill="1" applyBorder="1" applyAlignment="1" applyProtection="1">
      <alignment horizontal="center" vertical="center" wrapText="1"/>
      <protection locked="0"/>
    </xf>
    <xf numFmtId="17" fontId="26" fillId="0" borderId="2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3" fontId="26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26" fillId="0" borderId="7" xfId="0" applyNumberFormat="1" applyFont="1" applyFill="1" applyBorder="1" applyAlignment="1" applyProtection="1">
      <alignment horizontal="center" vertical="center" wrapText="1"/>
      <protection locked="0"/>
    </xf>
    <xf numFmtId="17" fontId="26" fillId="0" borderId="6" xfId="0" applyNumberFormat="1" applyFont="1" applyFill="1" applyBorder="1" applyAlignment="1" applyProtection="1">
      <alignment horizontal="center" vertical="center"/>
      <protection locked="0"/>
    </xf>
    <xf numFmtId="17" fontId="26" fillId="0" borderId="7" xfId="0" applyNumberFormat="1" applyFont="1" applyFill="1" applyBorder="1" applyAlignment="1" applyProtection="1">
      <alignment horizontal="center" vertical="center"/>
      <protection locked="0"/>
    </xf>
    <xf numFmtId="0" fontId="28" fillId="0" borderId="21" xfId="0" applyFont="1" applyFill="1" applyBorder="1" applyAlignment="1">
      <alignment horizontal="center" vertical="center" wrapText="1"/>
    </xf>
    <xf numFmtId="14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47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0" fontId="26" fillId="0" borderId="45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justify" vertical="center" wrapText="1"/>
    </xf>
    <xf numFmtId="0" fontId="26" fillId="0" borderId="4" xfId="0" applyFont="1" applyFill="1" applyBorder="1" applyAlignment="1">
      <alignment horizontal="justify" vertical="center" wrapText="1"/>
    </xf>
    <xf numFmtId="0" fontId="26" fillId="0" borderId="7" xfId="0" applyFont="1" applyFill="1" applyBorder="1" applyAlignment="1">
      <alignment horizontal="justify" vertical="center" wrapText="1"/>
    </xf>
    <xf numFmtId="0" fontId="28" fillId="0" borderId="6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justify" vertical="center" wrapText="1"/>
    </xf>
    <xf numFmtId="0" fontId="28" fillId="0" borderId="3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left" vertical="center"/>
    </xf>
    <xf numFmtId="164" fontId="26" fillId="0" borderId="2" xfId="0" applyNumberFormat="1" applyFont="1" applyFill="1" applyBorder="1" applyAlignment="1" applyProtection="1">
      <alignment horizontal="center" vertical="center" wrapText="1"/>
      <protection locked="0"/>
    </xf>
    <xf numFmtId="167" fontId="26" fillId="0" borderId="2" xfId="0" applyNumberFormat="1" applyFont="1" applyFill="1" applyBorder="1" applyAlignment="1">
      <alignment horizontal="center" vertical="center" wrapText="1"/>
    </xf>
    <xf numFmtId="167" fontId="28" fillId="0" borderId="2" xfId="0" applyNumberFormat="1" applyFont="1" applyFill="1" applyBorder="1" applyAlignment="1">
      <alignment horizontal="center" vertical="center"/>
    </xf>
    <xf numFmtId="167" fontId="26" fillId="0" borderId="2" xfId="0" applyNumberFormat="1" applyFont="1" applyFill="1" applyBorder="1" applyAlignment="1">
      <alignment horizontal="center" vertical="center"/>
    </xf>
    <xf numFmtId="167" fontId="26" fillId="0" borderId="2" xfId="0" applyNumberFormat="1" applyFont="1" applyFill="1" applyBorder="1" applyAlignment="1" applyProtection="1">
      <alignment horizontal="center" vertical="center"/>
      <protection locked="0"/>
    </xf>
    <xf numFmtId="167" fontId="26" fillId="0" borderId="2" xfId="4" applyFont="1" applyFill="1" applyBorder="1" applyAlignment="1">
      <alignment horizontal="center" vertical="center"/>
    </xf>
    <xf numFmtId="167" fontId="28" fillId="0" borderId="2" xfId="0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167" fontId="26" fillId="0" borderId="2" xfId="0" applyNumberFormat="1" applyFont="1" applyFill="1" applyBorder="1" applyAlignment="1" applyProtection="1">
      <alignment horizontal="center" vertical="center"/>
    </xf>
    <xf numFmtId="167" fontId="26" fillId="0" borderId="6" xfId="0" applyNumberFormat="1" applyFont="1" applyFill="1" applyBorder="1" applyAlignment="1" applyProtection="1">
      <alignment horizontal="center" vertical="center"/>
      <protection locked="0"/>
    </xf>
    <xf numFmtId="167" fontId="26" fillId="0" borderId="7" xfId="0" applyNumberFormat="1" applyFont="1" applyFill="1" applyBorder="1" applyAlignment="1" applyProtection="1">
      <alignment horizontal="center" vertical="center"/>
      <protection locked="0"/>
    </xf>
    <xf numFmtId="167" fontId="28" fillId="0" borderId="6" xfId="0" applyNumberFormat="1" applyFont="1" applyFill="1" applyBorder="1" applyAlignment="1">
      <alignment horizontal="center" vertical="center"/>
    </xf>
    <xf numFmtId="167" fontId="28" fillId="0" borderId="7" xfId="0" applyNumberFormat="1" applyFont="1" applyFill="1" applyBorder="1" applyAlignment="1">
      <alignment horizontal="center" vertical="center"/>
    </xf>
    <xf numFmtId="10" fontId="28" fillId="0" borderId="6" xfId="0" applyNumberFormat="1" applyFont="1" applyFill="1" applyBorder="1" applyAlignment="1">
      <alignment horizontal="center" vertical="center" wrapText="1"/>
    </xf>
    <xf numFmtId="10" fontId="28" fillId="0" borderId="7" xfId="0" applyNumberFormat="1" applyFont="1" applyFill="1" applyBorder="1" applyAlignment="1">
      <alignment horizontal="center" vertical="center" wrapText="1"/>
    </xf>
    <xf numFmtId="10" fontId="26" fillId="0" borderId="6" xfId="0" applyNumberFormat="1" applyFont="1" applyFill="1" applyBorder="1" applyAlignment="1">
      <alignment horizontal="center" vertical="center" wrapText="1"/>
    </xf>
    <xf numFmtId="10" fontId="26" fillId="0" borderId="7" xfId="0" applyNumberFormat="1" applyFont="1" applyFill="1" applyBorder="1" applyAlignment="1">
      <alignment horizontal="center" vertical="center" wrapText="1"/>
    </xf>
    <xf numFmtId="179" fontId="26" fillId="0" borderId="6" xfId="0" applyNumberFormat="1" applyFont="1" applyFill="1" applyBorder="1" applyAlignment="1">
      <alignment horizontal="center" vertical="center" wrapText="1"/>
    </xf>
    <xf numFmtId="179" fontId="26" fillId="0" borderId="7" xfId="0" applyNumberFormat="1" applyFont="1" applyFill="1" applyBorder="1" applyAlignment="1">
      <alignment horizontal="center" vertical="center" wrapText="1"/>
    </xf>
    <xf numFmtId="167" fontId="28" fillId="0" borderId="2" xfId="4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justify" vertical="center" wrapText="1"/>
    </xf>
    <xf numFmtId="0" fontId="28" fillId="4" borderId="6" xfId="0" applyFont="1" applyFill="1" applyBorder="1" applyAlignment="1">
      <alignment horizontal="right" vertical="center" wrapText="1"/>
    </xf>
    <xf numFmtId="0" fontId="28" fillId="4" borderId="4" xfId="0" applyFont="1" applyFill="1" applyBorder="1" applyAlignment="1">
      <alignment horizontal="right" vertical="center" wrapText="1"/>
    </xf>
    <xf numFmtId="0" fontId="28" fillId="4" borderId="7" xfId="0" applyFont="1" applyFill="1" applyBorder="1" applyAlignment="1">
      <alignment horizontal="right" vertical="center" wrapText="1"/>
    </xf>
    <xf numFmtId="0" fontId="28" fillId="4" borderId="47" xfId="0" applyFont="1" applyFill="1" applyBorder="1" applyAlignment="1">
      <alignment horizontal="right" vertical="center" wrapText="1"/>
    </xf>
    <xf numFmtId="0" fontId="28" fillId="4" borderId="21" xfId="0" applyFont="1" applyFill="1" applyBorder="1" applyAlignment="1">
      <alignment horizontal="right" vertical="center" wrapText="1"/>
    </xf>
    <xf numFmtId="0" fontId="28" fillId="4" borderId="39" xfId="0" applyFont="1" applyFill="1" applyBorder="1" applyAlignment="1">
      <alignment horizontal="right" vertical="center" wrapText="1"/>
    </xf>
    <xf numFmtId="169" fontId="26" fillId="0" borderId="6" xfId="0" applyNumberFormat="1" applyFont="1" applyFill="1" applyBorder="1" applyAlignment="1" applyProtection="1">
      <alignment horizontal="center" vertical="center"/>
      <protection locked="0"/>
    </xf>
    <xf numFmtId="169" fontId="26" fillId="0" borderId="7" xfId="0" applyNumberFormat="1" applyFont="1" applyFill="1" applyBorder="1" applyAlignment="1" applyProtection="1">
      <alignment horizontal="center" vertical="center"/>
      <protection locked="0"/>
    </xf>
    <xf numFmtId="0" fontId="27" fillId="0" borderId="21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/>
    </xf>
    <xf numFmtId="14" fontId="2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 applyProtection="1">
      <alignment horizontal="center" vertical="center" wrapText="1"/>
      <protection locked="0"/>
    </xf>
    <xf numFmtId="168" fontId="26" fillId="0" borderId="6" xfId="0" applyNumberFormat="1" applyFont="1" applyFill="1" applyBorder="1" applyAlignment="1" applyProtection="1">
      <alignment horizontal="center" vertical="center" wrapText="1"/>
      <protection locked="0"/>
    </xf>
    <xf numFmtId="168" fontId="26" fillId="0" borderId="4" xfId="0" applyNumberFormat="1" applyFont="1" applyFill="1" applyBorder="1" applyAlignment="1" applyProtection="1">
      <alignment horizontal="center" vertical="center" wrapText="1"/>
      <protection locked="0"/>
    </xf>
    <xf numFmtId="168" fontId="26" fillId="0" borderId="7" xfId="0" applyNumberFormat="1" applyFont="1" applyFill="1" applyBorder="1" applyAlignment="1" applyProtection="1">
      <alignment horizontal="center" vertical="center" wrapText="1"/>
      <protection locked="0"/>
    </xf>
    <xf numFmtId="10" fontId="26" fillId="0" borderId="6" xfId="0" applyNumberFormat="1" applyFont="1" applyFill="1" applyBorder="1" applyAlignment="1">
      <alignment horizontal="center" vertical="center"/>
    </xf>
    <xf numFmtId="10" fontId="26" fillId="0" borderId="7" xfId="0" applyNumberFormat="1" applyFont="1" applyFill="1" applyBorder="1" applyAlignment="1">
      <alignment horizontal="center" vertical="center"/>
    </xf>
    <xf numFmtId="167" fontId="26" fillId="0" borderId="6" xfId="0" applyNumberFormat="1" applyFont="1" applyFill="1" applyBorder="1" applyAlignment="1" applyProtection="1">
      <alignment horizontal="center" vertical="center"/>
    </xf>
    <xf numFmtId="167" fontId="26" fillId="0" borderId="7" xfId="0" applyNumberFormat="1" applyFont="1" applyFill="1" applyBorder="1" applyAlignment="1" applyProtection="1">
      <alignment horizontal="center" vertical="center"/>
    </xf>
    <xf numFmtId="10" fontId="26" fillId="0" borderId="6" xfId="0" applyNumberFormat="1" applyFont="1" applyFill="1" applyBorder="1" applyAlignment="1" applyProtection="1">
      <alignment horizontal="center" vertical="center" wrapText="1"/>
    </xf>
    <xf numFmtId="10" fontId="26" fillId="0" borderId="7" xfId="0" applyNumberFormat="1" applyFont="1" applyFill="1" applyBorder="1" applyAlignment="1" applyProtection="1">
      <alignment horizontal="center" vertical="center" wrapText="1"/>
    </xf>
    <xf numFmtId="167" fontId="26" fillId="0" borderId="6" xfId="0" applyNumberFormat="1" applyFont="1" applyFill="1" applyBorder="1" applyAlignment="1">
      <alignment horizontal="center" vertical="center"/>
    </xf>
    <xf numFmtId="167" fontId="26" fillId="0" borderId="7" xfId="0" applyNumberFormat="1" applyFont="1" applyFill="1" applyBorder="1" applyAlignment="1">
      <alignment horizontal="center" vertical="center"/>
    </xf>
    <xf numFmtId="43" fontId="26" fillId="0" borderId="2" xfId="4" applyNumberFormat="1" applyFont="1" applyFill="1" applyBorder="1" applyAlignment="1">
      <alignment horizontal="center" vertical="center"/>
    </xf>
    <xf numFmtId="10" fontId="26" fillId="0" borderId="6" xfId="18" applyNumberFormat="1" applyFont="1" applyFill="1" applyBorder="1" applyAlignment="1">
      <alignment horizontal="center" vertical="center" wrapText="1"/>
    </xf>
    <xf numFmtId="10" fontId="26" fillId="0" borderId="7" xfId="18" applyNumberFormat="1" applyFont="1" applyFill="1" applyBorder="1" applyAlignment="1">
      <alignment horizontal="center" vertical="center" wrapText="1"/>
    </xf>
    <xf numFmtId="167" fontId="28" fillId="0" borderId="6" xfId="0" applyNumberFormat="1" applyFont="1" applyFill="1" applyBorder="1" applyAlignment="1">
      <alignment horizontal="center" vertical="center" wrapText="1"/>
    </xf>
    <xf numFmtId="167" fontId="28" fillId="0" borderId="7" xfId="0" applyNumberFormat="1" applyFont="1" applyFill="1" applyBorder="1" applyAlignment="1">
      <alignment horizontal="center" vertical="center" wrapText="1"/>
    </xf>
    <xf numFmtId="180" fontId="26" fillId="0" borderId="6" xfId="0" applyNumberFormat="1" applyFont="1" applyFill="1" applyBorder="1" applyAlignment="1">
      <alignment horizontal="center" vertical="center" wrapText="1"/>
    </xf>
    <xf numFmtId="180" fontId="26" fillId="0" borderId="7" xfId="0" applyNumberFormat="1" applyFont="1" applyFill="1" applyBorder="1" applyAlignment="1">
      <alignment horizontal="center" vertical="center" wrapText="1"/>
    </xf>
    <xf numFmtId="167" fontId="26" fillId="0" borderId="6" xfId="4" applyFont="1" applyFill="1" applyBorder="1" applyAlignment="1">
      <alignment horizontal="center" vertical="center"/>
    </xf>
    <xf numFmtId="167" fontId="26" fillId="0" borderId="7" xfId="4" applyFont="1" applyFill="1" applyBorder="1" applyAlignment="1">
      <alignment horizontal="center" vertical="center"/>
    </xf>
    <xf numFmtId="10" fontId="26" fillId="0" borderId="6" xfId="0" applyNumberFormat="1" applyFont="1" applyFill="1" applyBorder="1" applyAlignment="1" applyProtection="1">
      <alignment horizontal="center" vertical="center"/>
    </xf>
    <xf numFmtId="10" fontId="26" fillId="0" borderId="7" xfId="0" applyNumberFormat="1" applyFont="1" applyFill="1" applyBorder="1" applyAlignment="1" applyProtection="1">
      <alignment horizontal="center" vertical="center"/>
    </xf>
    <xf numFmtId="167" fontId="26" fillId="0" borderId="6" xfId="0" applyNumberFormat="1" applyFont="1" applyFill="1" applyBorder="1" applyAlignment="1">
      <alignment horizontal="center" vertical="center" wrapText="1"/>
    </xf>
    <xf numFmtId="167" fontId="26" fillId="0" borderId="7" xfId="0" applyNumberFormat="1" applyFont="1" applyFill="1" applyBorder="1" applyAlignment="1">
      <alignment horizontal="center" vertical="center" wrapText="1"/>
    </xf>
    <xf numFmtId="2" fontId="2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3" xfId="0" applyFont="1" applyFill="1" applyBorder="1" applyAlignment="1">
      <alignment horizontal="left" vertical="center" wrapText="1"/>
    </xf>
    <xf numFmtId="0" fontId="28" fillId="0" borderId="46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justify"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35" fillId="3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 wrapText="1"/>
    </xf>
    <xf numFmtId="3" fontId="26" fillId="3" borderId="0" xfId="0" applyNumberFormat="1" applyFont="1" applyFill="1" applyBorder="1" applyAlignment="1" applyProtection="1">
      <alignment horizontal="center" vertical="center" wrapText="1"/>
      <protection locked="0"/>
    </xf>
    <xf numFmtId="17" fontId="26" fillId="3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3" xfId="0" applyFont="1" applyFill="1" applyBorder="1" applyAlignment="1" applyProtection="1">
      <alignment horizontal="center" vertical="center" wrapText="1"/>
      <protection locked="0"/>
    </xf>
    <xf numFmtId="14" fontId="26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3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>
      <alignment horizontal="left" vertical="center" wrapText="1"/>
    </xf>
    <xf numFmtId="0" fontId="26" fillId="3" borderId="2" xfId="0" applyFont="1" applyFill="1" applyBorder="1" applyAlignment="1" applyProtection="1">
      <alignment horizontal="center" vertical="center" wrapText="1"/>
      <protection locked="0"/>
    </xf>
    <xf numFmtId="0" fontId="26" fillId="3" borderId="2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 wrapText="1"/>
    </xf>
    <xf numFmtId="14" fontId="26" fillId="3" borderId="2" xfId="0" applyNumberFormat="1" applyFont="1" applyFill="1" applyBorder="1" applyAlignment="1" applyProtection="1">
      <alignment horizontal="center" vertical="center" wrapText="1"/>
      <protection locked="0"/>
    </xf>
    <xf numFmtId="168" fontId="26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57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  <xf numFmtId="0" fontId="28" fillId="0" borderId="6" xfId="49" applyFont="1" applyFill="1" applyBorder="1" applyAlignment="1">
      <alignment horizontal="right" vertical="center" wrapText="1"/>
    </xf>
    <xf numFmtId="0" fontId="28" fillId="0" borderId="4" xfId="49" applyFont="1" applyFill="1" applyBorder="1" applyAlignment="1">
      <alignment horizontal="right" vertical="center" wrapText="1"/>
    </xf>
    <xf numFmtId="0" fontId="28" fillId="0" borderId="7" xfId="49" applyFont="1" applyFill="1" applyBorder="1" applyAlignment="1">
      <alignment horizontal="right" vertical="center" wrapText="1"/>
    </xf>
    <xf numFmtId="0" fontId="26" fillId="0" borderId="45" xfId="14" applyFont="1" applyFill="1" applyBorder="1" applyAlignment="1">
      <alignment horizontal="center" vertical="center" wrapText="1"/>
    </xf>
    <xf numFmtId="0" fontId="26" fillId="0" borderId="3" xfId="14" applyFont="1" applyFill="1" applyBorder="1" applyAlignment="1">
      <alignment horizontal="center" vertical="center" wrapText="1"/>
    </xf>
    <xf numFmtId="0" fontId="28" fillId="0" borderId="2" xfId="14" applyFont="1" applyFill="1" applyBorder="1" applyAlignment="1">
      <alignment horizontal="center" vertical="center" wrapText="1"/>
    </xf>
    <xf numFmtId="0" fontId="28" fillId="0" borderId="2" xfId="14" applyFont="1" applyBorder="1" applyAlignment="1">
      <alignment horizontal="center" vertical="center" wrapText="1"/>
    </xf>
    <xf numFmtId="0" fontId="28" fillId="0" borderId="5" xfId="14" applyFont="1" applyFill="1" applyBorder="1" applyAlignment="1">
      <alignment horizontal="center" vertical="center" wrapText="1"/>
    </xf>
    <xf numFmtId="0" fontId="28" fillId="0" borderId="47" xfId="14" applyFont="1" applyFill="1" applyBorder="1" applyAlignment="1">
      <alignment horizontal="center" vertical="center" wrapText="1"/>
    </xf>
    <xf numFmtId="0" fontId="27" fillId="0" borderId="0" xfId="14" applyFont="1" applyFill="1" applyAlignment="1">
      <alignment horizontal="center" vertical="center"/>
    </xf>
    <xf numFmtId="0" fontId="27" fillId="0" borderId="0" xfId="14" applyFont="1" applyFill="1" applyAlignment="1">
      <alignment horizontal="center" vertical="center" wrapText="1"/>
    </xf>
    <xf numFmtId="0" fontId="41" fillId="0" borderId="0" xfId="14" applyFont="1" applyFill="1" applyAlignment="1">
      <alignment horizontal="center" vertical="center"/>
    </xf>
    <xf numFmtId="0" fontId="28" fillId="0" borderId="2" xfId="14" applyFont="1" applyFill="1" applyBorder="1" applyAlignment="1">
      <alignment horizontal="center" vertical="center"/>
    </xf>
    <xf numFmtId="0" fontId="28" fillId="0" borderId="6" xfId="14" applyFont="1" applyFill="1" applyBorder="1" applyAlignment="1">
      <alignment horizontal="right" vertical="center" wrapText="1"/>
    </xf>
    <xf numFmtId="0" fontId="28" fillId="0" borderId="4" xfId="14" applyFont="1" applyFill="1" applyBorder="1" applyAlignment="1">
      <alignment horizontal="right" vertical="center" wrapText="1"/>
    </xf>
    <xf numFmtId="0" fontId="28" fillId="0" borderId="7" xfId="14" applyFont="1" applyFill="1" applyBorder="1" applyAlignment="1">
      <alignment horizontal="right" vertical="center" wrapText="1"/>
    </xf>
    <xf numFmtId="0" fontId="28" fillId="0" borderId="6" xfId="14" applyFont="1" applyFill="1" applyBorder="1" applyAlignment="1">
      <alignment horizontal="center" vertical="center" wrapText="1"/>
    </xf>
    <xf numFmtId="0" fontId="28" fillId="0" borderId="4" xfId="14" applyFont="1" applyFill="1" applyBorder="1" applyAlignment="1">
      <alignment horizontal="center" vertical="center" wrapText="1"/>
    </xf>
    <xf numFmtId="0" fontId="28" fillId="0" borderId="7" xfId="14" applyFont="1" applyFill="1" applyBorder="1" applyAlignment="1">
      <alignment horizontal="center" vertical="center" wrapText="1"/>
    </xf>
    <xf numFmtId="0" fontId="28" fillId="0" borderId="6" xfId="14" applyFont="1" applyBorder="1" applyAlignment="1">
      <alignment horizontal="center" vertical="center" wrapText="1"/>
    </xf>
    <xf numFmtId="0" fontId="28" fillId="0" borderId="4" xfId="14" applyFont="1" applyBorder="1" applyAlignment="1">
      <alignment horizontal="center" vertical="center" wrapText="1"/>
    </xf>
    <xf numFmtId="0" fontId="28" fillId="0" borderId="7" xfId="14" applyFont="1" applyBorder="1" applyAlignment="1">
      <alignment horizontal="center" vertical="center" wrapText="1"/>
    </xf>
    <xf numFmtId="0" fontId="26" fillId="0" borderId="2" xfId="14" applyFont="1" applyFill="1" applyBorder="1" applyAlignment="1">
      <alignment horizontal="center" vertical="center"/>
    </xf>
    <xf numFmtId="0" fontId="29" fillId="0" borderId="76" xfId="0" applyFont="1" applyBorder="1" applyAlignment="1">
      <alignment horizontal="right" vertical="center" wrapText="1"/>
    </xf>
    <xf numFmtId="0" fontId="29" fillId="0" borderId="78" xfId="0" applyFont="1" applyBorder="1" applyAlignment="1">
      <alignment horizontal="right" vertical="center" wrapText="1"/>
    </xf>
    <xf numFmtId="0" fontId="29" fillId="0" borderId="77" xfId="0" applyFont="1" applyBorder="1" applyAlignment="1">
      <alignment horizontal="right" vertical="center" wrapText="1"/>
    </xf>
    <xf numFmtId="0" fontId="29" fillId="0" borderId="76" xfId="0" applyFont="1" applyBorder="1" applyAlignment="1">
      <alignment horizontal="center" vertical="center" wrapText="1"/>
    </xf>
    <xf numFmtId="0" fontId="29" fillId="0" borderId="78" xfId="0" applyFont="1" applyBorder="1" applyAlignment="1">
      <alignment horizontal="center" vertical="center" wrapText="1"/>
    </xf>
    <xf numFmtId="0" fontId="29" fillId="0" borderId="77" xfId="0" applyFont="1" applyBorder="1" applyAlignment="1">
      <alignment horizontal="center" vertical="center" wrapText="1"/>
    </xf>
    <xf numFmtId="0" fontId="28" fillId="0" borderId="76" xfId="0" applyFont="1" applyFill="1" applyBorder="1" applyAlignment="1">
      <alignment horizontal="center" vertical="center" wrapText="1"/>
    </xf>
    <xf numFmtId="0" fontId="28" fillId="0" borderId="78" xfId="0" applyFont="1" applyFill="1" applyBorder="1" applyAlignment="1">
      <alignment horizontal="center" vertical="center" wrapText="1"/>
    </xf>
    <xf numFmtId="0" fontId="28" fillId="0" borderId="77" xfId="0" applyFont="1" applyFill="1" applyBorder="1" applyAlignment="1">
      <alignment horizontal="center" vertical="center" wrapText="1"/>
    </xf>
    <xf numFmtId="0" fontId="28" fillId="0" borderId="76" xfId="0" applyFont="1" applyFill="1" applyBorder="1" applyAlignment="1">
      <alignment horizontal="right" vertical="center" wrapText="1"/>
    </xf>
    <xf numFmtId="0" fontId="28" fillId="0" borderId="78" xfId="0" applyFont="1" applyFill="1" applyBorder="1" applyAlignment="1">
      <alignment horizontal="right" vertical="center" wrapText="1"/>
    </xf>
    <xf numFmtId="0" fontId="28" fillId="0" borderId="77" xfId="0" applyFont="1" applyFill="1" applyBorder="1" applyAlignment="1">
      <alignment horizontal="right" vertical="center" wrapText="1"/>
    </xf>
    <xf numFmtId="0" fontId="28" fillId="0" borderId="2" xfId="15" applyFont="1" applyFill="1" applyBorder="1" applyAlignment="1">
      <alignment horizontal="center" vertical="center"/>
    </xf>
    <xf numFmtId="0" fontId="28" fillId="2" borderId="2" xfId="15" applyFont="1" applyFill="1" applyBorder="1" applyAlignment="1">
      <alignment horizontal="center" vertical="center"/>
    </xf>
    <xf numFmtId="0" fontId="26" fillId="0" borderId="6" xfId="15" applyFont="1" applyBorder="1" applyAlignment="1">
      <alignment horizontal="center" vertical="center" wrapText="1"/>
    </xf>
    <xf numFmtId="0" fontId="26" fillId="0" borderId="7" xfId="15" applyFont="1" applyBorder="1" applyAlignment="1">
      <alignment horizontal="center" vertical="center" wrapText="1"/>
    </xf>
    <xf numFmtId="0" fontId="28" fillId="2" borderId="6" xfId="15" applyFont="1" applyFill="1" applyBorder="1" applyAlignment="1">
      <alignment horizontal="center" vertical="center"/>
    </xf>
    <xf numFmtId="0" fontId="28" fillId="2" borderId="4" xfId="15" applyFont="1" applyFill="1" applyBorder="1" applyAlignment="1">
      <alignment horizontal="center" vertical="center"/>
    </xf>
    <xf numFmtId="0" fontId="28" fillId="2" borderId="7" xfId="15" applyFont="1" applyFill="1" applyBorder="1" applyAlignment="1">
      <alignment horizontal="center" vertical="center"/>
    </xf>
    <xf numFmtId="0" fontId="26" fillId="0" borderId="2" xfId="15" applyFont="1" applyBorder="1" applyAlignment="1">
      <alignment horizontal="center" vertical="center"/>
    </xf>
    <xf numFmtId="0" fontId="26" fillId="0" borderId="2" xfId="15" applyFont="1" applyBorder="1" applyAlignment="1">
      <alignment horizontal="center" vertical="center" wrapText="1"/>
    </xf>
    <xf numFmtId="167" fontId="26" fillId="0" borderId="2" xfId="4" applyFont="1" applyBorder="1" applyAlignment="1">
      <alignment horizontal="center" vertical="center"/>
    </xf>
    <xf numFmtId="0" fontId="26" fillId="0" borderId="2" xfId="15" applyFont="1" applyFill="1" applyBorder="1" applyAlignment="1">
      <alignment horizontal="center" vertical="center"/>
    </xf>
    <xf numFmtId="0" fontId="28" fillId="2" borderId="6" xfId="15" applyFont="1" applyFill="1" applyBorder="1" applyAlignment="1">
      <alignment horizontal="center" vertical="center" wrapText="1"/>
    </xf>
    <xf numFmtId="0" fontId="28" fillId="2" borderId="7" xfId="15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justify" vertical="center" wrapText="1"/>
    </xf>
    <xf numFmtId="0" fontId="28" fillId="0" borderId="0" xfId="0" applyFont="1" applyFill="1" applyBorder="1" applyAlignment="1">
      <alignment horizontal="left" vertical="center" wrapText="1"/>
    </xf>
    <xf numFmtId="172" fontId="28" fillId="0" borderId="2" xfId="0" applyNumberFormat="1" applyFont="1" applyBorder="1" applyAlignment="1">
      <alignment horizontal="center" vertical="center"/>
    </xf>
    <xf numFmtId="172" fontId="28" fillId="2" borderId="6" xfId="0" applyNumberFormat="1" applyFont="1" applyFill="1" applyBorder="1" applyAlignment="1">
      <alignment horizontal="center" vertical="center"/>
    </xf>
    <xf numFmtId="172" fontId="28" fillId="2" borderId="7" xfId="0" applyNumberFormat="1" applyFont="1" applyFill="1" applyBorder="1" applyAlignment="1">
      <alignment horizontal="center" vertical="center"/>
    </xf>
    <xf numFmtId="172" fontId="28" fillId="2" borderId="4" xfId="0" applyNumberFormat="1" applyFont="1" applyFill="1" applyBorder="1" applyAlignment="1">
      <alignment horizontal="center" vertical="center"/>
    </xf>
    <xf numFmtId="0" fontId="26" fillId="0" borderId="6" xfId="15" applyFont="1" applyBorder="1" applyAlignment="1">
      <alignment horizontal="center" vertical="center"/>
    </xf>
    <xf numFmtId="0" fontId="26" fillId="0" borderId="4" xfId="15" applyFont="1" applyBorder="1" applyAlignment="1">
      <alignment horizontal="center" vertical="center"/>
    </xf>
    <xf numFmtId="0" fontId="26" fillId="0" borderId="7" xfId="15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7" fillId="0" borderId="0" xfId="10" applyFont="1" applyAlignment="1">
      <alignment horizontal="center" vertical="center"/>
    </xf>
    <xf numFmtId="0" fontId="27" fillId="0" borderId="0" xfId="49" applyFont="1" applyFill="1" applyAlignment="1">
      <alignment horizontal="center" vertical="center" wrapText="1"/>
    </xf>
    <xf numFmtId="0" fontId="26" fillId="0" borderId="45" xfId="15" applyFont="1" applyBorder="1" applyAlignment="1">
      <alignment horizontal="center" vertical="center"/>
    </xf>
    <xf numFmtId="0" fontId="26" fillId="0" borderId="3" xfId="15" applyFont="1" applyBorder="1" applyAlignment="1">
      <alignment horizontal="center" vertical="center"/>
    </xf>
    <xf numFmtId="165" fontId="26" fillId="0" borderId="23" xfId="6" applyFont="1" applyBorder="1" applyAlignment="1">
      <alignment horizontal="center" vertical="center" wrapText="1"/>
    </xf>
    <xf numFmtId="165" fontId="26" fillId="0" borderId="21" xfId="6" applyFont="1" applyBorder="1" applyAlignment="1">
      <alignment horizontal="center" vertical="center" wrapText="1"/>
    </xf>
    <xf numFmtId="44" fontId="26" fillId="0" borderId="45" xfId="15" applyNumberFormat="1" applyFont="1" applyBorder="1" applyAlignment="1">
      <alignment horizontal="center" vertical="center" wrapText="1"/>
    </xf>
    <xf numFmtId="44" fontId="26" fillId="0" borderId="3" xfId="15" applyNumberFormat="1" applyFont="1" applyBorder="1" applyAlignment="1">
      <alignment horizontal="center" vertical="center" wrapText="1"/>
    </xf>
    <xf numFmtId="172" fontId="29" fillId="0" borderId="2" xfId="0" applyNumberFormat="1" applyFont="1" applyBorder="1" applyAlignment="1">
      <alignment horizontal="center" vertical="center"/>
    </xf>
    <xf numFmtId="0" fontId="27" fillId="0" borderId="0" xfId="10" applyFont="1" applyFill="1" applyAlignment="1">
      <alignment horizontal="center" vertical="center"/>
    </xf>
    <xf numFmtId="0" fontId="41" fillId="0" borderId="0" xfId="10" applyFont="1" applyAlignment="1">
      <alignment horizontal="center" vertical="center"/>
    </xf>
    <xf numFmtId="172" fontId="29" fillId="2" borderId="6" xfId="0" applyNumberFormat="1" applyFont="1" applyFill="1" applyBorder="1" applyAlignment="1">
      <alignment horizontal="center" vertical="center"/>
    </xf>
    <xf numFmtId="172" fontId="29" fillId="2" borderId="7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justify" vertical="center" wrapText="1"/>
    </xf>
    <xf numFmtId="0" fontId="29" fillId="0" borderId="0" xfId="0" applyFont="1" applyFill="1" applyBorder="1" applyAlignment="1">
      <alignment horizontal="justify" vertical="center" wrapText="1"/>
    </xf>
    <xf numFmtId="172" fontId="34" fillId="2" borderId="6" xfId="0" applyNumberFormat="1" applyFont="1" applyFill="1" applyBorder="1" applyAlignment="1">
      <alignment horizontal="center" vertical="center"/>
    </xf>
    <xf numFmtId="172" fontId="34" fillId="2" borderId="4" xfId="0" applyNumberFormat="1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169" fontId="28" fillId="0" borderId="23" xfId="15" applyNumberFormat="1" applyFont="1" applyFill="1" applyBorder="1" applyAlignment="1">
      <alignment horizontal="justify" vertical="center" wrapText="1"/>
    </xf>
    <xf numFmtId="0" fontId="28" fillId="0" borderId="21" xfId="15" applyFont="1" applyBorder="1" applyAlignment="1">
      <alignment horizontal="center" vertical="center"/>
    </xf>
    <xf numFmtId="169" fontId="28" fillId="0" borderId="0" xfId="15" applyNumberFormat="1" applyFont="1" applyFill="1" applyBorder="1" applyAlignment="1">
      <alignment horizontal="justify" vertical="center" wrapText="1"/>
    </xf>
    <xf numFmtId="169" fontId="28" fillId="0" borderId="2" xfId="15" applyNumberFormat="1" applyFont="1" applyFill="1" applyBorder="1" applyAlignment="1">
      <alignment horizontal="center" vertical="center"/>
    </xf>
    <xf numFmtId="0" fontId="27" fillId="0" borderId="0" xfId="15" applyFont="1" applyFill="1" applyAlignment="1">
      <alignment horizontal="center" vertical="center"/>
    </xf>
    <xf numFmtId="0" fontId="27" fillId="0" borderId="0" xfId="8" applyFont="1" applyFill="1" applyAlignment="1">
      <alignment horizontal="center" vertical="center" wrapText="1"/>
    </xf>
    <xf numFmtId="0" fontId="28" fillId="0" borderId="0" xfId="15" applyFont="1" applyFill="1" applyAlignment="1">
      <alignment horizontal="center" vertical="center"/>
    </xf>
    <xf numFmtId="0" fontId="28" fillId="0" borderId="0" xfId="54" applyFont="1" applyFill="1" applyAlignment="1">
      <alignment horizontal="justify" vertical="center" wrapText="1"/>
    </xf>
    <xf numFmtId="0" fontId="27" fillId="0" borderId="0" xfId="49" applyFont="1" applyFill="1" applyAlignment="1">
      <alignment horizontal="center" vertical="center"/>
    </xf>
    <xf numFmtId="0" fontId="28" fillId="0" borderId="6" xfId="53" applyFont="1" applyFill="1" applyBorder="1" applyAlignment="1">
      <alignment horizontal="left" vertical="center" wrapText="1"/>
    </xf>
    <xf numFmtId="0" fontId="28" fillId="0" borderId="4" xfId="53" applyFont="1" applyFill="1" applyBorder="1" applyAlignment="1">
      <alignment horizontal="left" vertical="center" wrapText="1"/>
    </xf>
    <xf numFmtId="0" fontId="28" fillId="0" borderId="7" xfId="53" applyFont="1" applyFill="1" applyBorder="1" applyAlignment="1">
      <alignment horizontal="left" vertical="center" wrapText="1"/>
    </xf>
    <xf numFmtId="0" fontId="41" fillId="0" borderId="0" xfId="49" applyFont="1" applyFill="1" applyAlignment="1">
      <alignment horizontal="center" vertical="center"/>
    </xf>
    <xf numFmtId="0" fontId="26" fillId="0" borderId="45" xfId="53" applyFont="1" applyFill="1" applyBorder="1" applyAlignment="1">
      <alignment horizontal="center" vertical="center" wrapText="1"/>
    </xf>
    <xf numFmtId="0" fontId="26" fillId="0" borderId="3" xfId="53" applyFont="1" applyFill="1" applyBorder="1" applyAlignment="1">
      <alignment horizontal="center" vertical="center" wrapText="1"/>
    </xf>
    <xf numFmtId="0" fontId="26" fillId="0" borderId="57" xfId="53" applyFont="1" applyFill="1" applyBorder="1" applyAlignment="1">
      <alignment horizontal="center" vertical="center" wrapText="1"/>
    </xf>
    <xf numFmtId="0" fontId="26" fillId="0" borderId="2" xfId="8" applyFont="1" applyBorder="1" applyAlignment="1">
      <alignment horizontal="justify" vertical="center" wrapText="1"/>
    </xf>
    <xf numFmtId="0" fontId="28" fillId="2" borderId="2" xfId="8" applyFont="1" applyFill="1" applyBorder="1" applyAlignment="1">
      <alignment horizontal="right" vertical="center"/>
    </xf>
    <xf numFmtId="0" fontId="34" fillId="0" borderId="21" xfId="8" applyFont="1" applyBorder="1" applyAlignment="1">
      <alignment horizontal="center" vertical="center"/>
    </xf>
    <xf numFmtId="0" fontId="28" fillId="0" borderId="0" xfId="8" applyFont="1" applyAlignment="1">
      <alignment horizontal="center" vertical="center"/>
    </xf>
    <xf numFmtId="0" fontId="28" fillId="2" borderId="2" xfId="10" applyFont="1" applyFill="1" applyBorder="1" applyAlignment="1">
      <alignment horizontal="center" vertical="center"/>
    </xf>
    <xf numFmtId="0" fontId="28" fillId="2" borderId="45" xfId="49" applyFont="1" applyFill="1" applyBorder="1" applyAlignment="1">
      <alignment horizontal="center" vertical="center" wrapText="1"/>
    </xf>
    <xf numFmtId="0" fontId="28" fillId="2" borderId="3" xfId="49" applyFont="1" applyFill="1" applyBorder="1" applyAlignment="1">
      <alignment horizontal="center" vertical="center" wrapText="1"/>
    </xf>
    <xf numFmtId="0" fontId="26" fillId="0" borderId="6" xfId="8" applyFont="1" applyBorder="1" applyAlignment="1">
      <alignment horizontal="justify" vertical="center" wrapText="1"/>
    </xf>
    <xf numFmtId="0" fontId="26" fillId="0" borderId="7" xfId="8" applyFont="1" applyBorder="1" applyAlignment="1">
      <alignment horizontal="justify" vertical="center" wrapText="1"/>
    </xf>
    <xf numFmtId="0" fontId="27" fillId="0" borderId="0" xfId="8" applyFont="1" applyAlignment="1">
      <alignment horizontal="center" vertical="center"/>
    </xf>
    <xf numFmtId="0" fontId="41" fillId="0" borderId="0" xfId="8" applyFont="1" applyAlignment="1">
      <alignment horizontal="center" vertical="center"/>
    </xf>
    <xf numFmtId="0" fontId="34" fillId="0" borderId="21" xfId="8" applyFont="1" applyFill="1" applyBorder="1" applyAlignment="1">
      <alignment horizontal="center" vertical="center"/>
    </xf>
    <xf numFmtId="0" fontId="28" fillId="0" borderId="2" xfId="10" applyFont="1" applyFill="1" applyBorder="1" applyAlignment="1">
      <alignment horizontal="center" vertical="center"/>
    </xf>
    <xf numFmtId="0" fontId="28" fillId="0" borderId="21" xfId="8" applyFont="1" applyFill="1" applyBorder="1" applyAlignment="1">
      <alignment horizontal="center" vertical="center"/>
    </xf>
    <xf numFmtId="0" fontId="26" fillId="0" borderId="6" xfId="8" applyFont="1" applyBorder="1" applyAlignment="1">
      <alignment horizontal="center" vertical="center" wrapText="1"/>
    </xf>
    <xf numFmtId="0" fontId="26" fillId="0" borderId="7" xfId="8" applyFont="1" applyBorder="1" applyAlignment="1">
      <alignment horizontal="center" vertical="center" wrapText="1"/>
    </xf>
    <xf numFmtId="0" fontId="28" fillId="0" borderId="21" xfId="8" applyFont="1" applyBorder="1" applyAlignment="1">
      <alignment horizontal="center" vertical="center"/>
    </xf>
  </cellXfs>
  <cellStyles count="350">
    <cellStyle name="Cancel" xfId="56" xr:uid="{00000000-0005-0000-0000-000000000000}"/>
    <cellStyle name="Heading" xfId="108" xr:uid="{00000000-0005-0000-0000-000001000000}"/>
    <cellStyle name="Heading 2" xfId="109" xr:uid="{00000000-0005-0000-0000-000002000000}"/>
    <cellStyle name="Heading1" xfId="110" xr:uid="{00000000-0005-0000-0000-000003000000}"/>
    <cellStyle name="Heading1 2" xfId="111" xr:uid="{00000000-0005-0000-0000-000004000000}"/>
    <cellStyle name="Hiperlink" xfId="1" builtinId="8"/>
    <cellStyle name="Hiperlink 2" xfId="2" xr:uid="{00000000-0005-0000-0000-000006000000}"/>
    <cellStyle name="Hiperlink 2 2" xfId="3" xr:uid="{00000000-0005-0000-0000-000007000000}"/>
    <cellStyle name="Hiperlink 3" xfId="41" xr:uid="{00000000-0005-0000-0000-000008000000}"/>
    <cellStyle name="Hiperlink 4" xfId="57" xr:uid="{00000000-0005-0000-0000-000009000000}"/>
    <cellStyle name="Moeda" xfId="4" builtinId="4"/>
    <cellStyle name="Moeda 2" xfId="5" xr:uid="{00000000-0005-0000-0000-00000B000000}"/>
    <cellStyle name="Moeda 2 2" xfId="6" xr:uid="{00000000-0005-0000-0000-00000C000000}"/>
    <cellStyle name="Moeda 2 2 2" xfId="50" xr:uid="{00000000-0005-0000-0000-00000D000000}"/>
    <cellStyle name="Moeda 2 3" xfId="30" xr:uid="{00000000-0005-0000-0000-00000E000000}"/>
    <cellStyle name="Moeda 2 3 2" xfId="145" xr:uid="{00000000-0005-0000-0000-00000F000000}"/>
    <cellStyle name="Moeda 2 3 3" xfId="83" xr:uid="{00000000-0005-0000-0000-000010000000}"/>
    <cellStyle name="Moeda 2 4" xfId="135" xr:uid="{00000000-0005-0000-0000-000011000000}"/>
    <cellStyle name="Moeda 2 4 2" xfId="279" xr:uid="{00000000-0005-0000-0000-000012000000}"/>
    <cellStyle name="Moeda 2 4 3" xfId="324" xr:uid="{00000000-0005-0000-0000-000013000000}"/>
    <cellStyle name="Moeda 2 4 4" xfId="245" xr:uid="{00000000-0005-0000-0000-000014000000}"/>
    <cellStyle name="Moeda 2 4 5" xfId="193" xr:uid="{00000000-0005-0000-0000-000015000000}"/>
    <cellStyle name="Moeda 2 5" xfId="72" xr:uid="{00000000-0005-0000-0000-000016000000}"/>
    <cellStyle name="Moeda 2 5 2" xfId="260" xr:uid="{00000000-0005-0000-0000-000017000000}"/>
    <cellStyle name="Moeda 2 6" xfId="304" xr:uid="{00000000-0005-0000-0000-000018000000}"/>
    <cellStyle name="Moeda 2 7" xfId="212" xr:uid="{00000000-0005-0000-0000-000019000000}"/>
    <cellStyle name="Moeda 2 8" xfId="173" xr:uid="{00000000-0005-0000-0000-00001A000000}"/>
    <cellStyle name="Moeda 2 9" xfId="343" xr:uid="{00000000-0005-0000-0000-00001B000000}"/>
    <cellStyle name="Moeda 3" xfId="7" xr:uid="{00000000-0005-0000-0000-00001C000000}"/>
    <cellStyle name="Moeda 3 2" xfId="32" xr:uid="{00000000-0005-0000-0000-00001D000000}"/>
    <cellStyle name="Moeda 3 3" xfId="31" xr:uid="{00000000-0005-0000-0000-00001E000000}"/>
    <cellStyle name="Moeda 3 3 2" xfId="146" xr:uid="{00000000-0005-0000-0000-00001F000000}"/>
    <cellStyle name="Moeda 3 3 3" xfId="84" xr:uid="{00000000-0005-0000-0000-000020000000}"/>
    <cellStyle name="Moeda 3 4" xfId="55" xr:uid="{00000000-0005-0000-0000-000021000000}"/>
    <cellStyle name="Moeda 3 4 2" xfId="159" xr:uid="{00000000-0005-0000-0000-000022000000}"/>
    <cellStyle name="Moeda 3 4 2 2" xfId="296" xr:uid="{00000000-0005-0000-0000-000023000000}"/>
    <cellStyle name="Moeda 3 4 2 3" xfId="339" xr:uid="{00000000-0005-0000-0000-000024000000}"/>
    <cellStyle name="Moeda 3 4 2 4" xfId="246" xr:uid="{00000000-0005-0000-0000-000025000000}"/>
    <cellStyle name="Moeda 3 4 2 5" xfId="194" xr:uid="{00000000-0005-0000-0000-000026000000}"/>
    <cellStyle name="Moeda 3 4 3" xfId="97" xr:uid="{00000000-0005-0000-0000-000027000000}"/>
    <cellStyle name="Moeda 3 4 3 2" xfId="275" xr:uid="{00000000-0005-0000-0000-000028000000}"/>
    <cellStyle name="Moeda 3 4 4" xfId="321" xr:uid="{00000000-0005-0000-0000-000029000000}"/>
    <cellStyle name="Moeda 3 4 5" xfId="227" xr:uid="{00000000-0005-0000-0000-00002A000000}"/>
    <cellStyle name="Moeda 3 4 6" xfId="188" xr:uid="{00000000-0005-0000-0000-00002B000000}"/>
    <cellStyle name="Moeda 3 5" xfId="112" xr:uid="{00000000-0005-0000-0000-00002C000000}"/>
    <cellStyle name="Moeda 3 5 2" xfId="259" xr:uid="{00000000-0005-0000-0000-00002D000000}"/>
    <cellStyle name="Moeda 3 5 3" xfId="280" xr:uid="{00000000-0005-0000-0000-00002E000000}"/>
    <cellStyle name="Moeda 3 5 4" xfId="233" xr:uid="{00000000-0005-0000-0000-00002F000000}"/>
    <cellStyle name="Moeda 3 5 5" xfId="195" xr:uid="{00000000-0005-0000-0000-000030000000}"/>
    <cellStyle name="Moeda 3 6" xfId="136" xr:uid="{00000000-0005-0000-0000-000031000000}"/>
    <cellStyle name="Moeda 3 7" xfId="73" xr:uid="{00000000-0005-0000-0000-000032000000}"/>
    <cellStyle name="Moeda 4" xfId="33" xr:uid="{00000000-0005-0000-0000-000033000000}"/>
    <cellStyle name="Moeda 4 2" xfId="344" xr:uid="{00000000-0005-0000-0000-000034000000}"/>
    <cellStyle name="Moeda 5" xfId="46" xr:uid="{00000000-0005-0000-0000-000035000000}"/>
    <cellStyle name="Moeda 6" xfId="113" xr:uid="{00000000-0005-0000-0000-000036000000}"/>
    <cellStyle name="Moeda 6 2" xfId="303" xr:uid="{00000000-0005-0000-0000-000037000000}"/>
    <cellStyle name="Moeda 6 3" xfId="229" xr:uid="{00000000-0005-0000-0000-000038000000}"/>
    <cellStyle name="Moeda 7" xfId="114" xr:uid="{00000000-0005-0000-0000-000039000000}"/>
    <cellStyle name="Moeda 8" xfId="300" xr:uid="{00000000-0005-0000-0000-00003A000000}"/>
    <cellStyle name="Moeda 9" xfId="342" xr:uid="{00000000-0005-0000-0000-00003B000000}"/>
    <cellStyle name="Normal" xfId="0" builtinId="0"/>
    <cellStyle name="Normal 10" xfId="58" xr:uid="{00000000-0005-0000-0000-00003D000000}"/>
    <cellStyle name="Normal 10 2" xfId="69" xr:uid="{00000000-0005-0000-0000-00003E000000}"/>
    <cellStyle name="Normal 10 2 2" xfId="170" xr:uid="{00000000-0005-0000-0000-00003F000000}"/>
    <cellStyle name="Normal 10 2 2 2" xfId="297" xr:uid="{00000000-0005-0000-0000-000040000000}"/>
    <cellStyle name="Normal 10 2 3" xfId="115" xr:uid="{00000000-0005-0000-0000-000041000000}"/>
    <cellStyle name="Normal 10 2 3 2" xfId="340" xr:uid="{00000000-0005-0000-0000-000042000000}"/>
    <cellStyle name="Normal 10 2 4" xfId="234" xr:uid="{00000000-0005-0000-0000-000043000000}"/>
    <cellStyle name="Normal 10 2 5" xfId="196" xr:uid="{00000000-0005-0000-0000-000044000000}"/>
    <cellStyle name="Normal 10 3" xfId="160" xr:uid="{00000000-0005-0000-0000-000045000000}"/>
    <cellStyle name="Normal 10 3 2" xfId="258" xr:uid="{00000000-0005-0000-0000-000046000000}"/>
    <cellStyle name="Normal 10 4" xfId="98" xr:uid="{00000000-0005-0000-0000-000047000000}"/>
    <cellStyle name="Normal 10 4 2" xfId="276" xr:uid="{00000000-0005-0000-0000-000048000000}"/>
    <cellStyle name="Normal 10 5" xfId="322" xr:uid="{00000000-0005-0000-0000-000049000000}"/>
    <cellStyle name="Normal 10 6" xfId="228" xr:uid="{00000000-0005-0000-0000-00004A000000}"/>
    <cellStyle name="Normal 10 7" xfId="192" xr:uid="{00000000-0005-0000-0000-00004B000000}"/>
    <cellStyle name="Normal 11" xfId="59" xr:uid="{00000000-0005-0000-0000-00004C000000}"/>
    <cellStyle name="Normal 11 2" xfId="161" xr:uid="{00000000-0005-0000-0000-00004D000000}"/>
    <cellStyle name="Normal 11 2 2" xfId="302" xr:uid="{00000000-0005-0000-0000-00004E000000}"/>
    <cellStyle name="Normal 11 3" xfId="99" xr:uid="{00000000-0005-0000-0000-00004F000000}"/>
    <cellStyle name="Normal 11 4" xfId="235" xr:uid="{00000000-0005-0000-0000-000050000000}"/>
    <cellStyle name="Normal 12" xfId="116" xr:uid="{00000000-0005-0000-0000-000051000000}"/>
    <cellStyle name="Normal 13" xfId="117" xr:uid="{00000000-0005-0000-0000-000052000000}"/>
    <cellStyle name="Normal 14" xfId="118" xr:uid="{00000000-0005-0000-0000-000053000000}"/>
    <cellStyle name="Normal 15" xfId="119" xr:uid="{00000000-0005-0000-0000-000054000000}"/>
    <cellStyle name="Normal 16" xfId="120" xr:uid="{00000000-0005-0000-0000-000055000000}"/>
    <cellStyle name="Normal 17" xfId="121" xr:uid="{00000000-0005-0000-0000-000056000000}"/>
    <cellStyle name="Normal 18" xfId="122" xr:uid="{00000000-0005-0000-0000-000057000000}"/>
    <cellStyle name="Normal 19" xfId="123" xr:uid="{00000000-0005-0000-0000-000058000000}"/>
    <cellStyle name="Normal 19 2" xfId="236" xr:uid="{00000000-0005-0000-0000-000059000000}"/>
    <cellStyle name="Normal 2" xfId="8" xr:uid="{00000000-0005-0000-0000-00005A000000}"/>
    <cellStyle name="Normal 2 2" xfId="9" xr:uid="{00000000-0005-0000-0000-00005B000000}"/>
    <cellStyle name="Normal 2 2 10" xfId="345" xr:uid="{00000000-0005-0000-0000-00005C000000}"/>
    <cellStyle name="Normal 2 2 2" xfId="10" xr:uid="{00000000-0005-0000-0000-00005D000000}"/>
    <cellStyle name="Normal 2 2 2 2" xfId="49" xr:uid="{00000000-0005-0000-0000-00005E000000}"/>
    <cellStyle name="Normal 2 2 3" xfId="35" xr:uid="{00000000-0005-0000-0000-00005F000000}"/>
    <cellStyle name="Normal 2 2 3 2" xfId="148" xr:uid="{00000000-0005-0000-0000-000060000000}"/>
    <cellStyle name="Normal 2 2 3 2 2" xfId="287" xr:uid="{00000000-0005-0000-0000-000061000000}"/>
    <cellStyle name="Normal 2 2 3 2 3" xfId="330" xr:uid="{00000000-0005-0000-0000-000062000000}"/>
    <cellStyle name="Normal 2 2 3 2 4" xfId="247" xr:uid="{00000000-0005-0000-0000-000063000000}"/>
    <cellStyle name="Normal 2 2 3 2 5" xfId="197" xr:uid="{00000000-0005-0000-0000-000064000000}"/>
    <cellStyle name="Normal 2 2 3 3" xfId="86" xr:uid="{00000000-0005-0000-0000-000065000000}"/>
    <cellStyle name="Normal 2 2 3 3 2" xfId="266" xr:uid="{00000000-0005-0000-0000-000066000000}"/>
    <cellStyle name="Normal 2 2 3 4" xfId="312" xr:uid="{00000000-0005-0000-0000-000067000000}"/>
    <cellStyle name="Normal 2 2 3 5" xfId="218" xr:uid="{00000000-0005-0000-0000-000068000000}"/>
    <cellStyle name="Normal 2 2 3 6" xfId="179" xr:uid="{00000000-0005-0000-0000-000069000000}"/>
    <cellStyle name="Normal 2 2 4" xfId="53" xr:uid="{00000000-0005-0000-0000-00006A000000}"/>
    <cellStyle name="Normal 2 2 4 2" xfId="158" xr:uid="{00000000-0005-0000-0000-00006B000000}"/>
    <cellStyle name="Normal 2 2 4 2 2" xfId="295" xr:uid="{00000000-0005-0000-0000-00006C000000}"/>
    <cellStyle name="Normal 2 2 4 2 3" xfId="338" xr:uid="{00000000-0005-0000-0000-00006D000000}"/>
    <cellStyle name="Normal 2 2 4 2 4" xfId="248" xr:uid="{00000000-0005-0000-0000-00006E000000}"/>
    <cellStyle name="Normal 2 2 4 2 5" xfId="198" xr:uid="{00000000-0005-0000-0000-00006F000000}"/>
    <cellStyle name="Normal 2 2 4 3" xfId="96" xr:uid="{00000000-0005-0000-0000-000070000000}"/>
    <cellStyle name="Normal 2 2 4 3 2" xfId="274" xr:uid="{00000000-0005-0000-0000-000071000000}"/>
    <cellStyle name="Normal 2 2 4 4" xfId="320" xr:uid="{00000000-0005-0000-0000-000072000000}"/>
    <cellStyle name="Normal 2 2 4 5" xfId="226" xr:uid="{00000000-0005-0000-0000-000073000000}"/>
    <cellStyle name="Normal 2 2 4 6" xfId="187" xr:uid="{00000000-0005-0000-0000-000074000000}"/>
    <cellStyle name="Normal 2 2 5" xfId="60" xr:uid="{00000000-0005-0000-0000-000075000000}"/>
    <cellStyle name="Normal 2 2 5 2" xfId="162" xr:uid="{00000000-0005-0000-0000-000076000000}"/>
    <cellStyle name="Normal 2 2 5 2 2" xfId="281" xr:uid="{00000000-0005-0000-0000-000077000000}"/>
    <cellStyle name="Normal 2 2 5 3" xfId="100" xr:uid="{00000000-0005-0000-0000-000078000000}"/>
    <cellStyle name="Normal 2 2 5 3 2" xfId="325" xr:uid="{00000000-0005-0000-0000-000079000000}"/>
    <cellStyle name="Normal 2 2 5 4" xfId="237" xr:uid="{00000000-0005-0000-0000-00007A000000}"/>
    <cellStyle name="Normal 2 2 5 5" xfId="189" xr:uid="{00000000-0005-0000-0000-00007B000000}"/>
    <cellStyle name="Normal 2 2 6" xfId="137" xr:uid="{00000000-0005-0000-0000-00007C000000}"/>
    <cellStyle name="Normal 2 2 6 2" xfId="261" xr:uid="{00000000-0005-0000-0000-00007D000000}"/>
    <cellStyle name="Normal 2 2 7" xfId="74" xr:uid="{00000000-0005-0000-0000-00007E000000}"/>
    <cellStyle name="Normal 2 2 7 2" xfId="305" xr:uid="{00000000-0005-0000-0000-00007F000000}"/>
    <cellStyle name="Normal 2 2 8" xfId="213" xr:uid="{00000000-0005-0000-0000-000080000000}"/>
    <cellStyle name="Normal 2 2 9" xfId="174" xr:uid="{00000000-0005-0000-0000-000081000000}"/>
    <cellStyle name="Normal 2 3" xfId="11" xr:uid="{00000000-0005-0000-0000-000082000000}"/>
    <cellStyle name="Normal 2 3 2" xfId="138" xr:uid="{00000000-0005-0000-0000-000083000000}"/>
    <cellStyle name="Normal 2 3 3" xfId="75" xr:uid="{00000000-0005-0000-0000-000084000000}"/>
    <cellStyle name="Normal 2 4" xfId="12" xr:uid="{00000000-0005-0000-0000-000085000000}"/>
    <cellStyle name="Normal 2 4 10" xfId="175" xr:uid="{00000000-0005-0000-0000-000086000000}"/>
    <cellStyle name="Normal 2 4 11" xfId="346" xr:uid="{00000000-0005-0000-0000-000087000000}"/>
    <cellStyle name="Normal 2 4 2" xfId="40" xr:uid="{00000000-0005-0000-0000-000088000000}"/>
    <cellStyle name="Normal 2 4 2 2" xfId="153" xr:uid="{00000000-0005-0000-0000-000089000000}"/>
    <cellStyle name="Normal 2 4 2 2 2" xfId="290" xr:uid="{00000000-0005-0000-0000-00008A000000}"/>
    <cellStyle name="Normal 2 4 2 2 3" xfId="333" xr:uid="{00000000-0005-0000-0000-00008B000000}"/>
    <cellStyle name="Normal 2 4 2 2 4" xfId="249" xr:uid="{00000000-0005-0000-0000-00008C000000}"/>
    <cellStyle name="Normal 2 4 2 2 5" xfId="199" xr:uid="{00000000-0005-0000-0000-00008D000000}"/>
    <cellStyle name="Normal 2 4 2 3" xfId="91" xr:uid="{00000000-0005-0000-0000-00008E000000}"/>
    <cellStyle name="Normal 2 4 2 3 2" xfId="269" xr:uid="{00000000-0005-0000-0000-00008F000000}"/>
    <cellStyle name="Normal 2 4 2 4" xfId="315" xr:uid="{00000000-0005-0000-0000-000090000000}"/>
    <cellStyle name="Normal 2 4 2 5" xfId="221" xr:uid="{00000000-0005-0000-0000-000091000000}"/>
    <cellStyle name="Normal 2 4 2 6" xfId="182" xr:uid="{00000000-0005-0000-0000-000092000000}"/>
    <cellStyle name="Normal 2 4 3" xfId="36" xr:uid="{00000000-0005-0000-0000-000093000000}"/>
    <cellStyle name="Normal 2 4 3 2" xfId="149" xr:uid="{00000000-0005-0000-0000-000094000000}"/>
    <cellStyle name="Normal 2 4 3 2 2" xfId="288" xr:uid="{00000000-0005-0000-0000-000095000000}"/>
    <cellStyle name="Normal 2 4 3 2 3" xfId="331" xr:uid="{00000000-0005-0000-0000-000096000000}"/>
    <cellStyle name="Normal 2 4 3 2 4" xfId="250" xr:uid="{00000000-0005-0000-0000-000097000000}"/>
    <cellStyle name="Normal 2 4 3 2 5" xfId="200" xr:uid="{00000000-0005-0000-0000-000098000000}"/>
    <cellStyle name="Normal 2 4 3 3" xfId="87" xr:uid="{00000000-0005-0000-0000-000099000000}"/>
    <cellStyle name="Normal 2 4 3 3 2" xfId="267" xr:uid="{00000000-0005-0000-0000-00009A000000}"/>
    <cellStyle name="Normal 2 4 3 4" xfId="313" xr:uid="{00000000-0005-0000-0000-00009B000000}"/>
    <cellStyle name="Normal 2 4 3 5" xfId="219" xr:uid="{00000000-0005-0000-0000-00009C000000}"/>
    <cellStyle name="Normal 2 4 3 6" xfId="180" xr:uid="{00000000-0005-0000-0000-00009D000000}"/>
    <cellStyle name="Normal 2 4 4" xfId="48" xr:uid="{00000000-0005-0000-0000-00009E000000}"/>
    <cellStyle name="Normal 2 4 4 2" xfId="156" xr:uid="{00000000-0005-0000-0000-00009F000000}"/>
    <cellStyle name="Normal 2 4 4 2 2" xfId="293" xr:uid="{00000000-0005-0000-0000-0000A0000000}"/>
    <cellStyle name="Normal 2 4 4 2 3" xfId="336" xr:uid="{00000000-0005-0000-0000-0000A1000000}"/>
    <cellStyle name="Normal 2 4 4 2 4" xfId="251" xr:uid="{00000000-0005-0000-0000-0000A2000000}"/>
    <cellStyle name="Normal 2 4 4 2 5" xfId="201" xr:uid="{00000000-0005-0000-0000-0000A3000000}"/>
    <cellStyle name="Normal 2 4 4 3" xfId="94" xr:uid="{00000000-0005-0000-0000-0000A4000000}"/>
    <cellStyle name="Normal 2 4 4 3 2" xfId="272" xr:uid="{00000000-0005-0000-0000-0000A5000000}"/>
    <cellStyle name="Normal 2 4 4 4" xfId="318" xr:uid="{00000000-0005-0000-0000-0000A6000000}"/>
    <cellStyle name="Normal 2 4 4 5" xfId="224" xr:uid="{00000000-0005-0000-0000-0000A7000000}"/>
    <cellStyle name="Normal 2 4 4 6" xfId="185" xr:uid="{00000000-0005-0000-0000-0000A8000000}"/>
    <cellStyle name="Normal 2 4 5" xfId="70" xr:uid="{00000000-0005-0000-0000-0000A9000000}"/>
    <cellStyle name="Normal 2 4 5 2" xfId="171" xr:uid="{00000000-0005-0000-0000-0000AA000000}"/>
    <cellStyle name="Normal 2 4 5 2 2" xfId="298" xr:uid="{00000000-0005-0000-0000-0000AB000000}"/>
    <cellStyle name="Normal 2 4 5 2 3" xfId="341" xr:uid="{00000000-0005-0000-0000-0000AC000000}"/>
    <cellStyle name="Normal 2 4 5 2 4" xfId="252" xr:uid="{00000000-0005-0000-0000-0000AD000000}"/>
    <cellStyle name="Normal 2 4 5 2 5" xfId="202" xr:uid="{00000000-0005-0000-0000-0000AE000000}"/>
    <cellStyle name="Normal 2 4 5 3" xfId="124" xr:uid="{00000000-0005-0000-0000-0000AF000000}"/>
    <cellStyle name="Normal 2 4 5 3 2" xfId="277" xr:uid="{00000000-0005-0000-0000-0000B0000000}"/>
    <cellStyle name="Normal 2 4 5 4" xfId="323" xr:uid="{00000000-0005-0000-0000-0000B1000000}"/>
    <cellStyle name="Normal 2 4 5 5" xfId="238" xr:uid="{00000000-0005-0000-0000-0000B2000000}"/>
    <cellStyle name="Normal 2 4 5 6" xfId="190" xr:uid="{00000000-0005-0000-0000-0000B3000000}"/>
    <cellStyle name="Normal 2 4 6" xfId="139" xr:uid="{00000000-0005-0000-0000-0000B4000000}"/>
    <cellStyle name="Normal 2 4 6 2" xfId="282" xr:uid="{00000000-0005-0000-0000-0000B5000000}"/>
    <cellStyle name="Normal 2 4 6 3" xfId="326" xr:uid="{00000000-0005-0000-0000-0000B6000000}"/>
    <cellStyle name="Normal 2 4 6 4" xfId="253" xr:uid="{00000000-0005-0000-0000-0000B7000000}"/>
    <cellStyle name="Normal 2 4 6 5" xfId="203" xr:uid="{00000000-0005-0000-0000-0000B8000000}"/>
    <cellStyle name="Normal 2 4 7" xfId="76" xr:uid="{00000000-0005-0000-0000-0000B9000000}"/>
    <cellStyle name="Normal 2 4 7 2" xfId="262" xr:uid="{00000000-0005-0000-0000-0000BA000000}"/>
    <cellStyle name="Normal 2 4 8" xfId="306" xr:uid="{00000000-0005-0000-0000-0000BB000000}"/>
    <cellStyle name="Normal 2 4 9" xfId="214" xr:uid="{00000000-0005-0000-0000-0000BC000000}"/>
    <cellStyle name="Normal 2 5" xfId="34" xr:uid="{00000000-0005-0000-0000-0000BD000000}"/>
    <cellStyle name="Normal 2 5 2" xfId="147" xr:uid="{00000000-0005-0000-0000-0000BE000000}"/>
    <cellStyle name="Normal 2 5 2 2" xfId="286" xr:uid="{00000000-0005-0000-0000-0000BF000000}"/>
    <cellStyle name="Normal 2 5 2 3" xfId="329" xr:uid="{00000000-0005-0000-0000-0000C0000000}"/>
    <cellStyle name="Normal 2 5 2 4" xfId="254" xr:uid="{00000000-0005-0000-0000-0000C1000000}"/>
    <cellStyle name="Normal 2 5 2 5" xfId="204" xr:uid="{00000000-0005-0000-0000-0000C2000000}"/>
    <cellStyle name="Normal 2 5 3" xfId="85" xr:uid="{00000000-0005-0000-0000-0000C3000000}"/>
    <cellStyle name="Normal 2 5 3 2" xfId="265" xr:uid="{00000000-0005-0000-0000-0000C4000000}"/>
    <cellStyle name="Normal 2 5 4" xfId="311" xr:uid="{00000000-0005-0000-0000-0000C5000000}"/>
    <cellStyle name="Normal 2 5 5" xfId="217" xr:uid="{00000000-0005-0000-0000-0000C6000000}"/>
    <cellStyle name="Normal 2 5 6" xfId="178" xr:uid="{00000000-0005-0000-0000-0000C7000000}"/>
    <cellStyle name="Normal 2 6" xfId="45" xr:uid="{00000000-0005-0000-0000-0000C8000000}"/>
    <cellStyle name="Normal 2 6 2" xfId="61" xr:uid="{00000000-0005-0000-0000-0000C9000000}"/>
    <cellStyle name="Normal 2 6 2 2" xfId="163" xr:uid="{00000000-0005-0000-0000-0000CA000000}"/>
    <cellStyle name="Normal 2 6 2 2 2" xfId="291" xr:uid="{00000000-0005-0000-0000-0000CB000000}"/>
    <cellStyle name="Normal 2 6 2 3" xfId="101" xr:uid="{00000000-0005-0000-0000-0000CC000000}"/>
    <cellStyle name="Normal 2 6 2 3 2" xfId="334" xr:uid="{00000000-0005-0000-0000-0000CD000000}"/>
    <cellStyle name="Normal 2 6 2 4" xfId="239" xr:uid="{00000000-0005-0000-0000-0000CE000000}"/>
    <cellStyle name="Normal 2 6 2 5" xfId="205" xr:uid="{00000000-0005-0000-0000-0000CF000000}"/>
    <cellStyle name="Normal 2 6 3" xfId="154" xr:uid="{00000000-0005-0000-0000-0000D0000000}"/>
    <cellStyle name="Normal 2 6 3 2" xfId="270" xr:uid="{00000000-0005-0000-0000-0000D1000000}"/>
    <cellStyle name="Normal 2 6 4" xfId="92" xr:uid="{00000000-0005-0000-0000-0000D2000000}"/>
    <cellStyle name="Normal 2 6 4 2" xfId="316" xr:uid="{00000000-0005-0000-0000-0000D3000000}"/>
    <cellStyle name="Normal 2 6 5" xfId="222" xr:uid="{00000000-0005-0000-0000-0000D4000000}"/>
    <cellStyle name="Normal 2 6 6" xfId="183" xr:uid="{00000000-0005-0000-0000-0000D5000000}"/>
    <cellStyle name="Normal 2 7" xfId="62" xr:uid="{00000000-0005-0000-0000-0000D6000000}"/>
    <cellStyle name="Normal 2 7 2" xfId="164" xr:uid="{00000000-0005-0000-0000-0000D7000000}"/>
    <cellStyle name="Normal 2 7 3" xfId="102" xr:uid="{00000000-0005-0000-0000-0000D8000000}"/>
    <cellStyle name="Normal 2 7 4" xfId="232" xr:uid="{00000000-0005-0000-0000-0000D9000000}"/>
    <cellStyle name="Normal 2 8" xfId="71" xr:uid="{00000000-0005-0000-0000-0000DA000000}"/>
    <cellStyle name="Normal 2 8 2" xfId="172" xr:uid="{00000000-0005-0000-0000-0000DB000000}"/>
    <cellStyle name="Normal 2 8 3" xfId="125" xr:uid="{00000000-0005-0000-0000-0000DC000000}"/>
    <cellStyle name="Normal 2 8 4" xfId="240" xr:uid="{00000000-0005-0000-0000-0000DD000000}"/>
    <cellStyle name="Normal 20" xfId="299" xr:uid="{00000000-0005-0000-0000-0000DE000000}"/>
    <cellStyle name="Normal 3" xfId="13" xr:uid="{00000000-0005-0000-0000-0000DF000000}"/>
    <cellStyle name="Normal 3 2" xfId="14" xr:uid="{00000000-0005-0000-0000-0000E0000000}"/>
    <cellStyle name="Normal 3 2 2" xfId="54" xr:uid="{00000000-0005-0000-0000-0000E1000000}"/>
    <cellStyle name="Normal 3 2 2 2" xfId="126" xr:uid="{00000000-0005-0000-0000-0000E2000000}"/>
    <cellStyle name="Normal 3 3" xfId="127" xr:uid="{00000000-0005-0000-0000-0000E3000000}"/>
    <cellStyle name="Normal 3 3 2" xfId="283" xr:uid="{00000000-0005-0000-0000-0000E4000000}"/>
    <cellStyle name="Normal 3 3 3" xfId="327" xr:uid="{00000000-0005-0000-0000-0000E5000000}"/>
    <cellStyle name="Normal 3 3 4" xfId="241" xr:uid="{00000000-0005-0000-0000-0000E6000000}"/>
    <cellStyle name="Normal 3 3 5" xfId="206" xr:uid="{00000000-0005-0000-0000-0000E7000000}"/>
    <cellStyle name="Normal 3 4" xfId="128" xr:uid="{00000000-0005-0000-0000-0000E8000000}"/>
    <cellStyle name="Normal 3 5" xfId="140" xr:uid="{00000000-0005-0000-0000-0000E9000000}"/>
    <cellStyle name="Normal 3 5 2" xfId="263" xr:uid="{00000000-0005-0000-0000-0000EA000000}"/>
    <cellStyle name="Normal 3 6" xfId="77" xr:uid="{00000000-0005-0000-0000-0000EB000000}"/>
    <cellStyle name="Normal 3 6 2" xfId="307" xr:uid="{00000000-0005-0000-0000-0000EC000000}"/>
    <cellStyle name="Normal 3 7" xfId="215" xr:uid="{00000000-0005-0000-0000-0000ED000000}"/>
    <cellStyle name="Normal 3 8" xfId="176" xr:uid="{00000000-0005-0000-0000-0000EE000000}"/>
    <cellStyle name="Normal 3 9" xfId="347" xr:uid="{00000000-0005-0000-0000-0000EF000000}"/>
    <cellStyle name="Normal 4" xfId="15" xr:uid="{00000000-0005-0000-0000-0000F0000000}"/>
    <cellStyle name="Normal 4 2" xfId="16" xr:uid="{00000000-0005-0000-0000-0000F1000000}"/>
    <cellStyle name="Normal 4 2 2" xfId="141" xr:uid="{00000000-0005-0000-0000-0000F2000000}"/>
    <cellStyle name="Normal 4 2 3" xfId="78" xr:uid="{00000000-0005-0000-0000-0000F3000000}"/>
    <cellStyle name="Normal 4 3" xfId="43" xr:uid="{00000000-0005-0000-0000-0000F4000000}"/>
    <cellStyle name="Normal 5" xfId="17" xr:uid="{00000000-0005-0000-0000-0000F5000000}"/>
    <cellStyle name="Normal 5 2" xfId="142" xr:uid="{00000000-0005-0000-0000-0000F6000000}"/>
    <cellStyle name="Normal 5 3" xfId="79" xr:uid="{00000000-0005-0000-0000-0000F7000000}"/>
    <cellStyle name="Normal 6" xfId="39" xr:uid="{00000000-0005-0000-0000-0000F8000000}"/>
    <cellStyle name="Normal 6 2" xfId="152" xr:uid="{00000000-0005-0000-0000-0000F9000000}"/>
    <cellStyle name="Normal 6 2 2" xfId="289" xr:uid="{00000000-0005-0000-0000-0000FA000000}"/>
    <cellStyle name="Normal 6 2 3" xfId="332" xr:uid="{00000000-0005-0000-0000-0000FB000000}"/>
    <cellStyle name="Normal 6 2 4" xfId="255" xr:uid="{00000000-0005-0000-0000-0000FC000000}"/>
    <cellStyle name="Normal 6 2 5" xfId="207" xr:uid="{00000000-0005-0000-0000-0000FD000000}"/>
    <cellStyle name="Normal 6 3" xfId="90" xr:uid="{00000000-0005-0000-0000-0000FE000000}"/>
    <cellStyle name="Normal 6 3 2" xfId="268" xr:uid="{00000000-0005-0000-0000-0000FF000000}"/>
    <cellStyle name="Normal 6 4" xfId="314" xr:uid="{00000000-0005-0000-0000-000000010000}"/>
    <cellStyle name="Normal 6 5" xfId="220" xr:uid="{00000000-0005-0000-0000-000001010000}"/>
    <cellStyle name="Normal 6 6" xfId="181" xr:uid="{00000000-0005-0000-0000-000002010000}"/>
    <cellStyle name="Normal 7" xfId="42" xr:uid="{00000000-0005-0000-0000-000003010000}"/>
    <cellStyle name="Normal 8" xfId="47" xr:uid="{00000000-0005-0000-0000-000004010000}"/>
    <cellStyle name="Normal 8 2" xfId="63" xr:uid="{00000000-0005-0000-0000-000005010000}"/>
    <cellStyle name="Normal 8 2 2" xfId="165" xr:uid="{00000000-0005-0000-0000-000006010000}"/>
    <cellStyle name="Normal 8 2 2 2" xfId="292" xr:uid="{00000000-0005-0000-0000-000007010000}"/>
    <cellStyle name="Normal 8 2 3" xfId="103" xr:uid="{00000000-0005-0000-0000-000008010000}"/>
    <cellStyle name="Normal 8 2 3 2" xfId="335" xr:uid="{00000000-0005-0000-0000-000009010000}"/>
    <cellStyle name="Normal 8 2 4" xfId="242" xr:uid="{00000000-0005-0000-0000-00000A010000}"/>
    <cellStyle name="Normal 8 2 5" xfId="208" xr:uid="{00000000-0005-0000-0000-00000B010000}"/>
    <cellStyle name="Normal 8 3" xfId="155" xr:uid="{00000000-0005-0000-0000-00000C010000}"/>
    <cellStyle name="Normal 8 3 2" xfId="271" xr:uid="{00000000-0005-0000-0000-00000D010000}"/>
    <cellStyle name="Normal 8 4" xfId="93" xr:uid="{00000000-0005-0000-0000-00000E010000}"/>
    <cellStyle name="Normal 8 4 2" xfId="317" xr:uid="{00000000-0005-0000-0000-00000F010000}"/>
    <cellStyle name="Normal 8 5" xfId="223" xr:uid="{00000000-0005-0000-0000-000010010000}"/>
    <cellStyle name="Normal 8 6" xfId="184" xr:uid="{00000000-0005-0000-0000-000011010000}"/>
    <cellStyle name="Normal 9" xfId="52" xr:uid="{00000000-0005-0000-0000-000012010000}"/>
    <cellStyle name="Normal 9 2" xfId="157" xr:uid="{00000000-0005-0000-0000-000013010000}"/>
    <cellStyle name="Normal 9 2 2" xfId="294" xr:uid="{00000000-0005-0000-0000-000014010000}"/>
    <cellStyle name="Normal 9 2 3" xfId="337" xr:uid="{00000000-0005-0000-0000-000015010000}"/>
    <cellStyle name="Normal 9 2 4" xfId="256" xr:uid="{00000000-0005-0000-0000-000016010000}"/>
    <cellStyle name="Normal 9 2 5" xfId="209" xr:uid="{00000000-0005-0000-0000-000017010000}"/>
    <cellStyle name="Normal 9 3" xfId="95" xr:uid="{00000000-0005-0000-0000-000018010000}"/>
    <cellStyle name="Normal 9 3 2" xfId="273" xr:uid="{00000000-0005-0000-0000-000019010000}"/>
    <cellStyle name="Normal 9 4" xfId="319" xr:uid="{00000000-0005-0000-0000-00001A010000}"/>
    <cellStyle name="Normal 9 5" xfId="225" xr:uid="{00000000-0005-0000-0000-00001B010000}"/>
    <cellStyle name="Normal 9 6" xfId="186" xr:uid="{00000000-0005-0000-0000-00001C010000}"/>
    <cellStyle name="Porcentagem" xfId="18" builtinId="5"/>
    <cellStyle name="Porcentagem 2" xfId="19" xr:uid="{00000000-0005-0000-0000-00001E010000}"/>
    <cellStyle name="Porcentagem 2 2" xfId="20" xr:uid="{00000000-0005-0000-0000-00001F010000}"/>
    <cellStyle name="Porcentagem 2 2 2" xfId="64" xr:uid="{00000000-0005-0000-0000-000020010000}"/>
    <cellStyle name="Porcentagem 2 3" xfId="65" xr:uid="{00000000-0005-0000-0000-000021010000}"/>
    <cellStyle name="Porcentagem 2 3 2" xfId="166" xr:uid="{00000000-0005-0000-0000-000022010000}"/>
    <cellStyle name="Porcentagem 2 3 2 2" xfId="278" xr:uid="{00000000-0005-0000-0000-000023010000}"/>
    <cellStyle name="Porcentagem 2 3 3" xfId="104" xr:uid="{00000000-0005-0000-0000-000024010000}"/>
    <cellStyle name="Porcentagem 2 3 3 2" xfId="243" xr:uid="{00000000-0005-0000-0000-000025010000}"/>
    <cellStyle name="Porcentagem 2 3 4" xfId="191" xr:uid="{00000000-0005-0000-0000-000026010000}"/>
    <cellStyle name="Porcentagem 2 4" xfId="143" xr:uid="{00000000-0005-0000-0000-000027010000}"/>
    <cellStyle name="Porcentagem 2 4 2" xfId="284" xr:uid="{00000000-0005-0000-0000-000028010000}"/>
    <cellStyle name="Porcentagem 2 4 3" xfId="328" xr:uid="{00000000-0005-0000-0000-000029010000}"/>
    <cellStyle name="Porcentagem 2 4 4" xfId="257" xr:uid="{00000000-0005-0000-0000-00002A010000}"/>
    <cellStyle name="Porcentagem 2 4 5" xfId="210" xr:uid="{00000000-0005-0000-0000-00002B010000}"/>
    <cellStyle name="Porcentagem 2 5" xfId="80" xr:uid="{00000000-0005-0000-0000-00002C010000}"/>
    <cellStyle name="Porcentagem 2 5 2" xfId="264" xr:uid="{00000000-0005-0000-0000-00002D010000}"/>
    <cellStyle name="Porcentagem 2 6" xfId="309" xr:uid="{00000000-0005-0000-0000-00002E010000}"/>
    <cellStyle name="Porcentagem 2 7" xfId="216" xr:uid="{00000000-0005-0000-0000-00002F010000}"/>
    <cellStyle name="Porcentagem 2 8" xfId="177" xr:uid="{00000000-0005-0000-0000-000030010000}"/>
    <cellStyle name="Porcentagem 2 9" xfId="349" xr:uid="{00000000-0005-0000-0000-000031010000}"/>
    <cellStyle name="Porcentagem 3" xfId="21" xr:uid="{00000000-0005-0000-0000-000032010000}"/>
    <cellStyle name="Porcentagem 3 2" xfId="144" xr:uid="{00000000-0005-0000-0000-000033010000}"/>
    <cellStyle name="Porcentagem 3 3" xfId="81" xr:uid="{00000000-0005-0000-0000-000034010000}"/>
    <cellStyle name="Porcentagem 4" xfId="22" xr:uid="{00000000-0005-0000-0000-000035010000}"/>
    <cellStyle name="Porcentagem 4 2" xfId="51" xr:uid="{00000000-0005-0000-0000-000036010000}"/>
    <cellStyle name="Porcentagem 5" xfId="66" xr:uid="{00000000-0005-0000-0000-000037010000}"/>
    <cellStyle name="Porcentagem 5 2" xfId="167" xr:uid="{00000000-0005-0000-0000-000038010000}"/>
    <cellStyle name="Porcentagem 5 2 2" xfId="308" xr:uid="{00000000-0005-0000-0000-000039010000}"/>
    <cellStyle name="Porcentagem 5 3" xfId="105" xr:uid="{00000000-0005-0000-0000-00003A010000}"/>
    <cellStyle name="Porcentagem 5 4" xfId="231" xr:uid="{00000000-0005-0000-0000-00003B010000}"/>
    <cellStyle name="Porcentagem 6" xfId="129" xr:uid="{00000000-0005-0000-0000-00003C010000}"/>
    <cellStyle name="Porcentagem 7" xfId="301" xr:uid="{00000000-0005-0000-0000-00003D010000}"/>
    <cellStyle name="Porcentagem 8" xfId="348" xr:uid="{00000000-0005-0000-0000-00003E010000}"/>
    <cellStyle name="Result" xfId="130" xr:uid="{00000000-0005-0000-0000-00003F010000}"/>
    <cellStyle name="Result 2" xfId="131" xr:uid="{00000000-0005-0000-0000-000040010000}"/>
    <cellStyle name="Result2" xfId="132" xr:uid="{00000000-0005-0000-0000-000041010000}"/>
    <cellStyle name="Result2 2" xfId="133" xr:uid="{00000000-0005-0000-0000-000042010000}"/>
    <cellStyle name="Separador de milhares 2" xfId="23" xr:uid="{00000000-0005-0000-0000-000043010000}"/>
    <cellStyle name="Separador de milhares 3" xfId="24" xr:uid="{00000000-0005-0000-0000-000044010000}"/>
    <cellStyle name="Separador de milhares 4" xfId="25" xr:uid="{00000000-0005-0000-0000-000045010000}"/>
    <cellStyle name="Título 1 1" xfId="26" xr:uid="{00000000-0005-0000-0000-000046010000}"/>
    <cellStyle name="Título 1 1 1" xfId="27" xr:uid="{00000000-0005-0000-0000-000047010000}"/>
    <cellStyle name="Vírgula" xfId="29" builtinId="3"/>
    <cellStyle name="Vírgula 2" xfId="28" xr:uid="{00000000-0005-0000-0000-000049010000}"/>
    <cellStyle name="Vírgula 2 2" xfId="37" xr:uid="{00000000-0005-0000-0000-00004A010000}"/>
    <cellStyle name="Vírgula 2 2 2" xfId="150" xr:uid="{00000000-0005-0000-0000-00004B010000}"/>
    <cellStyle name="Vírgula 2 2 3" xfId="88" xr:uid="{00000000-0005-0000-0000-00004C010000}"/>
    <cellStyle name="Vírgula 2 3" xfId="67" xr:uid="{00000000-0005-0000-0000-00004D010000}"/>
    <cellStyle name="Vírgula 2 3 2" xfId="168" xr:uid="{00000000-0005-0000-0000-00004E010000}"/>
    <cellStyle name="Vírgula 2 3 2 2" xfId="285" xr:uid="{00000000-0005-0000-0000-00004F010000}"/>
    <cellStyle name="Vírgula 2 3 3" xfId="106" xr:uid="{00000000-0005-0000-0000-000050010000}"/>
    <cellStyle name="Vírgula 2 3 3 2" xfId="244" xr:uid="{00000000-0005-0000-0000-000051010000}"/>
    <cellStyle name="Vírgula 2 3 4" xfId="211" xr:uid="{00000000-0005-0000-0000-000052010000}"/>
    <cellStyle name="Vírgula 2 4" xfId="134" xr:uid="{00000000-0005-0000-0000-000053010000}"/>
    <cellStyle name="Vírgula 2 5" xfId="82" xr:uid="{00000000-0005-0000-0000-000054010000}"/>
    <cellStyle name="Vírgula 3" xfId="38" xr:uid="{00000000-0005-0000-0000-000055010000}"/>
    <cellStyle name="Vírgula 3 2" xfId="151" xr:uid="{00000000-0005-0000-0000-000056010000}"/>
    <cellStyle name="Vírgula 3 3" xfId="89" xr:uid="{00000000-0005-0000-0000-000057010000}"/>
    <cellStyle name="Vírgula 4" xfId="44" xr:uid="{00000000-0005-0000-0000-000058010000}"/>
    <cellStyle name="Vírgula 5" xfId="68" xr:uid="{00000000-0005-0000-0000-000059010000}"/>
    <cellStyle name="Vírgula 5 2" xfId="169" xr:uid="{00000000-0005-0000-0000-00005A010000}"/>
    <cellStyle name="Vírgula 5 2 2" xfId="310" xr:uid="{00000000-0005-0000-0000-00005B010000}"/>
    <cellStyle name="Vírgula 5 3" xfId="107" xr:uid="{00000000-0005-0000-0000-00005C010000}"/>
    <cellStyle name="Vírgula 5 4" xfId="230" xr:uid="{00000000-0005-0000-0000-00005D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dministra&#231;&#227;o\2017\039\03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nilma\Documents\029%20INICIAL%20LANCE%20FINAL%20-%20arredondamento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oio"/>
      <sheetName val="dados"/>
      <sheetName val="Proposta"/>
      <sheetName val="AVISO"/>
      <sheetName val="Dados Contratação"/>
      <sheetName val="Dados Proponente"/>
      <sheetName val="Insumos"/>
      <sheetName val="Auxiliar de Saúde Bucal"/>
      <sheetName val="Memórias Desp.Adm"/>
      <sheetName val="Memórias VT, VA e outros"/>
      <sheetName val="Memórias Encargos"/>
      <sheetName val="Tributos"/>
      <sheetName val="Valor Global"/>
      <sheetName val="k"/>
    </sheetNames>
    <sheetDataSet>
      <sheetData sheetId="0">
        <row r="1">
          <cell r="A1" t="str">
            <v>Tipo de Joranda de Trabalho</v>
          </cell>
        </row>
        <row r="2">
          <cell r="A2" t="str">
            <v>Escala 12x36 horas</v>
          </cell>
        </row>
        <row r="3">
          <cell r="A3" t="str">
            <v>44 horas semanais</v>
          </cell>
        </row>
        <row r="4">
          <cell r="A4" t="str">
            <v>40 horas semanais</v>
          </cell>
        </row>
        <row r="5">
          <cell r="A5" t="str">
            <v>36 horas semanais</v>
          </cell>
        </row>
        <row r="6">
          <cell r="A6" t="str">
            <v>30 horas semanais</v>
          </cell>
        </row>
        <row r="7">
          <cell r="A7" t="str">
            <v>15 horas semanais (TQQ)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oio"/>
      <sheetName val="AVISO"/>
      <sheetName val="Dados"/>
      <sheetName val="Proposta"/>
      <sheetName val="Dados Contratação"/>
      <sheetName val="Dados Proponente"/>
      <sheetName val="Insumos"/>
      <sheetName val="Vig Armada - Diurno"/>
      <sheetName val="Vig Armada - Noturno"/>
      <sheetName val="Valor Global"/>
      <sheetName val="Memória VT e VA"/>
      <sheetName val="Memória Desp.Adm"/>
      <sheetName val="Mem. encargos"/>
      <sheetName val="Resumo"/>
      <sheetName val="k"/>
      <sheetName val="CCT'S"/>
      <sheetName val="rascunho"/>
      <sheetName val="SALÁRIOS"/>
      <sheetName val="BENEFÍCIOS"/>
      <sheetName val="ENCARGOS"/>
      <sheetName val="Recepcionista"/>
      <sheetName val="Memórias Desp.Adm"/>
      <sheetName val="Tributos"/>
    </sheetNames>
    <sheetDataSet>
      <sheetData sheetId="0">
        <row r="1">
          <cell r="A1" t="str">
            <v>Tipo de Joranda de Trabalho</v>
          </cell>
        </row>
        <row r="2">
          <cell r="A2" t="str">
            <v>Escala 12x36 horas</v>
          </cell>
        </row>
        <row r="3">
          <cell r="A3" t="str">
            <v>44 horas semanais</v>
          </cell>
        </row>
        <row r="4">
          <cell r="A4" t="str">
            <v>40 horas semanais</v>
          </cell>
        </row>
        <row r="5">
          <cell r="A5" t="str">
            <v>36 horas semanais</v>
          </cell>
        </row>
        <row r="6">
          <cell r="A6" t="str">
            <v>30 horas semanais</v>
          </cell>
        </row>
        <row r="7">
          <cell r="A7" t="str">
            <v>15 horas semanais (TQQ)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indexed="42"/>
    <pageSetUpPr fitToPage="1"/>
  </sheetPr>
  <dimension ref="A1:IP116"/>
  <sheetViews>
    <sheetView topLeftCell="A5" zoomScaleNormal="100" zoomScaleSheetLayoutView="90" workbookViewId="0">
      <selection activeCell="O42" sqref="O42"/>
    </sheetView>
  </sheetViews>
  <sheetFormatPr defaultRowHeight="14.25" x14ac:dyDescent="0.2"/>
  <cols>
    <col min="1" max="1" width="6.140625" style="399" customWidth="1"/>
    <col min="2" max="2" width="8.5703125" style="399" customWidth="1"/>
    <col min="3" max="3" width="3.85546875" style="399" customWidth="1"/>
    <col min="4" max="4" width="8.28515625" style="399" customWidth="1"/>
    <col min="5" max="5" width="8.140625" style="399" customWidth="1"/>
    <col min="6" max="6" width="9.7109375" style="399" customWidth="1"/>
    <col min="7" max="7" width="12.42578125" style="399" customWidth="1"/>
    <col min="8" max="8" width="10" style="399" customWidth="1"/>
    <col min="9" max="9" width="13.42578125" style="399" customWidth="1"/>
    <col min="10" max="10" width="19.7109375" style="399" customWidth="1"/>
    <col min="11" max="11" width="13.140625" style="399" customWidth="1"/>
    <col min="12" max="12" width="7.28515625" style="399" customWidth="1"/>
    <col min="13" max="13" width="14.5703125" style="399" customWidth="1"/>
    <col min="14" max="14" width="23.140625" style="399" customWidth="1"/>
    <col min="15" max="15" width="16.42578125" style="399" customWidth="1"/>
    <col min="16" max="16" width="9.28515625" style="399" customWidth="1"/>
    <col min="17" max="17" width="11.5703125" style="399" customWidth="1"/>
    <col min="18" max="18" width="11.28515625" style="399" customWidth="1"/>
    <col min="19" max="19" width="11.140625" style="399" customWidth="1"/>
    <col min="20" max="20" width="10" style="399" customWidth="1"/>
    <col min="21" max="21" width="14.140625" style="399" customWidth="1"/>
    <col min="22" max="22" width="5.7109375" style="399" customWidth="1"/>
    <col min="23" max="23" width="17.42578125" style="399" bestFit="1" customWidth="1"/>
    <col min="24" max="24" width="17.42578125" style="399" customWidth="1"/>
    <col min="25" max="16384" width="9.140625" style="399"/>
  </cols>
  <sheetData>
    <row r="1" spans="1:21" ht="13.5" customHeight="1" x14ac:dyDescent="0.2">
      <c r="A1" s="409" t="s">
        <v>305</v>
      </c>
      <c r="B1" s="410"/>
      <c r="C1" s="410"/>
      <c r="D1" s="410"/>
      <c r="E1" s="410"/>
      <c r="F1" s="410"/>
      <c r="G1" s="410"/>
      <c r="H1" s="190" t="s">
        <v>445</v>
      </c>
      <c r="I1" s="410"/>
      <c r="J1" s="134"/>
      <c r="L1" s="111"/>
      <c r="M1" s="111"/>
      <c r="N1" s="111"/>
      <c r="O1" s="111"/>
      <c r="P1" s="111"/>
      <c r="Q1" s="111"/>
      <c r="R1" s="111"/>
      <c r="S1" s="111"/>
      <c r="T1" s="148"/>
      <c r="U1" s="148"/>
    </row>
    <row r="2" spans="1:21" hidden="1" x14ac:dyDescent="0.2">
      <c r="A2" s="518" t="s">
        <v>251</v>
      </c>
      <c r="B2" s="411"/>
      <c r="C2" s="411"/>
      <c r="D2" s="411"/>
      <c r="E2" s="411"/>
      <c r="F2" s="411"/>
      <c r="G2" s="411"/>
      <c r="H2" s="519" t="s">
        <v>289</v>
      </c>
      <c r="I2" s="410"/>
      <c r="J2" s="134"/>
      <c r="K2" s="111"/>
      <c r="L2" s="111"/>
      <c r="M2" s="111"/>
      <c r="N2" s="111"/>
      <c r="O2" s="111"/>
      <c r="P2" s="111"/>
      <c r="Q2" s="36"/>
      <c r="R2" s="36"/>
      <c r="S2" s="36"/>
      <c r="T2" s="36"/>
      <c r="U2" s="36"/>
    </row>
    <row r="3" spans="1:21" x14ac:dyDescent="0.2">
      <c r="A3" s="403"/>
      <c r="B3" s="410"/>
      <c r="C3" s="410"/>
      <c r="D3" s="410"/>
      <c r="E3" s="410"/>
      <c r="F3" s="410"/>
      <c r="G3" s="410"/>
      <c r="H3" s="410"/>
      <c r="I3" s="410"/>
      <c r="J3" s="134"/>
      <c r="K3" s="111"/>
      <c r="L3" s="111"/>
      <c r="M3" s="190"/>
      <c r="N3" s="190"/>
      <c r="O3" s="190"/>
      <c r="P3" s="190"/>
      <c r="Q3" s="191"/>
      <c r="R3" s="36"/>
      <c r="S3" s="36"/>
      <c r="T3" s="36"/>
      <c r="U3" s="36"/>
    </row>
    <row r="4" spans="1:21" x14ac:dyDescent="0.2">
      <c r="A4" s="403"/>
      <c r="B4" s="410"/>
      <c r="C4" s="410"/>
      <c r="D4" s="410"/>
      <c r="E4" s="410"/>
      <c r="F4" s="410"/>
      <c r="G4" s="410"/>
      <c r="H4" s="410"/>
      <c r="I4" s="410"/>
      <c r="J4" s="134"/>
      <c r="K4" s="111"/>
      <c r="L4" s="111"/>
      <c r="M4" s="190"/>
      <c r="N4" s="190"/>
      <c r="O4" s="190"/>
      <c r="P4" s="190"/>
      <c r="Q4" s="191"/>
      <c r="R4" s="36"/>
      <c r="S4" s="36"/>
      <c r="T4" s="36"/>
      <c r="U4" s="36"/>
    </row>
    <row r="5" spans="1:21" x14ac:dyDescent="0.2">
      <c r="A5" s="190" t="s">
        <v>306</v>
      </c>
      <c r="B5" s="190"/>
      <c r="C5" s="190"/>
      <c r="D5" s="190"/>
      <c r="E5" s="190"/>
      <c r="F5" s="190"/>
      <c r="G5" s="190"/>
      <c r="H5" s="190"/>
      <c r="I5" s="190"/>
      <c r="J5" s="134"/>
      <c r="K5" s="111"/>
      <c r="L5" s="111"/>
      <c r="M5" s="190"/>
      <c r="N5" s="190"/>
      <c r="O5" s="190"/>
      <c r="P5" s="190"/>
      <c r="Q5" s="191"/>
      <c r="R5" s="36"/>
      <c r="S5" s="36"/>
      <c r="T5" s="36"/>
      <c r="U5" s="36"/>
    </row>
    <row r="6" spans="1:21" x14ac:dyDescent="0.2">
      <c r="A6" s="190" t="s">
        <v>307</v>
      </c>
      <c r="B6" s="190"/>
      <c r="C6" s="190"/>
      <c r="D6" s="190"/>
      <c r="E6" s="190"/>
      <c r="F6" s="190"/>
      <c r="G6" s="190"/>
      <c r="H6" s="190"/>
      <c r="I6" s="190"/>
      <c r="J6" s="134"/>
      <c r="K6" s="111"/>
      <c r="L6" s="111"/>
      <c r="M6" s="190"/>
      <c r="N6" s="190"/>
      <c r="O6" s="190"/>
      <c r="P6" s="190"/>
      <c r="Q6" s="191"/>
      <c r="R6" s="36"/>
      <c r="S6" s="36"/>
      <c r="T6" s="36"/>
      <c r="U6" s="36"/>
    </row>
    <row r="7" spans="1:21" x14ac:dyDescent="0.2">
      <c r="A7" s="190" t="s">
        <v>359</v>
      </c>
      <c r="B7" s="190"/>
      <c r="C7" s="190"/>
      <c r="D7" s="190"/>
      <c r="E7" s="190"/>
      <c r="F7" s="190"/>
      <c r="G7" s="190"/>
      <c r="H7" s="190"/>
      <c r="I7" s="190"/>
      <c r="J7" s="134"/>
      <c r="K7" s="111"/>
      <c r="L7" s="111"/>
      <c r="M7" s="190"/>
      <c r="N7" s="190"/>
      <c r="O7" s="190"/>
      <c r="P7" s="190"/>
      <c r="Q7" s="191"/>
      <c r="R7" s="36"/>
      <c r="S7" s="36"/>
      <c r="T7" s="36"/>
      <c r="U7" s="36"/>
    </row>
    <row r="8" spans="1:21" x14ac:dyDescent="0.2">
      <c r="A8" s="190" t="s">
        <v>439</v>
      </c>
      <c r="B8" s="190"/>
      <c r="C8" s="190"/>
      <c r="D8" s="190"/>
      <c r="E8" s="190"/>
      <c r="F8" s="190"/>
      <c r="G8" s="190"/>
      <c r="H8" s="190"/>
      <c r="I8" s="190"/>
      <c r="J8" s="134"/>
      <c r="K8" s="111"/>
      <c r="L8" s="111"/>
      <c r="M8" s="190"/>
      <c r="N8" s="190"/>
      <c r="O8" s="190"/>
      <c r="P8" s="190"/>
      <c r="Q8" s="191"/>
      <c r="R8" s="36"/>
      <c r="S8" s="36"/>
      <c r="T8" s="36"/>
      <c r="U8" s="36"/>
    </row>
    <row r="9" spans="1:21" ht="15" thickBot="1" x14ac:dyDescent="0.25">
      <c r="A9" s="190" t="s">
        <v>309</v>
      </c>
      <c r="B9" s="190"/>
      <c r="C9" s="190"/>
      <c r="D9" s="190"/>
      <c r="E9" s="190"/>
      <c r="F9" s="190"/>
      <c r="G9" s="190"/>
      <c r="H9" s="190"/>
      <c r="I9" s="190"/>
      <c r="J9" s="134"/>
      <c r="K9" s="111"/>
      <c r="L9" s="111"/>
      <c r="M9" s="190"/>
      <c r="N9" s="190"/>
      <c r="O9" s="190"/>
      <c r="P9" s="190"/>
      <c r="Q9" s="191"/>
      <c r="R9" s="36"/>
      <c r="S9" s="36"/>
      <c r="T9" s="36"/>
      <c r="U9" s="36"/>
    </row>
    <row r="10" spans="1:21" ht="15" hidden="1" thickBot="1" x14ac:dyDescent="0.25">
      <c r="A10" s="519" t="s">
        <v>288</v>
      </c>
      <c r="B10" s="190"/>
      <c r="C10" s="190"/>
      <c r="D10" s="190"/>
      <c r="E10" s="190"/>
      <c r="F10" s="190"/>
      <c r="G10" s="190"/>
      <c r="H10" s="190"/>
      <c r="I10" s="190"/>
      <c r="J10" s="134"/>
      <c r="K10" s="111"/>
      <c r="L10" s="111"/>
      <c r="M10" s="190"/>
      <c r="N10" s="190"/>
      <c r="O10" s="190"/>
      <c r="P10" s="190"/>
      <c r="Q10" s="191"/>
      <c r="R10" s="36"/>
      <c r="S10" s="36"/>
      <c r="T10" s="36"/>
      <c r="U10" s="36"/>
    </row>
    <row r="11" spans="1:21" ht="15" thickBot="1" x14ac:dyDescent="0.25">
      <c r="A11" s="190" t="s">
        <v>310</v>
      </c>
      <c r="B11" s="190"/>
      <c r="C11" s="190"/>
      <c r="D11" s="190"/>
      <c r="E11" s="190"/>
      <c r="F11" s="190"/>
      <c r="G11" s="190"/>
      <c r="H11" s="190"/>
      <c r="I11" s="190"/>
      <c r="J11" s="134"/>
      <c r="K11" s="111"/>
      <c r="L11" s="111"/>
      <c r="M11" s="111"/>
      <c r="N11" s="111"/>
      <c r="O11" s="111"/>
      <c r="P11" s="111"/>
      <c r="Q11" s="832" t="s">
        <v>116</v>
      </c>
      <c r="R11" s="833"/>
      <c r="S11" s="833"/>
      <c r="T11" s="833"/>
      <c r="U11" s="834"/>
    </row>
    <row r="12" spans="1:21" ht="15" thickBot="1" x14ac:dyDescent="0.25">
      <c r="A12" s="403"/>
      <c r="B12" s="410"/>
      <c r="C12" s="410"/>
      <c r="D12" s="410"/>
      <c r="E12" s="410"/>
      <c r="F12" s="410"/>
      <c r="G12" s="410"/>
      <c r="H12" s="410"/>
      <c r="I12" s="410"/>
      <c r="J12" s="134"/>
      <c r="K12" s="111"/>
      <c r="L12" s="111"/>
      <c r="M12" s="111"/>
      <c r="N12" s="111"/>
      <c r="O12" s="111"/>
      <c r="P12" s="111"/>
      <c r="Q12" s="847" t="s">
        <v>120</v>
      </c>
      <c r="R12" s="848"/>
      <c r="S12" s="845" t="s">
        <v>124</v>
      </c>
      <c r="T12" s="846" t="e">
        <v>#N/A</v>
      </c>
      <c r="U12" s="201">
        <v>5.5</v>
      </c>
    </row>
    <row r="13" spans="1:21" ht="15" thickBot="1" x14ac:dyDescent="0.25">
      <c r="A13" s="403"/>
      <c r="B13" s="410"/>
      <c r="C13" s="410"/>
      <c r="D13" s="410"/>
      <c r="E13" s="410"/>
      <c r="F13" s="410"/>
      <c r="G13" s="410"/>
      <c r="H13" s="410"/>
      <c r="I13" s="410"/>
      <c r="J13" s="134"/>
      <c r="K13" s="111"/>
      <c r="L13" s="111"/>
      <c r="M13" s="111"/>
      <c r="N13" s="111"/>
      <c r="O13" s="111"/>
      <c r="P13" s="111"/>
      <c r="Q13" s="412"/>
      <c r="R13" s="412"/>
      <c r="S13" s="412"/>
      <c r="T13" s="412"/>
      <c r="U13" s="412"/>
    </row>
    <row r="14" spans="1:21" x14ac:dyDescent="0.2">
      <c r="A14" s="413" t="s">
        <v>26</v>
      </c>
      <c r="B14" s="414"/>
      <c r="C14" s="414"/>
      <c r="D14" s="414"/>
      <c r="E14" s="414"/>
      <c r="F14" s="414"/>
      <c r="G14" s="822" t="s">
        <v>308</v>
      </c>
      <c r="H14" s="823"/>
      <c r="I14" s="410"/>
      <c r="K14" s="812" t="s">
        <v>131</v>
      </c>
      <c r="L14" s="813"/>
      <c r="M14" s="415">
        <v>1045</v>
      </c>
      <c r="N14" s="36"/>
      <c r="O14" s="36"/>
    </row>
    <row r="15" spans="1:21" ht="15" thickBot="1" x14ac:dyDescent="0.25">
      <c r="A15" s="416" t="s">
        <v>27</v>
      </c>
      <c r="B15" s="417"/>
      <c r="C15" s="417"/>
      <c r="D15" s="417"/>
      <c r="E15" s="520"/>
      <c r="F15" s="520"/>
      <c r="G15" s="816">
        <v>44004</v>
      </c>
      <c r="H15" s="817"/>
      <c r="I15" s="521"/>
      <c r="K15" s="814" t="s">
        <v>130</v>
      </c>
      <c r="L15" s="815"/>
      <c r="M15" s="162">
        <v>2192.65</v>
      </c>
      <c r="N15" s="410"/>
      <c r="O15" s="410"/>
    </row>
    <row r="16" spans="1:21" x14ac:dyDescent="0.2">
      <c r="A16" s="416" t="s">
        <v>176</v>
      </c>
      <c r="B16" s="417"/>
      <c r="C16" s="417"/>
      <c r="D16" s="417"/>
      <c r="E16" s="520"/>
      <c r="F16" s="520"/>
      <c r="G16" s="816">
        <v>44012</v>
      </c>
      <c r="H16" s="817"/>
      <c r="I16" s="521"/>
      <c r="K16" s="418"/>
      <c r="L16" s="418"/>
      <c r="M16" s="166"/>
      <c r="N16" s="410"/>
      <c r="O16" s="410"/>
    </row>
    <row r="17" spans="1:21" hidden="1" x14ac:dyDescent="0.2">
      <c r="A17" s="522" t="s">
        <v>252</v>
      </c>
      <c r="B17" s="419"/>
      <c r="C17" s="419"/>
      <c r="D17" s="419"/>
      <c r="E17" s="523"/>
      <c r="F17" s="523"/>
      <c r="G17" s="824">
        <v>43218</v>
      </c>
      <c r="H17" s="825"/>
      <c r="I17" s="521"/>
      <c r="K17" s="418"/>
      <c r="L17" s="418"/>
      <c r="M17" s="166"/>
      <c r="N17" s="410"/>
      <c r="O17" s="410"/>
    </row>
    <row r="18" spans="1:21" x14ac:dyDescent="0.2">
      <c r="A18" s="420" t="s">
        <v>28</v>
      </c>
      <c r="B18" s="410"/>
      <c r="C18" s="410"/>
      <c r="D18" s="410"/>
      <c r="E18" s="418"/>
      <c r="F18" s="418"/>
      <c r="G18" s="818">
        <v>0.41666666666666702</v>
      </c>
      <c r="H18" s="819"/>
      <c r="I18" s="410"/>
      <c r="Q18" s="36"/>
      <c r="R18" s="36"/>
      <c r="S18" s="36"/>
      <c r="T18" s="36"/>
      <c r="U18" s="36"/>
    </row>
    <row r="19" spans="1:21" x14ac:dyDescent="0.2">
      <c r="A19" s="416" t="s">
        <v>29</v>
      </c>
      <c r="B19" s="417"/>
      <c r="C19" s="417"/>
      <c r="D19" s="417"/>
      <c r="E19" s="417"/>
      <c r="F19" s="417"/>
      <c r="G19" s="816" t="s">
        <v>30</v>
      </c>
      <c r="H19" s="817"/>
      <c r="I19" s="36"/>
      <c r="M19" s="410"/>
      <c r="N19" s="410"/>
      <c r="O19" s="410"/>
    </row>
    <row r="20" spans="1:21" x14ac:dyDescent="0.2">
      <c r="A20" s="416" t="s">
        <v>31</v>
      </c>
      <c r="B20" s="417"/>
      <c r="C20" s="417"/>
      <c r="D20" s="417"/>
      <c r="E20" s="417"/>
      <c r="F20" s="417"/>
      <c r="G20" s="816" t="s">
        <v>248</v>
      </c>
      <c r="H20" s="817"/>
      <c r="I20" s="36"/>
      <c r="M20" s="410"/>
      <c r="N20" s="410"/>
      <c r="O20" s="410"/>
    </row>
    <row r="21" spans="1:21" x14ac:dyDescent="0.2">
      <c r="A21" s="421" t="s">
        <v>33</v>
      </c>
      <c r="B21" s="422"/>
      <c r="C21" s="422"/>
      <c r="D21" s="422"/>
      <c r="E21" s="422"/>
      <c r="F21" s="422"/>
      <c r="G21" s="828">
        <v>16</v>
      </c>
      <c r="H21" s="829"/>
      <c r="I21" s="36"/>
      <c r="N21" s="423"/>
      <c r="O21" s="423"/>
    </row>
    <row r="22" spans="1:21" x14ac:dyDescent="0.2">
      <c r="A22" s="416" t="s">
        <v>75</v>
      </c>
      <c r="B22" s="424"/>
      <c r="C22" s="424"/>
      <c r="D22" s="424"/>
      <c r="E22" s="424"/>
      <c r="F22" s="424"/>
      <c r="G22" s="820" t="s">
        <v>342</v>
      </c>
      <c r="H22" s="821"/>
      <c r="I22" s="410"/>
      <c r="N22" s="410"/>
      <c r="O22" s="410"/>
      <c r="P22" s="410"/>
      <c r="Q22" s="36"/>
      <c r="R22" s="36"/>
      <c r="S22" s="36"/>
      <c r="T22" s="36"/>
      <c r="U22" s="36"/>
    </row>
    <row r="23" spans="1:21" x14ac:dyDescent="0.2">
      <c r="A23" s="416" t="s">
        <v>169</v>
      </c>
      <c r="B23" s="424"/>
      <c r="C23" s="424"/>
      <c r="D23" s="424"/>
      <c r="E23" s="424"/>
      <c r="F23" s="424"/>
      <c r="G23" s="820" t="s">
        <v>343</v>
      </c>
      <c r="H23" s="821"/>
      <c r="I23" s="410"/>
      <c r="N23" s="410"/>
      <c r="O23" s="410"/>
      <c r="P23" s="410"/>
      <c r="Q23" s="36"/>
      <c r="R23" s="36"/>
      <c r="S23" s="36"/>
      <c r="T23" s="36"/>
      <c r="U23" s="36"/>
    </row>
    <row r="24" spans="1:21" ht="14.25" customHeight="1" x14ac:dyDescent="0.2">
      <c r="A24" s="425" t="s">
        <v>170</v>
      </c>
      <c r="B24" s="424"/>
      <c r="C24" s="424"/>
      <c r="D24" s="424"/>
      <c r="E24" s="424"/>
      <c r="F24" s="424"/>
      <c r="G24" s="791" t="s">
        <v>301</v>
      </c>
      <c r="H24" s="792"/>
      <c r="I24" s="410"/>
    </row>
    <row r="25" spans="1:21" x14ac:dyDescent="0.2">
      <c r="A25" s="420" t="s">
        <v>32</v>
      </c>
      <c r="B25" s="410"/>
      <c r="C25" s="410"/>
      <c r="D25" s="410"/>
      <c r="E25" s="410"/>
      <c r="F25" s="410"/>
      <c r="G25" s="826" t="s">
        <v>137</v>
      </c>
      <c r="H25" s="827"/>
      <c r="I25" s="410"/>
    </row>
    <row r="26" spans="1:21" ht="15" thickBot="1" x14ac:dyDescent="0.25">
      <c r="A26" s="426" t="s">
        <v>34</v>
      </c>
      <c r="B26" s="427"/>
      <c r="C26" s="427"/>
      <c r="D26" s="427"/>
      <c r="E26" s="427"/>
      <c r="F26" s="427"/>
      <c r="G26" s="795">
        <v>20</v>
      </c>
      <c r="H26" s="796"/>
      <c r="I26" s="410"/>
      <c r="J26" s="400"/>
      <c r="K26" s="400"/>
      <c r="L26" s="400"/>
      <c r="M26" s="400"/>
    </row>
    <row r="27" spans="1:21" ht="15" thickBot="1" x14ac:dyDescent="0.25">
      <c r="A27" s="403"/>
      <c r="B27" s="410"/>
      <c r="C27" s="410"/>
      <c r="D27" s="410"/>
      <c r="E27" s="410"/>
      <c r="F27" s="410"/>
      <c r="G27" s="428"/>
      <c r="H27" s="428"/>
      <c r="I27" s="410"/>
      <c r="J27" s="524"/>
      <c r="K27" s="525"/>
      <c r="L27" s="525"/>
      <c r="M27" s="526"/>
    </row>
    <row r="28" spans="1:21" x14ac:dyDescent="0.2">
      <c r="A28" s="403"/>
      <c r="B28" s="410"/>
      <c r="C28" s="410"/>
      <c r="D28" s="410"/>
      <c r="E28" s="410"/>
      <c r="F28" s="410"/>
      <c r="G28" s="428"/>
      <c r="H28" s="428"/>
      <c r="I28" s="410"/>
      <c r="J28" s="830" t="s">
        <v>142</v>
      </c>
      <c r="K28" s="869" t="s">
        <v>143</v>
      </c>
      <c r="L28" s="870"/>
      <c r="M28" s="841" t="s">
        <v>144</v>
      </c>
    </row>
    <row r="29" spans="1:21" ht="15" customHeight="1" thickBot="1" x14ac:dyDescent="0.25">
      <c r="A29" s="403"/>
      <c r="B29" s="410"/>
      <c r="C29" s="410"/>
      <c r="D29" s="410"/>
      <c r="E29" s="410"/>
      <c r="F29" s="410"/>
      <c r="G29" s="428"/>
      <c r="H29" s="428"/>
      <c r="I29" s="410"/>
      <c r="J29" s="831"/>
      <c r="K29" s="871"/>
      <c r="L29" s="872"/>
      <c r="M29" s="842"/>
      <c r="N29" s="527"/>
      <c r="O29" s="528"/>
      <c r="P29" s="528"/>
      <c r="Q29" s="528"/>
      <c r="R29" s="528"/>
      <c r="S29" s="528"/>
      <c r="T29" s="528"/>
      <c r="U29" s="528"/>
    </row>
    <row r="30" spans="1:21" x14ac:dyDescent="0.2">
      <c r="A30" s="403"/>
      <c r="B30" s="410"/>
      <c r="C30" s="410"/>
      <c r="D30" s="410"/>
      <c r="E30" s="410"/>
      <c r="F30" s="410"/>
      <c r="G30" s="428"/>
      <c r="H30" s="428"/>
      <c r="I30" s="410"/>
      <c r="J30" s="529" t="s">
        <v>140</v>
      </c>
      <c r="K30" s="845" t="s">
        <v>145</v>
      </c>
      <c r="L30" s="846" t="e">
        <v>#N/A</v>
      </c>
      <c r="M30" s="237">
        <v>15</v>
      </c>
      <c r="N30" s="527"/>
      <c r="O30" s="528"/>
      <c r="P30" s="528"/>
      <c r="Q30" s="528"/>
      <c r="R30" s="528"/>
      <c r="S30" s="528"/>
      <c r="T30" s="528"/>
      <c r="U30" s="528"/>
    </row>
    <row r="31" spans="1:21" ht="15" thickBot="1" x14ac:dyDescent="0.25">
      <c r="A31" s="403"/>
      <c r="B31" s="410"/>
      <c r="C31" s="410"/>
      <c r="D31" s="410"/>
      <c r="E31" s="410"/>
      <c r="F31" s="410"/>
      <c r="G31" s="428"/>
      <c r="H31" s="428"/>
      <c r="I31" s="410"/>
      <c r="J31" s="530" t="s">
        <v>141</v>
      </c>
      <c r="K31" s="890" t="s">
        <v>146</v>
      </c>
      <c r="L31" s="891" t="e">
        <v>#N/A</v>
      </c>
      <c r="M31" s="238">
        <v>22</v>
      </c>
      <c r="N31" s="527"/>
      <c r="O31" s="528"/>
      <c r="P31" s="528"/>
      <c r="Q31" s="528"/>
      <c r="R31" s="528"/>
      <c r="S31" s="528"/>
      <c r="T31" s="528"/>
      <c r="U31" s="528"/>
    </row>
    <row r="32" spans="1:21" ht="15" thickBot="1" x14ac:dyDescent="0.25">
      <c r="A32" s="403"/>
      <c r="B32" s="410"/>
      <c r="C32" s="410"/>
      <c r="D32" s="410"/>
      <c r="E32" s="410"/>
      <c r="F32" s="410"/>
      <c r="G32" s="428"/>
      <c r="H32" s="428"/>
      <c r="I32" s="410"/>
      <c r="J32" s="531"/>
      <c r="K32" s="532"/>
      <c r="L32" s="532"/>
      <c r="M32" s="533"/>
    </row>
    <row r="33" spans="1:21" hidden="1" x14ac:dyDescent="0.2">
      <c r="A33" s="429" t="s">
        <v>35</v>
      </c>
      <c r="B33" s="430"/>
      <c r="C33" s="430"/>
      <c r="D33" s="430"/>
      <c r="E33" s="430"/>
      <c r="F33" s="430"/>
      <c r="G33" s="431">
        <v>0</v>
      </c>
      <c r="H33" s="432"/>
      <c r="I33" s="36"/>
      <c r="P33" s="400"/>
      <c r="Q33" s="400"/>
      <c r="R33" s="400"/>
      <c r="S33" s="400"/>
      <c r="T33" s="400"/>
      <c r="U33" s="400"/>
    </row>
    <row r="34" spans="1:21" hidden="1" x14ac:dyDescent="0.2">
      <c r="A34" s="806" t="s">
        <v>128</v>
      </c>
      <c r="B34" s="807"/>
      <c r="C34" s="807"/>
      <c r="D34" s="807"/>
      <c r="E34" s="807"/>
      <c r="F34" s="808"/>
      <c r="G34" s="433">
        <v>0.2</v>
      </c>
      <c r="H34" s="432"/>
      <c r="I34" s="36"/>
      <c r="P34" s="398"/>
      <c r="Q34" s="398"/>
      <c r="R34" s="398"/>
      <c r="S34" s="398"/>
      <c r="T34" s="398"/>
      <c r="U34" s="398"/>
    </row>
    <row r="35" spans="1:21" ht="15" hidden="1" thickBot="1" x14ac:dyDescent="0.25">
      <c r="A35" s="434" t="s">
        <v>171</v>
      </c>
      <c r="B35" s="422"/>
      <c r="C35" s="422"/>
      <c r="D35" s="422"/>
      <c r="E35" s="422"/>
      <c r="F35" s="422"/>
      <c r="G35" s="435">
        <v>0.1</v>
      </c>
      <c r="H35" s="432"/>
      <c r="I35" s="36"/>
      <c r="P35" s="398"/>
      <c r="Q35" s="398"/>
      <c r="R35" s="398"/>
      <c r="S35" s="398"/>
      <c r="T35" s="398"/>
      <c r="U35" s="398"/>
    </row>
    <row r="36" spans="1:21" x14ac:dyDescent="0.2">
      <c r="A36" s="534" t="s">
        <v>129</v>
      </c>
      <c r="B36" s="450"/>
      <c r="C36" s="450"/>
      <c r="D36" s="450"/>
      <c r="E36" s="450"/>
      <c r="F36" s="450"/>
      <c r="G36" s="436">
        <v>0.3</v>
      </c>
      <c r="H36" s="432"/>
      <c r="I36" s="36"/>
      <c r="J36" s="400"/>
      <c r="K36" s="535"/>
      <c r="L36" s="535"/>
      <c r="M36" s="535"/>
      <c r="P36" s="398"/>
      <c r="Q36" s="398"/>
      <c r="R36" s="398"/>
      <c r="S36" s="398"/>
      <c r="T36" s="398"/>
      <c r="U36" s="398"/>
    </row>
    <row r="37" spans="1:21" ht="14.25" hidden="1" customHeight="1" x14ac:dyDescent="0.2">
      <c r="A37" s="806" t="s">
        <v>168</v>
      </c>
      <c r="B37" s="807"/>
      <c r="C37" s="807"/>
      <c r="D37" s="807"/>
      <c r="E37" s="807"/>
      <c r="F37" s="808"/>
      <c r="G37" s="433">
        <v>0.5</v>
      </c>
      <c r="H37" s="432"/>
      <c r="I37" s="36"/>
      <c r="J37" s="400"/>
      <c r="K37" s="535"/>
      <c r="L37" s="535"/>
      <c r="M37" s="535"/>
      <c r="P37" s="398"/>
      <c r="Q37" s="398"/>
      <c r="R37" s="398"/>
      <c r="S37" s="398"/>
      <c r="T37" s="398"/>
      <c r="U37" s="398"/>
    </row>
    <row r="38" spans="1:21" ht="14.25" hidden="1" customHeight="1" x14ac:dyDescent="0.2">
      <c r="A38" s="434" t="s">
        <v>163</v>
      </c>
      <c r="B38" s="422"/>
      <c r="C38" s="422"/>
      <c r="D38" s="422"/>
      <c r="E38" s="422"/>
      <c r="F38" s="422"/>
      <c r="G38" s="433">
        <v>0.5</v>
      </c>
      <c r="H38" s="432"/>
      <c r="I38" s="36"/>
      <c r="J38" s="36"/>
      <c r="K38" s="400"/>
      <c r="L38" s="400"/>
      <c r="P38" s="149"/>
      <c r="Q38" s="36"/>
      <c r="R38" s="36"/>
      <c r="S38" s="36"/>
      <c r="T38" s="36"/>
      <c r="U38" s="36"/>
    </row>
    <row r="39" spans="1:21" ht="15" thickBot="1" x14ac:dyDescent="0.25">
      <c r="A39" s="536" t="s">
        <v>250</v>
      </c>
      <c r="B39" s="440"/>
      <c r="C39" s="440"/>
      <c r="D39" s="440"/>
      <c r="E39" s="440"/>
      <c r="F39" s="575"/>
      <c r="G39" s="437">
        <v>0.2</v>
      </c>
      <c r="H39" s="432"/>
      <c r="I39" s="36"/>
      <c r="J39" s="36"/>
      <c r="K39" s="400"/>
      <c r="L39" s="400"/>
      <c r="P39" s="149"/>
      <c r="Q39" s="36"/>
      <c r="R39" s="36"/>
      <c r="S39" s="36"/>
      <c r="T39" s="36"/>
      <c r="U39" s="36"/>
    </row>
    <row r="40" spans="1:21" ht="14.25" hidden="1" customHeight="1" x14ac:dyDescent="0.2">
      <c r="A40" s="803" t="s">
        <v>164</v>
      </c>
      <c r="B40" s="804"/>
      <c r="C40" s="804"/>
      <c r="D40" s="804"/>
      <c r="E40" s="804"/>
      <c r="F40" s="805"/>
      <c r="G40" s="438">
        <v>0.2</v>
      </c>
      <c r="H40" s="432"/>
      <c r="I40" s="36"/>
      <c r="J40" s="439"/>
      <c r="N40" s="36"/>
      <c r="O40" s="36"/>
      <c r="P40" s="149"/>
      <c r="Q40" s="36"/>
      <c r="R40" s="36"/>
      <c r="S40" s="36"/>
      <c r="T40" s="36"/>
      <c r="U40" s="36"/>
    </row>
    <row r="41" spans="1:21" ht="15" hidden="1" customHeight="1" thickBot="1" x14ac:dyDescent="0.25">
      <c r="A41" s="536" t="s">
        <v>122</v>
      </c>
      <c r="B41" s="440"/>
      <c r="C41" s="440"/>
      <c r="D41" s="440"/>
      <c r="E41" s="440"/>
      <c r="F41" s="440"/>
      <c r="G41" s="441">
        <v>10</v>
      </c>
      <c r="H41" s="442"/>
      <c r="I41" s="36"/>
      <c r="K41" s="36"/>
      <c r="L41" s="36"/>
      <c r="M41" s="36"/>
      <c r="N41" s="36"/>
      <c r="O41" s="36"/>
      <c r="P41" s="149"/>
      <c r="Q41" s="149"/>
      <c r="R41" s="36"/>
      <c r="S41" s="36"/>
      <c r="T41" s="400"/>
      <c r="U41" s="400"/>
    </row>
    <row r="42" spans="1:21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149"/>
      <c r="Q42" s="149"/>
      <c r="R42" s="36"/>
      <c r="S42" s="36"/>
      <c r="T42" s="400"/>
      <c r="U42" s="400"/>
    </row>
    <row r="43" spans="1:21" ht="14.25" customHeight="1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149"/>
      <c r="Q43" s="149"/>
      <c r="R43" s="36"/>
      <c r="S43" s="401"/>
      <c r="T43" s="401"/>
      <c r="U43" s="401"/>
    </row>
    <row r="44" spans="1:21" ht="15" customHeight="1" thickBot="1" x14ac:dyDescent="0.25">
      <c r="A44" s="443" t="s">
        <v>36</v>
      </c>
      <c r="B44" s="444"/>
      <c r="C44" s="444"/>
      <c r="D44" s="444"/>
      <c r="E44" s="444"/>
      <c r="F44" s="444"/>
      <c r="G44" s="444"/>
      <c r="H44" s="444"/>
      <c r="I44" s="444"/>
      <c r="J44" s="537"/>
      <c r="K44" s="36"/>
      <c r="L44" s="36"/>
      <c r="M44" s="410"/>
      <c r="N44" s="410"/>
      <c r="O44" s="410"/>
      <c r="P44" s="403"/>
      <c r="Q44" s="29"/>
      <c r="R44" s="29"/>
      <c r="S44" s="401"/>
      <c r="T44" s="401"/>
      <c r="U44" s="401"/>
    </row>
    <row r="45" spans="1:21" ht="15" customHeight="1" x14ac:dyDescent="0.2">
      <c r="A45" s="538" t="s">
        <v>78</v>
      </c>
      <c r="B45" s="430"/>
      <c r="C45" s="430"/>
      <c r="D45" s="430"/>
      <c r="E45" s="430"/>
      <c r="F45" s="430"/>
      <c r="G45" s="430"/>
      <c r="H45" s="430"/>
      <c r="I45" s="445">
        <v>5.5</v>
      </c>
      <c r="J45" s="539">
        <f>I45*2</f>
        <v>11</v>
      </c>
      <c r="K45" s="400"/>
      <c r="L45" s="400"/>
      <c r="M45" s="540"/>
      <c r="N45" s="30"/>
      <c r="O45" s="30"/>
      <c r="P45" s="400"/>
      <c r="Q45" s="402"/>
      <c r="R45" s="400"/>
      <c r="S45" s="401"/>
      <c r="T45" s="401"/>
      <c r="U45" s="401"/>
    </row>
    <row r="46" spans="1:21" ht="15" thickBot="1" x14ac:dyDescent="0.25">
      <c r="A46" s="541" t="s">
        <v>177</v>
      </c>
      <c r="B46" s="36"/>
      <c r="C46" s="36"/>
      <c r="D46" s="36"/>
      <c r="E46" s="36"/>
      <c r="F46" s="36"/>
      <c r="G46" s="36"/>
      <c r="H46" s="36"/>
      <c r="I46" s="36"/>
      <c r="J46" s="446">
        <v>0.06</v>
      </c>
      <c r="M46" s="542"/>
      <c r="P46" s="400"/>
      <c r="Q46" s="30"/>
      <c r="R46" s="400"/>
      <c r="S46" s="400"/>
      <c r="T46" s="400"/>
      <c r="U46" s="400"/>
    </row>
    <row r="47" spans="1:21" ht="15" customHeight="1" thickBot="1" x14ac:dyDescent="0.25">
      <c r="A47" s="793" t="s">
        <v>115</v>
      </c>
      <c r="B47" s="794"/>
      <c r="C47" s="794"/>
      <c r="D47" s="794"/>
      <c r="E47" s="794"/>
      <c r="F47" s="794"/>
      <c r="G47" s="794"/>
      <c r="H47" s="794"/>
      <c r="I47" s="794"/>
      <c r="J47" s="447" t="s">
        <v>242</v>
      </c>
      <c r="M47" s="543"/>
      <c r="P47" s="401"/>
      <c r="Q47" s="401"/>
      <c r="R47" s="401"/>
      <c r="S47" s="401"/>
      <c r="T47" s="401"/>
      <c r="U47" s="401"/>
    </row>
    <row r="48" spans="1:21" ht="14.25" customHeight="1" x14ac:dyDescent="0.2">
      <c r="A48" s="448" t="s">
        <v>123</v>
      </c>
      <c r="B48" s="449"/>
      <c r="C48" s="450"/>
      <c r="D48" s="450"/>
      <c r="E48" s="450"/>
      <c r="F48" s="450"/>
      <c r="G48" s="450"/>
      <c r="H48" s="544"/>
      <c r="I48" s="450"/>
      <c r="J48" s="451">
        <v>37.5</v>
      </c>
      <c r="K48" s="31"/>
      <c r="M48" s="545"/>
      <c r="P48" s="401"/>
      <c r="Q48" s="401"/>
      <c r="R48" s="401"/>
      <c r="S48" s="401"/>
      <c r="T48" s="401"/>
      <c r="U48" s="401"/>
    </row>
    <row r="49" spans="1:24" ht="14.25" customHeight="1" x14ac:dyDescent="0.2">
      <c r="A49" s="546" t="s">
        <v>279</v>
      </c>
      <c r="B49" s="419"/>
      <c r="C49" s="417"/>
      <c r="D49" s="417"/>
      <c r="E49" s="417"/>
      <c r="F49" s="417"/>
      <c r="G49" s="417"/>
      <c r="H49" s="547"/>
      <c r="I49" s="417"/>
      <c r="J49" s="452">
        <f>J48*2%</f>
        <v>0.75</v>
      </c>
      <c r="K49" s="31"/>
      <c r="M49" s="545"/>
      <c r="P49" s="401"/>
      <c r="Q49" s="401"/>
      <c r="R49" s="401"/>
      <c r="S49" s="401"/>
      <c r="T49" s="401"/>
      <c r="U49" s="401"/>
    </row>
    <row r="50" spans="1:24" ht="14.25" customHeight="1" x14ac:dyDescent="0.2">
      <c r="A50" s="453" t="s">
        <v>100</v>
      </c>
      <c r="B50" s="419"/>
      <c r="C50" s="417"/>
      <c r="D50" s="424"/>
      <c r="E50" s="424"/>
      <c r="F50" s="424"/>
      <c r="G50" s="424"/>
      <c r="H50" s="547"/>
      <c r="I50" s="417"/>
      <c r="J50" s="452">
        <v>140</v>
      </c>
      <c r="K50" s="262"/>
      <c r="L50" s="189"/>
      <c r="M50" s="189"/>
      <c r="N50" s="189"/>
      <c r="O50" s="189"/>
      <c r="P50" s="401"/>
      <c r="Q50" s="401"/>
      <c r="R50" s="401"/>
      <c r="S50" s="401"/>
      <c r="T50" s="401"/>
      <c r="U50" s="401"/>
    </row>
    <row r="51" spans="1:24" ht="14.25" customHeight="1" x14ac:dyDescent="0.2">
      <c r="A51" s="453" t="s">
        <v>244</v>
      </c>
      <c r="B51" s="548"/>
      <c r="C51" s="122"/>
      <c r="D51" s="122"/>
      <c r="E51" s="396"/>
      <c r="F51" s="454"/>
      <c r="G51" s="454"/>
      <c r="H51" s="549"/>
      <c r="I51" s="417"/>
      <c r="J51" s="452">
        <v>14</v>
      </c>
      <c r="M51" s="32"/>
      <c r="N51" s="30"/>
      <c r="O51" s="30"/>
      <c r="P51" s="401"/>
      <c r="Q51" s="401"/>
      <c r="R51" s="401"/>
      <c r="S51" s="401"/>
      <c r="T51" s="401"/>
      <c r="U51" s="401"/>
    </row>
    <row r="52" spans="1:24" ht="14.25" customHeight="1" x14ac:dyDescent="0.2">
      <c r="A52" s="453" t="s">
        <v>161</v>
      </c>
      <c r="B52" s="122"/>
      <c r="C52" s="400"/>
      <c r="D52" s="410"/>
      <c r="E52" s="36"/>
      <c r="F52" s="400"/>
      <c r="G52" s="410"/>
      <c r="H52" s="549"/>
      <c r="I52" s="36"/>
      <c r="J52" s="452">
        <v>6.4</v>
      </c>
      <c r="K52" s="346"/>
      <c r="M52" s="455"/>
      <c r="N52" s="455"/>
      <c r="O52" s="455"/>
      <c r="P52" s="401"/>
      <c r="Q52" s="401"/>
      <c r="R52" s="401"/>
      <c r="S52" s="401"/>
      <c r="T52" s="401"/>
      <c r="U52" s="401"/>
    </row>
    <row r="53" spans="1:24" ht="15" customHeight="1" x14ac:dyDescent="0.2">
      <c r="A53" s="453" t="s">
        <v>245</v>
      </c>
      <c r="B53" s="548"/>
      <c r="C53" s="550"/>
      <c r="D53" s="424"/>
      <c r="E53" s="424"/>
      <c r="F53" s="417"/>
      <c r="G53" s="550"/>
      <c r="H53" s="547"/>
      <c r="I53" s="417"/>
      <c r="J53" s="452">
        <v>9</v>
      </c>
      <c r="K53" s="188"/>
      <c r="M53" s="455"/>
      <c r="N53" s="455"/>
      <c r="O53" s="455"/>
      <c r="P53" s="401"/>
      <c r="Q53" s="401"/>
      <c r="R53" s="401"/>
      <c r="S53" s="401"/>
      <c r="T53" s="401"/>
      <c r="U53" s="401"/>
    </row>
    <row r="54" spans="1:24" ht="14.25" hidden="1" customHeight="1" x14ac:dyDescent="0.2">
      <c r="A54" s="456" t="s">
        <v>283</v>
      </c>
      <c r="B54" s="551"/>
      <c r="C54" s="552"/>
      <c r="D54" s="553"/>
      <c r="E54" s="553"/>
      <c r="F54" s="457"/>
      <c r="G54" s="552"/>
      <c r="H54" s="549"/>
      <c r="I54" s="457"/>
      <c r="J54" s="458">
        <v>0</v>
      </c>
      <c r="K54" s="188"/>
      <c r="M54" s="455"/>
      <c r="N54" s="455"/>
      <c r="O54" s="455"/>
      <c r="P54" s="397"/>
      <c r="Q54" s="397"/>
      <c r="R54" s="400"/>
      <c r="S54" s="400"/>
      <c r="T54" s="161"/>
      <c r="U54" s="36"/>
    </row>
    <row r="55" spans="1:24" ht="15" thickBot="1" x14ac:dyDescent="0.25">
      <c r="A55" s="459" t="s">
        <v>132</v>
      </c>
      <c r="B55" s="554"/>
      <c r="C55" s="555"/>
      <c r="D55" s="427"/>
      <c r="E55" s="427"/>
      <c r="F55" s="440"/>
      <c r="G55" s="427"/>
      <c r="H55" s="347">
        <v>0</v>
      </c>
      <c r="I55" s="460"/>
      <c r="J55" s="461">
        <v>0</v>
      </c>
      <c r="K55" s="346"/>
      <c r="M55" s="455"/>
      <c r="N55" s="455"/>
      <c r="O55" s="455"/>
      <c r="P55" s="397"/>
      <c r="Q55" s="397"/>
      <c r="R55" s="400"/>
      <c r="S55" s="400"/>
      <c r="T55" s="400"/>
      <c r="U55" s="400"/>
    </row>
    <row r="56" spans="1:24" ht="15" hidden="1" customHeight="1" thickBot="1" x14ac:dyDescent="0.25">
      <c r="A56" s="462" t="s">
        <v>125</v>
      </c>
      <c r="B56" s="556"/>
      <c r="C56" s="524"/>
      <c r="D56" s="557"/>
      <c r="E56" s="557"/>
      <c r="F56" s="444"/>
      <c r="G56" s="524"/>
      <c r="H56" s="233">
        <v>0</v>
      </c>
      <c r="I56" s="444"/>
      <c r="J56" s="463">
        <v>0</v>
      </c>
      <c r="M56" s="455"/>
      <c r="N56" s="455"/>
      <c r="O56" s="455"/>
      <c r="P56" s="397"/>
      <c r="Q56" s="397"/>
      <c r="R56" s="400"/>
      <c r="S56" s="400"/>
      <c r="T56" s="400"/>
      <c r="U56" s="400"/>
    </row>
    <row r="57" spans="1:24" x14ac:dyDescent="0.2">
      <c r="A57" s="71"/>
      <c r="B57" s="71"/>
      <c r="C57" s="71"/>
      <c r="D57" s="71"/>
      <c r="E57" s="71"/>
      <c r="F57" s="71"/>
      <c r="G57" s="36"/>
      <c r="H57" s="36"/>
      <c r="I57" s="36"/>
      <c r="J57" s="36"/>
      <c r="K57" s="36"/>
      <c r="L57" s="36"/>
      <c r="M57" s="455"/>
      <c r="N57" s="455"/>
      <c r="O57" s="455"/>
      <c r="P57" s="397"/>
      <c r="Q57" s="397"/>
      <c r="R57" s="400"/>
      <c r="S57" s="400"/>
      <c r="T57" s="400"/>
      <c r="U57" s="400"/>
    </row>
    <row r="58" spans="1:24" x14ac:dyDescent="0.2">
      <c r="A58" s="71"/>
      <c r="B58" s="71"/>
      <c r="C58" s="71"/>
      <c r="D58" s="71"/>
      <c r="E58" s="71"/>
      <c r="F58" s="71"/>
      <c r="G58" s="36"/>
      <c r="H58" s="36"/>
      <c r="I58" s="36"/>
      <c r="J58" s="36"/>
      <c r="K58" s="36"/>
      <c r="L58" s="36"/>
      <c r="M58" s="455"/>
      <c r="N58" s="455"/>
      <c r="O58" s="455"/>
      <c r="P58" s="400"/>
      <c r="Q58" s="400"/>
      <c r="R58" s="400"/>
      <c r="S58" s="400"/>
      <c r="T58" s="400"/>
      <c r="U58" s="400"/>
    </row>
    <row r="59" spans="1:24" ht="15" thickBot="1" x14ac:dyDescent="0.25">
      <c r="A59" s="111" t="s">
        <v>37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455"/>
      <c r="N59" s="455"/>
      <c r="O59" s="455"/>
      <c r="P59" s="400"/>
      <c r="Q59" s="400"/>
      <c r="R59" s="400"/>
      <c r="S59" s="400"/>
      <c r="T59" s="400"/>
      <c r="U59" s="400"/>
    </row>
    <row r="60" spans="1:24" x14ac:dyDescent="0.2">
      <c r="A60" s="797" t="s">
        <v>87</v>
      </c>
      <c r="B60" s="798"/>
      <c r="C60" s="798"/>
      <c r="D60" s="798"/>
      <c r="E60" s="798"/>
      <c r="F60" s="799"/>
      <c r="G60" s="464"/>
      <c r="H60" s="465" t="s">
        <v>405</v>
      </c>
      <c r="I60" s="466">
        <v>1</v>
      </c>
      <c r="J60" s="467">
        <f>Uniformes!H25</f>
        <v>42.33</v>
      </c>
      <c r="K60" s="558"/>
      <c r="L60" s="149"/>
      <c r="M60" s="30"/>
      <c r="N60" s="30"/>
      <c r="O60" s="30"/>
      <c r="P60" s="398"/>
      <c r="Q60" s="398"/>
      <c r="R60" s="398"/>
      <c r="S60" s="398"/>
      <c r="T60" s="398"/>
      <c r="U60" s="398"/>
    </row>
    <row r="61" spans="1:24" ht="15" thickBot="1" x14ac:dyDescent="0.25">
      <c r="A61" s="800"/>
      <c r="B61" s="801"/>
      <c r="C61" s="801"/>
      <c r="D61" s="801"/>
      <c r="E61" s="801"/>
      <c r="F61" s="802"/>
      <c r="G61" s="444"/>
      <c r="H61" s="468" t="s">
        <v>406</v>
      </c>
      <c r="I61" s="469">
        <v>1</v>
      </c>
      <c r="J61" s="470">
        <f>Uniformes!H52</f>
        <v>62.41</v>
      </c>
      <c r="K61" s="558"/>
      <c r="L61" s="149"/>
      <c r="M61" s="30"/>
      <c r="N61" s="471"/>
      <c r="O61" s="471"/>
      <c r="P61" s="404"/>
      <c r="Q61" s="404"/>
      <c r="R61" s="398"/>
      <c r="S61" s="398"/>
      <c r="T61" s="398"/>
      <c r="U61" s="398"/>
      <c r="W61" s="559"/>
    </row>
    <row r="62" spans="1:24" ht="14.25" customHeight="1" x14ac:dyDescent="0.2">
      <c r="A62" s="797" t="s">
        <v>381</v>
      </c>
      <c r="B62" s="798"/>
      <c r="C62" s="798"/>
      <c r="D62" s="798"/>
      <c r="E62" s="798"/>
      <c r="F62" s="799"/>
      <c r="G62" s="464"/>
      <c r="H62" s="465" t="s">
        <v>382</v>
      </c>
      <c r="I62" s="466">
        <v>1</v>
      </c>
      <c r="J62" s="467">
        <f>'Mat. e Equip.'!H24</f>
        <v>18.91</v>
      </c>
      <c r="K62" s="558"/>
      <c r="L62" s="149"/>
      <c r="M62" s="30"/>
      <c r="N62" s="166"/>
      <c r="O62" s="472"/>
      <c r="P62" s="405"/>
      <c r="Q62" s="406"/>
      <c r="R62" s="166"/>
      <c r="S62" s="166"/>
      <c r="T62" s="166"/>
      <c r="U62" s="166"/>
      <c r="W62" s="560"/>
      <c r="X62" s="561"/>
    </row>
    <row r="63" spans="1:24" ht="15" thickBot="1" x14ac:dyDescent="0.25">
      <c r="A63" s="800"/>
      <c r="B63" s="801"/>
      <c r="C63" s="801"/>
      <c r="D63" s="801"/>
      <c r="E63" s="801"/>
      <c r="F63" s="802"/>
      <c r="G63" s="444"/>
      <c r="H63" s="468" t="s">
        <v>383</v>
      </c>
      <c r="I63" s="469">
        <v>1</v>
      </c>
      <c r="J63" s="470">
        <f>'Mat. e Equip.'!H30</f>
        <v>24.36</v>
      </c>
      <c r="K63" s="558"/>
      <c r="L63" s="149"/>
      <c r="M63" s="30"/>
      <c r="N63" s="166"/>
      <c r="O63" s="472"/>
      <c r="P63" s="405"/>
      <c r="Q63" s="406"/>
      <c r="R63" s="166"/>
      <c r="S63" s="166"/>
      <c r="T63" s="166"/>
      <c r="U63" s="166"/>
      <c r="W63" s="560"/>
      <c r="X63" s="561"/>
    </row>
    <row r="64" spans="1:24" ht="15" thickBot="1" x14ac:dyDescent="0.25">
      <c r="A64" s="562" t="s">
        <v>83</v>
      </c>
      <c r="B64" s="473"/>
      <c r="C64" s="474"/>
      <c r="D64" s="474"/>
      <c r="E64" s="474"/>
      <c r="F64" s="474"/>
      <c r="G64" s="474"/>
      <c r="H64" s="474"/>
      <c r="I64" s="475">
        <v>0.1</v>
      </c>
      <c r="J64" s="470"/>
      <c r="K64" s="400"/>
      <c r="L64" s="563"/>
      <c r="M64" s="30"/>
      <c r="N64" s="166"/>
      <c r="O64" s="472"/>
      <c r="P64" s="405"/>
      <c r="Q64" s="406"/>
      <c r="R64" s="166"/>
      <c r="S64" s="166"/>
      <c r="T64" s="166"/>
      <c r="U64" s="166"/>
      <c r="W64" s="560"/>
      <c r="X64" s="561"/>
    </row>
    <row r="65" spans="1:24" x14ac:dyDescent="0.2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36"/>
      <c r="L65" s="36"/>
      <c r="M65" s="36"/>
      <c r="N65" s="408"/>
      <c r="O65" s="472"/>
      <c r="P65" s="407"/>
      <c r="Q65" s="407"/>
      <c r="R65" s="407"/>
      <c r="S65" s="407"/>
      <c r="T65" s="408"/>
      <c r="U65" s="408"/>
      <c r="W65" s="561"/>
      <c r="X65" s="561"/>
    </row>
    <row r="66" spans="1:24" ht="15" thickBot="1" x14ac:dyDescent="0.25">
      <c r="A66" s="134"/>
      <c r="B66" s="134"/>
      <c r="C66" s="134"/>
      <c r="D66" s="134"/>
      <c r="E66" s="134"/>
      <c r="F66" s="134"/>
      <c r="G66" s="134"/>
      <c r="H66" s="134"/>
      <c r="I66" s="134"/>
      <c r="J66" s="476"/>
      <c r="K66" s="36"/>
      <c r="L66" s="36"/>
      <c r="M66" s="36"/>
      <c r="N66" s="36"/>
      <c r="O66" s="477"/>
      <c r="P66" s="397"/>
      <c r="Q66" s="397"/>
      <c r="R66" s="397"/>
      <c r="S66" s="397"/>
      <c r="T66" s="36"/>
      <c r="U66" s="36"/>
    </row>
    <row r="67" spans="1:24" x14ac:dyDescent="0.2">
      <c r="A67" s="429" t="s">
        <v>183</v>
      </c>
      <c r="B67" s="430"/>
      <c r="C67" s="430"/>
      <c r="D67" s="430"/>
      <c r="E67" s="430"/>
      <c r="F67" s="430"/>
      <c r="G67" s="430"/>
      <c r="H67" s="430"/>
      <c r="I67" s="430"/>
      <c r="J67" s="478">
        <v>0.01</v>
      </c>
      <c r="K67" s="564"/>
      <c r="L67" s="565"/>
      <c r="M67" s="565"/>
      <c r="N67" s="565"/>
      <c r="O67" s="565"/>
      <c r="P67" s="565"/>
      <c r="Q67" s="565"/>
      <c r="R67" s="565"/>
      <c r="S67" s="400"/>
      <c r="U67" s="439"/>
    </row>
    <row r="68" spans="1:24" ht="15" thickBot="1" x14ac:dyDescent="0.25">
      <c r="A68" s="479" t="s">
        <v>18</v>
      </c>
      <c r="B68" s="444"/>
      <c r="C68" s="444"/>
      <c r="D68" s="444"/>
      <c r="E68" s="444"/>
      <c r="F68" s="444"/>
      <c r="G68" s="444"/>
      <c r="H68" s="444"/>
      <c r="I68" s="444"/>
      <c r="J68" s="480">
        <v>0.01</v>
      </c>
      <c r="K68" s="564"/>
      <c r="L68" s="565"/>
      <c r="M68" s="565"/>
      <c r="N68" s="565"/>
      <c r="O68" s="565"/>
      <c r="P68" s="565"/>
      <c r="Q68" s="565"/>
      <c r="R68" s="565"/>
      <c r="S68" s="400"/>
      <c r="T68" s="566"/>
      <c r="U68" s="439"/>
    </row>
    <row r="69" spans="1:24" ht="16.5" customHeight="1" thickBot="1" x14ac:dyDescent="0.25">
      <c r="J69" s="567"/>
      <c r="K69" s="400"/>
      <c r="L69" s="400"/>
    </row>
    <row r="70" spans="1:24" ht="15" thickBot="1" x14ac:dyDescent="0.25">
      <c r="A70" s="809" t="s">
        <v>126</v>
      </c>
      <c r="B70" s="810"/>
      <c r="C70" s="810"/>
      <c r="D70" s="810"/>
      <c r="E70" s="810"/>
      <c r="F70" s="810"/>
      <c r="G70" s="810"/>
      <c r="H70" s="811"/>
      <c r="K70" s="400"/>
      <c r="L70" s="111"/>
      <c r="M70" s="134"/>
      <c r="N70" s="134"/>
      <c r="O70" s="134"/>
      <c r="Q70" s="111"/>
    </row>
    <row r="71" spans="1:24" ht="15" thickBot="1" x14ac:dyDescent="0.25">
      <c r="A71" s="849" t="s">
        <v>175</v>
      </c>
      <c r="B71" s="850"/>
      <c r="C71" s="861" t="s">
        <v>147</v>
      </c>
      <c r="D71" s="861"/>
      <c r="E71" s="481" t="s">
        <v>20</v>
      </c>
      <c r="F71" s="482" t="s">
        <v>19</v>
      </c>
      <c r="G71" s="853"/>
      <c r="H71" s="854"/>
      <c r="K71" s="400"/>
      <c r="L71" s="888" t="s">
        <v>117</v>
      </c>
      <c r="M71" s="835" t="s">
        <v>121</v>
      </c>
      <c r="N71" s="839" t="s">
        <v>138</v>
      </c>
      <c r="O71" s="839" t="s">
        <v>203</v>
      </c>
      <c r="P71" s="843" t="s">
        <v>38</v>
      </c>
      <c r="Q71" s="835"/>
      <c r="R71" s="835" t="s">
        <v>39</v>
      </c>
      <c r="S71" s="835" t="s">
        <v>139</v>
      </c>
      <c r="T71" s="835" t="s">
        <v>40</v>
      </c>
      <c r="U71" s="837" t="s">
        <v>119</v>
      </c>
      <c r="W71" s="560"/>
    </row>
    <row r="72" spans="1:24" ht="15" thickBot="1" x14ac:dyDescent="0.25">
      <c r="A72" s="851" t="s">
        <v>249</v>
      </c>
      <c r="B72" s="852"/>
      <c r="C72" s="862">
        <v>0.05</v>
      </c>
      <c r="D72" s="862"/>
      <c r="E72" s="483">
        <v>0.03</v>
      </c>
      <c r="F72" s="483">
        <v>6.4999999999999997E-3</v>
      </c>
      <c r="G72" s="484">
        <f>SUM(C72:F72)</f>
        <v>8.6499999999999994E-2</v>
      </c>
      <c r="H72" s="580">
        <f>(100%-G72)</f>
        <v>0.91349999999999998</v>
      </c>
      <c r="K72" s="400"/>
      <c r="L72" s="889"/>
      <c r="M72" s="836"/>
      <c r="N72" s="840"/>
      <c r="O72" s="840"/>
      <c r="P72" s="844"/>
      <c r="Q72" s="836"/>
      <c r="R72" s="836"/>
      <c r="S72" s="836"/>
      <c r="T72" s="836"/>
      <c r="U72" s="838"/>
    </row>
    <row r="73" spans="1:24" x14ac:dyDescent="0.2">
      <c r="K73" s="400"/>
      <c r="L73" s="485">
        <v>1</v>
      </c>
      <c r="M73" s="137" t="s">
        <v>243</v>
      </c>
      <c r="N73" s="486" t="s">
        <v>345</v>
      </c>
      <c r="O73" s="487" t="s">
        <v>350</v>
      </c>
      <c r="P73" s="488" t="s">
        <v>344</v>
      </c>
      <c r="Q73" s="113"/>
      <c r="R73" s="114">
        <v>5</v>
      </c>
      <c r="S73" s="114">
        <v>2</v>
      </c>
      <c r="T73" s="114">
        <f>R73*S73</f>
        <v>10</v>
      </c>
      <c r="U73" s="115">
        <v>2192.65</v>
      </c>
    </row>
    <row r="74" spans="1:24" ht="15" customHeight="1" thickBot="1" x14ac:dyDescent="0.25">
      <c r="A74" s="133"/>
      <c r="B74" s="133"/>
      <c r="C74" s="133"/>
      <c r="D74" s="133"/>
      <c r="E74" s="133"/>
      <c r="F74" s="133"/>
      <c r="G74" s="489"/>
      <c r="H74" s="133"/>
      <c r="I74" s="133"/>
      <c r="J74" s="133"/>
      <c r="K74" s="111"/>
      <c r="L74" s="485">
        <v>2</v>
      </c>
      <c r="M74" s="137" t="s">
        <v>243</v>
      </c>
      <c r="N74" s="490" t="s">
        <v>346</v>
      </c>
      <c r="O74" s="487" t="s">
        <v>350</v>
      </c>
      <c r="P74" s="488" t="s">
        <v>360</v>
      </c>
      <c r="Q74" s="113"/>
      <c r="R74" s="114">
        <v>6</v>
      </c>
      <c r="S74" s="114">
        <v>1</v>
      </c>
      <c r="T74" s="114">
        <f t="shared" ref="T74:T75" si="0">R74*S74</f>
        <v>6</v>
      </c>
      <c r="U74" s="115">
        <v>2192.65</v>
      </c>
    </row>
    <row r="75" spans="1:24" ht="15" customHeight="1" thickBot="1" x14ac:dyDescent="0.25">
      <c r="A75" s="142" t="s">
        <v>211</v>
      </c>
      <c r="B75" s="576" t="s">
        <v>212</v>
      </c>
      <c r="C75" s="577"/>
      <c r="D75" s="577"/>
      <c r="E75" s="577"/>
      <c r="F75" s="577"/>
      <c r="G75" s="578"/>
      <c r="H75" s="129"/>
      <c r="I75" s="129"/>
      <c r="J75" s="131"/>
      <c r="K75" s="111"/>
      <c r="L75" s="491">
        <v>3</v>
      </c>
      <c r="M75" s="249" t="s">
        <v>243</v>
      </c>
      <c r="N75" s="492" t="s">
        <v>347</v>
      </c>
      <c r="O75" s="487" t="s">
        <v>350</v>
      </c>
      <c r="P75" s="488" t="s">
        <v>349</v>
      </c>
      <c r="Q75" s="250"/>
      <c r="R75" s="114">
        <v>5</v>
      </c>
      <c r="S75" s="251">
        <v>2</v>
      </c>
      <c r="T75" s="114">
        <f t="shared" si="0"/>
        <v>10</v>
      </c>
      <c r="U75" s="252">
        <v>2192.65</v>
      </c>
    </row>
    <row r="76" spans="1:24" ht="15" customHeight="1" thickBot="1" x14ac:dyDescent="0.25">
      <c r="A76" s="136" t="s">
        <v>1</v>
      </c>
      <c r="B76" s="137" t="s">
        <v>157</v>
      </c>
      <c r="C76" s="138"/>
      <c r="D76" s="138"/>
      <c r="E76" s="138"/>
      <c r="F76" s="138"/>
      <c r="G76" s="495">
        <v>9.0899999999999995E-2</v>
      </c>
      <c r="H76" s="568"/>
      <c r="I76" s="118"/>
      <c r="J76" s="131"/>
      <c r="K76" s="112"/>
      <c r="L76" s="878" t="s">
        <v>41</v>
      </c>
      <c r="M76" s="879"/>
      <c r="N76" s="879"/>
      <c r="O76" s="879"/>
      <c r="P76" s="879"/>
      <c r="Q76" s="880"/>
      <c r="R76" s="253">
        <f>SUM(R73:R75)</f>
        <v>16</v>
      </c>
      <c r="S76" s="254" t="s">
        <v>54</v>
      </c>
      <c r="T76" s="253">
        <f>SUM(T73:T75)</f>
        <v>26</v>
      </c>
      <c r="U76" s="255" t="s">
        <v>54</v>
      </c>
    </row>
    <row r="77" spans="1:24" ht="15" customHeight="1" thickBot="1" x14ac:dyDescent="0.25">
      <c r="A77" s="139" t="s">
        <v>2</v>
      </c>
      <c r="B77" s="140" t="s">
        <v>224</v>
      </c>
      <c r="C77" s="141"/>
      <c r="D77" s="141"/>
      <c r="E77" s="141"/>
      <c r="F77" s="141"/>
      <c r="G77" s="503">
        <v>0.1212</v>
      </c>
      <c r="H77" s="568"/>
      <c r="I77" s="118"/>
      <c r="J77" s="131"/>
      <c r="K77" s="112"/>
      <c r="L77" s="493"/>
      <c r="M77" s="493"/>
      <c r="N77" s="493"/>
      <c r="O77" s="493"/>
      <c r="P77" s="493"/>
      <c r="Q77" s="493"/>
      <c r="R77" s="493"/>
      <c r="S77" s="493"/>
      <c r="T77" s="493"/>
      <c r="U77" s="493"/>
    </row>
    <row r="78" spans="1:24" ht="15" thickBot="1" x14ac:dyDescent="0.25">
      <c r="A78" s="855" t="s">
        <v>41</v>
      </c>
      <c r="B78" s="856"/>
      <c r="C78" s="856"/>
      <c r="D78" s="856"/>
      <c r="E78" s="856"/>
      <c r="F78" s="857"/>
      <c r="G78" s="494">
        <f>SUM(G76:G77)</f>
        <v>0.21210000000000001</v>
      </c>
      <c r="H78" s="118"/>
      <c r="I78" s="118"/>
      <c r="J78" s="131" t="s">
        <v>0</v>
      </c>
      <c r="K78" s="134"/>
      <c r="L78" s="493"/>
      <c r="M78" s="493"/>
      <c r="N78" s="493"/>
      <c r="O78" s="493"/>
      <c r="P78" s="493"/>
      <c r="Q78" s="493"/>
      <c r="R78" s="493"/>
      <c r="S78" s="493"/>
      <c r="T78" s="493"/>
      <c r="U78" s="493"/>
    </row>
    <row r="79" spans="1:24" s="493" customFormat="1" ht="15" customHeight="1" thickBot="1" x14ac:dyDescent="0.25">
      <c r="A79" s="142" t="s">
        <v>210</v>
      </c>
      <c r="B79" s="858" t="s">
        <v>214</v>
      </c>
      <c r="C79" s="859"/>
      <c r="D79" s="859"/>
      <c r="E79" s="859"/>
      <c r="F79" s="859"/>
      <c r="G79" s="860"/>
      <c r="H79" s="118"/>
      <c r="I79" s="118"/>
      <c r="J79" s="400"/>
      <c r="K79" s="132"/>
    </row>
    <row r="80" spans="1:24" s="493" customFormat="1" ht="15" thickBot="1" x14ac:dyDescent="0.25">
      <c r="A80" s="136" t="s">
        <v>1</v>
      </c>
      <c r="B80" s="144" t="s">
        <v>12</v>
      </c>
      <c r="C80" s="145"/>
      <c r="D80" s="145"/>
      <c r="E80" s="145"/>
      <c r="F80" s="145"/>
      <c r="G80" s="495">
        <v>0.2</v>
      </c>
      <c r="H80" s="118"/>
      <c r="I80" s="118"/>
      <c r="J80" s="400"/>
      <c r="K80" s="132"/>
      <c r="L80" s="116"/>
      <c r="N80" s="111" t="s">
        <v>43</v>
      </c>
      <c r="O80" s="111"/>
      <c r="P80" s="111"/>
      <c r="Q80" s="111"/>
      <c r="R80" s="111"/>
      <c r="S80" s="111"/>
      <c r="T80" s="111"/>
      <c r="U80" s="111"/>
    </row>
    <row r="81" spans="1:21" s="493" customFormat="1" ht="15" thickBot="1" x14ac:dyDescent="0.25">
      <c r="A81" s="496" t="s">
        <v>2</v>
      </c>
      <c r="B81" s="144" t="s">
        <v>154</v>
      </c>
      <c r="C81" s="123"/>
      <c r="D81" s="123"/>
      <c r="E81" s="123"/>
      <c r="F81" s="123"/>
      <c r="G81" s="495">
        <v>2.5000000000000001E-2</v>
      </c>
      <c r="H81" s="118"/>
      <c r="I81" s="118"/>
      <c r="J81" s="400"/>
      <c r="K81" s="132"/>
      <c r="L81" s="876" t="s">
        <v>133</v>
      </c>
      <c r="M81" s="877"/>
      <c r="N81" s="853" t="s">
        <v>44</v>
      </c>
      <c r="O81" s="886"/>
      <c r="P81" s="887"/>
      <c r="Q81" s="810" t="s">
        <v>45</v>
      </c>
      <c r="R81" s="810"/>
      <c r="S81" s="810"/>
      <c r="T81" s="874" t="s">
        <v>46</v>
      </c>
      <c r="U81" s="875"/>
    </row>
    <row r="82" spans="1:21" s="493" customFormat="1" ht="15" thickBot="1" x14ac:dyDescent="0.25">
      <c r="A82" s="496" t="s">
        <v>4</v>
      </c>
      <c r="B82" s="144" t="s">
        <v>200</v>
      </c>
      <c r="C82" s="123"/>
      <c r="D82" s="123"/>
      <c r="E82" s="123"/>
      <c r="F82" s="123"/>
      <c r="G82" s="495">
        <f>3%*0.8298</f>
        <v>2.4899999999999999E-2</v>
      </c>
      <c r="H82" s="127"/>
      <c r="I82" s="127"/>
      <c r="J82" s="400"/>
      <c r="K82" s="132"/>
      <c r="L82" s="881" t="s">
        <v>302</v>
      </c>
      <c r="M82" s="882"/>
      <c r="N82" s="883" t="s">
        <v>242</v>
      </c>
      <c r="O82" s="884"/>
      <c r="P82" s="885"/>
      <c r="Q82" s="873" t="s">
        <v>300</v>
      </c>
      <c r="R82" s="873"/>
      <c r="S82" s="873"/>
      <c r="T82" s="212">
        <v>43831</v>
      </c>
      <c r="U82" s="213">
        <v>43831</v>
      </c>
    </row>
    <row r="83" spans="1:21" s="493" customFormat="1" x14ac:dyDescent="0.2">
      <c r="A83" s="496" t="s">
        <v>5</v>
      </c>
      <c r="B83" s="144" t="s">
        <v>13</v>
      </c>
      <c r="C83" s="123"/>
      <c r="D83" s="123"/>
      <c r="E83" s="123"/>
      <c r="F83" s="123"/>
      <c r="G83" s="495">
        <v>1.4999999999999999E-2</v>
      </c>
      <c r="H83" s="128"/>
      <c r="I83" s="129"/>
      <c r="J83" s="400"/>
      <c r="K83" s="132"/>
      <c r="L83" s="116"/>
      <c r="M83" s="497"/>
      <c r="N83" s="36"/>
      <c r="O83" s="36"/>
      <c r="P83" s="399"/>
      <c r="Q83" s="399"/>
      <c r="R83" s="399"/>
      <c r="S83" s="399"/>
      <c r="T83" s="399"/>
      <c r="U83" s="399"/>
    </row>
    <row r="84" spans="1:21" s="493" customFormat="1" ht="15" customHeight="1" x14ac:dyDescent="0.2">
      <c r="A84" s="496" t="s">
        <v>6</v>
      </c>
      <c r="B84" s="144" t="s">
        <v>14</v>
      </c>
      <c r="C84" s="123"/>
      <c r="D84" s="123"/>
      <c r="E84" s="123"/>
      <c r="F84" s="123"/>
      <c r="G84" s="495">
        <v>0.01</v>
      </c>
      <c r="H84" s="124"/>
      <c r="I84" s="80"/>
      <c r="J84" s="400"/>
      <c r="K84" s="132"/>
      <c r="L84" s="116"/>
      <c r="M84" s="497"/>
      <c r="N84" s="36"/>
      <c r="O84" s="36"/>
      <c r="P84" s="399"/>
      <c r="Q84" s="399"/>
      <c r="R84" s="399"/>
      <c r="S84" s="399"/>
      <c r="T84" s="399"/>
      <c r="U84" s="399"/>
    </row>
    <row r="85" spans="1:21" s="493" customFormat="1" x14ac:dyDescent="0.2">
      <c r="A85" s="496" t="s">
        <v>7</v>
      </c>
      <c r="B85" s="144" t="s">
        <v>17</v>
      </c>
      <c r="C85" s="123"/>
      <c r="D85" s="123"/>
      <c r="E85" s="123"/>
      <c r="F85" s="123"/>
      <c r="G85" s="495">
        <v>6.0000000000000001E-3</v>
      </c>
      <c r="H85" s="125"/>
      <c r="I85" s="110"/>
      <c r="J85" s="400"/>
      <c r="K85" s="34"/>
      <c r="L85" s="569"/>
      <c r="M85" s="498"/>
      <c r="N85" s="498"/>
      <c r="O85" s="498"/>
      <c r="P85" s="498"/>
      <c r="Q85" s="499"/>
      <c r="R85" s="499"/>
      <c r="S85" s="499"/>
      <c r="T85" s="499"/>
      <c r="U85" s="499"/>
    </row>
    <row r="86" spans="1:21" s="493" customFormat="1" x14ac:dyDescent="0.2">
      <c r="A86" s="496" t="s">
        <v>8</v>
      </c>
      <c r="B86" s="144" t="s">
        <v>15</v>
      </c>
      <c r="C86" s="123"/>
      <c r="D86" s="123"/>
      <c r="E86" s="123"/>
      <c r="F86" s="123"/>
      <c r="G86" s="495">
        <v>2E-3</v>
      </c>
      <c r="H86" s="124"/>
      <c r="I86" s="80"/>
      <c r="J86" s="400"/>
      <c r="K86" s="116"/>
      <c r="L86" s="261"/>
      <c r="M86" s="500"/>
      <c r="N86" s="501"/>
      <c r="O86" s="501"/>
      <c r="P86" s="502"/>
      <c r="Q86" s="502"/>
      <c r="R86" s="502"/>
      <c r="S86" s="502"/>
      <c r="T86" s="502"/>
      <c r="U86" s="502"/>
    </row>
    <row r="87" spans="1:21" s="493" customFormat="1" ht="14.25" customHeight="1" thickBot="1" x14ac:dyDescent="0.25">
      <c r="A87" s="139" t="s">
        <v>9</v>
      </c>
      <c r="B87" s="338" t="s">
        <v>16</v>
      </c>
      <c r="C87" s="339"/>
      <c r="D87" s="339"/>
      <c r="E87" s="339"/>
      <c r="F87" s="339"/>
      <c r="G87" s="503">
        <v>0.08</v>
      </c>
      <c r="H87" s="126"/>
      <c r="I87" s="127"/>
      <c r="J87" s="400"/>
      <c r="K87" s="116"/>
      <c r="L87" s="261"/>
      <c r="M87" s="504"/>
      <c r="N87" s="504"/>
      <c r="O87" s="504"/>
      <c r="P87" s="502"/>
      <c r="Q87" s="502"/>
      <c r="R87" s="502"/>
      <c r="S87" s="502"/>
      <c r="T87" s="502"/>
      <c r="U87" s="502"/>
    </row>
    <row r="88" spans="1:21" ht="15" thickBot="1" x14ac:dyDescent="0.25">
      <c r="A88" s="855" t="s">
        <v>41</v>
      </c>
      <c r="B88" s="856"/>
      <c r="C88" s="856"/>
      <c r="D88" s="856"/>
      <c r="E88" s="856"/>
      <c r="F88" s="857"/>
      <c r="G88" s="494">
        <f>SUM(G80:G87)</f>
        <v>0.3629</v>
      </c>
      <c r="H88" s="124"/>
      <c r="I88" s="80"/>
      <c r="J88" s="400"/>
      <c r="K88" s="116"/>
      <c r="L88" s="573"/>
      <c r="M88" s="573"/>
      <c r="N88" s="573"/>
      <c r="O88" s="573"/>
      <c r="P88" s="573"/>
      <c r="Q88" s="573"/>
      <c r="R88" s="573"/>
      <c r="S88" s="573"/>
      <c r="T88" s="573"/>
      <c r="U88" s="573"/>
    </row>
    <row r="89" spans="1:21" ht="15" thickBot="1" x14ac:dyDescent="0.25">
      <c r="A89" s="142" t="s">
        <v>213</v>
      </c>
      <c r="B89" s="858" t="s">
        <v>49</v>
      </c>
      <c r="C89" s="859"/>
      <c r="D89" s="859"/>
      <c r="E89" s="859"/>
      <c r="F89" s="859"/>
      <c r="G89" s="860"/>
      <c r="H89" s="128"/>
      <c r="I89" s="129"/>
      <c r="J89" s="400"/>
      <c r="K89" s="80"/>
      <c r="L89" s="573"/>
      <c r="M89" s="573"/>
      <c r="N89" s="573"/>
      <c r="O89" s="573"/>
      <c r="P89" s="573"/>
      <c r="Q89" s="573"/>
      <c r="R89" s="573"/>
      <c r="S89" s="573"/>
      <c r="T89" s="573"/>
      <c r="U89" s="573"/>
    </row>
    <row r="90" spans="1:21" x14ac:dyDescent="0.2">
      <c r="A90" s="143" t="s">
        <v>1</v>
      </c>
      <c r="B90" s="144" t="s">
        <v>50</v>
      </c>
      <c r="C90" s="145"/>
      <c r="D90" s="145"/>
      <c r="E90" s="145"/>
      <c r="F90" s="145"/>
      <c r="G90" s="229">
        <f>1/12*0.03</f>
        <v>2.5000000000000001E-3</v>
      </c>
      <c r="H90" s="130"/>
      <c r="I90" s="118"/>
      <c r="J90" s="400"/>
      <c r="K90" s="80"/>
      <c r="L90" s="573"/>
      <c r="M90" s="573"/>
      <c r="N90" s="573"/>
      <c r="O90" s="573"/>
      <c r="P90" s="573"/>
      <c r="Q90" s="573"/>
      <c r="R90" s="573"/>
      <c r="S90" s="573"/>
      <c r="T90" s="573"/>
      <c r="U90" s="573"/>
    </row>
    <row r="91" spans="1:21" x14ac:dyDescent="0.2">
      <c r="A91" s="117" t="s">
        <v>2</v>
      </c>
      <c r="B91" s="144" t="s">
        <v>110</v>
      </c>
      <c r="C91" s="123"/>
      <c r="D91" s="123"/>
      <c r="E91" s="123"/>
      <c r="F91" s="123"/>
      <c r="G91" s="229">
        <f>G87*G90</f>
        <v>2.0000000000000001E-4</v>
      </c>
      <c r="H91" s="130"/>
      <c r="I91" s="118"/>
      <c r="J91" s="400"/>
      <c r="K91" s="80"/>
      <c r="L91" s="505"/>
      <c r="M91" s="506"/>
      <c r="N91" s="506"/>
      <c r="O91" s="506"/>
      <c r="P91" s="502"/>
      <c r="Q91" s="502"/>
      <c r="R91" s="502"/>
      <c r="S91" s="502"/>
      <c r="T91" s="502"/>
      <c r="U91" s="502"/>
    </row>
    <row r="92" spans="1:21" x14ac:dyDescent="0.2">
      <c r="A92" s="117" t="s">
        <v>4</v>
      </c>
      <c r="B92" s="144" t="s">
        <v>298</v>
      </c>
      <c r="C92" s="118"/>
      <c r="D92" s="118"/>
      <c r="E92" s="118"/>
      <c r="F92" s="118"/>
      <c r="G92" s="579">
        <f>((G90+(0.4*G90))*G87)*G90</f>
        <v>9.9999999999999995E-7</v>
      </c>
      <c r="H92" s="568"/>
      <c r="I92" s="118"/>
      <c r="J92" s="400"/>
      <c r="K92" s="34"/>
      <c r="L92" s="505"/>
      <c r="M92" s="506"/>
      <c r="N92" s="506"/>
      <c r="O92" s="506"/>
      <c r="P92" s="502"/>
      <c r="Q92" s="502"/>
      <c r="R92" s="502"/>
      <c r="S92" s="502"/>
      <c r="T92" s="502"/>
      <c r="U92" s="502"/>
    </row>
    <row r="93" spans="1:21" ht="14.25" customHeight="1" x14ac:dyDescent="0.2">
      <c r="A93" s="117" t="s">
        <v>5</v>
      </c>
      <c r="B93" s="144" t="s">
        <v>158</v>
      </c>
      <c r="C93" s="123"/>
      <c r="D93" s="123"/>
      <c r="E93" s="123"/>
      <c r="F93" s="123"/>
      <c r="G93" s="229">
        <f t="shared" ref="G93" si="1">7/30/12</f>
        <v>1.9400000000000001E-2</v>
      </c>
      <c r="H93" s="130"/>
      <c r="I93" s="118"/>
      <c r="J93" s="400"/>
      <c r="K93" s="34"/>
      <c r="L93" s="505"/>
      <c r="M93" s="506"/>
      <c r="N93" s="501"/>
      <c r="O93" s="501"/>
      <c r="P93" s="502"/>
      <c r="Q93" s="502"/>
      <c r="R93" s="502"/>
      <c r="S93" s="502"/>
      <c r="T93" s="502"/>
      <c r="U93" s="502"/>
    </row>
    <row r="94" spans="1:21" x14ac:dyDescent="0.2">
      <c r="A94" s="117" t="s">
        <v>6</v>
      </c>
      <c r="B94" s="144" t="s">
        <v>257</v>
      </c>
      <c r="C94" s="123"/>
      <c r="D94" s="123"/>
      <c r="E94" s="123"/>
      <c r="F94" s="123"/>
      <c r="G94" s="229">
        <f>G88*G93</f>
        <v>7.0000000000000001E-3</v>
      </c>
      <c r="H94" s="130"/>
      <c r="I94" s="118"/>
      <c r="J94" s="400"/>
      <c r="K94" s="34"/>
      <c r="L94" s="505"/>
      <c r="M94" s="506"/>
      <c r="N94" s="506"/>
      <c r="O94" s="506"/>
      <c r="P94" s="502"/>
      <c r="Q94" s="502"/>
      <c r="R94" s="502"/>
      <c r="S94" s="502"/>
      <c r="T94" s="502"/>
      <c r="U94" s="502"/>
    </row>
    <row r="95" spans="1:21" ht="14.25" customHeight="1" x14ac:dyDescent="0.2">
      <c r="A95" s="146" t="s">
        <v>7</v>
      </c>
      <c r="B95" s="338" t="s">
        <v>299</v>
      </c>
      <c r="C95" s="118"/>
      <c r="D95" s="118"/>
      <c r="E95" s="118"/>
      <c r="F95" s="118"/>
      <c r="G95" s="229">
        <f>((G93+(0.4*G93))*G90)*G93+0.01%</f>
        <v>1E-4</v>
      </c>
      <c r="I95" s="127"/>
      <c r="J95" s="400"/>
      <c r="K95" s="34"/>
      <c r="L95" s="574"/>
      <c r="M95" s="574"/>
      <c r="N95" s="574"/>
      <c r="O95" s="574"/>
      <c r="P95" s="574"/>
      <c r="Q95" s="574"/>
      <c r="R95" s="574"/>
      <c r="S95" s="574"/>
      <c r="T95" s="574"/>
      <c r="U95" s="574"/>
    </row>
    <row r="96" spans="1:21" ht="14.25" customHeight="1" thickBot="1" x14ac:dyDescent="0.25">
      <c r="A96" s="146" t="s">
        <v>8</v>
      </c>
      <c r="B96" s="340" t="s">
        <v>483</v>
      </c>
      <c r="C96" s="339"/>
      <c r="D96" s="339"/>
      <c r="E96" s="339"/>
      <c r="F96" s="339"/>
      <c r="G96" s="229">
        <f>(0.4*G87*0.9)*(1+G78)</f>
        <v>3.49E-2</v>
      </c>
      <c r="H96" s="568"/>
      <c r="I96" s="127"/>
      <c r="J96" s="400"/>
      <c r="K96" s="34"/>
      <c r="L96" s="574"/>
      <c r="M96" s="574"/>
      <c r="N96" s="574"/>
      <c r="O96" s="574"/>
      <c r="P96" s="574"/>
      <c r="Q96" s="574"/>
      <c r="R96" s="574"/>
      <c r="S96" s="574"/>
      <c r="T96" s="574"/>
      <c r="U96" s="574"/>
    </row>
    <row r="97" spans="1:21" ht="15" thickBot="1" x14ac:dyDescent="0.25">
      <c r="A97" s="855" t="s">
        <v>41</v>
      </c>
      <c r="B97" s="856"/>
      <c r="C97" s="856"/>
      <c r="D97" s="856"/>
      <c r="E97" s="856"/>
      <c r="F97" s="856"/>
      <c r="G97" s="494">
        <f>SUM(G90:G96)</f>
        <v>6.4100000000000004E-2</v>
      </c>
      <c r="H97" s="128"/>
      <c r="I97" s="129"/>
      <c r="J97" s="400"/>
      <c r="K97" s="34"/>
      <c r="L97" s="574"/>
      <c r="M97" s="574"/>
      <c r="N97" s="574"/>
      <c r="O97" s="574"/>
      <c r="P97" s="574"/>
      <c r="Q97" s="574"/>
      <c r="R97" s="574"/>
      <c r="S97" s="574"/>
      <c r="T97" s="574"/>
      <c r="U97" s="574"/>
    </row>
    <row r="98" spans="1:21" ht="14.25" customHeight="1" thickBot="1" x14ac:dyDescent="0.25">
      <c r="A98" s="142" t="s">
        <v>42</v>
      </c>
      <c r="B98" s="858" t="s">
        <v>261</v>
      </c>
      <c r="C98" s="859"/>
      <c r="D98" s="859"/>
      <c r="E98" s="859"/>
      <c r="F98" s="859"/>
      <c r="G98" s="860"/>
      <c r="H98" s="130"/>
      <c r="I98" s="118"/>
      <c r="J98" s="400"/>
      <c r="K98" s="34"/>
      <c r="L98" s="574"/>
      <c r="M98" s="574"/>
      <c r="N98" s="574"/>
      <c r="O98" s="574"/>
      <c r="P98" s="574"/>
      <c r="Q98" s="574"/>
      <c r="R98" s="574"/>
      <c r="S98" s="574"/>
      <c r="T98" s="574"/>
      <c r="U98" s="574"/>
    </row>
    <row r="99" spans="1:21" x14ac:dyDescent="0.2">
      <c r="A99" s="143" t="s">
        <v>1</v>
      </c>
      <c r="B99" s="144" t="s">
        <v>260</v>
      </c>
      <c r="C99" s="145"/>
      <c r="D99" s="145"/>
      <c r="E99" s="145"/>
      <c r="F99" s="145"/>
      <c r="G99" s="495">
        <v>6.8999999999999999E-3</v>
      </c>
      <c r="H99" s="130"/>
      <c r="I99" s="118"/>
      <c r="J99" s="400"/>
      <c r="K99" s="34"/>
      <c r="L99" s="507"/>
      <c r="M99" s="506"/>
      <c r="N99" s="508"/>
      <c r="O99" s="508"/>
      <c r="P99" s="502"/>
      <c r="Q99" s="502"/>
      <c r="R99" s="502"/>
      <c r="S99" s="502"/>
      <c r="T99" s="502"/>
      <c r="U99" s="502"/>
    </row>
    <row r="100" spans="1:21" x14ac:dyDescent="0.2">
      <c r="A100" s="117" t="s">
        <v>2</v>
      </c>
      <c r="B100" s="144" t="s">
        <v>262</v>
      </c>
      <c r="C100" s="123"/>
      <c r="D100" s="123"/>
      <c r="E100" s="123"/>
      <c r="F100" s="123"/>
      <c r="G100" s="495">
        <f>5/30/12*0.01</f>
        <v>1E-4</v>
      </c>
      <c r="H100" s="130"/>
      <c r="I100" s="118"/>
      <c r="J100" s="400"/>
      <c r="K100" s="34"/>
      <c r="L100" s="231"/>
      <c r="M100" s="506"/>
      <c r="N100" s="509"/>
      <c r="O100" s="509"/>
      <c r="P100" s="502"/>
      <c r="Q100" s="502"/>
      <c r="R100" s="502"/>
      <c r="S100" s="502"/>
      <c r="T100" s="502"/>
      <c r="U100" s="502"/>
    </row>
    <row r="101" spans="1:21" x14ac:dyDescent="0.2">
      <c r="A101" s="117" t="s">
        <v>4</v>
      </c>
      <c r="B101" s="144" t="s">
        <v>263</v>
      </c>
      <c r="C101" s="123"/>
      <c r="D101" s="123"/>
      <c r="E101" s="123"/>
      <c r="F101" s="123"/>
      <c r="G101" s="495">
        <f>5/30/12*0.01</f>
        <v>1E-4</v>
      </c>
      <c r="H101" s="267"/>
      <c r="I101" s="110"/>
      <c r="J101" s="400"/>
      <c r="K101" s="34"/>
      <c r="L101" s="231"/>
      <c r="M101" s="506"/>
      <c r="N101" s="509"/>
      <c r="O101" s="509"/>
      <c r="P101" s="502"/>
      <c r="Q101" s="502"/>
      <c r="R101" s="502"/>
      <c r="S101" s="502"/>
      <c r="T101" s="502"/>
      <c r="U101" s="502"/>
    </row>
    <row r="102" spans="1:21" x14ac:dyDescent="0.2">
      <c r="A102" s="117" t="s">
        <v>5</v>
      </c>
      <c r="B102" s="144" t="s">
        <v>264</v>
      </c>
      <c r="C102" s="123"/>
      <c r="D102" s="123"/>
      <c r="E102" s="123"/>
      <c r="F102" s="123"/>
      <c r="G102" s="495">
        <f>15/30/12*0.003</f>
        <v>1E-4</v>
      </c>
      <c r="H102" s="80"/>
      <c r="I102" s="80"/>
      <c r="J102" s="400"/>
      <c r="K102" s="34"/>
      <c r="L102" s="239"/>
      <c r="M102" s="506"/>
      <c r="N102" s="509"/>
      <c r="O102" s="509"/>
      <c r="P102" s="502"/>
      <c r="Q102" s="502"/>
      <c r="R102" s="502"/>
      <c r="S102" s="502"/>
      <c r="T102" s="502"/>
      <c r="U102" s="502"/>
    </row>
    <row r="103" spans="1:21" ht="14.25" customHeight="1" x14ac:dyDescent="0.2">
      <c r="A103" s="117" t="s">
        <v>6</v>
      </c>
      <c r="B103" s="144" t="s">
        <v>265</v>
      </c>
      <c r="C103" s="123"/>
      <c r="D103" s="123"/>
      <c r="E103" s="123"/>
      <c r="F103" s="123"/>
      <c r="G103" s="495">
        <f>(((G77*4)+(G76*4))/12)*0.1%</f>
        <v>1E-4</v>
      </c>
      <c r="H103" s="127"/>
      <c r="I103" s="127"/>
      <c r="J103" s="400"/>
      <c r="K103" s="34"/>
      <c r="L103" s="239"/>
      <c r="M103" s="506"/>
      <c r="N103" s="504"/>
      <c r="O103" s="504"/>
      <c r="P103" s="502"/>
      <c r="Q103" s="231"/>
      <c r="R103" s="231"/>
      <c r="S103" s="231"/>
      <c r="T103" s="231"/>
      <c r="U103" s="231"/>
    </row>
    <row r="104" spans="1:21" ht="15" thickBot="1" x14ac:dyDescent="0.25">
      <c r="A104" s="146" t="s">
        <v>7</v>
      </c>
      <c r="B104" s="338" t="s">
        <v>266</v>
      </c>
      <c r="C104" s="339"/>
      <c r="D104" s="339"/>
      <c r="E104" s="339"/>
      <c r="F104" s="339"/>
      <c r="G104" s="503">
        <v>0</v>
      </c>
      <c r="H104" s="135"/>
      <c r="I104" s="135"/>
      <c r="J104" s="400"/>
      <c r="K104" s="34"/>
      <c r="L104" s="239"/>
      <c r="M104" s="506"/>
      <c r="N104" s="504"/>
      <c r="O104" s="504"/>
      <c r="P104" s="502"/>
      <c r="Q104" s="231"/>
      <c r="R104" s="231"/>
      <c r="S104" s="231"/>
      <c r="T104" s="231"/>
      <c r="U104" s="231"/>
    </row>
    <row r="105" spans="1:21" ht="15" thickBot="1" x14ac:dyDescent="0.25">
      <c r="A105" s="866" t="s">
        <v>41</v>
      </c>
      <c r="B105" s="867"/>
      <c r="C105" s="867"/>
      <c r="D105" s="867"/>
      <c r="E105" s="867"/>
      <c r="F105" s="868"/>
      <c r="G105" s="494">
        <f>SUM(G99:G104)</f>
        <v>7.3000000000000001E-3</v>
      </c>
      <c r="K105" s="34"/>
      <c r="L105" s="239"/>
      <c r="M105" s="508"/>
      <c r="N105" s="508"/>
      <c r="O105" s="508"/>
      <c r="P105" s="501"/>
      <c r="Q105" s="501"/>
      <c r="R105" s="501"/>
      <c r="S105" s="501"/>
      <c r="T105" s="501"/>
      <c r="U105" s="501"/>
    </row>
    <row r="106" spans="1:21" ht="14.25" customHeight="1" thickBot="1" x14ac:dyDescent="0.25">
      <c r="A106" s="863" t="s">
        <v>52</v>
      </c>
      <c r="B106" s="864"/>
      <c r="C106" s="864"/>
      <c r="D106" s="864"/>
      <c r="E106" s="864"/>
      <c r="F106" s="865"/>
      <c r="G106" s="510">
        <f>G78+G88+G97+G105</f>
        <v>0.64639999999999997</v>
      </c>
      <c r="H106" s="570"/>
      <c r="K106" s="34"/>
      <c r="L106" s="239"/>
      <c r="M106" s="501"/>
      <c r="N106" s="511"/>
      <c r="O106" s="511"/>
      <c r="P106" s="501"/>
      <c r="Q106" s="501"/>
      <c r="R106" s="501"/>
      <c r="S106" s="501"/>
      <c r="T106" s="501"/>
      <c r="U106" s="501"/>
    </row>
    <row r="107" spans="1:21" x14ac:dyDescent="0.2">
      <c r="A107" s="571"/>
      <c r="B107" s="571"/>
      <c r="C107" s="571"/>
      <c r="D107" s="571"/>
      <c r="E107" s="571"/>
      <c r="F107" s="571"/>
      <c r="G107" s="571"/>
      <c r="K107" s="80"/>
      <c r="L107" s="80"/>
      <c r="M107" s="512"/>
      <c r="N107" s="513"/>
      <c r="O107" s="513"/>
      <c r="P107" s="120"/>
      <c r="Q107" s="120"/>
      <c r="R107" s="120"/>
      <c r="S107" s="120"/>
      <c r="T107" s="120"/>
      <c r="U107" s="120"/>
    </row>
    <row r="108" spans="1:21" ht="14.25" customHeight="1" x14ac:dyDescent="0.2">
      <c r="A108" s="572"/>
      <c r="B108" s="572"/>
      <c r="C108" s="572"/>
      <c r="D108" s="572"/>
      <c r="E108" s="572"/>
      <c r="F108" s="572"/>
      <c r="G108" s="572"/>
      <c r="K108" s="80"/>
      <c r="L108" s="134"/>
      <c r="M108" s="36"/>
      <c r="P108" s="120"/>
      <c r="Q108" s="120"/>
      <c r="R108" s="120"/>
      <c r="S108" s="120"/>
      <c r="T108" s="120"/>
      <c r="U108" s="120"/>
    </row>
    <row r="109" spans="1:21" ht="14.25" customHeight="1" x14ac:dyDescent="0.2">
      <c r="A109" s="400"/>
      <c r="B109" s="400"/>
      <c r="C109" s="400"/>
      <c r="D109" s="400"/>
      <c r="E109" s="400"/>
      <c r="F109" s="400"/>
      <c r="G109" s="400"/>
      <c r="K109" s="80"/>
      <c r="M109" s="513"/>
      <c r="P109" s="514"/>
      <c r="Q109" s="514"/>
      <c r="R109" s="514"/>
      <c r="S109" s="514"/>
      <c r="T109" s="514"/>
      <c r="U109" s="514"/>
    </row>
    <row r="110" spans="1:21" x14ac:dyDescent="0.2">
      <c r="A110" s="400"/>
      <c r="B110" s="400"/>
      <c r="C110" s="400"/>
      <c r="D110" s="400"/>
      <c r="E110" s="400"/>
      <c r="F110" s="400"/>
      <c r="G110" s="400"/>
      <c r="K110" s="80"/>
      <c r="M110" s="134"/>
      <c r="P110" s="514"/>
      <c r="Q110" s="514"/>
      <c r="R110" s="514"/>
      <c r="S110" s="514"/>
      <c r="T110" s="514"/>
      <c r="U110" s="514"/>
    </row>
    <row r="111" spans="1:21" x14ac:dyDescent="0.2">
      <c r="A111" s="400"/>
      <c r="B111" s="400"/>
      <c r="C111" s="400"/>
      <c r="D111" s="400"/>
      <c r="E111" s="400"/>
      <c r="F111" s="400"/>
      <c r="G111" s="400"/>
      <c r="K111" s="80"/>
      <c r="P111" s="515"/>
      <c r="Q111" s="515"/>
      <c r="R111" s="134"/>
      <c r="S111" s="134"/>
      <c r="T111" s="471"/>
      <c r="U111" s="36"/>
    </row>
    <row r="112" spans="1:21" x14ac:dyDescent="0.2">
      <c r="K112" s="80"/>
      <c r="P112" s="515"/>
      <c r="Q112" s="515"/>
      <c r="R112" s="134"/>
      <c r="S112" s="134"/>
      <c r="T112" s="134"/>
      <c r="U112" s="134"/>
    </row>
    <row r="113" spans="11:250" x14ac:dyDescent="0.2">
      <c r="K113" s="80"/>
      <c r="P113" s="134"/>
      <c r="Q113" s="134"/>
      <c r="R113" s="134"/>
      <c r="S113" s="134"/>
      <c r="T113" s="134"/>
      <c r="U113" s="134"/>
      <c r="V113" s="516"/>
      <c r="W113" s="516"/>
      <c r="X113" s="516"/>
      <c r="Y113" s="516"/>
      <c r="Z113" s="516"/>
      <c r="AA113" s="516"/>
      <c r="AB113" s="516"/>
      <c r="AC113" s="516"/>
      <c r="AD113" s="516"/>
      <c r="AE113" s="516"/>
      <c r="AF113" s="516"/>
      <c r="AG113" s="516"/>
      <c r="AH113" s="516"/>
      <c r="AI113" s="516"/>
      <c r="AJ113" s="516"/>
      <c r="AK113" s="516"/>
      <c r="AL113" s="516"/>
      <c r="AM113" s="516"/>
      <c r="AN113" s="516"/>
      <c r="AO113" s="516"/>
      <c r="AP113" s="516"/>
      <c r="AQ113" s="516"/>
      <c r="AR113" s="516"/>
      <c r="AS113" s="516"/>
      <c r="AT113" s="516"/>
      <c r="AU113" s="516"/>
      <c r="AV113" s="516"/>
      <c r="AW113" s="516"/>
      <c r="AX113" s="516"/>
      <c r="AY113" s="516"/>
      <c r="AZ113" s="516"/>
      <c r="BA113" s="516"/>
      <c r="BB113" s="516"/>
      <c r="BC113" s="516"/>
      <c r="BD113" s="516"/>
      <c r="BE113" s="516"/>
      <c r="BF113" s="516"/>
      <c r="BG113" s="516"/>
      <c r="BH113" s="516"/>
      <c r="BI113" s="516"/>
      <c r="BJ113" s="516"/>
      <c r="BK113" s="516"/>
      <c r="BL113" s="516"/>
      <c r="BM113" s="516"/>
      <c r="BN113" s="516"/>
      <c r="BO113" s="516"/>
      <c r="BP113" s="516"/>
      <c r="BQ113" s="516"/>
      <c r="BR113" s="516"/>
      <c r="BS113" s="516"/>
      <c r="BT113" s="516"/>
      <c r="BU113" s="516"/>
      <c r="BV113" s="516"/>
      <c r="BW113" s="516"/>
      <c r="BX113" s="516"/>
      <c r="BY113" s="516"/>
      <c r="BZ113" s="516"/>
      <c r="CA113" s="516"/>
      <c r="CB113" s="516"/>
      <c r="CC113" s="516"/>
      <c r="CD113" s="516"/>
      <c r="CE113" s="516"/>
      <c r="CF113" s="516"/>
      <c r="CG113" s="516"/>
      <c r="CH113" s="516"/>
      <c r="CI113" s="516"/>
      <c r="CJ113" s="516"/>
      <c r="CK113" s="516"/>
      <c r="CL113" s="516"/>
      <c r="CM113" s="516"/>
      <c r="CN113" s="516"/>
      <c r="CO113" s="516"/>
      <c r="CP113" s="516"/>
      <c r="CQ113" s="516"/>
      <c r="CR113" s="516"/>
      <c r="CS113" s="516"/>
      <c r="CT113" s="516"/>
      <c r="CU113" s="516"/>
      <c r="CV113" s="516"/>
      <c r="CW113" s="516"/>
      <c r="CX113" s="516"/>
      <c r="CY113" s="516"/>
      <c r="CZ113" s="516"/>
      <c r="DA113" s="516"/>
      <c r="DB113" s="516"/>
      <c r="DC113" s="516"/>
      <c r="DD113" s="516"/>
      <c r="DE113" s="516"/>
      <c r="DF113" s="516"/>
      <c r="DG113" s="516"/>
      <c r="DH113" s="516"/>
      <c r="DI113" s="516"/>
      <c r="DJ113" s="516"/>
      <c r="DK113" s="516"/>
      <c r="DL113" s="516"/>
      <c r="DM113" s="516"/>
      <c r="DN113" s="516"/>
      <c r="DO113" s="516"/>
      <c r="DP113" s="516"/>
      <c r="DQ113" s="516"/>
      <c r="DR113" s="516"/>
      <c r="DS113" s="516"/>
      <c r="DT113" s="516"/>
      <c r="DU113" s="516"/>
      <c r="DV113" s="516"/>
      <c r="DW113" s="516"/>
      <c r="DX113" s="516"/>
      <c r="DY113" s="516"/>
      <c r="DZ113" s="516"/>
      <c r="EA113" s="516"/>
      <c r="EB113" s="516"/>
      <c r="EC113" s="516"/>
      <c r="ED113" s="516"/>
      <c r="EE113" s="516"/>
      <c r="EF113" s="516"/>
      <c r="EG113" s="516"/>
      <c r="EH113" s="516"/>
      <c r="EI113" s="516"/>
      <c r="EJ113" s="516"/>
      <c r="EK113" s="516"/>
      <c r="EL113" s="516"/>
      <c r="EM113" s="516"/>
      <c r="EN113" s="516"/>
      <c r="EO113" s="516"/>
      <c r="EP113" s="516"/>
      <c r="EQ113" s="516"/>
      <c r="ER113" s="516"/>
      <c r="ES113" s="516"/>
      <c r="ET113" s="516"/>
      <c r="EU113" s="516"/>
      <c r="EV113" s="516"/>
      <c r="EW113" s="516"/>
      <c r="EX113" s="516"/>
      <c r="EY113" s="516"/>
      <c r="EZ113" s="516"/>
      <c r="FA113" s="516"/>
      <c r="FB113" s="516"/>
      <c r="FC113" s="516"/>
      <c r="FD113" s="516"/>
      <c r="FE113" s="516"/>
      <c r="FF113" s="516"/>
      <c r="FG113" s="516"/>
      <c r="FH113" s="516"/>
      <c r="FI113" s="516"/>
      <c r="FJ113" s="516"/>
      <c r="FK113" s="516"/>
      <c r="FL113" s="516"/>
      <c r="FM113" s="516"/>
      <c r="FN113" s="516"/>
      <c r="FO113" s="516"/>
      <c r="FP113" s="516"/>
      <c r="FQ113" s="516"/>
      <c r="FR113" s="516"/>
      <c r="FS113" s="516"/>
      <c r="FT113" s="516"/>
      <c r="FU113" s="516"/>
      <c r="FV113" s="516"/>
      <c r="FW113" s="516"/>
      <c r="FX113" s="516"/>
      <c r="FY113" s="516"/>
      <c r="FZ113" s="516"/>
      <c r="GA113" s="516"/>
      <c r="GB113" s="516"/>
      <c r="GC113" s="516"/>
      <c r="GD113" s="516"/>
      <c r="GE113" s="516"/>
      <c r="GF113" s="516"/>
      <c r="GG113" s="516"/>
      <c r="GH113" s="516"/>
      <c r="GI113" s="516"/>
      <c r="GJ113" s="516"/>
      <c r="GK113" s="516"/>
      <c r="GL113" s="516"/>
      <c r="GM113" s="516"/>
      <c r="GN113" s="516"/>
      <c r="GO113" s="516"/>
      <c r="GP113" s="516"/>
      <c r="GQ113" s="516"/>
      <c r="GR113" s="516"/>
      <c r="GS113" s="516"/>
      <c r="GT113" s="516"/>
      <c r="GU113" s="516"/>
      <c r="GV113" s="516"/>
      <c r="GW113" s="516"/>
      <c r="GX113" s="516"/>
      <c r="GY113" s="516"/>
      <c r="GZ113" s="516"/>
      <c r="HA113" s="516"/>
      <c r="HB113" s="516"/>
      <c r="HC113" s="516"/>
      <c r="HD113" s="516"/>
      <c r="HE113" s="516"/>
      <c r="HF113" s="516"/>
      <c r="HG113" s="516"/>
      <c r="HH113" s="516"/>
      <c r="HI113" s="516"/>
      <c r="HJ113" s="516"/>
      <c r="HK113" s="516"/>
      <c r="HL113" s="516"/>
      <c r="HM113" s="516"/>
      <c r="HN113" s="516"/>
      <c r="HO113" s="516"/>
      <c r="HP113" s="516"/>
      <c r="HQ113" s="516"/>
      <c r="HR113" s="516"/>
      <c r="HS113" s="516"/>
      <c r="HT113" s="516"/>
      <c r="HU113" s="516"/>
      <c r="HV113" s="516"/>
      <c r="HW113" s="516"/>
      <c r="HX113" s="516"/>
      <c r="HY113" s="516"/>
      <c r="HZ113" s="516"/>
      <c r="IA113" s="516"/>
      <c r="IB113" s="516"/>
      <c r="IC113" s="516"/>
      <c r="ID113" s="516"/>
      <c r="IE113" s="516"/>
      <c r="IF113" s="516"/>
      <c r="IG113" s="516"/>
      <c r="IH113" s="516"/>
      <c r="II113" s="516"/>
      <c r="IJ113" s="516"/>
      <c r="IK113" s="516"/>
      <c r="IL113" s="516"/>
      <c r="IM113" s="516"/>
      <c r="IN113" s="516"/>
      <c r="IO113" s="516"/>
      <c r="IP113" s="516"/>
    </row>
    <row r="114" spans="11:250" x14ac:dyDescent="0.2">
      <c r="K114" s="119"/>
      <c r="P114" s="134"/>
      <c r="Q114" s="134"/>
      <c r="R114" s="134"/>
      <c r="S114" s="134"/>
      <c r="T114" s="471"/>
      <c r="U114" s="134"/>
      <c r="V114" s="516"/>
      <c r="W114" s="516"/>
      <c r="X114" s="516"/>
      <c r="Y114" s="516"/>
      <c r="Z114" s="516"/>
      <c r="AA114" s="516"/>
      <c r="AB114" s="516"/>
      <c r="AC114" s="516"/>
      <c r="AD114" s="516"/>
      <c r="AE114" s="516"/>
      <c r="AF114" s="516"/>
      <c r="AG114" s="516"/>
      <c r="AH114" s="516"/>
      <c r="AI114" s="516"/>
      <c r="AJ114" s="516"/>
      <c r="AK114" s="516"/>
      <c r="AL114" s="516"/>
      <c r="AM114" s="516"/>
      <c r="AN114" s="516"/>
      <c r="AO114" s="516"/>
      <c r="AP114" s="516"/>
      <c r="AQ114" s="516"/>
      <c r="AR114" s="516"/>
      <c r="AS114" s="516"/>
      <c r="AT114" s="516"/>
      <c r="AU114" s="516"/>
      <c r="AV114" s="516"/>
      <c r="AW114" s="516"/>
      <c r="AX114" s="516"/>
      <c r="AY114" s="516"/>
      <c r="AZ114" s="516"/>
      <c r="BA114" s="516"/>
      <c r="BB114" s="516"/>
      <c r="BC114" s="516"/>
      <c r="BD114" s="516"/>
      <c r="BE114" s="516"/>
      <c r="BF114" s="516"/>
      <c r="BG114" s="516"/>
      <c r="BH114" s="516"/>
      <c r="BI114" s="516"/>
      <c r="BJ114" s="516"/>
      <c r="BK114" s="516"/>
      <c r="BL114" s="516"/>
      <c r="BM114" s="516"/>
      <c r="BN114" s="516"/>
      <c r="BO114" s="516"/>
      <c r="BP114" s="516"/>
      <c r="BQ114" s="516"/>
      <c r="BR114" s="516"/>
      <c r="BS114" s="516"/>
      <c r="BT114" s="516"/>
      <c r="BU114" s="516"/>
      <c r="BV114" s="516"/>
      <c r="BW114" s="516"/>
      <c r="BX114" s="516"/>
      <c r="BY114" s="516"/>
      <c r="BZ114" s="516"/>
      <c r="CA114" s="516"/>
      <c r="CB114" s="516"/>
      <c r="CC114" s="516"/>
      <c r="CD114" s="516"/>
      <c r="CE114" s="516"/>
      <c r="CF114" s="516"/>
      <c r="CG114" s="516"/>
      <c r="CH114" s="516"/>
      <c r="CI114" s="516"/>
      <c r="CJ114" s="516"/>
      <c r="CK114" s="516"/>
      <c r="CL114" s="516"/>
      <c r="CM114" s="516"/>
      <c r="CN114" s="516"/>
      <c r="CO114" s="516"/>
      <c r="CP114" s="516"/>
      <c r="CQ114" s="516"/>
      <c r="CR114" s="516"/>
      <c r="CS114" s="516"/>
      <c r="CT114" s="516"/>
      <c r="CU114" s="516"/>
      <c r="CV114" s="516"/>
      <c r="CW114" s="516"/>
      <c r="CX114" s="516"/>
      <c r="CY114" s="516"/>
      <c r="CZ114" s="516"/>
      <c r="DA114" s="516"/>
      <c r="DB114" s="516"/>
      <c r="DC114" s="516"/>
      <c r="DD114" s="516"/>
      <c r="DE114" s="516"/>
      <c r="DF114" s="516"/>
      <c r="DG114" s="516"/>
      <c r="DH114" s="516"/>
      <c r="DI114" s="516"/>
      <c r="DJ114" s="516"/>
      <c r="DK114" s="516"/>
      <c r="DL114" s="516"/>
      <c r="DM114" s="516"/>
      <c r="DN114" s="516"/>
      <c r="DO114" s="516"/>
      <c r="DP114" s="516"/>
      <c r="DQ114" s="516"/>
      <c r="DR114" s="516"/>
      <c r="DS114" s="516"/>
      <c r="DT114" s="516"/>
      <c r="DU114" s="516"/>
      <c r="DV114" s="516"/>
      <c r="DW114" s="516"/>
      <c r="DX114" s="516"/>
      <c r="DY114" s="516"/>
      <c r="DZ114" s="516"/>
      <c r="EA114" s="516"/>
      <c r="EB114" s="516"/>
      <c r="EC114" s="516"/>
      <c r="ED114" s="516"/>
      <c r="EE114" s="516"/>
      <c r="EF114" s="516"/>
      <c r="EG114" s="516"/>
      <c r="EH114" s="516"/>
      <c r="EI114" s="516"/>
      <c r="EJ114" s="516"/>
      <c r="EK114" s="516"/>
      <c r="EL114" s="516"/>
      <c r="EM114" s="516"/>
      <c r="EN114" s="516"/>
      <c r="EO114" s="516"/>
      <c r="EP114" s="516"/>
      <c r="EQ114" s="516"/>
      <c r="ER114" s="516"/>
      <c r="ES114" s="516"/>
      <c r="ET114" s="516"/>
      <c r="EU114" s="516"/>
      <c r="EV114" s="516"/>
      <c r="EW114" s="516"/>
      <c r="EX114" s="516"/>
      <c r="EY114" s="516"/>
      <c r="EZ114" s="516"/>
      <c r="FA114" s="516"/>
      <c r="FB114" s="516"/>
      <c r="FC114" s="516"/>
      <c r="FD114" s="516"/>
      <c r="FE114" s="516"/>
      <c r="FF114" s="516"/>
      <c r="FG114" s="516"/>
      <c r="FH114" s="516"/>
      <c r="FI114" s="516"/>
      <c r="FJ114" s="516"/>
      <c r="FK114" s="516"/>
      <c r="FL114" s="516"/>
      <c r="FM114" s="516"/>
      <c r="FN114" s="516"/>
      <c r="FO114" s="516"/>
      <c r="FP114" s="516"/>
      <c r="FQ114" s="516"/>
      <c r="FR114" s="516"/>
      <c r="FS114" s="516"/>
      <c r="FT114" s="516"/>
      <c r="FU114" s="516"/>
      <c r="FV114" s="516"/>
      <c r="FW114" s="516"/>
      <c r="FX114" s="516"/>
      <c r="FY114" s="516"/>
      <c r="FZ114" s="516"/>
      <c r="GA114" s="516"/>
      <c r="GB114" s="516"/>
      <c r="GC114" s="516"/>
      <c r="GD114" s="516"/>
      <c r="GE114" s="516"/>
      <c r="GF114" s="516"/>
      <c r="GG114" s="516"/>
      <c r="GH114" s="516"/>
      <c r="GI114" s="516"/>
      <c r="GJ114" s="516"/>
      <c r="GK114" s="516"/>
      <c r="GL114" s="516"/>
      <c r="GM114" s="516"/>
      <c r="GN114" s="516"/>
      <c r="GO114" s="516"/>
      <c r="GP114" s="516"/>
      <c r="GQ114" s="516"/>
      <c r="GR114" s="516"/>
      <c r="GS114" s="516"/>
      <c r="GT114" s="516"/>
      <c r="GU114" s="516"/>
      <c r="GV114" s="516"/>
      <c r="GW114" s="516"/>
      <c r="GX114" s="516"/>
      <c r="GY114" s="516"/>
      <c r="GZ114" s="516"/>
      <c r="HA114" s="516"/>
      <c r="HB114" s="516"/>
      <c r="HC114" s="516"/>
      <c r="HD114" s="516"/>
      <c r="HE114" s="516"/>
      <c r="HF114" s="516"/>
      <c r="HG114" s="516"/>
      <c r="HH114" s="516"/>
      <c r="HI114" s="516"/>
      <c r="HJ114" s="516"/>
      <c r="HK114" s="516"/>
      <c r="HL114" s="516"/>
      <c r="HM114" s="516"/>
      <c r="HN114" s="516"/>
      <c r="HO114" s="516"/>
      <c r="HP114" s="516"/>
      <c r="HQ114" s="516"/>
      <c r="HR114" s="516"/>
      <c r="HS114" s="516"/>
      <c r="HT114" s="516"/>
      <c r="HU114" s="516"/>
      <c r="HV114" s="516"/>
      <c r="HW114" s="516"/>
      <c r="HX114" s="516"/>
      <c r="HY114" s="516"/>
      <c r="HZ114" s="516"/>
      <c r="IA114" s="516"/>
      <c r="IB114" s="516"/>
      <c r="IC114" s="516"/>
      <c r="ID114" s="516"/>
      <c r="IE114" s="516"/>
      <c r="IF114" s="516"/>
      <c r="IG114" s="516"/>
      <c r="IH114" s="516"/>
      <c r="II114" s="516"/>
      <c r="IJ114" s="516"/>
      <c r="IK114" s="516"/>
      <c r="IL114" s="516"/>
      <c r="IM114" s="516"/>
      <c r="IN114" s="516"/>
      <c r="IO114" s="516"/>
      <c r="IP114" s="516"/>
    </row>
    <row r="115" spans="11:250" x14ac:dyDescent="0.2">
      <c r="K115" s="134"/>
      <c r="P115" s="517"/>
      <c r="Q115" s="517"/>
      <c r="R115" s="517"/>
      <c r="S115" s="517"/>
      <c r="T115" s="517"/>
      <c r="U115" s="517"/>
      <c r="V115" s="516"/>
      <c r="W115" s="516"/>
      <c r="X115" s="516"/>
      <c r="Y115" s="516"/>
      <c r="Z115" s="516"/>
      <c r="AA115" s="516"/>
      <c r="AB115" s="516"/>
      <c r="AC115" s="516"/>
      <c r="AD115" s="516"/>
      <c r="AE115" s="516"/>
      <c r="AF115" s="516"/>
      <c r="AG115" s="516"/>
      <c r="AH115" s="516"/>
      <c r="AI115" s="516"/>
      <c r="AJ115" s="516"/>
      <c r="AK115" s="516"/>
      <c r="AL115" s="516"/>
      <c r="AM115" s="516"/>
      <c r="AN115" s="516"/>
      <c r="AO115" s="516"/>
      <c r="AP115" s="516"/>
      <c r="AQ115" s="516"/>
      <c r="AR115" s="516"/>
      <c r="AS115" s="516"/>
      <c r="AT115" s="516"/>
      <c r="AU115" s="516"/>
      <c r="AV115" s="516"/>
      <c r="AW115" s="516"/>
      <c r="AX115" s="516"/>
      <c r="AY115" s="516"/>
      <c r="AZ115" s="516"/>
      <c r="BA115" s="516"/>
      <c r="BB115" s="516"/>
      <c r="BC115" s="516"/>
      <c r="BD115" s="516"/>
      <c r="BE115" s="516"/>
      <c r="BF115" s="516"/>
      <c r="BG115" s="516"/>
      <c r="BH115" s="516"/>
      <c r="BI115" s="516"/>
      <c r="BJ115" s="516"/>
      <c r="BK115" s="516"/>
      <c r="BL115" s="516"/>
      <c r="BM115" s="516"/>
      <c r="BN115" s="516"/>
      <c r="BO115" s="516"/>
      <c r="BP115" s="516"/>
      <c r="BQ115" s="516"/>
      <c r="BR115" s="516"/>
      <c r="BS115" s="516"/>
      <c r="BT115" s="516"/>
      <c r="BU115" s="516"/>
      <c r="BV115" s="516"/>
      <c r="BW115" s="516"/>
      <c r="BX115" s="516"/>
      <c r="BY115" s="516"/>
      <c r="BZ115" s="516"/>
      <c r="CA115" s="516"/>
      <c r="CB115" s="516"/>
      <c r="CC115" s="516"/>
      <c r="CD115" s="516"/>
      <c r="CE115" s="516"/>
      <c r="CF115" s="516"/>
      <c r="CG115" s="516"/>
      <c r="CH115" s="516"/>
      <c r="CI115" s="516"/>
      <c r="CJ115" s="516"/>
      <c r="CK115" s="516"/>
      <c r="CL115" s="516"/>
      <c r="CM115" s="516"/>
      <c r="CN115" s="516"/>
      <c r="CO115" s="516"/>
      <c r="CP115" s="516"/>
      <c r="CQ115" s="516"/>
      <c r="CR115" s="516"/>
      <c r="CS115" s="516"/>
      <c r="CT115" s="516"/>
      <c r="CU115" s="516"/>
      <c r="CV115" s="516"/>
      <c r="CW115" s="516"/>
      <c r="CX115" s="516"/>
      <c r="CY115" s="516"/>
      <c r="CZ115" s="516"/>
      <c r="DA115" s="516"/>
      <c r="DB115" s="516"/>
      <c r="DC115" s="516"/>
      <c r="DD115" s="516"/>
      <c r="DE115" s="516"/>
      <c r="DF115" s="516"/>
      <c r="DG115" s="516"/>
      <c r="DH115" s="516"/>
      <c r="DI115" s="516"/>
      <c r="DJ115" s="516"/>
      <c r="DK115" s="516"/>
      <c r="DL115" s="516"/>
      <c r="DM115" s="516"/>
      <c r="DN115" s="516"/>
      <c r="DO115" s="516"/>
      <c r="DP115" s="516"/>
      <c r="DQ115" s="516"/>
      <c r="DR115" s="516"/>
      <c r="DS115" s="516"/>
      <c r="DT115" s="516"/>
      <c r="DU115" s="516"/>
      <c r="DV115" s="516"/>
      <c r="DW115" s="516"/>
      <c r="DX115" s="516"/>
      <c r="DY115" s="516"/>
      <c r="DZ115" s="516"/>
      <c r="EA115" s="516"/>
      <c r="EB115" s="516"/>
      <c r="EC115" s="516"/>
      <c r="ED115" s="516"/>
      <c r="EE115" s="516"/>
      <c r="EF115" s="516"/>
      <c r="EG115" s="516"/>
      <c r="EH115" s="516"/>
      <c r="EI115" s="516"/>
      <c r="EJ115" s="516"/>
      <c r="EK115" s="516"/>
      <c r="EL115" s="516"/>
      <c r="EM115" s="516"/>
      <c r="EN115" s="516"/>
      <c r="EO115" s="516"/>
      <c r="EP115" s="516"/>
      <c r="EQ115" s="516"/>
      <c r="ER115" s="516"/>
      <c r="ES115" s="516"/>
      <c r="ET115" s="516"/>
      <c r="EU115" s="516"/>
      <c r="EV115" s="516"/>
      <c r="EW115" s="516"/>
      <c r="EX115" s="516"/>
      <c r="EY115" s="516"/>
      <c r="EZ115" s="516"/>
      <c r="FA115" s="516"/>
      <c r="FB115" s="516"/>
      <c r="FC115" s="516"/>
      <c r="FD115" s="516"/>
      <c r="FE115" s="516"/>
      <c r="FF115" s="516"/>
      <c r="FG115" s="516"/>
      <c r="FH115" s="516"/>
      <c r="FI115" s="516"/>
      <c r="FJ115" s="516"/>
      <c r="FK115" s="516"/>
      <c r="FL115" s="516"/>
      <c r="FM115" s="516"/>
      <c r="FN115" s="516"/>
      <c r="FO115" s="516"/>
      <c r="FP115" s="516"/>
      <c r="FQ115" s="516"/>
      <c r="FR115" s="516"/>
      <c r="FS115" s="516"/>
      <c r="FT115" s="516"/>
      <c r="FU115" s="516"/>
      <c r="FV115" s="516"/>
      <c r="FW115" s="516"/>
      <c r="FX115" s="516"/>
      <c r="FY115" s="516"/>
      <c r="FZ115" s="516"/>
      <c r="GA115" s="516"/>
      <c r="GB115" s="516"/>
      <c r="GC115" s="516"/>
      <c r="GD115" s="516"/>
      <c r="GE115" s="516"/>
      <c r="GF115" s="516"/>
      <c r="GG115" s="516"/>
      <c r="GH115" s="516"/>
      <c r="GI115" s="516"/>
      <c r="GJ115" s="516"/>
      <c r="GK115" s="516"/>
      <c r="GL115" s="516"/>
      <c r="GM115" s="516"/>
      <c r="GN115" s="516"/>
      <c r="GO115" s="516"/>
      <c r="GP115" s="516"/>
      <c r="GQ115" s="516"/>
      <c r="GR115" s="516"/>
      <c r="GS115" s="516"/>
      <c r="GT115" s="516"/>
      <c r="GU115" s="516"/>
      <c r="GV115" s="516"/>
      <c r="GW115" s="516"/>
      <c r="GX115" s="516"/>
      <c r="GY115" s="516"/>
      <c r="GZ115" s="516"/>
      <c r="HA115" s="516"/>
      <c r="HB115" s="516"/>
      <c r="HC115" s="516"/>
      <c r="HD115" s="516"/>
      <c r="HE115" s="516"/>
      <c r="HF115" s="516"/>
      <c r="HG115" s="516"/>
      <c r="HH115" s="516"/>
      <c r="HI115" s="516"/>
      <c r="HJ115" s="516"/>
      <c r="HK115" s="516"/>
      <c r="HL115" s="516"/>
      <c r="HM115" s="516"/>
      <c r="HN115" s="516"/>
      <c r="HO115" s="516"/>
      <c r="HP115" s="516"/>
      <c r="HQ115" s="516"/>
      <c r="HR115" s="516"/>
      <c r="HS115" s="516"/>
      <c r="HT115" s="516"/>
      <c r="HU115" s="516"/>
      <c r="HV115" s="516"/>
      <c r="HW115" s="516"/>
      <c r="HX115" s="516"/>
      <c r="HY115" s="516"/>
      <c r="HZ115" s="516"/>
      <c r="IA115" s="516"/>
      <c r="IB115" s="516"/>
      <c r="IC115" s="516"/>
      <c r="ID115" s="516"/>
      <c r="IE115" s="516"/>
      <c r="IF115" s="516"/>
      <c r="IG115" s="516"/>
      <c r="IH115" s="516"/>
      <c r="II115" s="516"/>
      <c r="IJ115" s="516"/>
      <c r="IK115" s="516"/>
      <c r="IL115" s="516"/>
      <c r="IM115" s="516"/>
      <c r="IN115" s="516"/>
      <c r="IO115" s="516"/>
      <c r="IP115" s="516"/>
    </row>
    <row r="116" spans="11:250" x14ac:dyDescent="0.2">
      <c r="P116" s="134"/>
      <c r="Q116" s="134"/>
      <c r="R116" s="134"/>
      <c r="S116" s="134"/>
      <c r="T116" s="134"/>
      <c r="U116" s="134"/>
    </row>
  </sheetData>
  <sheetProtection insertRows="0"/>
  <mergeCells count="60">
    <mergeCell ref="K30:L30"/>
    <mergeCell ref="K28:L29"/>
    <mergeCell ref="Q81:S81"/>
    <mergeCell ref="Q82:S82"/>
    <mergeCell ref="T81:U81"/>
    <mergeCell ref="L81:M81"/>
    <mergeCell ref="L76:Q76"/>
    <mergeCell ref="L82:M82"/>
    <mergeCell ref="N82:P82"/>
    <mergeCell ref="N81:P81"/>
    <mergeCell ref="L71:L72"/>
    <mergeCell ref="K31:L31"/>
    <mergeCell ref="A106:F106"/>
    <mergeCell ref="A88:F88"/>
    <mergeCell ref="A105:F105"/>
    <mergeCell ref="B98:G98"/>
    <mergeCell ref="A97:F97"/>
    <mergeCell ref="A71:B71"/>
    <mergeCell ref="A72:B72"/>
    <mergeCell ref="G71:H71"/>
    <mergeCell ref="A78:F78"/>
    <mergeCell ref="B89:G89"/>
    <mergeCell ref="C71:D71"/>
    <mergeCell ref="B79:G79"/>
    <mergeCell ref="C72:D72"/>
    <mergeCell ref="Q11:U11"/>
    <mergeCell ref="R71:R72"/>
    <mergeCell ref="S71:S72"/>
    <mergeCell ref="M71:M72"/>
    <mergeCell ref="U71:U72"/>
    <mergeCell ref="N71:N72"/>
    <mergeCell ref="T71:T72"/>
    <mergeCell ref="M28:M29"/>
    <mergeCell ref="P71:Q72"/>
    <mergeCell ref="S12:T12"/>
    <mergeCell ref="Q12:R12"/>
    <mergeCell ref="O71:O72"/>
    <mergeCell ref="A70:H70"/>
    <mergeCell ref="K14:L14"/>
    <mergeCell ref="K15:L15"/>
    <mergeCell ref="G16:H16"/>
    <mergeCell ref="G18:H18"/>
    <mergeCell ref="G22:H22"/>
    <mergeCell ref="G14:H14"/>
    <mergeCell ref="G15:H15"/>
    <mergeCell ref="G17:H17"/>
    <mergeCell ref="G25:H25"/>
    <mergeCell ref="G19:H19"/>
    <mergeCell ref="G20:H20"/>
    <mergeCell ref="G21:H21"/>
    <mergeCell ref="J28:J29"/>
    <mergeCell ref="A34:F34"/>
    <mergeCell ref="G23:H23"/>
    <mergeCell ref="G24:H24"/>
    <mergeCell ref="A47:I47"/>
    <mergeCell ref="G26:H26"/>
    <mergeCell ref="A62:F63"/>
    <mergeCell ref="A40:F40"/>
    <mergeCell ref="A37:F37"/>
    <mergeCell ref="A60:F61"/>
  </mergeCells>
  <dataValidations xWindow="1309" yWindow="402" count="16">
    <dataValidation allowBlank="1" showInputMessage="1" showErrorMessage="1" errorTitle="CCT's" error="- Alteração, exclusão e inclusão de itens somente na aba BENEFÍCIOS" promptTitle="CCT's" prompt="- Em caso de mais categorias distintas só incluir mais uma coluna para o novo Sindicato e alterar fórmula;_x000a_" sqref="K47" xr:uid="{00000000-0002-0000-0000-000000000000}"/>
    <dataValidation allowBlank="1" errorTitle="Normativos" error="- Não alterar manualmente." promptTitle="Normativos" prompt="- Não alterar manualmente. Os valores do Salário Normativo da Categoria será alterado no momento da escolha do Sindicato, já o Salário Normativo Mínimo, será alterado na planilha &quot;CCT'S&quot;." sqref="M14" xr:uid="{00000000-0002-0000-0000-000001000000}"/>
    <dataValidation allowBlank="1" showInputMessage="1" showErrorMessage="1" error="- Não alterar manualmente. Com exceção se o Edital estabelecer o salário diferente da CCT." promptTitle="Salário" prompt="- Não alterar manualmente. Para alterar os salários, ir no campo &quot;FUNÇÃO&quot; e escolher no Drop-Drown a categoria;_x000a_- Com exceção se o Edital estabelecer o salário diferente da CCT e se for maior." sqref="U73" xr:uid="{00000000-0002-0000-0000-000002000000}"/>
    <dataValidation allowBlank="1" showInputMessage="1" showErrorMessage="1" errorTitle="Atenção" error="Não alterar manualmente. As alterações, exclusões e inclusão serão na planilha &quot;CCT'S&quot;" promptTitle="Percentuais" prompt="Não alterar manualmente. As alterações, exclusões e inclusão serão na planilha &quot;CCT'S&quot;" sqref="G33:G35 G40:G41" xr:uid="{00000000-0002-0000-0000-000003000000}"/>
    <dataValidation allowBlank="1" showInputMessage="1" showErrorMessage="1" errorTitle="CCT's Utilizadas" error="- Para obter os valores dos benefícios, alterar o Sindicato;_x000a_- Qdo a categoria for a do SINDBOMBEIROS ou SINDESV, incluir mais linhas no campo &quot;Seguro de Vida&quot; para as outras categorias e buscar na aba BENEFÍCIOS os valores" sqref="K50:O50" xr:uid="{00000000-0002-0000-0000-000004000000}"/>
    <dataValidation allowBlank="1" showInputMessage="1" sqref="M30:M31" xr:uid="{00000000-0002-0000-0000-000005000000}"/>
    <dataValidation allowBlank="1" sqref="U12 N73:N75" xr:uid="{00000000-0002-0000-0000-000006000000}"/>
    <dataValidation allowBlank="1" errorTitle="CCT's" error="- Alteração, exclusão e inclusão de itens somente na planilha &quot;BENEFÍCIOS&quot;." promptTitle="CCT's" prompt="- Para obter os valores dos itens, escolher o Sindicato da categoria correspondente;_x000a_- Qdo for a CCT SINDIBOMBEIROS: Incluir mais linhas no campo &quot;Seguro de Vida&quot; e buscar na planilha &quot;BENEFÍCIOS&quot; os valores p/ as outras categoria;_x000a__x000a_" sqref="J47" xr:uid="{00000000-0002-0000-0000-000007000000}"/>
    <dataValidation allowBlank="1" promptTitle="Jornada de Trabalho" prompt="- Alterando a carga horária, automaticamente será alterado os dias trabalhados._x000a_" sqref="J30:J31" xr:uid="{00000000-0002-0000-0000-000008000000}"/>
    <dataValidation allowBlank="1" errorTitle="Atenção" error="Não alterar manualmente." promptTitle="Função" prompt="Para obter o salário automaticamente, só incluir a nomenclatura igual estabelecido no Drop-Down FUNÇÃO." sqref="M73:M75" xr:uid="{00000000-0002-0000-0000-000009000000}"/>
    <dataValidation allowBlank="1" showInputMessage="1" errorTitle="Normativos" sqref="M15" xr:uid="{00000000-0002-0000-0000-00000A000000}"/>
    <dataValidation allowBlank="1" errorTitle="Atenção" error="Não alterar manualmente. As alterações, exclusões e inclusão serão na planilha &quot;CCT'S&quot;" promptTitle="Percentuais" prompt="Não alterar manualmente. As alterações, exclusões e inclusão serão na planilha &quot;CCT'S&quot;" sqref="G36:G39" xr:uid="{00000000-0002-0000-0000-00000B000000}"/>
    <dataValidation allowBlank="1" errorTitle="Tributação " error="- Alteração, exclusão e inclusão das alíquotas somente na aba CCT'S" promptTitle="Tributação" prompt="Alterar alíquotas dos Tributos conforme tipo de Tributação da Empresa: PRESUMIDO; REAL e DACON" sqref="A72:B72" xr:uid="{00000000-0002-0000-0000-00000C000000}"/>
    <dataValidation type="list" allowBlank="1" showInputMessage="1" showErrorMessage="1" sqref="A34" xr:uid="{00000000-0002-0000-0000-00000D000000}">
      <formula1>#REF!</formula1>
    </dataValidation>
    <dataValidation type="list" allowBlank="1" showInputMessage="1" showErrorMessage="1" sqref="A37 A40" xr:uid="{00000000-0002-0000-0000-00000E000000}">
      <formula1>#REF!</formula1>
    </dataValidation>
    <dataValidation type="list" allowBlank="1" showInputMessage="1" showErrorMessage="1" promptTitle="Vale Transporte" prompt="- Alterando o tipo de Vale Transporte, automaticamente será alterado os valores." sqref="Q12:R12" xr:uid="{00000000-0002-0000-0000-00000F000000}">
      <formula1>#REF!</formula1>
    </dataValidation>
  </dataValidations>
  <printOptions horizontalCentered="1"/>
  <pageMargins left="0.32" right="0.31" top="0.6" bottom="0.45" header="0.3" footer="0.3"/>
  <pageSetup paperSize="9" scale="41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19">
    <tabColor theme="3" tint="0.59999389629810485"/>
    <pageSetUpPr fitToPage="1"/>
  </sheetPr>
  <dimension ref="A1:J32"/>
  <sheetViews>
    <sheetView view="pageBreakPreview" topLeftCell="A18" zoomScale="90" zoomScaleNormal="100" zoomScaleSheetLayoutView="90" workbookViewId="0">
      <selection activeCell="A29" sqref="A29:G29"/>
    </sheetView>
  </sheetViews>
  <sheetFormatPr defaultRowHeight="18" customHeight="1" x14ac:dyDescent="0.2"/>
  <cols>
    <col min="1" max="1" width="6" style="87" customWidth="1"/>
    <col min="2" max="2" width="92.140625" style="99" customWidth="1"/>
    <col min="3" max="3" width="11" style="100" customWidth="1"/>
    <col min="4" max="4" width="15.85546875" style="100" customWidth="1"/>
    <col min="5" max="5" width="13.7109375" style="100" customWidth="1"/>
    <col min="6" max="7" width="16" style="99" customWidth="1"/>
    <col min="8" max="8" width="16.42578125" style="87" customWidth="1"/>
    <col min="9" max="9" width="9.140625" style="87"/>
    <col min="10" max="10" width="12.5703125" style="268" hidden="1" customWidth="1"/>
    <col min="11" max="11" width="12.5703125" style="87" bestFit="1" customWidth="1"/>
    <col min="12" max="12" width="9.7109375" style="87" bestFit="1" customWidth="1"/>
    <col min="13" max="16384" width="9.140625" style="87"/>
  </cols>
  <sheetData>
    <row r="1" spans="1:10" ht="14.25" x14ac:dyDescent="0.2"/>
    <row r="2" spans="1:10" ht="14.25" x14ac:dyDescent="0.2">
      <c r="A2" s="1082" t="str">
        <f>Dados!A5</f>
        <v>CONSELHO DA JUSTIÇA FEDERAL - CJF</v>
      </c>
      <c r="B2" s="1082"/>
      <c r="C2" s="1082"/>
      <c r="D2" s="1082"/>
      <c r="E2" s="1082"/>
      <c r="F2" s="1082"/>
      <c r="G2" s="1082"/>
      <c r="H2" s="1082"/>
    </row>
    <row r="3" spans="1:10" ht="14.25" x14ac:dyDescent="0.2">
      <c r="A3" s="1082" t="str">
        <f>Dados!A9</f>
        <v>PREGÃO ELETRÔNICO Nº 09/2020 - CJF</v>
      </c>
      <c r="B3" s="1082"/>
      <c r="C3" s="1082"/>
      <c r="D3" s="1082"/>
      <c r="E3" s="1082"/>
      <c r="F3" s="1082"/>
      <c r="G3" s="1082"/>
      <c r="H3" s="1082"/>
    </row>
    <row r="4" spans="1:10" ht="14.25" hidden="1" x14ac:dyDescent="0.2">
      <c r="A4" s="1084" t="str">
        <f>Dados!A10</f>
        <v>CONTRATO Nº __________/201__ - CONTRATANTE - PRESTAÇÃO DE SERVIÇOS --------</v>
      </c>
      <c r="B4" s="1084"/>
      <c r="C4" s="1084"/>
      <c r="D4" s="1084"/>
      <c r="E4" s="1084"/>
      <c r="F4" s="1084"/>
      <c r="G4" s="1084"/>
      <c r="H4" s="1084"/>
    </row>
    <row r="5" spans="1:10" ht="14.25" hidden="1" x14ac:dyDescent="0.2">
      <c r="A5" s="1084" t="str">
        <f>Dados!H2</f>
        <v xml:space="preserve">REPACTUAÇÃO CONTRATUAL 20___ - </v>
      </c>
      <c r="B5" s="1084"/>
      <c r="C5" s="1084"/>
      <c r="D5" s="1084"/>
      <c r="E5" s="1084"/>
      <c r="F5" s="1084"/>
      <c r="G5" s="1084"/>
      <c r="H5" s="1084"/>
    </row>
    <row r="6" spans="1:10" ht="14.25" x14ac:dyDescent="0.2">
      <c r="A6" s="84"/>
      <c r="B6" s="85"/>
      <c r="C6" s="86"/>
      <c r="D6" s="86"/>
      <c r="E6" s="86"/>
      <c r="F6" s="85"/>
      <c r="G6" s="85"/>
      <c r="H6" s="84"/>
    </row>
    <row r="7" spans="1:10" ht="14.25" x14ac:dyDescent="0.2">
      <c r="A7" s="84"/>
      <c r="B7" s="85"/>
      <c r="C7" s="86"/>
      <c r="D7" s="86"/>
      <c r="E7" s="86"/>
      <c r="F7" s="85"/>
      <c r="G7" s="85"/>
      <c r="H7" s="84"/>
    </row>
    <row r="8" spans="1:10" ht="14.25" x14ac:dyDescent="0.2">
      <c r="A8" s="1083" t="s">
        <v>363</v>
      </c>
      <c r="B8" s="1083"/>
      <c r="C8" s="1083"/>
      <c r="D8" s="1083"/>
      <c r="E8" s="1083"/>
      <c r="F8" s="1083"/>
      <c r="G8" s="1083"/>
      <c r="H8" s="1083"/>
    </row>
    <row r="9" spans="1:10" ht="14.25" x14ac:dyDescent="0.2">
      <c r="A9" s="1083" t="s">
        <v>364</v>
      </c>
      <c r="B9" s="1083"/>
      <c r="C9" s="1083"/>
      <c r="D9" s="1083"/>
      <c r="E9" s="1083"/>
      <c r="F9" s="1083"/>
      <c r="G9" s="1083"/>
      <c r="H9" s="1083"/>
    </row>
    <row r="10" spans="1:10" ht="14.25" x14ac:dyDescent="0.2">
      <c r="A10" s="256"/>
      <c r="B10" s="256"/>
      <c r="C10" s="256"/>
      <c r="D10" s="256"/>
      <c r="E10" s="256"/>
      <c r="F10" s="256"/>
      <c r="G10" s="256"/>
      <c r="H10" s="256"/>
    </row>
    <row r="11" spans="1:10" s="83" customFormat="1" ht="35.25" customHeight="1" x14ac:dyDescent="0.2">
      <c r="A11" s="257" t="s">
        <v>63</v>
      </c>
      <c r="B11" s="257" t="s">
        <v>85</v>
      </c>
      <c r="C11" s="258" t="s">
        <v>66</v>
      </c>
      <c r="D11" s="266" t="s">
        <v>369</v>
      </c>
      <c r="E11" s="266" t="s">
        <v>366</v>
      </c>
      <c r="F11" s="258" t="s">
        <v>68</v>
      </c>
      <c r="G11" s="258" t="s">
        <v>352</v>
      </c>
      <c r="H11" s="258" t="s">
        <v>69</v>
      </c>
      <c r="J11" s="269"/>
    </row>
    <row r="12" spans="1:10" s="83" customFormat="1" ht="14.25" x14ac:dyDescent="0.2">
      <c r="A12" s="1092" t="s">
        <v>379</v>
      </c>
      <c r="B12" s="1093"/>
      <c r="C12" s="1093"/>
      <c r="D12" s="1093"/>
      <c r="E12" s="1093"/>
      <c r="F12" s="1093"/>
      <c r="G12" s="1093"/>
      <c r="H12" s="1094"/>
      <c r="J12" s="269"/>
    </row>
    <row r="13" spans="1:10" s="83" customFormat="1" ht="59.25" customHeight="1" x14ac:dyDescent="0.2">
      <c r="A13" s="90">
        <v>1</v>
      </c>
      <c r="B13" s="265" t="s">
        <v>377</v>
      </c>
      <c r="C13" s="91" t="s">
        <v>66</v>
      </c>
      <c r="D13" s="92">
        <v>5</v>
      </c>
      <c r="E13" s="92">
        <v>120</v>
      </c>
      <c r="F13" s="93">
        <f>J13*Dados!$I$62</f>
        <v>1170</v>
      </c>
      <c r="G13" s="105">
        <f>((F13*D13)/E13)*12</f>
        <v>585</v>
      </c>
      <c r="H13" s="105">
        <f>G13/12</f>
        <v>48.75</v>
      </c>
      <c r="J13" s="269">
        <v>1170</v>
      </c>
    </row>
    <row r="14" spans="1:10" s="83" customFormat="1" ht="42.75" x14ac:dyDescent="0.2">
      <c r="A14" s="90">
        <v>2</v>
      </c>
      <c r="B14" s="265" t="s">
        <v>370</v>
      </c>
      <c r="C14" s="91" t="s">
        <v>66</v>
      </c>
      <c r="D14" s="92">
        <v>20</v>
      </c>
      <c r="E14" s="92">
        <v>6</v>
      </c>
      <c r="F14" s="93">
        <f>J14*Dados!$I$62</f>
        <v>15.75</v>
      </c>
      <c r="G14" s="105">
        <f t="shared" ref="G14:G27" si="0">((F14*D14)/E14)*12</f>
        <v>630</v>
      </c>
      <c r="H14" s="105">
        <f t="shared" ref="H14:H27" si="1">G14/12</f>
        <v>52.5</v>
      </c>
      <c r="J14" s="269">
        <v>15.75</v>
      </c>
    </row>
    <row r="15" spans="1:10" s="83" customFormat="1" ht="14.25" x14ac:dyDescent="0.2">
      <c r="A15" s="90">
        <v>3</v>
      </c>
      <c r="B15" s="265" t="s">
        <v>443</v>
      </c>
      <c r="C15" s="91" t="s">
        <v>66</v>
      </c>
      <c r="D15" s="92">
        <v>5</v>
      </c>
      <c r="E15" s="92">
        <v>60</v>
      </c>
      <c r="F15" s="93">
        <f>J15*Dados!$I$62</f>
        <v>387.36</v>
      </c>
      <c r="G15" s="105">
        <f t="shared" si="0"/>
        <v>387.36</v>
      </c>
      <c r="H15" s="105">
        <f t="shared" si="1"/>
        <v>32.28</v>
      </c>
      <c r="J15" s="269">
        <v>387.36</v>
      </c>
    </row>
    <row r="16" spans="1:10" s="350" customFormat="1" ht="71.25" x14ac:dyDescent="0.2">
      <c r="A16" s="90">
        <v>4</v>
      </c>
      <c r="B16" s="265" t="s">
        <v>444</v>
      </c>
      <c r="C16" s="91" t="s">
        <v>66</v>
      </c>
      <c r="D16" s="92">
        <f>D15*3</f>
        <v>15</v>
      </c>
      <c r="E16" s="92">
        <v>6</v>
      </c>
      <c r="F16" s="93">
        <f>J16*Dados!$I$62</f>
        <v>35.01</v>
      </c>
      <c r="G16" s="105">
        <f t="shared" ref="G16" si="2">((F16*D16)/E16)*12</f>
        <v>1050.3</v>
      </c>
      <c r="H16" s="105">
        <f t="shared" ref="H16" si="3">G16/12</f>
        <v>87.53</v>
      </c>
      <c r="J16" s="269">
        <v>35.01</v>
      </c>
    </row>
    <row r="17" spans="1:10" s="83" customFormat="1" ht="28.5" x14ac:dyDescent="0.2">
      <c r="A17" s="90">
        <v>4</v>
      </c>
      <c r="B17" s="265" t="s">
        <v>371</v>
      </c>
      <c r="C17" s="91" t="s">
        <v>66</v>
      </c>
      <c r="D17" s="92">
        <v>55</v>
      </c>
      <c r="E17" s="92">
        <v>12</v>
      </c>
      <c r="F17" s="93">
        <f>J17*Dados!$I$62</f>
        <v>3.86</v>
      </c>
      <c r="G17" s="105">
        <f t="shared" si="0"/>
        <v>212.3</v>
      </c>
      <c r="H17" s="105">
        <f t="shared" si="1"/>
        <v>17.690000000000001</v>
      </c>
      <c r="J17" s="269">
        <v>3.86</v>
      </c>
    </row>
    <row r="18" spans="1:10" s="83" customFormat="1" ht="28.5" x14ac:dyDescent="0.2">
      <c r="A18" s="90">
        <v>5</v>
      </c>
      <c r="B18" s="265" t="s">
        <v>372</v>
      </c>
      <c r="C18" s="91" t="s">
        <v>66</v>
      </c>
      <c r="D18" s="92">
        <v>20</v>
      </c>
      <c r="E18" s="92">
        <v>6</v>
      </c>
      <c r="F18" s="93">
        <f>J18*Dados!$I$62</f>
        <v>22.32</v>
      </c>
      <c r="G18" s="105">
        <f t="shared" si="0"/>
        <v>892.8</v>
      </c>
      <c r="H18" s="105">
        <f t="shared" si="1"/>
        <v>74.400000000000006</v>
      </c>
      <c r="J18" s="269">
        <v>22.32</v>
      </c>
    </row>
    <row r="19" spans="1:10" s="83" customFormat="1" ht="57" x14ac:dyDescent="0.2">
      <c r="A19" s="90">
        <v>6</v>
      </c>
      <c r="B19" s="265" t="s">
        <v>373</v>
      </c>
      <c r="C19" s="91" t="s">
        <v>66</v>
      </c>
      <c r="D19" s="92">
        <v>10</v>
      </c>
      <c r="E19" s="92">
        <v>12</v>
      </c>
      <c r="F19" s="93">
        <f>J19*Dados!$I$62</f>
        <v>34.200000000000003</v>
      </c>
      <c r="G19" s="105">
        <f t="shared" si="0"/>
        <v>342</v>
      </c>
      <c r="H19" s="105">
        <f t="shared" si="1"/>
        <v>28.5</v>
      </c>
      <c r="J19" s="269">
        <v>34.200000000000003</v>
      </c>
    </row>
    <row r="20" spans="1:10" s="101" customFormat="1" ht="28.5" x14ac:dyDescent="0.2">
      <c r="A20" s="90">
        <v>7</v>
      </c>
      <c r="B20" s="265" t="s">
        <v>375</v>
      </c>
      <c r="C20" s="91" t="s">
        <v>66</v>
      </c>
      <c r="D20" s="92">
        <v>20</v>
      </c>
      <c r="E20" s="92">
        <v>12</v>
      </c>
      <c r="F20" s="93">
        <f>J20*Dados!$I$62</f>
        <v>17.100000000000001</v>
      </c>
      <c r="G20" s="105">
        <f t="shared" si="0"/>
        <v>342</v>
      </c>
      <c r="H20" s="105">
        <f t="shared" si="1"/>
        <v>28.5</v>
      </c>
      <c r="J20" s="269">
        <v>17.100000000000001</v>
      </c>
    </row>
    <row r="21" spans="1:10" s="101" customFormat="1" ht="28.5" x14ac:dyDescent="0.2">
      <c r="A21" s="90">
        <v>8</v>
      </c>
      <c r="B21" s="265" t="s">
        <v>376</v>
      </c>
      <c r="C21" s="91" t="s">
        <v>66</v>
      </c>
      <c r="D21" s="92">
        <v>20</v>
      </c>
      <c r="E21" s="92">
        <v>60</v>
      </c>
      <c r="F21" s="93">
        <f>J21*Dados!$I$62</f>
        <v>24.21</v>
      </c>
      <c r="G21" s="105">
        <f t="shared" ref="G21" si="4">((F21*D21)/E21)*12</f>
        <v>96.84</v>
      </c>
      <c r="H21" s="105">
        <f t="shared" si="1"/>
        <v>8.07</v>
      </c>
      <c r="J21" s="269">
        <v>24.21</v>
      </c>
    </row>
    <row r="22" spans="1:10" s="101" customFormat="1" ht="14.25" x14ac:dyDescent="0.2">
      <c r="A22" s="1086" t="s">
        <v>41</v>
      </c>
      <c r="B22" s="1087"/>
      <c r="C22" s="1087"/>
      <c r="D22" s="1087"/>
      <c r="E22" s="1087"/>
      <c r="F22" s="1087"/>
      <c r="G22" s="1088"/>
      <c r="H22" s="273">
        <f>SUM(H13:H21)</f>
        <v>378.22</v>
      </c>
      <c r="J22" s="269"/>
    </row>
    <row r="23" spans="1:10" s="101" customFormat="1" ht="14.25" x14ac:dyDescent="0.2">
      <c r="A23" s="1086" t="s">
        <v>367</v>
      </c>
      <c r="B23" s="1087"/>
      <c r="C23" s="1087"/>
      <c r="D23" s="1087"/>
      <c r="E23" s="1087"/>
      <c r="F23" s="1087"/>
      <c r="G23" s="1088"/>
      <c r="H23" s="272">
        <f>Dados!$T$73+Dados!$T$75</f>
        <v>20</v>
      </c>
      <c r="J23" s="269"/>
    </row>
    <row r="24" spans="1:10" s="101" customFormat="1" ht="14.25" x14ac:dyDescent="0.2">
      <c r="A24" s="1086" t="s">
        <v>368</v>
      </c>
      <c r="B24" s="1087"/>
      <c r="C24" s="1087"/>
      <c r="D24" s="1087"/>
      <c r="E24" s="1087"/>
      <c r="F24" s="1087"/>
      <c r="G24" s="1088"/>
      <c r="H24" s="273">
        <f>H22/H23</f>
        <v>18.91</v>
      </c>
      <c r="J24" s="269"/>
    </row>
    <row r="25" spans="1:10" s="101" customFormat="1" ht="14.25" x14ac:dyDescent="0.2">
      <c r="A25" s="1092" t="s">
        <v>380</v>
      </c>
      <c r="B25" s="1093"/>
      <c r="C25" s="1093"/>
      <c r="D25" s="1093"/>
      <c r="E25" s="1093"/>
      <c r="F25" s="1093"/>
      <c r="G25" s="1093"/>
      <c r="H25" s="1094"/>
      <c r="J25" s="269"/>
    </row>
    <row r="26" spans="1:10" s="101" customFormat="1" ht="28.5" x14ac:dyDescent="0.2">
      <c r="A26" s="90">
        <v>9</v>
      </c>
      <c r="B26" s="265" t="s">
        <v>374</v>
      </c>
      <c r="C26" s="91" t="s">
        <v>66</v>
      </c>
      <c r="D26" s="92">
        <v>15</v>
      </c>
      <c r="E26" s="92">
        <v>1</v>
      </c>
      <c r="F26" s="93">
        <f>J26*Dados!$I$63</f>
        <v>42</v>
      </c>
      <c r="G26" s="105">
        <f>((F26*D26)/E26)*12</f>
        <v>7560</v>
      </c>
      <c r="H26" s="105">
        <f>G26/12</f>
        <v>630</v>
      </c>
      <c r="I26" s="87"/>
      <c r="J26" s="269">
        <v>42</v>
      </c>
    </row>
    <row r="27" spans="1:10" s="101" customFormat="1" ht="28.5" x14ac:dyDescent="0.2">
      <c r="A27" s="90">
        <v>10</v>
      </c>
      <c r="B27" s="265" t="s">
        <v>378</v>
      </c>
      <c r="C27" s="91" t="s">
        <v>66</v>
      </c>
      <c r="D27" s="92">
        <v>26</v>
      </c>
      <c r="E27" s="92">
        <v>12</v>
      </c>
      <c r="F27" s="93">
        <f>J27*Dados!$I$63</f>
        <v>1.5</v>
      </c>
      <c r="G27" s="105">
        <f t="shared" si="0"/>
        <v>39</v>
      </c>
      <c r="H27" s="105">
        <f t="shared" si="1"/>
        <v>3.25</v>
      </c>
      <c r="J27" s="269">
        <v>1.5</v>
      </c>
    </row>
    <row r="28" spans="1:10" s="101" customFormat="1" ht="18" customHeight="1" x14ac:dyDescent="0.2">
      <c r="A28" s="1086" t="s">
        <v>41</v>
      </c>
      <c r="B28" s="1087"/>
      <c r="C28" s="1087"/>
      <c r="D28" s="1087"/>
      <c r="E28" s="1087"/>
      <c r="F28" s="1087"/>
      <c r="G28" s="1088"/>
      <c r="H28" s="273">
        <f>SUM(H26:H27)</f>
        <v>633.25</v>
      </c>
      <c r="J28" s="270"/>
    </row>
    <row r="29" spans="1:10" s="101" customFormat="1" ht="18" customHeight="1" x14ac:dyDescent="0.2">
      <c r="A29" s="1086" t="s">
        <v>367</v>
      </c>
      <c r="B29" s="1087"/>
      <c r="C29" s="1087"/>
      <c r="D29" s="1087"/>
      <c r="E29" s="1087"/>
      <c r="F29" s="1087"/>
      <c r="G29" s="1088"/>
      <c r="H29" s="272">
        <f>Dados!$T$76</f>
        <v>26</v>
      </c>
      <c r="J29" s="270"/>
    </row>
    <row r="30" spans="1:10" s="101" customFormat="1" ht="18" customHeight="1" x14ac:dyDescent="0.2">
      <c r="A30" s="1086" t="s">
        <v>368</v>
      </c>
      <c r="B30" s="1087"/>
      <c r="C30" s="1087"/>
      <c r="D30" s="1087"/>
      <c r="E30" s="1087"/>
      <c r="F30" s="1087"/>
      <c r="G30" s="1088"/>
      <c r="H30" s="273">
        <f>H28/H29</f>
        <v>24.36</v>
      </c>
      <c r="J30" s="270"/>
    </row>
    <row r="31" spans="1:10" s="98" customFormat="1" ht="18" customHeight="1" x14ac:dyDescent="0.2">
      <c r="A31" s="95"/>
      <c r="B31" s="96"/>
      <c r="C31" s="97"/>
      <c r="D31" s="97"/>
      <c r="E31" s="97"/>
      <c r="F31" s="96"/>
      <c r="G31" s="96"/>
      <c r="J31" s="271"/>
    </row>
    <row r="32" spans="1:10" s="98" customFormat="1" ht="18" customHeight="1" x14ac:dyDescent="0.2">
      <c r="A32" s="95"/>
      <c r="B32" s="96"/>
      <c r="C32" s="97"/>
      <c r="D32" s="97"/>
      <c r="E32" s="97"/>
      <c r="F32" s="96"/>
      <c r="G32" s="96"/>
      <c r="J32" s="271"/>
    </row>
  </sheetData>
  <mergeCells count="14">
    <mergeCell ref="A30:G30"/>
    <mergeCell ref="A9:H9"/>
    <mergeCell ref="A28:G28"/>
    <mergeCell ref="A29:G29"/>
    <mergeCell ref="A2:H2"/>
    <mergeCell ref="A3:H3"/>
    <mergeCell ref="A4:H4"/>
    <mergeCell ref="A5:H5"/>
    <mergeCell ref="A8:H8"/>
    <mergeCell ref="A12:H12"/>
    <mergeCell ref="A25:H25"/>
    <mergeCell ref="A22:G22"/>
    <mergeCell ref="A23:G23"/>
    <mergeCell ref="A24:G24"/>
  </mergeCells>
  <printOptions horizontalCentered="1"/>
  <pageMargins left="0.51181102362204722" right="0.39370078740157483" top="1.6535433070866143" bottom="0.35433070866141736" header="0.19685039370078741" footer="0.27559055118110237"/>
  <pageSetup paperSize="9" scale="51" fitToHeight="0" orientation="portrait" r:id="rId1"/>
  <headerFooter>
    <oddHeader>&amp;L&amp;"+,Negrito"&amp;8PROPOSTA Nº 053/2020 - CJF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18">
    <tabColor theme="7" tint="0.39997558519241921"/>
    <pageSetUpPr fitToPage="1"/>
  </sheetPr>
  <dimension ref="A1:H77"/>
  <sheetViews>
    <sheetView topLeftCell="A57" zoomScaleNormal="100" zoomScaleSheetLayoutView="90" workbookViewId="0">
      <selection activeCell="P48" sqref="P48"/>
    </sheetView>
  </sheetViews>
  <sheetFormatPr defaultRowHeight="18" customHeight="1" x14ac:dyDescent="0.2"/>
  <cols>
    <col min="1" max="1" width="26.5703125" style="240" customWidth="1"/>
    <col min="2" max="2" width="12" style="100" customWidth="1"/>
    <col min="3" max="3" width="10.5703125" style="100" customWidth="1"/>
    <col min="4" max="4" width="25.42578125" style="100" customWidth="1"/>
    <col min="5" max="6" width="16.140625" style="100" customWidth="1"/>
    <col min="7" max="7" width="15.28515625" style="100" customWidth="1"/>
    <col min="8" max="8" width="16" style="100" customWidth="1"/>
    <col min="9" max="10" width="9.140625" style="240"/>
    <col min="11" max="11" width="12.5703125" style="240" bestFit="1" customWidth="1"/>
    <col min="12" max="12" width="9.7109375" style="240" bestFit="1" customWidth="1"/>
    <col min="13" max="16384" width="9.140625" style="240"/>
  </cols>
  <sheetData>
    <row r="1" spans="1:8" ht="14.25" x14ac:dyDescent="0.2"/>
    <row r="2" spans="1:8" ht="14.25" hidden="1" x14ac:dyDescent="0.2">
      <c r="A2" s="1082" t="str">
        <f>Dados!A5</f>
        <v>CONSELHO DA JUSTIÇA FEDERAL - CJF</v>
      </c>
      <c r="B2" s="1082"/>
      <c r="C2" s="1082"/>
      <c r="D2" s="1082"/>
      <c r="E2" s="1082"/>
      <c r="F2" s="1082"/>
      <c r="G2" s="1082"/>
      <c r="H2" s="1082"/>
    </row>
    <row r="3" spans="1:8" ht="61.5" hidden="1" customHeight="1" x14ac:dyDescent="0.2">
      <c r="A3" s="1082" t="str">
        <f>Dados!A9</f>
        <v>PREGÃO ELETRÔNICO Nº 09/2020 - CJF</v>
      </c>
      <c r="B3" s="1082"/>
      <c r="C3" s="1082"/>
      <c r="D3" s="1082"/>
      <c r="E3" s="1082"/>
      <c r="F3" s="1082"/>
      <c r="G3" s="1082"/>
      <c r="H3" s="1082"/>
    </row>
    <row r="4" spans="1:8" ht="20.25" hidden="1" customHeight="1" x14ac:dyDescent="0.2">
      <c r="A4" s="1084" t="str">
        <f>Dados!A10</f>
        <v>CONTRATO Nº __________/201__ - CONTRATANTE - PRESTAÇÃO DE SERVIÇOS --------</v>
      </c>
      <c r="B4" s="1084"/>
      <c r="C4" s="1084"/>
      <c r="D4" s="1084"/>
      <c r="E4" s="1084"/>
      <c r="F4" s="1084"/>
      <c r="G4" s="1084"/>
      <c r="H4" s="1084"/>
    </row>
    <row r="5" spans="1:8" ht="1.5" hidden="1" customHeight="1" x14ac:dyDescent="0.2">
      <c r="A5" s="1084" t="str">
        <f>Dados!H2</f>
        <v xml:space="preserve">REPACTUAÇÃO CONTRATUAL 20___ - </v>
      </c>
      <c r="B5" s="1084"/>
      <c r="C5" s="1084"/>
      <c r="D5" s="1084"/>
      <c r="E5" s="1084"/>
      <c r="F5" s="1084"/>
      <c r="G5" s="1084"/>
      <c r="H5" s="1084"/>
    </row>
    <row r="6" spans="1:8" ht="14.25" hidden="1" x14ac:dyDescent="0.2">
      <c r="A6" s="241"/>
      <c r="B6" s="86"/>
      <c r="C6" s="86"/>
      <c r="D6" s="86"/>
      <c r="E6" s="86"/>
      <c r="F6" s="86"/>
      <c r="G6" s="86"/>
      <c r="H6" s="86"/>
    </row>
    <row r="7" spans="1:8" ht="14.25" hidden="1" x14ac:dyDescent="0.2">
      <c r="A7" s="241"/>
      <c r="B7" s="86"/>
      <c r="C7" s="86"/>
      <c r="D7" s="86"/>
      <c r="E7" s="86"/>
      <c r="F7" s="86"/>
      <c r="G7" s="86"/>
      <c r="H7" s="86"/>
    </row>
    <row r="8" spans="1:8" ht="14.25" hidden="1" customHeight="1" x14ac:dyDescent="0.2">
      <c r="A8" s="1083" t="s">
        <v>361</v>
      </c>
      <c r="B8" s="1083"/>
      <c r="C8" s="1083"/>
      <c r="D8" s="1083"/>
      <c r="E8" s="1083"/>
      <c r="F8" s="1083"/>
      <c r="G8" s="1083"/>
      <c r="H8" s="1083"/>
    </row>
    <row r="9" spans="1:8" ht="14.25" hidden="1" customHeight="1" x14ac:dyDescent="0.2">
      <c r="A9" s="1083" t="s">
        <v>362</v>
      </c>
      <c r="B9" s="1083"/>
      <c r="C9" s="1083"/>
      <c r="D9" s="1083"/>
      <c r="E9" s="1083"/>
      <c r="F9" s="1083"/>
      <c r="G9" s="1083"/>
      <c r="H9" s="1083"/>
    </row>
    <row r="10" spans="1:8" ht="14.25" hidden="1" x14ac:dyDescent="0.2">
      <c r="B10" s="235"/>
      <c r="C10" s="235"/>
      <c r="D10" s="235"/>
      <c r="E10" s="235"/>
      <c r="F10" s="235"/>
      <c r="G10" s="235"/>
      <c r="H10" s="235"/>
    </row>
    <row r="11" spans="1:8" s="242" customFormat="1" ht="18" hidden="1" customHeight="1" x14ac:dyDescent="0.2">
      <c r="A11" s="1099" t="s">
        <v>315</v>
      </c>
      <c r="B11" s="1100"/>
      <c r="C11" s="1100"/>
      <c r="D11" s="1100"/>
      <c r="E11" s="1100"/>
      <c r="F11" s="1100"/>
      <c r="G11" s="1100"/>
      <c r="H11" s="1100"/>
    </row>
    <row r="12" spans="1:8" s="242" customFormat="1" ht="28.5" hidden="1" x14ac:dyDescent="0.2">
      <c r="A12" s="245" t="s">
        <v>316</v>
      </c>
      <c r="B12" s="1099" t="s">
        <v>317</v>
      </c>
      <c r="C12" s="1101"/>
      <c r="D12" s="246" t="s">
        <v>318</v>
      </c>
      <c r="E12" s="245" t="s">
        <v>319</v>
      </c>
      <c r="F12" s="245" t="s">
        <v>348</v>
      </c>
      <c r="G12" s="245" t="s">
        <v>320</v>
      </c>
      <c r="H12" s="245" t="s">
        <v>321</v>
      </c>
    </row>
    <row r="13" spans="1:8" s="83" customFormat="1" ht="18" hidden="1" customHeight="1" x14ac:dyDescent="0.2">
      <c r="A13" s="243" t="s">
        <v>322</v>
      </c>
      <c r="B13" s="243" t="s">
        <v>323</v>
      </c>
      <c r="C13" s="243" t="s">
        <v>324</v>
      </c>
      <c r="D13" s="244" t="s">
        <v>335</v>
      </c>
      <c r="E13" s="243" t="s">
        <v>334</v>
      </c>
      <c r="F13" s="247">
        <v>1</v>
      </c>
      <c r="G13" s="247">
        <v>2</v>
      </c>
      <c r="H13" s="259">
        <f>Dados!$U$73</f>
        <v>2192.65</v>
      </c>
    </row>
    <row r="14" spans="1:8" s="83" customFormat="1" ht="18" hidden="1" customHeight="1" x14ac:dyDescent="0.2">
      <c r="A14" s="243" t="s">
        <v>322</v>
      </c>
      <c r="B14" s="243" t="s">
        <v>323</v>
      </c>
      <c r="C14" s="243" t="s">
        <v>324</v>
      </c>
      <c r="D14" s="244" t="s">
        <v>336</v>
      </c>
      <c r="E14" s="243" t="s">
        <v>334</v>
      </c>
      <c r="F14" s="247">
        <v>1</v>
      </c>
      <c r="G14" s="247">
        <v>2</v>
      </c>
      <c r="H14" s="259">
        <f>Dados!$U$73</f>
        <v>2192.65</v>
      </c>
    </row>
    <row r="15" spans="1:8" ht="18" hidden="1" customHeight="1" x14ac:dyDescent="0.2">
      <c r="A15" s="243" t="s">
        <v>322</v>
      </c>
      <c r="B15" s="243" t="s">
        <v>323</v>
      </c>
      <c r="C15" s="243" t="s">
        <v>324</v>
      </c>
      <c r="D15" s="244" t="s">
        <v>325</v>
      </c>
      <c r="E15" s="243" t="s">
        <v>334</v>
      </c>
      <c r="F15" s="247">
        <v>1</v>
      </c>
      <c r="G15" s="247">
        <v>2</v>
      </c>
      <c r="H15" s="259">
        <f>Dados!$U$73</f>
        <v>2192.65</v>
      </c>
    </row>
    <row r="16" spans="1:8" ht="18" hidden="1" customHeight="1" x14ac:dyDescent="0.2">
      <c r="A16" s="243" t="s">
        <v>322</v>
      </c>
      <c r="B16" s="243" t="s">
        <v>326</v>
      </c>
      <c r="C16" s="243" t="s">
        <v>324</v>
      </c>
      <c r="D16" s="244" t="s">
        <v>335</v>
      </c>
      <c r="E16" s="243" t="s">
        <v>337</v>
      </c>
      <c r="F16" s="247">
        <v>1</v>
      </c>
      <c r="G16" s="247">
        <v>2</v>
      </c>
      <c r="H16" s="259">
        <f>Dados!$U$75</f>
        <v>2192.65</v>
      </c>
    </row>
    <row r="17" spans="1:8" ht="18" hidden="1" customHeight="1" x14ac:dyDescent="0.2">
      <c r="A17" s="243" t="s">
        <v>322</v>
      </c>
      <c r="B17" s="243" t="s">
        <v>326</v>
      </c>
      <c r="C17" s="243" t="s">
        <v>324</v>
      </c>
      <c r="D17" s="244" t="s">
        <v>336</v>
      </c>
      <c r="E17" s="243" t="s">
        <v>337</v>
      </c>
      <c r="F17" s="247">
        <v>1</v>
      </c>
      <c r="G17" s="247">
        <v>2</v>
      </c>
      <c r="H17" s="259">
        <f>Dados!$U$75</f>
        <v>2192.65</v>
      </c>
    </row>
    <row r="18" spans="1:8" ht="18" hidden="1" customHeight="1" x14ac:dyDescent="0.2">
      <c r="A18" s="243" t="s">
        <v>322</v>
      </c>
      <c r="B18" s="243" t="s">
        <v>326</v>
      </c>
      <c r="C18" s="243" t="s">
        <v>324</v>
      </c>
      <c r="D18" s="244" t="s">
        <v>325</v>
      </c>
      <c r="E18" s="243" t="s">
        <v>337</v>
      </c>
      <c r="F18" s="247">
        <v>1</v>
      </c>
      <c r="G18" s="247">
        <v>2</v>
      </c>
      <c r="H18" s="259">
        <f>Dados!$U$75</f>
        <v>2192.65</v>
      </c>
    </row>
    <row r="19" spans="1:8" ht="18" hidden="1" customHeight="1" x14ac:dyDescent="0.2">
      <c r="A19" s="243" t="s">
        <v>327</v>
      </c>
      <c r="B19" s="243" t="s">
        <v>323</v>
      </c>
      <c r="C19" s="243" t="s">
        <v>328</v>
      </c>
      <c r="D19" s="244" t="s">
        <v>329</v>
      </c>
      <c r="E19" s="243" t="s">
        <v>460</v>
      </c>
      <c r="F19" s="247">
        <v>1</v>
      </c>
      <c r="G19" s="247">
        <v>1</v>
      </c>
      <c r="H19" s="259">
        <f>Dados!$U$74</f>
        <v>2192.65</v>
      </c>
    </row>
    <row r="20" spans="1:8" ht="18" hidden="1" customHeight="1" x14ac:dyDescent="0.2">
      <c r="A20" s="243" t="s">
        <v>327</v>
      </c>
      <c r="B20" s="243" t="s">
        <v>323</v>
      </c>
      <c r="C20" s="243" t="s">
        <v>328</v>
      </c>
      <c r="D20" s="243" t="s">
        <v>330</v>
      </c>
      <c r="E20" s="243" t="s">
        <v>460</v>
      </c>
      <c r="F20" s="247">
        <v>1</v>
      </c>
      <c r="G20" s="247">
        <v>1</v>
      </c>
      <c r="H20" s="259">
        <f>Dados!$U$74</f>
        <v>2192.65</v>
      </c>
    </row>
    <row r="21" spans="1:8" ht="18" hidden="1" customHeight="1" x14ac:dyDescent="0.2">
      <c r="A21" s="243" t="s">
        <v>327</v>
      </c>
      <c r="B21" s="243" t="s">
        <v>323</v>
      </c>
      <c r="C21" s="243" t="s">
        <v>328</v>
      </c>
      <c r="D21" s="243" t="s">
        <v>329</v>
      </c>
      <c r="E21" s="243" t="s">
        <v>338</v>
      </c>
      <c r="F21" s="247">
        <v>1</v>
      </c>
      <c r="G21" s="247">
        <v>1</v>
      </c>
      <c r="H21" s="259">
        <f>Dados!$U$74</f>
        <v>2192.65</v>
      </c>
    </row>
    <row r="22" spans="1:8" ht="18" hidden="1" customHeight="1" x14ac:dyDescent="0.2">
      <c r="A22" s="243" t="s">
        <v>327</v>
      </c>
      <c r="B22" s="243" t="s">
        <v>323</v>
      </c>
      <c r="C22" s="243" t="s">
        <v>328</v>
      </c>
      <c r="D22" s="243" t="s">
        <v>330</v>
      </c>
      <c r="E22" s="243" t="s">
        <v>339</v>
      </c>
      <c r="F22" s="247">
        <v>1</v>
      </c>
      <c r="G22" s="247">
        <v>1</v>
      </c>
      <c r="H22" s="259">
        <f>Dados!$U$74</f>
        <v>2192.65</v>
      </c>
    </row>
    <row r="23" spans="1:8" ht="18" hidden="1" customHeight="1" x14ac:dyDescent="0.2">
      <c r="A23" s="243" t="s">
        <v>327</v>
      </c>
      <c r="B23" s="243" t="s">
        <v>323</v>
      </c>
      <c r="C23" s="243" t="s">
        <v>328</v>
      </c>
      <c r="D23" s="243" t="s">
        <v>325</v>
      </c>
      <c r="E23" s="243" t="s">
        <v>340</v>
      </c>
      <c r="F23" s="247">
        <v>1</v>
      </c>
      <c r="G23" s="247">
        <v>1</v>
      </c>
      <c r="H23" s="259">
        <f>Dados!$U$74</f>
        <v>2192.65</v>
      </c>
    </row>
    <row r="24" spans="1:8" ht="18" hidden="1" customHeight="1" x14ac:dyDescent="0.2">
      <c r="A24" s="243" t="s">
        <v>327</v>
      </c>
      <c r="B24" s="243" t="s">
        <v>323</v>
      </c>
      <c r="C24" s="243" t="s">
        <v>328</v>
      </c>
      <c r="D24" s="243" t="s">
        <v>341</v>
      </c>
      <c r="E24" s="243" t="s">
        <v>340</v>
      </c>
      <c r="F24" s="247">
        <f t="shared" ref="F24" si="0">G24/1</f>
        <v>1</v>
      </c>
      <c r="G24" s="247">
        <v>1</v>
      </c>
      <c r="H24" s="259">
        <f>Dados!$U$74</f>
        <v>2192.65</v>
      </c>
    </row>
    <row r="25" spans="1:8" ht="18" hidden="1" customHeight="1" x14ac:dyDescent="0.2">
      <c r="A25" s="1096" t="s">
        <v>48</v>
      </c>
      <c r="B25" s="1097"/>
      <c r="C25" s="1097"/>
      <c r="D25" s="1097"/>
      <c r="E25" s="1097"/>
      <c r="F25" s="1097"/>
      <c r="G25" s="1098"/>
      <c r="H25" s="248">
        <f>SUM(G13:G24)</f>
        <v>18</v>
      </c>
    </row>
    <row r="26" spans="1:8" ht="18" hidden="1" customHeight="1" x14ac:dyDescent="0.2">
      <c r="A26" s="1099" t="s">
        <v>331</v>
      </c>
      <c r="B26" s="1100"/>
      <c r="C26" s="1100"/>
      <c r="D26" s="1100"/>
      <c r="E26" s="1100"/>
      <c r="F26" s="1100"/>
      <c r="G26" s="1100"/>
      <c r="H26" s="1100"/>
    </row>
    <row r="27" spans="1:8" ht="18" hidden="1" customHeight="1" x14ac:dyDescent="0.2">
      <c r="A27" s="243" t="s">
        <v>322</v>
      </c>
      <c r="B27" s="243" t="s">
        <v>323</v>
      </c>
      <c r="C27" s="243" t="s">
        <v>324</v>
      </c>
      <c r="D27" s="243" t="s">
        <v>332</v>
      </c>
      <c r="E27" s="243" t="s">
        <v>334</v>
      </c>
      <c r="F27" s="247">
        <v>1</v>
      </c>
      <c r="G27" s="247">
        <v>2</v>
      </c>
      <c r="H27" s="259">
        <f>Dados!$U$73</f>
        <v>2192.65</v>
      </c>
    </row>
    <row r="28" spans="1:8" ht="18" hidden="1" customHeight="1" x14ac:dyDescent="0.2">
      <c r="A28" s="243" t="s">
        <v>322</v>
      </c>
      <c r="B28" s="243" t="s">
        <v>323</v>
      </c>
      <c r="C28" s="243" t="s">
        <v>324</v>
      </c>
      <c r="D28" s="243" t="s">
        <v>333</v>
      </c>
      <c r="E28" s="243" t="s">
        <v>334</v>
      </c>
      <c r="F28" s="247">
        <v>1</v>
      </c>
      <c r="G28" s="247">
        <v>2</v>
      </c>
      <c r="H28" s="259">
        <f>Dados!$U$73</f>
        <v>2192.65</v>
      </c>
    </row>
    <row r="29" spans="1:8" ht="18" hidden="1" customHeight="1" x14ac:dyDescent="0.2">
      <c r="A29" s="243" t="s">
        <v>322</v>
      </c>
      <c r="B29" s="243" t="s">
        <v>326</v>
      </c>
      <c r="C29" s="243" t="s">
        <v>324</v>
      </c>
      <c r="D29" s="243" t="s">
        <v>332</v>
      </c>
      <c r="E29" s="243" t="s">
        <v>337</v>
      </c>
      <c r="F29" s="247">
        <v>1</v>
      </c>
      <c r="G29" s="247">
        <v>2</v>
      </c>
      <c r="H29" s="259">
        <f>Dados!$U$73</f>
        <v>2192.65</v>
      </c>
    </row>
    <row r="30" spans="1:8" ht="18" hidden="1" customHeight="1" x14ac:dyDescent="0.2">
      <c r="A30" s="243" t="s">
        <v>322</v>
      </c>
      <c r="B30" s="243" t="s">
        <v>326</v>
      </c>
      <c r="C30" s="243" t="s">
        <v>324</v>
      </c>
      <c r="D30" s="243" t="s">
        <v>333</v>
      </c>
      <c r="E30" s="243" t="s">
        <v>337</v>
      </c>
      <c r="F30" s="247">
        <v>1</v>
      </c>
      <c r="G30" s="247">
        <v>2</v>
      </c>
      <c r="H30" s="259">
        <f>Dados!$U$75</f>
        <v>2192.65</v>
      </c>
    </row>
    <row r="31" spans="1:8" ht="18" hidden="1" customHeight="1" x14ac:dyDescent="0.2">
      <c r="A31" s="1096" t="s">
        <v>48</v>
      </c>
      <c r="B31" s="1097"/>
      <c r="C31" s="1097"/>
      <c r="D31" s="1097"/>
      <c r="E31" s="1097"/>
      <c r="F31" s="1097"/>
      <c r="G31" s="1098"/>
      <c r="H31" s="248">
        <f>SUM(G27:G30)</f>
        <v>8</v>
      </c>
    </row>
    <row r="32" spans="1:8" ht="18" hidden="1" customHeight="1" x14ac:dyDescent="0.2">
      <c r="A32" s="1096" t="s">
        <v>41</v>
      </c>
      <c r="B32" s="1097"/>
      <c r="C32" s="1097"/>
      <c r="D32" s="1097"/>
      <c r="E32" s="1097"/>
      <c r="F32" s="1097"/>
      <c r="G32" s="1098"/>
      <c r="H32" s="248">
        <f>H25+H31</f>
        <v>26</v>
      </c>
    </row>
    <row r="33" spans="1:8" ht="18" hidden="1" customHeight="1" x14ac:dyDescent="0.2"/>
    <row r="34" spans="1:8" ht="18" hidden="1" customHeight="1" x14ac:dyDescent="0.2">
      <c r="F34" s="1095" t="s">
        <v>354</v>
      </c>
      <c r="G34" s="1095"/>
      <c r="H34" s="260">
        <f>F13+F14+F15+F27+F28</f>
        <v>5</v>
      </c>
    </row>
    <row r="35" spans="1:8" ht="18" hidden="1" customHeight="1" x14ac:dyDescent="0.2">
      <c r="F35" s="1095" t="s">
        <v>355</v>
      </c>
      <c r="G35" s="1095"/>
      <c r="H35" s="260">
        <f>SUM(F19:F24)</f>
        <v>6</v>
      </c>
    </row>
    <row r="36" spans="1:8" ht="18" hidden="1" customHeight="1" x14ac:dyDescent="0.2">
      <c r="F36" s="1095" t="s">
        <v>356</v>
      </c>
      <c r="G36" s="1095"/>
      <c r="H36" s="260">
        <f>F16+F17+F18+F30+F29</f>
        <v>5</v>
      </c>
    </row>
    <row r="37" spans="1:8" ht="18" hidden="1" customHeight="1" x14ac:dyDescent="0.2"/>
    <row r="38" spans="1:8" ht="18" customHeight="1" x14ac:dyDescent="0.2">
      <c r="A38" s="1082" t="str">
        <f>Dados!A5</f>
        <v>CONSELHO DA JUSTIÇA FEDERAL - CJF</v>
      </c>
      <c r="B38" s="1082"/>
      <c r="C38" s="1082"/>
      <c r="D38" s="1082"/>
      <c r="E38" s="1082"/>
      <c r="F38" s="1082"/>
      <c r="G38" s="1082"/>
      <c r="H38" s="1082"/>
    </row>
    <row r="39" spans="1:8" ht="16.5" customHeight="1" x14ac:dyDescent="0.2">
      <c r="A39" s="1082" t="str">
        <f>Dados!A9</f>
        <v>PREGÃO ELETRÔNICO Nº 09/2020 - CJF</v>
      </c>
      <c r="B39" s="1082"/>
      <c r="C39" s="1082"/>
      <c r="D39" s="1082"/>
      <c r="E39" s="1082"/>
      <c r="F39" s="1082"/>
      <c r="G39" s="1082"/>
      <c r="H39" s="1082"/>
    </row>
    <row r="40" spans="1:8" ht="0.75" hidden="1" customHeight="1" x14ac:dyDescent="0.2">
      <c r="A40" s="1084" t="str">
        <f>Dados!A10</f>
        <v>CONTRATO Nº __________/201__ - CONTRATANTE - PRESTAÇÃO DE SERVIÇOS --------</v>
      </c>
      <c r="B40" s="1084"/>
      <c r="C40" s="1084"/>
      <c r="D40" s="1084"/>
      <c r="E40" s="1084"/>
      <c r="F40" s="1084"/>
      <c r="G40" s="1084"/>
      <c r="H40" s="1084"/>
    </row>
    <row r="41" spans="1:8" ht="18" hidden="1" customHeight="1" x14ac:dyDescent="0.2">
      <c r="A41" s="1084" t="str">
        <f>Dados!H2</f>
        <v xml:space="preserve">REPACTUAÇÃO CONTRATUAL 20___ - </v>
      </c>
      <c r="B41" s="1084"/>
      <c r="C41" s="1084"/>
      <c r="D41" s="1084"/>
      <c r="E41" s="1084"/>
      <c r="F41" s="1084"/>
      <c r="G41" s="1084"/>
      <c r="H41" s="1084"/>
    </row>
    <row r="42" spans="1:8" ht="18" customHeight="1" x14ac:dyDescent="0.2">
      <c r="A42" s="241"/>
      <c r="B42" s="86"/>
      <c r="C42" s="86"/>
      <c r="D42" s="86"/>
      <c r="E42" s="86"/>
      <c r="F42" s="86"/>
      <c r="G42" s="86"/>
      <c r="H42" s="86"/>
    </row>
    <row r="43" spans="1:8" ht="18" customHeight="1" x14ac:dyDescent="0.2">
      <c r="A43" s="241"/>
      <c r="B43" s="86"/>
      <c r="C43" s="86"/>
      <c r="D43" s="86"/>
      <c r="E43" s="86"/>
      <c r="F43" s="86"/>
      <c r="G43" s="86"/>
      <c r="H43" s="86"/>
    </row>
    <row r="44" spans="1:8" ht="18" customHeight="1" x14ac:dyDescent="0.2">
      <c r="A44" s="1083" t="s">
        <v>552</v>
      </c>
      <c r="B44" s="1083"/>
      <c r="C44" s="1083"/>
      <c r="D44" s="1083"/>
      <c r="E44" s="1083"/>
      <c r="F44" s="1083"/>
      <c r="G44" s="1083"/>
      <c r="H44" s="1083"/>
    </row>
    <row r="45" spans="1:8" ht="18" customHeight="1" x14ac:dyDescent="0.2">
      <c r="A45" s="1083" t="s">
        <v>362</v>
      </c>
      <c r="B45" s="1083"/>
      <c r="C45" s="1083"/>
      <c r="D45" s="1083"/>
      <c r="E45" s="1083"/>
      <c r="F45" s="1083"/>
      <c r="G45" s="1083"/>
      <c r="H45" s="1083"/>
    </row>
    <row r="46" spans="1:8" ht="18" customHeight="1" x14ac:dyDescent="0.2">
      <c r="A46" s="100"/>
      <c r="B46" s="714"/>
      <c r="C46" s="714"/>
      <c r="D46" s="714"/>
      <c r="E46" s="714"/>
      <c r="F46" s="714"/>
      <c r="G46" s="714"/>
      <c r="H46" s="714"/>
    </row>
    <row r="47" spans="1:8" ht="18" customHeight="1" x14ac:dyDescent="0.2">
      <c r="A47" s="1102" t="s">
        <v>315</v>
      </c>
      <c r="B47" s="1103"/>
      <c r="C47" s="1103"/>
      <c r="D47" s="1103"/>
      <c r="E47" s="1103"/>
      <c r="F47" s="1103"/>
      <c r="G47" s="1103"/>
      <c r="H47" s="1103"/>
    </row>
    <row r="48" spans="1:8" ht="43.5" customHeight="1" x14ac:dyDescent="0.2">
      <c r="A48" s="756" t="s">
        <v>316</v>
      </c>
      <c r="B48" s="1102" t="s">
        <v>317</v>
      </c>
      <c r="C48" s="1104"/>
      <c r="D48" s="757" t="s">
        <v>318</v>
      </c>
      <c r="E48" s="756" t="s">
        <v>319</v>
      </c>
      <c r="F48" s="756" t="s">
        <v>348</v>
      </c>
      <c r="G48" s="756" t="s">
        <v>320</v>
      </c>
      <c r="H48" s="756" t="s">
        <v>321</v>
      </c>
    </row>
    <row r="49" spans="1:8" ht="18" customHeight="1" x14ac:dyDescent="0.2">
      <c r="A49" s="758" t="s">
        <v>322</v>
      </c>
      <c r="B49" s="758" t="s">
        <v>323</v>
      </c>
      <c r="C49" s="758" t="s">
        <v>324</v>
      </c>
      <c r="D49" s="759" t="s">
        <v>335</v>
      </c>
      <c r="E49" s="758" t="s">
        <v>334</v>
      </c>
      <c r="F49" s="760">
        <v>1</v>
      </c>
      <c r="G49" s="760">
        <v>2</v>
      </c>
      <c r="H49" s="755">
        <v>2258.4299999999998</v>
      </c>
    </row>
    <row r="50" spans="1:8" ht="18" customHeight="1" x14ac:dyDescent="0.2">
      <c r="A50" s="758" t="s">
        <v>322</v>
      </c>
      <c r="B50" s="758" t="s">
        <v>323</v>
      </c>
      <c r="C50" s="758" t="s">
        <v>324</v>
      </c>
      <c r="D50" s="759" t="s">
        <v>336</v>
      </c>
      <c r="E50" s="758" t="s">
        <v>334</v>
      </c>
      <c r="F50" s="760">
        <v>1</v>
      </c>
      <c r="G50" s="760">
        <v>2</v>
      </c>
      <c r="H50" s="755">
        <v>2258.4299999999998</v>
      </c>
    </row>
    <row r="51" spans="1:8" ht="18" customHeight="1" x14ac:dyDescent="0.2">
      <c r="A51" s="758" t="s">
        <v>322</v>
      </c>
      <c r="B51" s="758" t="s">
        <v>323</v>
      </c>
      <c r="C51" s="758" t="s">
        <v>324</v>
      </c>
      <c r="D51" s="759" t="s">
        <v>325</v>
      </c>
      <c r="E51" s="758" t="s">
        <v>334</v>
      </c>
      <c r="F51" s="760">
        <v>1</v>
      </c>
      <c r="G51" s="760">
        <v>2</v>
      </c>
      <c r="H51" s="755">
        <v>2285.4299999999998</v>
      </c>
    </row>
    <row r="52" spans="1:8" ht="18" customHeight="1" x14ac:dyDescent="0.2">
      <c r="A52" s="758" t="s">
        <v>322</v>
      </c>
      <c r="B52" s="758" t="s">
        <v>326</v>
      </c>
      <c r="C52" s="758" t="s">
        <v>324</v>
      </c>
      <c r="D52" s="759" t="s">
        <v>335</v>
      </c>
      <c r="E52" s="758" t="s">
        <v>337</v>
      </c>
      <c r="F52" s="760">
        <v>1</v>
      </c>
      <c r="G52" s="760">
        <v>2</v>
      </c>
      <c r="H52" s="755">
        <v>2258.4299999999998</v>
      </c>
    </row>
    <row r="53" spans="1:8" ht="18" customHeight="1" x14ac:dyDescent="0.2">
      <c r="A53" s="758" t="s">
        <v>322</v>
      </c>
      <c r="B53" s="758" t="s">
        <v>326</v>
      </c>
      <c r="C53" s="758" t="s">
        <v>324</v>
      </c>
      <c r="D53" s="759" t="s">
        <v>336</v>
      </c>
      <c r="E53" s="758" t="s">
        <v>337</v>
      </c>
      <c r="F53" s="760">
        <v>1</v>
      </c>
      <c r="G53" s="760">
        <v>2</v>
      </c>
      <c r="H53" s="755">
        <v>2258.4299999999998</v>
      </c>
    </row>
    <row r="54" spans="1:8" ht="18" customHeight="1" x14ac:dyDescent="0.2">
      <c r="A54" s="758" t="s">
        <v>322</v>
      </c>
      <c r="B54" s="758" t="s">
        <v>326</v>
      </c>
      <c r="C54" s="758" t="s">
        <v>324</v>
      </c>
      <c r="D54" s="759" t="s">
        <v>553</v>
      </c>
      <c r="E54" s="758" t="s">
        <v>337</v>
      </c>
      <c r="F54" s="760">
        <v>1</v>
      </c>
      <c r="G54" s="760">
        <v>2</v>
      </c>
      <c r="H54" s="755">
        <v>2258.4299999999998</v>
      </c>
    </row>
    <row r="55" spans="1:8" ht="18" customHeight="1" x14ac:dyDescent="0.2">
      <c r="A55" s="758" t="s">
        <v>322</v>
      </c>
      <c r="B55" s="758" t="s">
        <v>326</v>
      </c>
      <c r="C55" s="758" t="s">
        <v>324</v>
      </c>
      <c r="D55" s="759" t="s">
        <v>325</v>
      </c>
      <c r="E55" s="758" t="s">
        <v>337</v>
      </c>
      <c r="F55" s="760">
        <v>1</v>
      </c>
      <c r="G55" s="760">
        <v>2</v>
      </c>
      <c r="H55" s="755">
        <v>2258.4299999999998</v>
      </c>
    </row>
    <row r="56" spans="1:8" ht="18" customHeight="1" x14ac:dyDescent="0.2">
      <c r="A56" s="758" t="s">
        <v>327</v>
      </c>
      <c r="B56" s="758" t="s">
        <v>323</v>
      </c>
      <c r="C56" s="758" t="s">
        <v>328</v>
      </c>
      <c r="D56" s="759" t="s">
        <v>329</v>
      </c>
      <c r="E56" s="758" t="s">
        <v>460</v>
      </c>
      <c r="F56" s="760">
        <v>1</v>
      </c>
      <c r="G56" s="760">
        <v>1</v>
      </c>
      <c r="H56" s="755">
        <v>2258.4299999999998</v>
      </c>
    </row>
    <row r="57" spans="1:8" ht="18" customHeight="1" x14ac:dyDescent="0.2">
      <c r="A57" s="758" t="s">
        <v>327</v>
      </c>
      <c r="B57" s="758" t="s">
        <v>323</v>
      </c>
      <c r="C57" s="758" t="s">
        <v>328</v>
      </c>
      <c r="D57" s="758" t="s">
        <v>330</v>
      </c>
      <c r="E57" s="758" t="s">
        <v>460</v>
      </c>
      <c r="F57" s="760">
        <v>1</v>
      </c>
      <c r="G57" s="760">
        <v>1</v>
      </c>
      <c r="H57" s="755">
        <v>2258.4299999999998</v>
      </c>
    </row>
    <row r="58" spans="1:8" ht="18" customHeight="1" x14ac:dyDescent="0.2">
      <c r="A58" s="758" t="s">
        <v>327</v>
      </c>
      <c r="B58" s="758" t="s">
        <v>323</v>
      </c>
      <c r="C58" s="758" t="s">
        <v>328</v>
      </c>
      <c r="D58" s="758" t="s">
        <v>329</v>
      </c>
      <c r="E58" s="758" t="s">
        <v>338</v>
      </c>
      <c r="F58" s="760">
        <v>1</v>
      </c>
      <c r="G58" s="760">
        <v>1</v>
      </c>
      <c r="H58" s="755">
        <v>2258.4299999999998</v>
      </c>
    </row>
    <row r="59" spans="1:8" ht="18" customHeight="1" x14ac:dyDescent="0.2">
      <c r="A59" s="758" t="s">
        <v>327</v>
      </c>
      <c r="B59" s="758" t="s">
        <v>323</v>
      </c>
      <c r="C59" s="758" t="s">
        <v>328</v>
      </c>
      <c r="D59" s="758" t="s">
        <v>330</v>
      </c>
      <c r="E59" s="758" t="s">
        <v>339</v>
      </c>
      <c r="F59" s="760">
        <v>1</v>
      </c>
      <c r="G59" s="760">
        <v>1</v>
      </c>
      <c r="H59" s="755">
        <v>2258.4299999999998</v>
      </c>
    </row>
    <row r="60" spans="1:8" ht="18" customHeight="1" x14ac:dyDescent="0.2">
      <c r="A60" s="758" t="s">
        <v>327</v>
      </c>
      <c r="B60" s="758" t="s">
        <v>323</v>
      </c>
      <c r="C60" s="758" t="s">
        <v>328</v>
      </c>
      <c r="D60" s="758" t="s">
        <v>325</v>
      </c>
      <c r="E60" s="758" t="s">
        <v>340</v>
      </c>
      <c r="F60" s="760">
        <v>1</v>
      </c>
      <c r="G60" s="760">
        <v>1</v>
      </c>
      <c r="H60" s="755">
        <v>2258.4299999999998</v>
      </c>
    </row>
    <row r="61" spans="1:8" ht="18" customHeight="1" x14ac:dyDescent="0.2">
      <c r="A61" s="758" t="s">
        <v>327</v>
      </c>
      <c r="B61" s="758" t="s">
        <v>323</v>
      </c>
      <c r="C61" s="758" t="s">
        <v>328</v>
      </c>
      <c r="D61" s="758" t="s">
        <v>341</v>
      </c>
      <c r="E61" s="758" t="s">
        <v>340</v>
      </c>
      <c r="F61" s="760">
        <f t="shared" ref="F61" si="1">G61/1</f>
        <v>1</v>
      </c>
      <c r="G61" s="760">
        <v>1</v>
      </c>
      <c r="H61" s="755">
        <v>2258.4299999999998</v>
      </c>
    </row>
    <row r="62" spans="1:8" ht="18" customHeight="1" x14ac:dyDescent="0.2">
      <c r="A62" s="758" t="s">
        <v>327</v>
      </c>
      <c r="B62" s="758" t="s">
        <v>323</v>
      </c>
      <c r="C62" s="758" t="s">
        <v>328</v>
      </c>
      <c r="D62" s="758"/>
      <c r="E62" s="758" t="s">
        <v>340</v>
      </c>
      <c r="F62" s="760">
        <f t="shared" ref="F62:F63" si="2">G62/1</f>
        <v>1</v>
      </c>
      <c r="G62" s="760">
        <v>1</v>
      </c>
      <c r="H62" s="755">
        <v>2258.4299999999998</v>
      </c>
    </row>
    <row r="63" spans="1:8" ht="18" customHeight="1" x14ac:dyDescent="0.2">
      <c r="A63" s="758" t="s">
        <v>327</v>
      </c>
      <c r="B63" s="758" t="s">
        <v>323</v>
      </c>
      <c r="C63" s="758" t="s">
        <v>328</v>
      </c>
      <c r="D63" s="758"/>
      <c r="E63" s="758" t="s">
        <v>340</v>
      </c>
      <c r="F63" s="760">
        <f t="shared" si="2"/>
        <v>1</v>
      </c>
      <c r="G63" s="760">
        <v>1</v>
      </c>
      <c r="H63" s="755">
        <v>2258.4299999999998</v>
      </c>
    </row>
    <row r="64" spans="1:8" ht="18" customHeight="1" x14ac:dyDescent="0.2">
      <c r="A64" s="758" t="s">
        <v>327</v>
      </c>
      <c r="B64" s="758" t="s">
        <v>323</v>
      </c>
      <c r="C64" s="758" t="s">
        <v>328</v>
      </c>
      <c r="D64" s="758"/>
      <c r="E64" s="758" t="s">
        <v>340</v>
      </c>
      <c r="F64" s="760">
        <f t="shared" ref="F64" si="3">G64/1</f>
        <v>1</v>
      </c>
      <c r="G64" s="760">
        <v>1</v>
      </c>
      <c r="H64" s="755">
        <v>2258.4299999999998</v>
      </c>
    </row>
    <row r="65" spans="1:8" ht="18" customHeight="1" x14ac:dyDescent="0.2">
      <c r="A65" s="758" t="s">
        <v>551</v>
      </c>
      <c r="B65" s="758" t="s">
        <v>323</v>
      </c>
      <c r="C65" s="758" t="s">
        <v>328</v>
      </c>
      <c r="D65" s="758"/>
      <c r="E65" s="758" t="s">
        <v>340</v>
      </c>
      <c r="F65" s="760">
        <f t="shared" ref="F65" si="4">G65/1</f>
        <v>1</v>
      </c>
      <c r="G65" s="760">
        <v>1</v>
      </c>
      <c r="H65" s="755">
        <v>2708.92</v>
      </c>
    </row>
    <row r="66" spans="1:8" ht="18" customHeight="1" x14ac:dyDescent="0.2">
      <c r="A66" s="1105" t="s">
        <v>48</v>
      </c>
      <c r="B66" s="1106"/>
      <c r="C66" s="1106"/>
      <c r="D66" s="1106"/>
      <c r="E66" s="1106"/>
      <c r="F66" s="1106"/>
      <c r="G66" s="1107"/>
      <c r="H66" s="761">
        <f>SUM(G49:G65)</f>
        <v>24</v>
      </c>
    </row>
    <row r="67" spans="1:8" ht="18" customHeight="1" x14ac:dyDescent="0.2">
      <c r="A67" s="1102" t="s">
        <v>331</v>
      </c>
      <c r="B67" s="1103"/>
      <c r="C67" s="1103"/>
      <c r="D67" s="1103"/>
      <c r="E67" s="1103"/>
      <c r="F67" s="1103"/>
      <c r="G67" s="1103"/>
      <c r="H67" s="1103"/>
    </row>
    <row r="68" spans="1:8" ht="18" customHeight="1" x14ac:dyDescent="0.2">
      <c r="A68" s="758" t="s">
        <v>322</v>
      </c>
      <c r="B68" s="758" t="s">
        <v>323</v>
      </c>
      <c r="C68" s="758" t="s">
        <v>324</v>
      </c>
      <c r="D68" s="758" t="s">
        <v>332</v>
      </c>
      <c r="E68" s="758" t="s">
        <v>334</v>
      </c>
      <c r="F68" s="760">
        <v>1</v>
      </c>
      <c r="G68" s="760">
        <v>2</v>
      </c>
      <c r="H68" s="755">
        <v>2258.4299999999998</v>
      </c>
    </row>
    <row r="69" spans="1:8" ht="18" customHeight="1" x14ac:dyDescent="0.2">
      <c r="A69" s="758" t="s">
        <v>322</v>
      </c>
      <c r="B69" s="758" t="s">
        <v>323</v>
      </c>
      <c r="C69" s="758" t="s">
        <v>324</v>
      </c>
      <c r="D69" s="758" t="s">
        <v>333</v>
      </c>
      <c r="E69" s="758" t="s">
        <v>334</v>
      </c>
      <c r="F69" s="760">
        <v>1</v>
      </c>
      <c r="G69" s="760">
        <v>2</v>
      </c>
      <c r="H69" s="755">
        <v>2258.4299999999998</v>
      </c>
    </row>
    <row r="70" spans="1:8" ht="18" customHeight="1" x14ac:dyDescent="0.2">
      <c r="A70" s="758" t="s">
        <v>322</v>
      </c>
      <c r="B70" s="758" t="s">
        <v>326</v>
      </c>
      <c r="C70" s="758" t="s">
        <v>324</v>
      </c>
      <c r="D70" s="758" t="s">
        <v>332</v>
      </c>
      <c r="E70" s="758" t="s">
        <v>337</v>
      </c>
      <c r="F70" s="760">
        <v>1</v>
      </c>
      <c r="G70" s="760">
        <v>2</v>
      </c>
      <c r="H70" s="755">
        <v>2258.4299999999998</v>
      </c>
    </row>
    <row r="71" spans="1:8" ht="18" customHeight="1" x14ac:dyDescent="0.2">
      <c r="A71" s="758" t="s">
        <v>322</v>
      </c>
      <c r="B71" s="758" t="s">
        <v>326</v>
      </c>
      <c r="C71" s="758" t="s">
        <v>324</v>
      </c>
      <c r="D71" s="758" t="s">
        <v>333</v>
      </c>
      <c r="E71" s="758" t="s">
        <v>337</v>
      </c>
      <c r="F71" s="760">
        <v>1</v>
      </c>
      <c r="G71" s="760">
        <v>2</v>
      </c>
      <c r="H71" s="755">
        <v>2258.4299999999998</v>
      </c>
    </row>
    <row r="72" spans="1:8" ht="18" customHeight="1" x14ac:dyDescent="0.2">
      <c r="A72" s="1105" t="s">
        <v>48</v>
      </c>
      <c r="B72" s="1106"/>
      <c r="C72" s="1106"/>
      <c r="D72" s="1106"/>
      <c r="E72" s="1106"/>
      <c r="F72" s="1106"/>
      <c r="G72" s="1107"/>
      <c r="H72" s="761">
        <f>SUM(G68:G71)</f>
        <v>8</v>
      </c>
    </row>
    <row r="73" spans="1:8" ht="18" customHeight="1" x14ac:dyDescent="0.2">
      <c r="A73" s="1105" t="s">
        <v>41</v>
      </c>
      <c r="B73" s="1106"/>
      <c r="C73" s="1106"/>
      <c r="D73" s="1106"/>
      <c r="E73" s="1106"/>
      <c r="F73" s="1106"/>
      <c r="G73" s="1107"/>
      <c r="H73" s="761">
        <f>H66+H72</f>
        <v>32</v>
      </c>
    </row>
    <row r="74" spans="1:8" ht="18" customHeight="1" x14ac:dyDescent="0.2">
      <c r="A74" s="100"/>
    </row>
    <row r="75" spans="1:8" ht="18" customHeight="1" x14ac:dyDescent="0.2">
      <c r="A75" s="100"/>
      <c r="F75" s="1095" t="s">
        <v>354</v>
      </c>
      <c r="G75" s="1095"/>
      <c r="H75" s="762">
        <f>F49+F50+F51+F68+F69</f>
        <v>5</v>
      </c>
    </row>
    <row r="76" spans="1:8" ht="18" customHeight="1" x14ac:dyDescent="0.2">
      <c r="A76" s="100"/>
      <c r="F76" s="1095" t="s">
        <v>355</v>
      </c>
      <c r="G76" s="1095"/>
      <c r="H76" s="762">
        <f>SUM(F56:F64)</f>
        <v>9</v>
      </c>
    </row>
    <row r="77" spans="1:8" ht="18" customHeight="1" x14ac:dyDescent="0.2">
      <c r="A77" s="100"/>
      <c r="F77" s="1095" t="s">
        <v>356</v>
      </c>
      <c r="G77" s="1095"/>
      <c r="H77" s="762">
        <f>F52+F53+F55+F71+F70</f>
        <v>5</v>
      </c>
    </row>
  </sheetData>
  <mergeCells count="30">
    <mergeCell ref="A72:G72"/>
    <mergeCell ref="A73:G73"/>
    <mergeCell ref="F75:G75"/>
    <mergeCell ref="F76:G76"/>
    <mergeCell ref="F77:G77"/>
    <mergeCell ref="A45:H45"/>
    <mergeCell ref="A47:H47"/>
    <mergeCell ref="B48:C48"/>
    <mergeCell ref="A66:G66"/>
    <mergeCell ref="A67:H67"/>
    <mergeCell ref="A38:H38"/>
    <mergeCell ref="A39:H39"/>
    <mergeCell ref="A40:H40"/>
    <mergeCell ref="A41:H41"/>
    <mergeCell ref="A44:H44"/>
    <mergeCell ref="F34:G34"/>
    <mergeCell ref="F35:G35"/>
    <mergeCell ref="F36:G36"/>
    <mergeCell ref="A2:H2"/>
    <mergeCell ref="A3:H3"/>
    <mergeCell ref="A4:H4"/>
    <mergeCell ref="A5:H5"/>
    <mergeCell ref="A9:H9"/>
    <mergeCell ref="A25:G25"/>
    <mergeCell ref="A26:H26"/>
    <mergeCell ref="A31:G31"/>
    <mergeCell ref="A32:G32"/>
    <mergeCell ref="A11:H11"/>
    <mergeCell ref="B12:C12"/>
    <mergeCell ref="A8:H8"/>
  </mergeCells>
  <printOptions horizontalCentered="1"/>
  <pageMargins left="0.51181102362204722" right="0.39370078740157483" top="1.6535433070866143" bottom="0.35433070866141736" header="0.19685039370078741" footer="0.27559055118110237"/>
  <pageSetup paperSize="9" scale="69" fitToHeight="0" orientation="portrait" r:id="rId1"/>
  <headerFooter>
    <oddHeader>&amp;L&amp;"+,Negrito"&amp;8PROPOSTA Nº 053/2020 - CJF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12">
    <tabColor rgb="FF92D050"/>
    <pageSetUpPr fitToPage="1"/>
  </sheetPr>
  <dimension ref="A2:W65"/>
  <sheetViews>
    <sheetView topLeftCell="P3" zoomScale="78" zoomScaleNormal="78" zoomScaleSheetLayoutView="90" workbookViewId="0">
      <selection activeCell="AG45" sqref="AG45"/>
    </sheetView>
  </sheetViews>
  <sheetFormatPr defaultRowHeight="14.25" x14ac:dyDescent="0.2"/>
  <cols>
    <col min="1" max="1" width="6" style="214" hidden="1" customWidth="1"/>
    <col min="2" max="2" width="13.140625" style="214" hidden="1" customWidth="1"/>
    <col min="3" max="3" width="30.140625" style="214" hidden="1" customWidth="1"/>
    <col min="4" max="4" width="15" style="214" hidden="1" customWidth="1"/>
    <col min="5" max="5" width="18.85546875" style="214" hidden="1" customWidth="1"/>
    <col min="6" max="6" width="19" style="214" hidden="1" customWidth="1"/>
    <col min="7" max="7" width="25.140625" style="214" hidden="1" customWidth="1"/>
    <col min="8" max="8" width="10" style="214" hidden="1" customWidth="1"/>
    <col min="9" max="9" width="0" style="214" hidden="1" customWidth="1"/>
    <col min="10" max="10" width="18.7109375" style="214" hidden="1" customWidth="1"/>
    <col min="11" max="11" width="27.140625" style="214" hidden="1" customWidth="1"/>
    <col min="12" max="12" width="19.140625" style="214" hidden="1" customWidth="1"/>
    <col min="13" max="13" width="18.7109375" style="214" hidden="1" customWidth="1"/>
    <col min="14" max="14" width="18.42578125" style="214" hidden="1" customWidth="1"/>
    <col min="15" max="15" width="17.85546875" style="214" hidden="1" customWidth="1"/>
    <col min="16" max="18" width="9.140625" style="214"/>
    <col min="19" max="19" width="38.140625" style="214" customWidth="1"/>
    <col min="20" max="20" width="12.85546875" style="214" bestFit="1" customWidth="1"/>
    <col min="21" max="21" width="15.7109375" style="214" bestFit="1" customWidth="1"/>
    <col min="22" max="22" width="13.85546875" style="214" bestFit="1" customWidth="1"/>
    <col min="23" max="23" width="19.85546875" style="214" customWidth="1"/>
    <col min="24" max="16384" width="9.140625" style="214"/>
  </cols>
  <sheetData>
    <row r="2" spans="1:23" x14ac:dyDescent="0.2">
      <c r="A2" s="1141" t="str">
        <f>Dados!A5</f>
        <v>CONSELHO DA JUSTIÇA FEDERAL - CJF</v>
      </c>
      <c r="B2" s="1141"/>
      <c r="C2" s="1141"/>
      <c r="D2" s="1141"/>
      <c r="E2" s="1141"/>
      <c r="F2" s="1141"/>
      <c r="G2" s="1141"/>
      <c r="I2" s="1132" t="s">
        <v>306</v>
      </c>
      <c r="J2" s="1132"/>
      <c r="K2" s="1132"/>
      <c r="L2" s="1132"/>
      <c r="M2" s="1132"/>
      <c r="N2" s="1132"/>
      <c r="O2" s="1132"/>
      <c r="Q2" s="1132" t="s">
        <v>306</v>
      </c>
      <c r="R2" s="1132"/>
      <c r="S2" s="1132"/>
      <c r="T2" s="1132"/>
      <c r="U2" s="1132"/>
      <c r="V2" s="1132"/>
      <c r="W2" s="1132"/>
    </row>
    <row r="3" spans="1:23" x14ac:dyDescent="0.2">
      <c r="A3" s="1132" t="str">
        <f>Dados!A9</f>
        <v>PREGÃO ELETRÔNICO Nº 09/2020 - CJF</v>
      </c>
      <c r="B3" s="1132"/>
      <c r="C3" s="1132"/>
      <c r="D3" s="1132"/>
      <c r="E3" s="1132"/>
      <c r="F3" s="1132"/>
      <c r="G3" s="1132"/>
      <c r="I3" s="1132" t="s">
        <v>309</v>
      </c>
      <c r="J3" s="1132"/>
      <c r="K3" s="1132"/>
      <c r="L3" s="1132"/>
      <c r="M3" s="1132"/>
      <c r="N3" s="1132"/>
      <c r="O3" s="1132"/>
      <c r="Q3" s="1132" t="s">
        <v>309</v>
      </c>
      <c r="R3" s="1132"/>
      <c r="S3" s="1132"/>
      <c r="T3" s="1132"/>
      <c r="U3" s="1132"/>
      <c r="V3" s="1132"/>
      <c r="W3" s="1132"/>
    </row>
    <row r="4" spans="1:23" hidden="1" x14ac:dyDescent="0.2">
      <c r="A4" s="1142" t="str">
        <f>Dados!A10</f>
        <v>CONTRATO Nº __________/201__ - CONTRATANTE - PRESTAÇÃO DE SERVIÇOS --------</v>
      </c>
      <c r="B4" s="1142"/>
      <c r="C4" s="1142"/>
      <c r="D4" s="1142"/>
      <c r="E4" s="1142"/>
      <c r="F4" s="1142"/>
      <c r="G4" s="1142"/>
      <c r="I4" s="1132" t="s">
        <v>288</v>
      </c>
      <c r="J4" s="1132"/>
      <c r="K4" s="1132"/>
      <c r="L4" s="1132"/>
      <c r="M4" s="1132"/>
      <c r="N4" s="1132"/>
      <c r="O4" s="1132"/>
      <c r="Q4" s="1132" t="s">
        <v>288</v>
      </c>
      <c r="R4" s="1132"/>
      <c r="S4" s="1132"/>
      <c r="T4" s="1132"/>
      <c r="U4" s="1132"/>
      <c r="V4" s="1132"/>
      <c r="W4" s="1132"/>
    </row>
    <row r="5" spans="1:23" hidden="1" x14ac:dyDescent="0.2">
      <c r="A5" s="1142" t="str">
        <f>Dados!H2</f>
        <v xml:space="preserve">REPACTUAÇÃO CONTRATUAL 20___ - </v>
      </c>
      <c r="B5" s="1142"/>
      <c r="C5" s="1142"/>
      <c r="D5" s="1142"/>
      <c r="E5" s="1142"/>
      <c r="F5" s="1142"/>
      <c r="G5" s="1142"/>
      <c r="I5" s="1132" t="s">
        <v>289</v>
      </c>
      <c r="J5" s="1132"/>
      <c r="K5" s="1132"/>
      <c r="L5" s="1132"/>
      <c r="M5" s="1132"/>
      <c r="N5" s="1132"/>
      <c r="O5" s="1132"/>
      <c r="Q5" s="1132" t="s">
        <v>289</v>
      </c>
      <c r="R5" s="1132"/>
      <c r="S5" s="1132"/>
      <c r="T5" s="1132"/>
      <c r="U5" s="1132"/>
      <c r="V5" s="1132"/>
      <c r="W5" s="1132"/>
    </row>
    <row r="6" spans="1:23" x14ac:dyDescent="0.2">
      <c r="A6" s="215"/>
      <c r="B6" s="215"/>
      <c r="C6" s="215"/>
      <c r="I6" s="1132" t="s">
        <v>488</v>
      </c>
      <c r="J6" s="1132"/>
      <c r="K6" s="1132"/>
      <c r="L6" s="1132"/>
      <c r="M6" s="1132"/>
      <c r="N6" s="1132"/>
      <c r="O6" s="1132"/>
      <c r="Q6" s="1132" t="s">
        <v>554</v>
      </c>
      <c r="R6" s="1132"/>
      <c r="S6" s="1132"/>
      <c r="T6" s="1132"/>
      <c r="U6" s="1132"/>
      <c r="V6" s="1132"/>
      <c r="W6" s="1132"/>
    </row>
    <row r="7" spans="1:23" x14ac:dyDescent="0.2">
      <c r="A7" s="215"/>
      <c r="B7" s="215"/>
      <c r="C7" s="215"/>
      <c r="I7" s="215"/>
      <c r="J7" s="215"/>
      <c r="K7" s="215"/>
      <c r="Q7" s="215"/>
      <c r="R7" s="215"/>
      <c r="S7" s="215"/>
    </row>
    <row r="8" spans="1:23" ht="14.25" customHeight="1" x14ac:dyDescent="0.2">
      <c r="A8" s="1133" t="s">
        <v>277</v>
      </c>
      <c r="B8" s="1133"/>
      <c r="C8" s="1133"/>
      <c r="D8" s="1133"/>
      <c r="E8" s="1133"/>
      <c r="F8" s="1133"/>
      <c r="G8" s="1133"/>
      <c r="I8" s="1133" t="s">
        <v>277</v>
      </c>
      <c r="J8" s="1133"/>
      <c r="K8" s="1133"/>
      <c r="L8" s="1133"/>
      <c r="M8" s="1133"/>
      <c r="N8" s="1133"/>
      <c r="O8" s="1133"/>
      <c r="Q8" s="1133" t="s">
        <v>277</v>
      </c>
      <c r="R8" s="1133"/>
      <c r="S8" s="1133"/>
      <c r="T8" s="1133"/>
      <c r="U8" s="1133"/>
      <c r="V8" s="1133"/>
      <c r="W8" s="1133"/>
    </row>
    <row r="10" spans="1:23" x14ac:dyDescent="0.2">
      <c r="A10" s="1112" t="s">
        <v>292</v>
      </c>
      <c r="B10" s="1113"/>
      <c r="C10" s="1113"/>
      <c r="D10" s="1113"/>
      <c r="E10" s="1113"/>
      <c r="F10" s="1113"/>
      <c r="G10" s="1114"/>
      <c r="I10" s="1112" t="s">
        <v>292</v>
      </c>
      <c r="J10" s="1113"/>
      <c r="K10" s="1113"/>
      <c r="L10" s="1113"/>
      <c r="M10" s="1113"/>
      <c r="N10" s="1113"/>
      <c r="O10" s="1114"/>
      <c r="Q10" s="1112" t="s">
        <v>292</v>
      </c>
      <c r="R10" s="1113"/>
      <c r="S10" s="1113"/>
      <c r="T10" s="1113"/>
      <c r="U10" s="1113"/>
      <c r="V10" s="1113"/>
      <c r="W10" s="1114"/>
    </row>
    <row r="11" spans="1:23" ht="42.75" x14ac:dyDescent="0.2">
      <c r="A11" s="1" t="s">
        <v>63</v>
      </c>
      <c r="B11" s="1119" t="s">
        <v>150</v>
      </c>
      <c r="C11" s="1120"/>
      <c r="D11" s="1" t="s">
        <v>111</v>
      </c>
      <c r="E11" s="1" t="s">
        <v>88</v>
      </c>
      <c r="F11" s="1" t="s">
        <v>101</v>
      </c>
      <c r="G11" s="1" t="s">
        <v>89</v>
      </c>
      <c r="I11" s="1" t="s">
        <v>63</v>
      </c>
      <c r="J11" s="1119" t="s">
        <v>150</v>
      </c>
      <c r="K11" s="1120"/>
      <c r="L11" s="1" t="s">
        <v>111</v>
      </c>
      <c r="M11" s="1" t="s">
        <v>88</v>
      </c>
      <c r="N11" s="1" t="s">
        <v>101</v>
      </c>
      <c r="O11" s="1" t="s">
        <v>89</v>
      </c>
      <c r="Q11" s="1" t="s">
        <v>63</v>
      </c>
      <c r="R11" s="1119" t="s">
        <v>150</v>
      </c>
      <c r="S11" s="1120"/>
      <c r="T11" s="1" t="s">
        <v>111</v>
      </c>
      <c r="U11" s="1" t="s">
        <v>88</v>
      </c>
      <c r="V11" s="1" t="s">
        <v>101</v>
      </c>
      <c r="W11" s="1" t="s">
        <v>89</v>
      </c>
    </row>
    <row r="12" spans="1:23" x14ac:dyDescent="0.2">
      <c r="A12" s="1134">
        <v>1</v>
      </c>
      <c r="B12" s="1110" t="str">
        <f>Dados!J30</f>
        <v>Escala 12x36 horas</v>
      </c>
      <c r="C12" s="1111"/>
      <c r="D12" s="2">
        <f>INDEX(Dados!$J$27:$M$32,MATCH(B12,Dados!$J$27:$J$32,0),4)</f>
        <v>15</v>
      </c>
      <c r="E12" s="1136">
        <f>Dados!$I$45</f>
        <v>5.5</v>
      </c>
      <c r="F12" s="1138">
        <f>$E$12*2</f>
        <v>11</v>
      </c>
      <c r="G12" s="3">
        <f>$F$12*D12</f>
        <v>165</v>
      </c>
      <c r="I12" s="1134">
        <v>1</v>
      </c>
      <c r="J12" s="1110" t="s">
        <v>140</v>
      </c>
      <c r="K12" s="1111"/>
      <c r="L12" s="2">
        <v>15</v>
      </c>
      <c r="M12" s="1136">
        <v>5.5</v>
      </c>
      <c r="N12" s="1138">
        <v>11</v>
      </c>
      <c r="O12" s="3">
        <v>165</v>
      </c>
      <c r="Q12" s="1134">
        <v>1</v>
      </c>
      <c r="R12" s="1110" t="s">
        <v>140</v>
      </c>
      <c r="S12" s="1111"/>
      <c r="T12" s="2">
        <v>15</v>
      </c>
      <c r="U12" s="1136">
        <v>5.5</v>
      </c>
      <c r="V12" s="1138">
        <v>11</v>
      </c>
      <c r="W12" s="3">
        <v>165</v>
      </c>
    </row>
    <row r="13" spans="1:23" x14ac:dyDescent="0.2">
      <c r="A13" s="1135"/>
      <c r="B13" s="1110" t="str">
        <f>Dados!J31</f>
        <v>44 horas semanais - 5x2</v>
      </c>
      <c r="C13" s="1111"/>
      <c r="D13" s="2">
        <f>INDEX(Dados!$J$27:$M$32,MATCH(B13,Dados!$J$27:$J$32,0),4)</f>
        <v>22</v>
      </c>
      <c r="E13" s="1137"/>
      <c r="F13" s="1139"/>
      <c r="G13" s="3">
        <f>$F$12*D13</f>
        <v>242</v>
      </c>
      <c r="I13" s="1135"/>
      <c r="J13" s="1110" t="s">
        <v>141</v>
      </c>
      <c r="K13" s="1111"/>
      <c r="L13" s="2">
        <v>22</v>
      </c>
      <c r="M13" s="1137"/>
      <c r="N13" s="1139"/>
      <c r="O13" s="3">
        <v>242</v>
      </c>
      <c r="Q13" s="1135"/>
      <c r="R13" s="1110" t="s">
        <v>141</v>
      </c>
      <c r="S13" s="1111"/>
      <c r="T13" s="2">
        <v>22</v>
      </c>
      <c r="U13" s="1137"/>
      <c r="V13" s="1139"/>
      <c r="W13" s="3">
        <v>242</v>
      </c>
    </row>
    <row r="14" spans="1:23" x14ac:dyDescent="0.2">
      <c r="A14" s="1127"/>
      <c r="B14" s="1128"/>
      <c r="C14" s="1128"/>
      <c r="D14" s="1128"/>
      <c r="E14" s="1128"/>
      <c r="F14" s="1128"/>
      <c r="G14" s="1129"/>
      <c r="I14" s="1127"/>
      <c r="J14" s="1128"/>
      <c r="K14" s="1128"/>
      <c r="L14" s="1128"/>
      <c r="M14" s="1128"/>
      <c r="N14" s="1128"/>
      <c r="O14" s="1129"/>
      <c r="Q14" s="1127"/>
      <c r="R14" s="1128"/>
      <c r="S14" s="1128"/>
      <c r="T14" s="1128"/>
      <c r="U14" s="1128"/>
      <c r="V14" s="1128"/>
      <c r="W14" s="1129"/>
    </row>
    <row r="15" spans="1:23" hidden="1" x14ac:dyDescent="0.2">
      <c r="A15" s="1150" t="s">
        <v>90</v>
      </c>
      <c r="B15" s="1150"/>
      <c r="C15" s="1150"/>
      <c r="D15" s="1150"/>
      <c r="E15" s="1150"/>
      <c r="F15" s="1150"/>
      <c r="G15" s="1150"/>
      <c r="I15" s="1130" t="s">
        <v>90</v>
      </c>
      <c r="J15" s="1130"/>
      <c r="K15" s="1130"/>
      <c r="L15" s="1130"/>
      <c r="M15" s="1130"/>
      <c r="N15" s="1130"/>
      <c r="O15" s="1130"/>
      <c r="Q15" s="1130" t="s">
        <v>90</v>
      </c>
      <c r="R15" s="1130"/>
      <c r="S15" s="1130"/>
      <c r="T15" s="1130"/>
      <c r="U15" s="1130"/>
      <c r="V15" s="1130"/>
      <c r="W15" s="1130"/>
    </row>
    <row r="16" spans="1:23" ht="42.75" hidden="1" x14ac:dyDescent="0.2">
      <c r="A16" s="1151" t="s">
        <v>91</v>
      </c>
      <c r="B16" s="1151"/>
      <c r="C16" s="206"/>
      <c r="D16" s="4" t="s">
        <v>92</v>
      </c>
      <c r="E16" s="4" t="s">
        <v>93</v>
      </c>
      <c r="F16" s="4" t="s">
        <v>94</v>
      </c>
      <c r="G16" s="4" t="s">
        <v>95</v>
      </c>
      <c r="I16" s="1131" t="s">
        <v>91</v>
      </c>
      <c r="J16" s="1131"/>
      <c r="K16" s="763"/>
      <c r="L16" s="764" t="s">
        <v>92</v>
      </c>
      <c r="M16" s="764" t="s">
        <v>93</v>
      </c>
      <c r="N16" s="764" t="s">
        <v>94</v>
      </c>
      <c r="O16" s="764" t="s">
        <v>95</v>
      </c>
      <c r="Q16" s="1131" t="s">
        <v>91</v>
      </c>
      <c r="R16" s="1131"/>
      <c r="S16" s="763"/>
      <c r="T16" s="764" t="s">
        <v>92</v>
      </c>
      <c r="U16" s="764" t="s">
        <v>93</v>
      </c>
      <c r="V16" s="764" t="s">
        <v>94</v>
      </c>
      <c r="W16" s="764" t="s">
        <v>95</v>
      </c>
    </row>
    <row r="17" spans="1:23" hidden="1" x14ac:dyDescent="0.2">
      <c r="A17" s="1140">
        <v>42736</v>
      </c>
      <c r="B17" s="1140"/>
      <c r="C17" s="204"/>
      <c r="D17" s="5">
        <v>22</v>
      </c>
      <c r="E17" s="5">
        <v>4</v>
      </c>
      <c r="F17" s="5">
        <v>5</v>
      </c>
      <c r="G17" s="6">
        <v>0</v>
      </c>
      <c r="I17" s="1123">
        <v>42736</v>
      </c>
      <c r="J17" s="1123"/>
      <c r="K17" s="765"/>
      <c r="L17" s="6">
        <v>22</v>
      </c>
      <c r="M17" s="6">
        <v>4</v>
      </c>
      <c r="N17" s="6">
        <v>5</v>
      </c>
      <c r="O17" s="6">
        <v>0</v>
      </c>
      <c r="Q17" s="1123">
        <v>42736</v>
      </c>
      <c r="R17" s="1123"/>
      <c r="S17" s="765"/>
      <c r="T17" s="6">
        <v>22</v>
      </c>
      <c r="U17" s="6">
        <v>4</v>
      </c>
      <c r="V17" s="6">
        <v>5</v>
      </c>
      <c r="W17" s="6">
        <v>0</v>
      </c>
    </row>
    <row r="18" spans="1:23" hidden="1" x14ac:dyDescent="0.2">
      <c r="A18" s="1140">
        <v>42767</v>
      </c>
      <c r="B18" s="1140"/>
      <c r="C18" s="204"/>
      <c r="D18" s="5">
        <v>19</v>
      </c>
      <c r="E18" s="5">
        <v>4</v>
      </c>
      <c r="F18" s="5">
        <v>4</v>
      </c>
      <c r="G18" s="6">
        <v>1</v>
      </c>
      <c r="I18" s="1123">
        <v>42767</v>
      </c>
      <c r="J18" s="1123"/>
      <c r="K18" s="765"/>
      <c r="L18" s="6">
        <v>19</v>
      </c>
      <c r="M18" s="6">
        <v>4</v>
      </c>
      <c r="N18" s="6">
        <v>4</v>
      </c>
      <c r="O18" s="6">
        <v>1</v>
      </c>
      <c r="Q18" s="1123">
        <v>42767</v>
      </c>
      <c r="R18" s="1123"/>
      <c r="S18" s="765"/>
      <c r="T18" s="6">
        <v>19</v>
      </c>
      <c r="U18" s="6">
        <v>4</v>
      </c>
      <c r="V18" s="6">
        <v>4</v>
      </c>
      <c r="W18" s="6">
        <v>1</v>
      </c>
    </row>
    <row r="19" spans="1:23" hidden="1" x14ac:dyDescent="0.2">
      <c r="A19" s="1140">
        <v>42795</v>
      </c>
      <c r="B19" s="1140"/>
      <c r="C19" s="204"/>
      <c r="D19" s="5">
        <v>23</v>
      </c>
      <c r="E19" s="5">
        <v>4</v>
      </c>
      <c r="F19" s="5">
        <v>4</v>
      </c>
      <c r="G19" s="6">
        <v>0</v>
      </c>
      <c r="I19" s="1123">
        <v>42795</v>
      </c>
      <c r="J19" s="1123"/>
      <c r="K19" s="765"/>
      <c r="L19" s="6">
        <v>23</v>
      </c>
      <c r="M19" s="6">
        <v>4</v>
      </c>
      <c r="N19" s="6">
        <v>4</v>
      </c>
      <c r="O19" s="6">
        <v>0</v>
      </c>
      <c r="Q19" s="1123">
        <v>42795</v>
      </c>
      <c r="R19" s="1123"/>
      <c r="S19" s="765"/>
      <c r="T19" s="6">
        <v>23</v>
      </c>
      <c r="U19" s="6">
        <v>4</v>
      </c>
      <c r="V19" s="6">
        <v>4</v>
      </c>
      <c r="W19" s="6">
        <v>0</v>
      </c>
    </row>
    <row r="20" spans="1:23" hidden="1" x14ac:dyDescent="0.2">
      <c r="A20" s="1140">
        <v>42826</v>
      </c>
      <c r="B20" s="1140"/>
      <c r="C20" s="204"/>
      <c r="D20" s="5">
        <v>18</v>
      </c>
      <c r="E20" s="5">
        <v>5</v>
      </c>
      <c r="F20" s="5">
        <v>5</v>
      </c>
      <c r="G20" s="6">
        <v>2</v>
      </c>
      <c r="I20" s="1123">
        <v>42826</v>
      </c>
      <c r="J20" s="1123"/>
      <c r="K20" s="765"/>
      <c r="L20" s="6">
        <v>18</v>
      </c>
      <c r="M20" s="6">
        <v>5</v>
      </c>
      <c r="N20" s="6">
        <v>5</v>
      </c>
      <c r="O20" s="6">
        <v>2</v>
      </c>
      <c r="Q20" s="1123">
        <v>42826</v>
      </c>
      <c r="R20" s="1123"/>
      <c r="S20" s="765"/>
      <c r="T20" s="6">
        <v>18</v>
      </c>
      <c r="U20" s="6">
        <v>5</v>
      </c>
      <c r="V20" s="6">
        <v>5</v>
      </c>
      <c r="W20" s="6">
        <v>2</v>
      </c>
    </row>
    <row r="21" spans="1:23" hidden="1" x14ac:dyDescent="0.2">
      <c r="A21" s="1140">
        <v>42856</v>
      </c>
      <c r="B21" s="1140"/>
      <c r="C21" s="204"/>
      <c r="D21" s="5">
        <v>22</v>
      </c>
      <c r="E21" s="5">
        <v>4</v>
      </c>
      <c r="F21" s="5">
        <v>4</v>
      </c>
      <c r="G21" s="6">
        <v>1</v>
      </c>
      <c r="I21" s="1123">
        <v>42856</v>
      </c>
      <c r="J21" s="1123"/>
      <c r="K21" s="765"/>
      <c r="L21" s="6">
        <v>22</v>
      </c>
      <c r="M21" s="6">
        <v>4</v>
      </c>
      <c r="N21" s="6">
        <v>4</v>
      </c>
      <c r="O21" s="6">
        <v>1</v>
      </c>
      <c r="Q21" s="1123">
        <v>42856</v>
      </c>
      <c r="R21" s="1123"/>
      <c r="S21" s="765"/>
      <c r="T21" s="6">
        <v>22</v>
      </c>
      <c r="U21" s="6">
        <v>4</v>
      </c>
      <c r="V21" s="6">
        <v>4</v>
      </c>
      <c r="W21" s="6">
        <v>1</v>
      </c>
    </row>
    <row r="22" spans="1:23" hidden="1" x14ac:dyDescent="0.2">
      <c r="A22" s="1140">
        <v>42887</v>
      </c>
      <c r="B22" s="1140"/>
      <c r="C22" s="204"/>
      <c r="D22" s="5">
        <v>21</v>
      </c>
      <c r="E22" s="5">
        <v>4</v>
      </c>
      <c r="F22" s="5">
        <v>4</v>
      </c>
      <c r="G22" s="6">
        <v>1</v>
      </c>
      <c r="I22" s="1123">
        <v>42887</v>
      </c>
      <c r="J22" s="1123"/>
      <c r="K22" s="765"/>
      <c r="L22" s="6">
        <v>21</v>
      </c>
      <c r="M22" s="6">
        <v>4</v>
      </c>
      <c r="N22" s="6">
        <v>4</v>
      </c>
      <c r="O22" s="6">
        <v>1</v>
      </c>
      <c r="Q22" s="1123">
        <v>42887</v>
      </c>
      <c r="R22" s="1123"/>
      <c r="S22" s="765"/>
      <c r="T22" s="6">
        <v>21</v>
      </c>
      <c r="U22" s="6">
        <v>4</v>
      </c>
      <c r="V22" s="6">
        <v>4</v>
      </c>
      <c r="W22" s="6">
        <v>1</v>
      </c>
    </row>
    <row r="23" spans="1:23" hidden="1" x14ac:dyDescent="0.2">
      <c r="A23" s="1140">
        <v>42917</v>
      </c>
      <c r="B23" s="1140"/>
      <c r="C23" s="204"/>
      <c r="D23" s="5">
        <v>21</v>
      </c>
      <c r="E23" s="5">
        <v>5</v>
      </c>
      <c r="F23" s="5">
        <v>5</v>
      </c>
      <c r="G23" s="6">
        <v>0</v>
      </c>
      <c r="I23" s="1123">
        <v>42917</v>
      </c>
      <c r="J23" s="1123"/>
      <c r="K23" s="765"/>
      <c r="L23" s="6">
        <v>21</v>
      </c>
      <c r="M23" s="6">
        <v>5</v>
      </c>
      <c r="N23" s="6">
        <v>5</v>
      </c>
      <c r="O23" s="6">
        <v>0</v>
      </c>
      <c r="Q23" s="1123">
        <v>42917</v>
      </c>
      <c r="R23" s="1123"/>
      <c r="S23" s="765"/>
      <c r="T23" s="6">
        <v>21</v>
      </c>
      <c r="U23" s="6">
        <v>5</v>
      </c>
      <c r="V23" s="6">
        <v>5</v>
      </c>
      <c r="W23" s="6">
        <v>0</v>
      </c>
    </row>
    <row r="24" spans="1:23" hidden="1" x14ac:dyDescent="0.2">
      <c r="A24" s="1140">
        <v>42948</v>
      </c>
      <c r="B24" s="1140"/>
      <c r="C24" s="204"/>
      <c r="D24" s="5">
        <v>23</v>
      </c>
      <c r="E24" s="5">
        <v>4</v>
      </c>
      <c r="F24" s="5">
        <v>4</v>
      </c>
      <c r="G24" s="6">
        <v>0</v>
      </c>
      <c r="I24" s="1123">
        <v>42948</v>
      </c>
      <c r="J24" s="1123"/>
      <c r="K24" s="765"/>
      <c r="L24" s="6">
        <v>23</v>
      </c>
      <c r="M24" s="6">
        <v>4</v>
      </c>
      <c r="N24" s="6">
        <v>4</v>
      </c>
      <c r="O24" s="6">
        <v>0</v>
      </c>
      <c r="Q24" s="1123">
        <v>42948</v>
      </c>
      <c r="R24" s="1123"/>
      <c r="S24" s="765"/>
      <c r="T24" s="6">
        <v>23</v>
      </c>
      <c r="U24" s="6">
        <v>4</v>
      </c>
      <c r="V24" s="6">
        <v>4</v>
      </c>
      <c r="W24" s="6">
        <v>0</v>
      </c>
    </row>
    <row r="25" spans="1:23" hidden="1" x14ac:dyDescent="0.2">
      <c r="A25" s="1140">
        <v>42979</v>
      </c>
      <c r="B25" s="1140"/>
      <c r="C25" s="204"/>
      <c r="D25" s="5">
        <v>20</v>
      </c>
      <c r="E25" s="5">
        <v>5</v>
      </c>
      <c r="F25" s="5">
        <v>4</v>
      </c>
      <c r="G25" s="6">
        <v>1</v>
      </c>
      <c r="I25" s="1123">
        <v>42979</v>
      </c>
      <c r="J25" s="1123"/>
      <c r="K25" s="765"/>
      <c r="L25" s="6">
        <v>20</v>
      </c>
      <c r="M25" s="6">
        <v>5</v>
      </c>
      <c r="N25" s="6">
        <v>4</v>
      </c>
      <c r="O25" s="6">
        <v>1</v>
      </c>
      <c r="Q25" s="1123">
        <v>42979</v>
      </c>
      <c r="R25" s="1123"/>
      <c r="S25" s="765"/>
      <c r="T25" s="6">
        <v>20</v>
      </c>
      <c r="U25" s="6">
        <v>5</v>
      </c>
      <c r="V25" s="6">
        <v>4</v>
      </c>
      <c r="W25" s="6">
        <v>1</v>
      </c>
    </row>
    <row r="26" spans="1:23" hidden="1" x14ac:dyDescent="0.2">
      <c r="A26" s="1140">
        <v>43009</v>
      </c>
      <c r="B26" s="1140"/>
      <c r="C26" s="204"/>
      <c r="D26" s="5">
        <v>21</v>
      </c>
      <c r="E26" s="5">
        <v>4</v>
      </c>
      <c r="F26" s="5">
        <v>5</v>
      </c>
      <c r="G26" s="6">
        <v>1</v>
      </c>
      <c r="I26" s="1123">
        <v>43009</v>
      </c>
      <c r="J26" s="1123"/>
      <c r="K26" s="765"/>
      <c r="L26" s="6">
        <v>21</v>
      </c>
      <c r="M26" s="6">
        <v>4</v>
      </c>
      <c r="N26" s="6">
        <v>5</v>
      </c>
      <c r="O26" s="6">
        <v>1</v>
      </c>
      <c r="Q26" s="1123">
        <v>43009</v>
      </c>
      <c r="R26" s="1123"/>
      <c r="S26" s="765"/>
      <c r="T26" s="6">
        <v>21</v>
      </c>
      <c r="U26" s="6">
        <v>4</v>
      </c>
      <c r="V26" s="6">
        <v>5</v>
      </c>
      <c r="W26" s="6">
        <v>1</v>
      </c>
    </row>
    <row r="27" spans="1:23" hidden="1" x14ac:dyDescent="0.2">
      <c r="A27" s="1140">
        <v>43040</v>
      </c>
      <c r="B27" s="1140"/>
      <c r="C27" s="204"/>
      <c r="D27" s="5">
        <v>20</v>
      </c>
      <c r="E27" s="5">
        <v>4</v>
      </c>
      <c r="F27" s="5">
        <v>4</v>
      </c>
      <c r="G27" s="6">
        <v>2</v>
      </c>
      <c r="I27" s="1123">
        <v>43040</v>
      </c>
      <c r="J27" s="1123"/>
      <c r="K27" s="765"/>
      <c r="L27" s="6">
        <v>20</v>
      </c>
      <c r="M27" s="6">
        <v>4</v>
      </c>
      <c r="N27" s="6">
        <v>4</v>
      </c>
      <c r="O27" s="6">
        <v>2</v>
      </c>
      <c r="Q27" s="1123">
        <v>43040</v>
      </c>
      <c r="R27" s="1123"/>
      <c r="S27" s="765"/>
      <c r="T27" s="6">
        <v>20</v>
      </c>
      <c r="U27" s="6">
        <v>4</v>
      </c>
      <c r="V27" s="6">
        <v>4</v>
      </c>
      <c r="W27" s="6">
        <v>2</v>
      </c>
    </row>
    <row r="28" spans="1:23" hidden="1" x14ac:dyDescent="0.2">
      <c r="A28" s="1140">
        <v>43070</v>
      </c>
      <c r="B28" s="1140"/>
      <c r="C28" s="204"/>
      <c r="D28" s="5">
        <v>20</v>
      </c>
      <c r="E28" s="5">
        <v>5</v>
      </c>
      <c r="F28" s="5">
        <v>5</v>
      </c>
      <c r="G28" s="6">
        <v>1</v>
      </c>
      <c r="I28" s="1123">
        <v>43070</v>
      </c>
      <c r="J28" s="1123"/>
      <c r="K28" s="765"/>
      <c r="L28" s="6">
        <v>20</v>
      </c>
      <c r="M28" s="6">
        <v>5</v>
      </c>
      <c r="N28" s="6">
        <v>5</v>
      </c>
      <c r="O28" s="6">
        <v>1</v>
      </c>
      <c r="Q28" s="1123">
        <v>43070</v>
      </c>
      <c r="R28" s="1123"/>
      <c r="S28" s="765"/>
      <c r="T28" s="6">
        <v>20</v>
      </c>
      <c r="U28" s="6">
        <v>5</v>
      </c>
      <c r="V28" s="6">
        <v>5</v>
      </c>
      <c r="W28" s="6">
        <v>1</v>
      </c>
    </row>
    <row r="29" spans="1:23" hidden="1" x14ac:dyDescent="0.2">
      <c r="A29" s="1143" t="s">
        <v>41</v>
      </c>
      <c r="B29" s="1144"/>
      <c r="C29" s="205"/>
      <c r="D29" s="7">
        <f>SUM(D17:D28)</f>
        <v>250</v>
      </c>
      <c r="E29" s="7">
        <f t="shared" ref="E29:G29" si="0">SUM(E17:E28)</f>
        <v>52</v>
      </c>
      <c r="F29" s="7">
        <f t="shared" si="0"/>
        <v>53</v>
      </c>
      <c r="G29" s="7">
        <f t="shared" si="0"/>
        <v>10</v>
      </c>
      <c r="I29" s="1124" t="s">
        <v>41</v>
      </c>
      <c r="J29" s="1125"/>
      <c r="K29" s="766"/>
      <c r="L29" s="767">
        <v>250</v>
      </c>
      <c r="M29" s="767">
        <v>52</v>
      </c>
      <c r="N29" s="767">
        <v>53</v>
      </c>
      <c r="O29" s="767">
        <v>10</v>
      </c>
      <c r="Q29" s="1124" t="s">
        <v>41</v>
      </c>
      <c r="R29" s="1125"/>
      <c r="S29" s="766"/>
      <c r="T29" s="767">
        <v>250</v>
      </c>
      <c r="U29" s="767">
        <v>52</v>
      </c>
      <c r="V29" s="767">
        <v>53</v>
      </c>
      <c r="W29" s="767">
        <v>10</v>
      </c>
    </row>
    <row r="30" spans="1:23" hidden="1" x14ac:dyDescent="0.2">
      <c r="A30" s="1143" t="s">
        <v>135</v>
      </c>
      <c r="B30" s="1144"/>
      <c r="C30" s="205"/>
      <c r="D30" s="7">
        <f>D29/12</f>
        <v>21</v>
      </c>
      <c r="E30" s="7">
        <f t="shared" ref="E30:G30" si="1">E29/12</f>
        <v>4</v>
      </c>
      <c r="F30" s="7">
        <f t="shared" si="1"/>
        <v>4</v>
      </c>
      <c r="G30" s="7">
        <f t="shared" si="1"/>
        <v>1</v>
      </c>
      <c r="I30" s="1124" t="s">
        <v>135</v>
      </c>
      <c r="J30" s="1125"/>
      <c r="K30" s="766"/>
      <c r="L30" s="767">
        <v>21</v>
      </c>
      <c r="M30" s="767">
        <v>4</v>
      </c>
      <c r="N30" s="767">
        <v>4</v>
      </c>
      <c r="O30" s="767">
        <v>1</v>
      </c>
      <c r="Q30" s="1124" t="s">
        <v>135</v>
      </c>
      <c r="R30" s="1125"/>
      <c r="S30" s="766"/>
      <c r="T30" s="767">
        <v>21</v>
      </c>
      <c r="U30" s="767">
        <v>4</v>
      </c>
      <c r="V30" s="767">
        <v>4</v>
      </c>
      <c r="W30" s="767">
        <v>1</v>
      </c>
    </row>
    <row r="31" spans="1:23" hidden="1" x14ac:dyDescent="0.2">
      <c r="A31" s="1148" t="s">
        <v>134</v>
      </c>
      <c r="B31" s="1149"/>
      <c r="C31" s="1149"/>
      <c r="D31" s="1149"/>
      <c r="E31" s="1149"/>
      <c r="F31" s="1149"/>
      <c r="G31" s="147">
        <f>SUM(D30)</f>
        <v>21</v>
      </c>
      <c r="I31" s="1124" t="s">
        <v>134</v>
      </c>
      <c r="J31" s="1126"/>
      <c r="K31" s="1126"/>
      <c r="L31" s="1126"/>
      <c r="M31" s="1126"/>
      <c r="N31" s="1126"/>
      <c r="O31" s="767">
        <v>21</v>
      </c>
      <c r="Q31" s="1124" t="s">
        <v>134</v>
      </c>
      <c r="R31" s="1126"/>
      <c r="S31" s="1126"/>
      <c r="T31" s="1126"/>
      <c r="U31" s="1126"/>
      <c r="V31" s="1126"/>
      <c r="W31" s="767">
        <v>21</v>
      </c>
    </row>
    <row r="32" spans="1:23" hidden="1" x14ac:dyDescent="0.2">
      <c r="A32" s="1115"/>
      <c r="B32" s="1115"/>
      <c r="C32" s="1115"/>
      <c r="D32" s="1115"/>
      <c r="E32" s="1115"/>
      <c r="F32" s="1115"/>
      <c r="G32" s="1115"/>
      <c r="I32" s="1115"/>
      <c r="J32" s="1115"/>
      <c r="K32" s="1115"/>
      <c r="L32" s="1115"/>
      <c r="M32" s="1115"/>
      <c r="N32" s="1115"/>
      <c r="O32" s="1115"/>
      <c r="Q32" s="1115"/>
      <c r="R32" s="1115"/>
      <c r="S32" s="1115"/>
      <c r="T32" s="1115"/>
      <c r="U32" s="1115"/>
      <c r="V32" s="1115"/>
      <c r="W32" s="1115"/>
    </row>
    <row r="33" spans="1:23" ht="15" customHeight="1" x14ac:dyDescent="0.2">
      <c r="A33" s="1109" t="s">
        <v>96</v>
      </c>
      <c r="B33" s="1109"/>
      <c r="C33" s="1109"/>
      <c r="D33" s="1109"/>
      <c r="E33" s="1109"/>
      <c r="F33" s="1109"/>
      <c r="G33" s="1109"/>
      <c r="I33" s="1109" t="s">
        <v>96</v>
      </c>
      <c r="J33" s="1109"/>
      <c r="K33" s="1109"/>
      <c r="L33" s="1109"/>
      <c r="M33" s="1109"/>
      <c r="N33" s="1109"/>
      <c r="O33" s="1109"/>
      <c r="Q33" s="1109" t="s">
        <v>96</v>
      </c>
      <c r="R33" s="1109"/>
      <c r="S33" s="1109"/>
      <c r="T33" s="1109"/>
      <c r="U33" s="1109"/>
      <c r="V33" s="1109"/>
      <c r="W33" s="1109"/>
    </row>
    <row r="34" spans="1:23" ht="71.25" x14ac:dyDescent="0.2">
      <c r="A34" s="1" t="s">
        <v>63</v>
      </c>
      <c r="B34" s="1119" t="s">
        <v>97</v>
      </c>
      <c r="C34" s="1120"/>
      <c r="D34" s="168" t="s">
        <v>108</v>
      </c>
      <c r="E34" s="168" t="s">
        <v>180</v>
      </c>
      <c r="F34" s="168" t="s">
        <v>181</v>
      </c>
      <c r="G34" s="168" t="s">
        <v>182</v>
      </c>
      <c r="I34" s="1" t="s">
        <v>63</v>
      </c>
      <c r="J34" s="1119" t="s">
        <v>97</v>
      </c>
      <c r="K34" s="1120"/>
      <c r="L34" s="168" t="s">
        <v>108</v>
      </c>
      <c r="M34" s="168" t="s">
        <v>180</v>
      </c>
      <c r="N34" s="168" t="s">
        <v>181</v>
      </c>
      <c r="O34" s="168" t="s">
        <v>182</v>
      </c>
      <c r="Q34" s="1" t="s">
        <v>63</v>
      </c>
      <c r="R34" s="1119" t="s">
        <v>97</v>
      </c>
      <c r="S34" s="1120"/>
      <c r="T34" s="168" t="s">
        <v>108</v>
      </c>
      <c r="U34" s="168" t="s">
        <v>180</v>
      </c>
      <c r="V34" s="168" t="s">
        <v>181</v>
      </c>
      <c r="W34" s="168" t="s">
        <v>182</v>
      </c>
    </row>
    <row r="35" spans="1:23" ht="31.5" customHeight="1" x14ac:dyDescent="0.2">
      <c r="A35" s="209">
        <v>1</v>
      </c>
      <c r="B35" s="1110" t="str">
        <f>Dados!P73</f>
        <v>Vigilante Armado, 12 horas diunas em escala 12x36, das 07h às 19h</v>
      </c>
      <c r="C35" s="1111"/>
      <c r="D35" s="8">
        <f>Dados!U73</f>
        <v>2192.65</v>
      </c>
      <c r="E35" s="9">
        <f t="shared" ref="E35:E37" si="2">$G$12</f>
        <v>165</v>
      </c>
      <c r="F35" s="8">
        <f>D35*Dados!$J$46</f>
        <v>131.56</v>
      </c>
      <c r="G35" s="8">
        <f>E35-F35</f>
        <v>33.44</v>
      </c>
      <c r="I35" s="716">
        <v>1</v>
      </c>
      <c r="J35" s="1110" t="s">
        <v>344</v>
      </c>
      <c r="K35" s="1111"/>
      <c r="L35" s="674">
        <f>Dados!U73*1.03</f>
        <v>2258.4299999999998</v>
      </c>
      <c r="M35" s="9">
        <v>165</v>
      </c>
      <c r="N35" s="8">
        <v>135.51</v>
      </c>
      <c r="O35" s="8">
        <v>29.49</v>
      </c>
      <c r="Q35" s="716">
        <v>1</v>
      </c>
      <c r="R35" s="1110" t="s">
        <v>344</v>
      </c>
      <c r="S35" s="1111"/>
      <c r="T35" s="674">
        <f>Dados!U73*1.03</f>
        <v>2258.4299999999998</v>
      </c>
      <c r="U35" s="9">
        <v>165</v>
      </c>
      <c r="V35" s="8">
        <v>135.51</v>
      </c>
      <c r="W35" s="8">
        <v>29.49</v>
      </c>
    </row>
    <row r="36" spans="1:23" ht="45" customHeight="1" x14ac:dyDescent="0.2">
      <c r="A36" s="236">
        <v>2</v>
      </c>
      <c r="B36" s="1110" t="str">
        <f>Dados!P74</f>
        <v>Vigilante Desarmado Diurno, 44 horas semanais, sendo 8h48 trabalhadas de 2ª a 6ª feira, entre das 07h e 21h</v>
      </c>
      <c r="C36" s="1111"/>
      <c r="D36" s="8">
        <f>Dados!U74</f>
        <v>2192.65</v>
      </c>
      <c r="E36" s="9">
        <f>$G$13</f>
        <v>242</v>
      </c>
      <c r="F36" s="8">
        <f>D36*Dados!$J$46</f>
        <v>131.56</v>
      </c>
      <c r="G36" s="8">
        <f t="shared" ref="G36:G37" si="3">E36-F36</f>
        <v>110.44</v>
      </c>
      <c r="I36" s="716">
        <v>2</v>
      </c>
      <c r="J36" s="1110" t="s">
        <v>360</v>
      </c>
      <c r="K36" s="1111"/>
      <c r="L36" s="8">
        <f>Dados!U74*1.03</f>
        <v>2258.4299999999998</v>
      </c>
      <c r="M36" s="9">
        <v>242</v>
      </c>
      <c r="N36" s="8">
        <v>135.51</v>
      </c>
      <c r="O36" s="8">
        <v>106.49</v>
      </c>
      <c r="Q36" s="716">
        <v>2</v>
      </c>
      <c r="R36" s="1110" t="s">
        <v>360</v>
      </c>
      <c r="S36" s="1111"/>
      <c r="T36" s="8">
        <f>Dados!U74*1.03</f>
        <v>2258.4299999999998</v>
      </c>
      <c r="U36" s="9">
        <v>242</v>
      </c>
      <c r="V36" s="8">
        <v>135.51</v>
      </c>
      <c r="W36" s="8">
        <v>106.49</v>
      </c>
    </row>
    <row r="37" spans="1:23" ht="108" customHeight="1" x14ac:dyDescent="0.2">
      <c r="A37" s="236">
        <v>3</v>
      </c>
      <c r="B37" s="1110" t="str">
        <f>Dados!P75</f>
        <v>Vigilante Armado, 12 horas noturnas em escala 12x36, das 19h às 07h</v>
      </c>
      <c r="C37" s="1111"/>
      <c r="D37" s="8">
        <f>Dados!U75</f>
        <v>2192.65</v>
      </c>
      <c r="E37" s="9">
        <f t="shared" si="2"/>
        <v>165</v>
      </c>
      <c r="F37" s="8">
        <f>D37*Dados!$J$46</f>
        <v>131.56</v>
      </c>
      <c r="G37" s="8">
        <f t="shared" si="3"/>
        <v>33.44</v>
      </c>
      <c r="I37" s="716">
        <v>3</v>
      </c>
      <c r="J37" s="1110" t="s">
        <v>349</v>
      </c>
      <c r="K37" s="1111"/>
      <c r="L37" s="8">
        <f>Dados!U75*1.03</f>
        <v>2258.4299999999998</v>
      </c>
      <c r="M37" s="9">
        <v>165</v>
      </c>
      <c r="N37" s="8">
        <v>135.51</v>
      </c>
      <c r="O37" s="8">
        <v>29.49</v>
      </c>
      <c r="Q37" s="716">
        <v>3</v>
      </c>
      <c r="R37" s="1110" t="s">
        <v>349</v>
      </c>
      <c r="S37" s="1111"/>
      <c r="T37" s="8">
        <f>Dados!U75*1.03</f>
        <v>2258.4299999999998</v>
      </c>
      <c r="U37" s="9">
        <v>165</v>
      </c>
      <c r="V37" s="8">
        <v>135.51</v>
      </c>
      <c r="W37" s="8">
        <v>29.49</v>
      </c>
    </row>
    <row r="38" spans="1:23" hidden="1" x14ac:dyDescent="0.2">
      <c r="A38" s="1146" t="s">
        <v>136</v>
      </c>
      <c r="B38" s="1146"/>
      <c r="C38" s="1146"/>
      <c r="D38" s="1146"/>
      <c r="E38" s="1146"/>
      <c r="F38" s="1146"/>
      <c r="G38" s="1146"/>
      <c r="I38" s="1121" t="s">
        <v>136</v>
      </c>
      <c r="J38" s="1121"/>
      <c r="K38" s="1121"/>
      <c r="L38" s="1121"/>
      <c r="M38" s="1121"/>
      <c r="N38" s="1121"/>
      <c r="O38" s="1121"/>
      <c r="Q38" s="1121" t="s">
        <v>136</v>
      </c>
      <c r="R38" s="1121"/>
      <c r="S38" s="1121"/>
      <c r="T38" s="1121"/>
      <c r="U38" s="1121"/>
      <c r="V38" s="1121"/>
      <c r="W38" s="1121"/>
    </row>
    <row r="39" spans="1:23" ht="0.75" customHeight="1" x14ac:dyDescent="0.2">
      <c r="A39" s="1147"/>
      <c r="B39" s="1147"/>
      <c r="C39" s="1147"/>
      <c r="D39" s="1147"/>
      <c r="E39" s="1147"/>
      <c r="F39" s="1147"/>
      <c r="G39" s="1147"/>
      <c r="I39" s="1052"/>
      <c r="J39" s="1052"/>
      <c r="K39" s="1052"/>
      <c r="L39" s="1052"/>
      <c r="M39" s="1052"/>
      <c r="N39" s="1052"/>
      <c r="O39" s="1052"/>
      <c r="Q39" s="1052"/>
      <c r="R39" s="1052"/>
      <c r="S39" s="1052"/>
      <c r="T39" s="1052"/>
      <c r="U39" s="1052"/>
      <c r="V39" s="1052"/>
      <c r="W39" s="1052"/>
    </row>
    <row r="40" spans="1:23" ht="31.5" customHeight="1" x14ac:dyDescent="0.2">
      <c r="A40" s="208"/>
      <c r="B40" s="208"/>
      <c r="C40" s="208"/>
      <c r="D40" s="208"/>
      <c r="E40" s="208"/>
      <c r="F40" s="208"/>
      <c r="G40" s="208"/>
      <c r="I40" s="711"/>
      <c r="J40" s="711"/>
      <c r="K40" s="711"/>
      <c r="L40" s="711"/>
      <c r="M40" s="711"/>
      <c r="N40" s="711"/>
      <c r="O40" s="711"/>
      <c r="Q40" s="716">
        <v>4</v>
      </c>
      <c r="R40" s="1110" t="s">
        <v>560</v>
      </c>
      <c r="S40" s="1111"/>
      <c r="T40" s="8">
        <f>'Item 4 Inserido após o II TA '!G35</f>
        <v>2708.92</v>
      </c>
      <c r="U40" s="9">
        <v>242</v>
      </c>
      <c r="V40" s="8">
        <f>T40*6%</f>
        <v>162.54</v>
      </c>
      <c r="W40" s="8">
        <f>U40-V40</f>
        <v>79.459999999999994</v>
      </c>
    </row>
    <row r="41" spans="1:23" x14ac:dyDescent="0.2">
      <c r="A41" s="208"/>
      <c r="B41" s="208"/>
      <c r="C41" s="208"/>
      <c r="D41" s="208"/>
      <c r="E41" s="208"/>
      <c r="F41" s="208"/>
      <c r="G41" s="208"/>
      <c r="I41" s="711"/>
      <c r="J41" s="711"/>
      <c r="K41" s="711"/>
      <c r="L41" s="711"/>
      <c r="M41" s="711"/>
      <c r="N41" s="711"/>
      <c r="O41" s="711"/>
      <c r="Q41" s="711"/>
      <c r="R41" s="711"/>
      <c r="S41" s="711"/>
      <c r="T41" s="711"/>
      <c r="U41" s="711"/>
      <c r="V41" s="711"/>
      <c r="W41" s="711"/>
    </row>
    <row r="42" spans="1:23" x14ac:dyDescent="0.2">
      <c r="A42" s="1145" t="s">
        <v>173</v>
      </c>
      <c r="B42" s="1145"/>
      <c r="C42" s="164" t="str">
        <f>Dados!N82</f>
        <v>SINDESV/SINDESP-DF</v>
      </c>
      <c r="D42" s="208"/>
      <c r="E42" s="208"/>
      <c r="F42" s="208"/>
      <c r="G42" s="208"/>
      <c r="I42" s="1122" t="s">
        <v>173</v>
      </c>
      <c r="J42" s="1122"/>
      <c r="K42" s="678" t="s">
        <v>242</v>
      </c>
      <c r="L42" s="711"/>
      <c r="M42" s="711"/>
      <c r="N42" s="711"/>
      <c r="O42" s="711"/>
      <c r="Q42" s="1122" t="s">
        <v>173</v>
      </c>
      <c r="R42" s="1122"/>
      <c r="S42" s="678" t="s">
        <v>242</v>
      </c>
      <c r="T42" s="711"/>
      <c r="U42" s="711"/>
      <c r="V42" s="768"/>
      <c r="W42" s="768"/>
    </row>
    <row r="43" spans="1:23" x14ac:dyDescent="0.2">
      <c r="A43" s="1145" t="s">
        <v>174</v>
      </c>
      <c r="B43" s="1145"/>
      <c r="C43" s="165" t="str">
        <f>Dados!Q82</f>
        <v>01/01/2020 a 31/12/2020</v>
      </c>
      <c r="D43" s="208"/>
      <c r="E43" s="208"/>
      <c r="F43" s="208"/>
      <c r="G43" s="208"/>
      <c r="I43" s="1122" t="s">
        <v>174</v>
      </c>
      <c r="J43" s="1122"/>
      <c r="K43" s="769" t="s">
        <v>517</v>
      </c>
      <c r="L43" s="711"/>
      <c r="M43" s="711"/>
      <c r="N43" s="711"/>
      <c r="O43" s="711"/>
      <c r="Q43" s="1122" t="s">
        <v>174</v>
      </c>
      <c r="R43" s="1122"/>
      <c r="S43" s="769" t="s">
        <v>517</v>
      </c>
      <c r="T43" s="711"/>
      <c r="U43" s="711"/>
      <c r="V43" s="711"/>
      <c r="W43" s="711"/>
    </row>
    <row r="44" spans="1:23" ht="17.25" customHeight="1" x14ac:dyDescent="0.2">
      <c r="A44" s="1112" t="s">
        <v>290</v>
      </c>
      <c r="B44" s="1113"/>
      <c r="C44" s="1113"/>
      <c r="D44" s="1113"/>
      <c r="E44" s="1113"/>
      <c r="F44" s="1113"/>
      <c r="G44" s="1114"/>
      <c r="I44" s="1112" t="s">
        <v>290</v>
      </c>
      <c r="J44" s="1113"/>
      <c r="K44" s="1113"/>
      <c r="L44" s="1113"/>
      <c r="M44" s="1113"/>
      <c r="N44" s="1113"/>
      <c r="O44" s="1114"/>
      <c r="Q44" s="1112" t="s">
        <v>290</v>
      </c>
      <c r="R44" s="1113"/>
      <c r="S44" s="1113"/>
      <c r="T44" s="1113"/>
      <c r="U44" s="1113"/>
      <c r="V44" s="1113"/>
      <c r="W44" s="1114"/>
    </row>
    <row r="45" spans="1:23" ht="46.5" customHeight="1" x14ac:dyDescent="0.2">
      <c r="A45" s="207" t="s">
        <v>63</v>
      </c>
      <c r="B45" s="1112" t="s">
        <v>85</v>
      </c>
      <c r="C45" s="1113"/>
      <c r="D45" s="1114"/>
      <c r="E45" s="1" t="s">
        <v>172</v>
      </c>
      <c r="F45" s="1" t="s">
        <v>98</v>
      </c>
      <c r="G45" s="1" t="s">
        <v>99</v>
      </c>
      <c r="I45" s="715" t="s">
        <v>63</v>
      </c>
      <c r="J45" s="1112" t="s">
        <v>85</v>
      </c>
      <c r="K45" s="1113"/>
      <c r="L45" s="1114"/>
      <c r="M45" s="1" t="s">
        <v>172</v>
      </c>
      <c r="N45" s="1" t="s">
        <v>98</v>
      </c>
      <c r="O45" s="1" t="s">
        <v>99</v>
      </c>
      <c r="Q45" s="715" t="s">
        <v>63</v>
      </c>
      <c r="R45" s="1112" t="s">
        <v>85</v>
      </c>
      <c r="S45" s="1113"/>
      <c r="T45" s="1114"/>
      <c r="U45" s="1" t="s">
        <v>172</v>
      </c>
      <c r="V45" s="1" t="s">
        <v>98</v>
      </c>
      <c r="W45" s="1" t="s">
        <v>99</v>
      </c>
    </row>
    <row r="46" spans="1:23" x14ac:dyDescent="0.2">
      <c r="A46" s="1115">
        <v>1</v>
      </c>
      <c r="B46" s="1116" t="str">
        <f>Dados!J30</f>
        <v>Escala 12x36 horas</v>
      </c>
      <c r="C46" s="1116"/>
      <c r="D46" s="1116"/>
      <c r="E46" s="2">
        <f>INDEX(Dados!$J$27:$M$32,MATCH(B46,Dados!$J$27:$J$32,0),4)</f>
        <v>15</v>
      </c>
      <c r="F46" s="1117">
        <v>37.5</v>
      </c>
      <c r="G46" s="3">
        <f>$F$46*E46</f>
        <v>562.5</v>
      </c>
      <c r="I46" s="1115">
        <v>1</v>
      </c>
      <c r="J46" s="1116" t="s">
        <v>140</v>
      </c>
      <c r="K46" s="1116"/>
      <c r="L46" s="1116"/>
      <c r="M46" s="2">
        <v>15</v>
      </c>
      <c r="N46" s="1117">
        <v>39.29</v>
      </c>
      <c r="O46" s="3">
        <v>589.35</v>
      </c>
      <c r="Q46" s="1115">
        <v>1</v>
      </c>
      <c r="R46" s="1116" t="s">
        <v>140</v>
      </c>
      <c r="S46" s="1116"/>
      <c r="T46" s="1116"/>
      <c r="U46" s="2">
        <v>15</v>
      </c>
      <c r="V46" s="1117">
        <v>39.29</v>
      </c>
      <c r="W46" s="3">
        <v>589.35</v>
      </c>
    </row>
    <row r="47" spans="1:23" x14ac:dyDescent="0.2">
      <c r="A47" s="1115"/>
      <c r="B47" s="1116" t="str">
        <f>Dados!J31</f>
        <v>44 horas semanais - 5x2</v>
      </c>
      <c r="C47" s="1116"/>
      <c r="D47" s="1116"/>
      <c r="E47" s="2">
        <f>INDEX(Dados!$J$27:$M$32,MATCH(B47,Dados!$J$27:$J$32,0),4)</f>
        <v>22</v>
      </c>
      <c r="F47" s="1117"/>
      <c r="G47" s="3">
        <f>$F$46*E47</f>
        <v>825</v>
      </c>
      <c r="I47" s="1115"/>
      <c r="J47" s="1116" t="s">
        <v>141</v>
      </c>
      <c r="K47" s="1116"/>
      <c r="L47" s="1116"/>
      <c r="M47" s="2">
        <v>22</v>
      </c>
      <c r="N47" s="1117"/>
      <c r="O47" s="3">
        <v>864.38</v>
      </c>
      <c r="Q47" s="1115"/>
      <c r="R47" s="1116" t="s">
        <v>141</v>
      </c>
      <c r="S47" s="1116"/>
      <c r="T47" s="1116"/>
      <c r="U47" s="2">
        <v>22</v>
      </c>
      <c r="V47" s="1117"/>
      <c r="W47" s="3">
        <v>864.38</v>
      </c>
    </row>
    <row r="48" spans="1:23" ht="9.75" customHeight="1" x14ac:dyDescent="0.2">
      <c r="A48" s="11"/>
      <c r="B48" s="12"/>
      <c r="C48" s="12"/>
      <c r="D48" s="13"/>
      <c r="E48" s="14"/>
      <c r="F48" s="15"/>
      <c r="G48" s="12"/>
      <c r="I48" s="11"/>
      <c r="J48" s="12"/>
      <c r="K48" s="12"/>
      <c r="L48" s="13"/>
      <c r="M48" s="14"/>
      <c r="N48" s="15"/>
      <c r="O48" s="12"/>
      <c r="Q48" s="11"/>
      <c r="R48" s="12"/>
      <c r="S48" s="12"/>
      <c r="T48" s="13"/>
      <c r="U48" s="14"/>
      <c r="V48" s="15"/>
      <c r="W48" s="12"/>
    </row>
    <row r="49" spans="1:23" x14ac:dyDescent="0.2">
      <c r="A49" s="1109" t="s">
        <v>280</v>
      </c>
      <c r="B49" s="1109"/>
      <c r="C49" s="1109"/>
      <c r="D49" s="1109"/>
      <c r="E49" s="1109"/>
      <c r="F49" s="1109"/>
      <c r="G49" s="1109"/>
      <c r="I49" s="1109" t="s">
        <v>280</v>
      </c>
      <c r="J49" s="1109"/>
      <c r="K49" s="1109"/>
      <c r="L49" s="1109"/>
      <c r="M49" s="1109"/>
      <c r="N49" s="1109"/>
      <c r="O49" s="1109"/>
      <c r="Q49" s="1109" t="s">
        <v>280</v>
      </c>
      <c r="R49" s="1109"/>
      <c r="S49" s="1109"/>
      <c r="T49" s="1109"/>
      <c r="U49" s="1109"/>
      <c r="V49" s="1109"/>
      <c r="W49" s="1109"/>
    </row>
    <row r="50" spans="1:23" ht="57" x14ac:dyDescent="0.2">
      <c r="A50" s="227" t="s">
        <v>63</v>
      </c>
      <c r="B50" s="1112" t="s">
        <v>85</v>
      </c>
      <c r="C50" s="1113"/>
      <c r="D50" s="1114"/>
      <c r="E50" s="1" t="s">
        <v>172</v>
      </c>
      <c r="F50" s="1" t="s">
        <v>98</v>
      </c>
      <c r="G50" s="1" t="s">
        <v>281</v>
      </c>
      <c r="I50" s="715" t="s">
        <v>63</v>
      </c>
      <c r="J50" s="1112" t="s">
        <v>85</v>
      </c>
      <c r="K50" s="1113"/>
      <c r="L50" s="1114"/>
      <c r="M50" s="1" t="s">
        <v>172</v>
      </c>
      <c r="N50" s="1" t="s">
        <v>98</v>
      </c>
      <c r="O50" s="1" t="s">
        <v>281</v>
      </c>
      <c r="Q50" s="715" t="s">
        <v>63</v>
      </c>
      <c r="R50" s="1112" t="s">
        <v>85</v>
      </c>
      <c r="S50" s="1113"/>
      <c r="T50" s="1114"/>
      <c r="U50" s="1" t="s">
        <v>172</v>
      </c>
      <c r="V50" s="1" t="s">
        <v>98</v>
      </c>
      <c r="W50" s="1" t="s">
        <v>281</v>
      </c>
    </row>
    <row r="51" spans="1:23" x14ac:dyDescent="0.2">
      <c r="A51" s="1115">
        <v>1</v>
      </c>
      <c r="B51" s="1118" t="s">
        <v>291</v>
      </c>
      <c r="C51" s="1118"/>
      <c r="D51" s="1118"/>
      <c r="E51" s="2">
        <f>E46</f>
        <v>15</v>
      </c>
      <c r="F51" s="1117">
        <v>0.75</v>
      </c>
      <c r="G51" s="3">
        <f>-F51*E51</f>
        <v>-11.25</v>
      </c>
      <c r="I51" s="1115">
        <v>1</v>
      </c>
      <c r="J51" s="1118" t="s">
        <v>291</v>
      </c>
      <c r="K51" s="1118"/>
      <c r="L51" s="1118"/>
      <c r="M51" s="2">
        <v>15</v>
      </c>
      <c r="N51" s="1117">
        <v>0.79</v>
      </c>
      <c r="O51" s="3">
        <v>-11.85</v>
      </c>
      <c r="Q51" s="1115">
        <v>1</v>
      </c>
      <c r="R51" s="1118" t="s">
        <v>291</v>
      </c>
      <c r="S51" s="1118"/>
      <c r="T51" s="1118"/>
      <c r="U51" s="2">
        <v>15</v>
      </c>
      <c r="V51" s="1117">
        <v>0.79</v>
      </c>
      <c r="W51" s="3">
        <v>-11.85</v>
      </c>
    </row>
    <row r="52" spans="1:23" x14ac:dyDescent="0.2">
      <c r="A52" s="1115"/>
      <c r="B52" s="1118"/>
      <c r="C52" s="1118"/>
      <c r="D52" s="1118"/>
      <c r="E52" s="2">
        <f>E47</f>
        <v>22</v>
      </c>
      <c r="F52" s="1117"/>
      <c r="G52" s="3">
        <f>-F51*E52</f>
        <v>-16.5</v>
      </c>
      <c r="I52" s="1115"/>
      <c r="J52" s="1118"/>
      <c r="K52" s="1118"/>
      <c r="L52" s="1118"/>
      <c r="M52" s="2">
        <v>22</v>
      </c>
      <c r="N52" s="1117"/>
      <c r="O52" s="3">
        <v>-17.38</v>
      </c>
      <c r="Q52" s="1115"/>
      <c r="R52" s="1118"/>
      <c r="S52" s="1118"/>
      <c r="T52" s="1118"/>
      <c r="U52" s="2">
        <v>22</v>
      </c>
      <c r="V52" s="1117"/>
      <c r="W52" s="3">
        <v>-17.38</v>
      </c>
    </row>
    <row r="53" spans="1:23" x14ac:dyDescent="0.2">
      <c r="A53" s="11"/>
      <c r="B53" s="12"/>
      <c r="C53" s="12"/>
      <c r="D53" s="13"/>
      <c r="E53" s="14"/>
      <c r="F53" s="15"/>
      <c r="G53" s="12"/>
      <c r="I53" s="11"/>
      <c r="J53" s="12"/>
      <c r="K53" s="12"/>
      <c r="L53" s="13"/>
      <c r="M53" s="14"/>
      <c r="N53" s="15"/>
      <c r="O53" s="12"/>
      <c r="Q53" s="11"/>
      <c r="R53" s="12"/>
      <c r="S53" s="12"/>
      <c r="T53" s="13"/>
      <c r="U53" s="14"/>
      <c r="V53" s="15"/>
      <c r="W53" s="12"/>
    </row>
    <row r="54" spans="1:23" x14ac:dyDescent="0.2">
      <c r="A54" s="11"/>
      <c r="B54" s="12"/>
      <c r="C54" s="12"/>
      <c r="D54" s="13"/>
      <c r="E54" s="14"/>
      <c r="F54" s="15"/>
      <c r="G54" s="12"/>
      <c r="I54" s="11"/>
      <c r="J54" s="12"/>
      <c r="K54" s="12"/>
      <c r="L54" s="13"/>
      <c r="M54" s="14"/>
      <c r="N54" s="15"/>
      <c r="O54" s="12"/>
      <c r="Q54" s="11"/>
      <c r="R54" s="12"/>
      <c r="S54" s="12"/>
      <c r="T54" s="13"/>
      <c r="U54" s="14"/>
      <c r="V54" s="15"/>
      <c r="W54" s="12"/>
    </row>
    <row r="55" spans="1:23" x14ac:dyDescent="0.2">
      <c r="A55" s="1109" t="s">
        <v>278</v>
      </c>
      <c r="B55" s="1109"/>
      <c r="C55" s="1109"/>
      <c r="D55" s="1109"/>
      <c r="E55" s="1109"/>
      <c r="F55" s="158"/>
      <c r="G55" s="158"/>
      <c r="I55" s="1108" t="s">
        <v>278</v>
      </c>
      <c r="J55" s="1108"/>
      <c r="K55" s="1108"/>
      <c r="L55" s="1108"/>
      <c r="M55" s="1108"/>
      <c r="N55" s="158"/>
      <c r="O55" s="158"/>
      <c r="Q55" s="1108" t="s">
        <v>278</v>
      </c>
      <c r="R55" s="1108"/>
      <c r="S55" s="1108"/>
      <c r="T55" s="1108"/>
      <c r="U55" s="1108"/>
      <c r="V55" s="158"/>
      <c r="W55" s="158"/>
    </row>
    <row r="56" spans="1:23" ht="21" customHeight="1" x14ac:dyDescent="0.2">
      <c r="A56" s="207" t="s">
        <v>63</v>
      </c>
      <c r="B56" s="1109" t="s">
        <v>162</v>
      </c>
      <c r="C56" s="1109"/>
      <c r="D56" s="1109"/>
      <c r="E56" s="207" t="s">
        <v>68</v>
      </c>
      <c r="F56" s="158"/>
      <c r="G56" s="158"/>
      <c r="I56" s="715" t="s">
        <v>63</v>
      </c>
      <c r="J56" s="1109" t="s">
        <v>162</v>
      </c>
      <c r="K56" s="1109"/>
      <c r="L56" s="1109"/>
      <c r="M56" s="715" t="s">
        <v>68</v>
      </c>
      <c r="N56" s="158"/>
      <c r="O56" s="158"/>
      <c r="Q56" s="715" t="s">
        <v>63</v>
      </c>
      <c r="R56" s="1109" t="s">
        <v>162</v>
      </c>
      <c r="S56" s="1109"/>
      <c r="T56" s="1109"/>
      <c r="U56" s="715" t="s">
        <v>68</v>
      </c>
      <c r="V56" s="158"/>
      <c r="W56" s="158"/>
    </row>
    <row r="57" spans="1:23" ht="15" customHeight="1" x14ac:dyDescent="0.2">
      <c r="A57" s="209">
        <v>2</v>
      </c>
      <c r="B57" s="160" t="s">
        <v>516</v>
      </c>
      <c r="C57" s="163"/>
      <c r="D57" s="216"/>
      <c r="E57" s="167">
        <f>Dados!J50</f>
        <v>140</v>
      </c>
      <c r="F57" s="159"/>
      <c r="G57" s="159"/>
      <c r="I57" s="716">
        <v>2</v>
      </c>
      <c r="J57" s="770" t="s">
        <v>516</v>
      </c>
      <c r="K57" s="771"/>
      <c r="L57" s="216"/>
      <c r="M57" s="378">
        <v>140</v>
      </c>
      <c r="N57" s="159"/>
      <c r="O57" s="159"/>
      <c r="Q57" s="716">
        <v>2</v>
      </c>
      <c r="R57" s="770" t="s">
        <v>516</v>
      </c>
      <c r="S57" s="771"/>
      <c r="T57" s="216"/>
      <c r="U57" s="378">
        <v>140</v>
      </c>
      <c r="V57" s="159"/>
      <c r="W57" s="159"/>
    </row>
    <row r="58" spans="1:23" ht="15" customHeight="1" x14ac:dyDescent="0.2">
      <c r="A58" s="209">
        <v>3</v>
      </c>
      <c r="B58" s="160" t="s">
        <v>295</v>
      </c>
      <c r="C58" s="163"/>
      <c r="D58" s="216"/>
      <c r="E58" s="167">
        <f>Dados!J51</f>
        <v>14</v>
      </c>
      <c r="F58" s="159"/>
      <c r="G58" s="159"/>
      <c r="I58" s="716">
        <v>3</v>
      </c>
      <c r="J58" s="770" t="s">
        <v>295</v>
      </c>
      <c r="K58" s="771"/>
      <c r="L58" s="216"/>
      <c r="M58" s="378">
        <v>14</v>
      </c>
      <c r="N58" s="159"/>
      <c r="O58" s="159"/>
      <c r="Q58" s="716">
        <v>3</v>
      </c>
      <c r="R58" s="770" t="s">
        <v>295</v>
      </c>
      <c r="S58" s="771"/>
      <c r="T58" s="216"/>
      <c r="U58" s="378">
        <v>14</v>
      </c>
      <c r="V58" s="159"/>
      <c r="W58" s="159"/>
    </row>
    <row r="59" spans="1:23" x14ac:dyDescent="0.2">
      <c r="A59" s="209">
        <v>4</v>
      </c>
      <c r="B59" s="375" t="s">
        <v>294</v>
      </c>
      <c r="C59" s="163"/>
      <c r="D59" s="216"/>
      <c r="E59" s="378">
        <f>Dados!J52</f>
        <v>6.4</v>
      </c>
      <c r="I59" s="716">
        <v>4</v>
      </c>
      <c r="J59" s="772" t="s">
        <v>294</v>
      </c>
      <c r="K59" s="771"/>
      <c r="L59" s="216"/>
      <c r="M59" s="378">
        <f>2258.43*26*0.01124%</f>
        <v>6.6</v>
      </c>
      <c r="Q59" s="716">
        <v>4</v>
      </c>
      <c r="R59" s="772" t="s">
        <v>294</v>
      </c>
      <c r="S59" s="771"/>
      <c r="T59" s="216"/>
      <c r="U59" s="378">
        <f>2258.43*26*0.01124%</f>
        <v>6.6</v>
      </c>
    </row>
    <row r="60" spans="1:23" x14ac:dyDescent="0.2">
      <c r="A60" s="209">
        <v>5</v>
      </c>
      <c r="B60" s="160" t="s">
        <v>293</v>
      </c>
      <c r="C60" s="163"/>
      <c r="D60" s="216"/>
      <c r="E60" s="167">
        <f>Dados!J53</f>
        <v>9</v>
      </c>
      <c r="I60" s="716">
        <v>5</v>
      </c>
      <c r="J60" s="770" t="s">
        <v>293</v>
      </c>
      <c r="K60" s="771"/>
      <c r="L60" s="216"/>
      <c r="M60" s="378">
        <v>9</v>
      </c>
      <c r="Q60" s="716">
        <v>5</v>
      </c>
      <c r="R60" s="770" t="s">
        <v>293</v>
      </c>
      <c r="S60" s="771"/>
      <c r="T60" s="216"/>
      <c r="U60" s="378">
        <v>9</v>
      </c>
    </row>
    <row r="61" spans="1:23" hidden="1" x14ac:dyDescent="0.2">
      <c r="A61" s="209">
        <v>6</v>
      </c>
      <c r="B61" s="160" t="s">
        <v>283</v>
      </c>
      <c r="C61" s="163"/>
      <c r="D61" s="216"/>
      <c r="E61" s="167">
        <v>0</v>
      </c>
      <c r="I61" s="716">
        <v>6</v>
      </c>
      <c r="J61" s="770" t="s">
        <v>283</v>
      </c>
      <c r="K61" s="771"/>
      <c r="L61" s="216"/>
      <c r="M61" s="378">
        <v>0</v>
      </c>
      <c r="Q61" s="716">
        <v>6</v>
      </c>
      <c r="R61" s="770" t="s">
        <v>283</v>
      </c>
      <c r="S61" s="771"/>
      <c r="T61" s="216"/>
      <c r="U61" s="378">
        <v>0</v>
      </c>
    </row>
    <row r="62" spans="1:23" hidden="1" x14ac:dyDescent="0.2">
      <c r="A62" s="228">
        <v>7</v>
      </c>
      <c r="B62" s="160" t="s">
        <v>296</v>
      </c>
      <c r="C62" s="163"/>
      <c r="D62" s="216"/>
      <c r="E62" s="167">
        <v>0</v>
      </c>
      <c r="I62" s="716">
        <v>7</v>
      </c>
      <c r="J62" s="770" t="s">
        <v>296</v>
      </c>
      <c r="K62" s="771"/>
      <c r="L62" s="216"/>
      <c r="M62" s="378">
        <v>0</v>
      </c>
      <c r="Q62" s="716">
        <v>7</v>
      </c>
      <c r="R62" s="770" t="s">
        <v>296</v>
      </c>
      <c r="S62" s="771"/>
      <c r="T62" s="216"/>
      <c r="U62" s="378">
        <v>0</v>
      </c>
    </row>
    <row r="63" spans="1:23" hidden="1" x14ac:dyDescent="0.2">
      <c r="A63" s="228">
        <v>8</v>
      </c>
      <c r="B63" s="160" t="s">
        <v>297</v>
      </c>
      <c r="C63" s="163"/>
      <c r="D63" s="216"/>
      <c r="E63" s="167">
        <v>0.83</v>
      </c>
      <c r="I63" s="716">
        <v>8</v>
      </c>
      <c r="J63" s="770" t="s">
        <v>297</v>
      </c>
      <c r="K63" s="771"/>
      <c r="L63" s="216"/>
      <c r="M63" s="378">
        <v>0.83</v>
      </c>
      <c r="Q63" s="716">
        <v>8</v>
      </c>
      <c r="R63" s="770" t="s">
        <v>297</v>
      </c>
      <c r="S63" s="771"/>
      <c r="T63" s="216"/>
      <c r="U63" s="378">
        <v>0.83</v>
      </c>
    </row>
    <row r="65" spans="1:17" x14ac:dyDescent="0.2">
      <c r="A65" s="366" t="s">
        <v>463</v>
      </c>
      <c r="I65" s="366" t="s">
        <v>463</v>
      </c>
      <c r="Q65" s="366" t="s">
        <v>463</v>
      </c>
    </row>
  </sheetData>
  <sheetProtection selectLockedCells="1" selectUnlockedCells="1"/>
  <mergeCells count="159">
    <mergeCell ref="I55:M55"/>
    <mergeCell ref="J56:L56"/>
    <mergeCell ref="I6:O6"/>
    <mergeCell ref="I49:O49"/>
    <mergeCell ref="J50:L50"/>
    <mergeCell ref="I51:I52"/>
    <mergeCell ref="J51:L52"/>
    <mergeCell ref="N51:N52"/>
    <mergeCell ref="I42:J42"/>
    <mergeCell ref="I43:J43"/>
    <mergeCell ref="I44:O44"/>
    <mergeCell ref="J45:L45"/>
    <mergeCell ref="I46:I47"/>
    <mergeCell ref="J46:L46"/>
    <mergeCell ref="N46:N47"/>
    <mergeCell ref="J47:L47"/>
    <mergeCell ref="J34:K34"/>
    <mergeCell ref="J35:K35"/>
    <mergeCell ref="J36:K36"/>
    <mergeCell ref="J37:K37"/>
    <mergeCell ref="I38:O39"/>
    <mergeCell ref="I29:J29"/>
    <mergeCell ref="I30:J30"/>
    <mergeCell ref="I31:N31"/>
    <mergeCell ref="I32:O32"/>
    <mergeCell ref="I33:O33"/>
    <mergeCell ref="I24:J24"/>
    <mergeCell ref="I25:J25"/>
    <mergeCell ref="I26:J26"/>
    <mergeCell ref="I27:J27"/>
    <mergeCell ref="I28:J28"/>
    <mergeCell ref="I19:J19"/>
    <mergeCell ref="I20:J20"/>
    <mergeCell ref="I21:J21"/>
    <mergeCell ref="I22:J22"/>
    <mergeCell ref="I23:J23"/>
    <mergeCell ref="I14:O14"/>
    <mergeCell ref="I15:O15"/>
    <mergeCell ref="I16:J16"/>
    <mergeCell ref="I17:J17"/>
    <mergeCell ref="I18:J18"/>
    <mergeCell ref="I10:O10"/>
    <mergeCell ref="J11:K11"/>
    <mergeCell ref="I12:I13"/>
    <mergeCell ref="J12:K12"/>
    <mergeCell ref="M12:M13"/>
    <mergeCell ref="N12:N13"/>
    <mergeCell ref="J13:K13"/>
    <mergeCell ref="I2:O2"/>
    <mergeCell ref="I3:O3"/>
    <mergeCell ref="I4:O4"/>
    <mergeCell ref="I5:O5"/>
    <mergeCell ref="I8:O8"/>
    <mergeCell ref="A20:B20"/>
    <mergeCell ref="A28:B28"/>
    <mergeCell ref="A29:B29"/>
    <mergeCell ref="B46:D46"/>
    <mergeCell ref="B34:C34"/>
    <mergeCell ref="B35:C35"/>
    <mergeCell ref="A42:B42"/>
    <mergeCell ref="A43:B43"/>
    <mergeCell ref="B36:C36"/>
    <mergeCell ref="B37:C37"/>
    <mergeCell ref="A21:B21"/>
    <mergeCell ref="A38:G39"/>
    <mergeCell ref="A30:B30"/>
    <mergeCell ref="A31:F31"/>
    <mergeCell ref="A32:G32"/>
    <mergeCell ref="A33:G33"/>
    <mergeCell ref="A15:G15"/>
    <mergeCell ref="A16:B16"/>
    <mergeCell ref="A17:B17"/>
    <mergeCell ref="A18:B18"/>
    <mergeCell ref="A19:B19"/>
    <mergeCell ref="A2:G2"/>
    <mergeCell ref="A3:G3"/>
    <mergeCell ref="A10:G10"/>
    <mergeCell ref="A14:G14"/>
    <mergeCell ref="B12:C12"/>
    <mergeCell ref="B11:C11"/>
    <mergeCell ref="A4:G4"/>
    <mergeCell ref="A5:G5"/>
    <mergeCell ref="A8:G8"/>
    <mergeCell ref="E12:E13"/>
    <mergeCell ref="F12:F13"/>
    <mergeCell ref="B13:C13"/>
    <mergeCell ref="A12:A13"/>
    <mergeCell ref="A22:B22"/>
    <mergeCell ref="A24:B24"/>
    <mergeCell ref="A25:B25"/>
    <mergeCell ref="A26:B26"/>
    <mergeCell ref="A27:B27"/>
    <mergeCell ref="A23:B23"/>
    <mergeCell ref="B56:D56"/>
    <mergeCell ref="A55:E55"/>
    <mergeCell ref="A44:G44"/>
    <mergeCell ref="B45:D45"/>
    <mergeCell ref="B50:D50"/>
    <mergeCell ref="A49:G49"/>
    <mergeCell ref="A46:A47"/>
    <mergeCell ref="F46:F47"/>
    <mergeCell ref="B47:D47"/>
    <mergeCell ref="A51:A52"/>
    <mergeCell ref="B51:D52"/>
    <mergeCell ref="F51:F52"/>
    <mergeCell ref="Q2:W2"/>
    <mergeCell ref="Q3:W3"/>
    <mergeCell ref="Q4:W4"/>
    <mergeCell ref="Q5:W5"/>
    <mergeCell ref="Q6:W6"/>
    <mergeCell ref="Q8:W8"/>
    <mergeCell ref="Q10:W10"/>
    <mergeCell ref="R11:S11"/>
    <mergeCell ref="Q12:Q13"/>
    <mergeCell ref="R12:S12"/>
    <mergeCell ref="U12:U13"/>
    <mergeCell ref="V12:V13"/>
    <mergeCell ref="R13:S13"/>
    <mergeCell ref="Q14:W14"/>
    <mergeCell ref="Q15:W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V31"/>
    <mergeCell ref="Q32:W32"/>
    <mergeCell ref="Q33:W33"/>
    <mergeCell ref="R34:S34"/>
    <mergeCell ref="R35:S35"/>
    <mergeCell ref="R36:S36"/>
    <mergeCell ref="R37:S37"/>
    <mergeCell ref="Q38:W39"/>
    <mergeCell ref="Q42:R42"/>
    <mergeCell ref="Q43:R43"/>
    <mergeCell ref="Q55:U55"/>
    <mergeCell ref="R56:T56"/>
    <mergeCell ref="R40:S40"/>
    <mergeCell ref="Q44:W44"/>
    <mergeCell ref="R45:T45"/>
    <mergeCell ref="Q46:Q47"/>
    <mergeCell ref="R46:T46"/>
    <mergeCell ref="V46:V47"/>
    <mergeCell ref="R47:T47"/>
    <mergeCell ref="Q49:W49"/>
    <mergeCell ref="R50:T50"/>
    <mergeCell ref="Q51:Q52"/>
    <mergeCell ref="R51:T52"/>
    <mergeCell ref="V51:V52"/>
  </mergeCells>
  <dataValidations count="4">
    <dataValidation allowBlank="1" showInputMessage="1" showErrorMessage="1" errorTitle="Atenção" error="Não alterar manualmente" promptTitle="Quantidade de Dias" prompt="- Não alterar manualmente. Para alterar os dias, ir na Coluna &quot;B&quot;, Linha &quot;11&quot; e mudar a jornada de trabalho" sqref="D12:D13" xr:uid="{00000000-0002-0000-0B00-000000000000}"/>
    <dataValidation allowBlank="1" showInputMessage="1" showErrorMessage="1" errorTitle="Atenção" error="- Não alterar manualmente" promptTitle="Quantidade de dias" prompt="- Não alterar manualmente. Para alterar os dias, ir na Coluna &quot;B&quot;, Linha &quot;42&quot; e mudar a jornada de trabalho" sqref="E46:E47 E51:E52" xr:uid="{00000000-0002-0000-0B00-000001000000}"/>
    <dataValidation allowBlank="1" showInputMessage="1" showErrorMessage="1" errorTitle="Atenção" error="Não alterar manualmente" promptTitle="Valores Unitários" prompt="Não alterar manualmente. Os valores serão automaticamente alterados assim que escolher o Sindicato." sqref="E61:E63" xr:uid="{00000000-0002-0000-0B00-000002000000}"/>
    <dataValidation allowBlank="1" showInputMessage="1" showErrorMessage="1" errorTitle="Atenção" error="- Não alterar manualmente." promptTitle="Descrição/Fundamento" prompt="Não alterar manualmente. As Cláusulas serão automaticamente alteradas assim que escolher o Sindicato." sqref="B61:B63" xr:uid="{00000000-0002-0000-0B00-000003000000}"/>
  </dataValidations>
  <printOptions horizontalCentered="1"/>
  <pageMargins left="0.47244094488188981" right="0.31496062992125984" top="1.7716535433070868" bottom="0.55118110236220474" header="0.31496062992125984" footer="0.39370078740157483"/>
  <pageSetup paperSize="9" scale="24" fitToHeight="0" orientation="portrait" horizontalDpi="4294967294" r:id="rId1"/>
  <headerFooter alignWithMargins="0">
    <oddHeader>&amp;L&amp;"+,Negrito"&amp;8PROPOSTA Nº 053/2020 - CJF</oddHeader>
  </headerFooter>
  <ignoredErrors>
    <ignoredError sqref="E35" evalError="1"/>
    <ignoredError sqref="E3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7">
    <tabColor rgb="FF92D050"/>
  </sheetPr>
  <dimension ref="A1:Q54"/>
  <sheetViews>
    <sheetView view="pageBreakPreview" topLeftCell="L36" zoomScaleNormal="100" zoomScaleSheetLayoutView="100" workbookViewId="0">
      <selection activeCell="V12" sqref="V12"/>
    </sheetView>
  </sheetViews>
  <sheetFormatPr defaultRowHeight="16.5" customHeight="1" x14ac:dyDescent="0.2"/>
  <cols>
    <col min="1" max="1" width="7.140625" style="16" hidden="1" customWidth="1"/>
    <col min="2" max="2" width="56.7109375" style="17" hidden="1" customWidth="1"/>
    <col min="3" max="3" width="12.140625" style="351" hidden="1" customWidth="1"/>
    <col min="4" max="4" width="41.28515625" style="16" hidden="1" customWidth="1"/>
    <col min="5" max="5" width="57.85546875" style="17" hidden="1" customWidth="1"/>
    <col min="6" max="7" width="0" style="18" hidden="1" customWidth="1"/>
    <col min="8" max="8" width="55.140625" style="18" hidden="1" customWidth="1"/>
    <col min="9" max="9" width="13.140625" style="18" hidden="1" customWidth="1"/>
    <col min="10" max="10" width="36.42578125" style="18" hidden="1" customWidth="1"/>
    <col min="11" max="11" width="54" style="18" hidden="1" customWidth="1"/>
    <col min="12" max="13" width="9.140625" style="18"/>
    <col min="14" max="14" width="55" style="18" customWidth="1"/>
    <col min="15" max="15" width="14.85546875" style="18" customWidth="1"/>
    <col min="16" max="16" width="39.85546875" style="18" customWidth="1"/>
    <col min="17" max="17" width="55.140625" style="18" customWidth="1"/>
    <col min="18" max="16384" width="9.140625" style="18"/>
  </cols>
  <sheetData>
    <row r="1" spans="1:17" ht="14.25" x14ac:dyDescent="0.2">
      <c r="G1" s="16"/>
      <c r="H1" s="17"/>
      <c r="I1" s="351"/>
      <c r="J1" s="16"/>
      <c r="K1" s="17"/>
    </row>
    <row r="2" spans="1:17" ht="14.25" x14ac:dyDescent="0.2">
      <c r="A2" s="1156" t="str">
        <f>Dados!A5</f>
        <v>CONSELHO DA JUSTIÇA FEDERAL - CJF</v>
      </c>
      <c r="B2" s="1156"/>
      <c r="C2" s="1156"/>
      <c r="D2" s="1156"/>
      <c r="E2" s="1156"/>
      <c r="G2" s="1156" t="str">
        <f>Dados!A5</f>
        <v>CONSELHO DA JUSTIÇA FEDERAL - CJF</v>
      </c>
      <c r="H2" s="1156"/>
      <c r="I2" s="1156"/>
      <c r="J2" s="1156"/>
      <c r="K2" s="1156"/>
      <c r="M2" s="1156" t="str">
        <f>Dados!A5</f>
        <v>CONSELHO DA JUSTIÇA FEDERAL - CJF</v>
      </c>
      <c r="N2" s="1156"/>
      <c r="O2" s="1156"/>
      <c r="P2" s="1156"/>
      <c r="Q2" s="1156"/>
    </row>
    <row r="3" spans="1:17" s="10" customFormat="1" ht="14.25" x14ac:dyDescent="0.2">
      <c r="A3" s="1156" t="str">
        <f>Dados!A9</f>
        <v>PREGÃO ELETRÔNICO Nº 09/2020 - CJF</v>
      </c>
      <c r="B3" s="1156"/>
      <c r="C3" s="1156"/>
      <c r="D3" s="1156"/>
      <c r="E3" s="1156"/>
      <c r="G3" s="1156" t="str">
        <f>Dados!A9</f>
        <v>PREGÃO ELETRÔNICO Nº 09/2020 - CJF</v>
      </c>
      <c r="H3" s="1156"/>
      <c r="I3" s="1156"/>
      <c r="J3" s="1156"/>
      <c r="K3" s="1156"/>
      <c r="M3" s="1156" t="str">
        <f>Dados!A9</f>
        <v>PREGÃO ELETRÔNICO Nº 09/2020 - CJF</v>
      </c>
      <c r="N3" s="1156"/>
      <c r="O3" s="1156"/>
      <c r="P3" s="1156"/>
      <c r="Q3" s="1156"/>
    </row>
    <row r="4" spans="1:17" s="10" customFormat="1" ht="14.25" hidden="1" customHeight="1" x14ac:dyDescent="0.2">
      <c r="A4" s="1156" t="str">
        <f>Dados!A10</f>
        <v>CONTRATO Nº __________/201__ - CONTRATANTE - PRESTAÇÃO DE SERVIÇOS --------</v>
      </c>
      <c r="B4" s="1156"/>
      <c r="C4" s="1156"/>
      <c r="D4" s="1156"/>
      <c r="E4" s="1156"/>
      <c r="G4" s="1156">
        <f>Dados!G10</f>
        <v>0</v>
      </c>
      <c r="H4" s="1156"/>
      <c r="I4" s="1156"/>
      <c r="J4" s="1156"/>
      <c r="K4" s="1156"/>
      <c r="M4" s="1156">
        <f>Dados!M10</f>
        <v>0</v>
      </c>
      <c r="N4" s="1156"/>
      <c r="O4" s="1156"/>
      <c r="P4" s="1156"/>
      <c r="Q4" s="1156"/>
    </row>
    <row r="5" spans="1:17" s="10" customFormat="1" ht="14.25" hidden="1" customHeight="1" x14ac:dyDescent="0.2">
      <c r="A5" s="1156" t="str">
        <f>Dados!H2</f>
        <v xml:space="preserve">REPACTUAÇÃO CONTRATUAL 20___ - </v>
      </c>
      <c r="B5" s="1156"/>
      <c r="C5" s="1156"/>
      <c r="D5" s="1156"/>
      <c r="E5" s="1156"/>
      <c r="G5" s="1156">
        <f>Dados!N2</f>
        <v>0</v>
      </c>
      <c r="H5" s="1156"/>
      <c r="I5" s="1156"/>
      <c r="J5" s="1156"/>
      <c r="K5" s="1156"/>
      <c r="M5" s="1156">
        <f>Dados!T2</f>
        <v>0</v>
      </c>
      <c r="N5" s="1156"/>
      <c r="O5" s="1156"/>
      <c r="P5" s="1156"/>
      <c r="Q5" s="1156"/>
    </row>
    <row r="6" spans="1:17" s="10" customFormat="1" ht="14.25" x14ac:dyDescent="0.2">
      <c r="A6" s="19"/>
      <c r="B6" s="19"/>
      <c r="C6" s="352"/>
      <c r="D6" s="19"/>
      <c r="E6" s="19"/>
      <c r="G6" s="1158" t="s">
        <v>488</v>
      </c>
      <c r="H6" s="1158"/>
      <c r="I6" s="1158"/>
      <c r="J6" s="1158"/>
      <c r="K6" s="1158"/>
      <c r="M6" s="1158" t="s">
        <v>518</v>
      </c>
      <c r="N6" s="1158"/>
      <c r="O6" s="1158"/>
      <c r="P6" s="1158"/>
      <c r="Q6" s="1158"/>
    </row>
    <row r="7" spans="1:17" s="10" customFormat="1" ht="14.25" x14ac:dyDescent="0.2">
      <c r="A7" s="19"/>
      <c r="B7" s="19"/>
      <c r="C7" s="352"/>
      <c r="D7" s="19"/>
      <c r="E7" s="19"/>
      <c r="G7" s="19"/>
      <c r="H7" s="19"/>
      <c r="I7" s="352"/>
      <c r="J7" s="19"/>
      <c r="K7" s="19"/>
    </row>
    <row r="8" spans="1:17" s="10" customFormat="1" ht="14.25" customHeight="1" x14ac:dyDescent="0.2">
      <c r="A8" s="1157" t="s">
        <v>192</v>
      </c>
      <c r="B8" s="1157"/>
      <c r="C8" s="1157"/>
      <c r="D8" s="1157"/>
      <c r="E8" s="1157"/>
      <c r="F8" s="20"/>
      <c r="G8" s="1157" t="s">
        <v>192</v>
      </c>
      <c r="H8" s="1157"/>
      <c r="I8" s="1157"/>
      <c r="J8" s="1157"/>
      <c r="K8" s="1157"/>
      <c r="M8" s="1157" t="s">
        <v>192</v>
      </c>
      <c r="N8" s="1157"/>
      <c r="O8" s="1157"/>
      <c r="P8" s="1157"/>
      <c r="Q8" s="1157"/>
    </row>
    <row r="9" spans="1:17" ht="16.5" customHeight="1" x14ac:dyDescent="0.2">
      <c r="C9" s="773">
        <f>Dados!G75</f>
        <v>0</v>
      </c>
      <c r="G9" s="16"/>
      <c r="H9" s="17"/>
      <c r="I9" s="773" t="str">
        <f>Dados!M75</f>
        <v>Vigilante</v>
      </c>
      <c r="J9" s="16"/>
      <c r="K9" s="17"/>
      <c r="M9" s="16"/>
      <c r="N9" s="17"/>
      <c r="O9" s="773">
        <f>Dados!S75</f>
        <v>2</v>
      </c>
      <c r="P9" s="16"/>
      <c r="Q9" s="17"/>
    </row>
    <row r="10" spans="1:17" ht="19.5" customHeight="1" x14ac:dyDescent="0.2">
      <c r="A10" s="718" t="str">
        <f>Dados!A75</f>
        <v>2.1</v>
      </c>
      <c r="B10" s="774" t="str">
        <f>Dados!B75</f>
        <v>13º SALÁRIO, FÉRIAS E ADICIONAL DE FÉRIAS</v>
      </c>
      <c r="C10" s="775" t="s">
        <v>11</v>
      </c>
      <c r="D10" s="776" t="s">
        <v>80</v>
      </c>
      <c r="E10" s="776" t="s">
        <v>81</v>
      </c>
      <c r="G10" s="718" t="str">
        <f>Dados!A75</f>
        <v>2.1</v>
      </c>
      <c r="H10" s="774" t="str">
        <f>Dados!B75</f>
        <v>13º SALÁRIO, FÉRIAS E ADICIONAL DE FÉRIAS</v>
      </c>
      <c r="I10" s="775" t="s">
        <v>11</v>
      </c>
      <c r="J10" s="776" t="s">
        <v>80</v>
      </c>
      <c r="K10" s="776" t="s">
        <v>81</v>
      </c>
      <c r="M10" s="718" t="str">
        <f>Dados!M75</f>
        <v>Vigilante</v>
      </c>
      <c r="N10" s="774" t="str">
        <f>Dados!B75</f>
        <v>13º SALÁRIO, FÉRIAS E ADICIONAL DE FÉRIAS</v>
      </c>
      <c r="O10" s="775" t="s">
        <v>11</v>
      </c>
      <c r="P10" s="776" t="s">
        <v>80</v>
      </c>
      <c r="Q10" s="776" t="s">
        <v>81</v>
      </c>
    </row>
    <row r="11" spans="1:17" ht="57" x14ac:dyDescent="0.2">
      <c r="A11" s="21" t="s">
        <v>1</v>
      </c>
      <c r="B11" s="24" t="str">
        <f>Dados!B76</f>
        <v xml:space="preserve">13º (décimo terceiro) salário  </v>
      </c>
      <c r="C11" s="353">
        <f>Dados!G76</f>
        <v>9.0899999999999995E-2</v>
      </c>
      <c r="D11" s="152" t="s">
        <v>525</v>
      </c>
      <c r="E11" s="777" t="s">
        <v>472</v>
      </c>
      <c r="G11" s="21" t="s">
        <v>1</v>
      </c>
      <c r="H11" s="24" t="str">
        <f>Dados!B76</f>
        <v xml:space="preserve">13º (décimo terceiro) salário  </v>
      </c>
      <c r="I11" s="353">
        <f>Dados!G76</f>
        <v>9.0899999999999995E-2</v>
      </c>
      <c r="J11" s="152" t="s">
        <v>525</v>
      </c>
      <c r="K11" s="777" t="s">
        <v>472</v>
      </c>
      <c r="M11" s="21" t="s">
        <v>1</v>
      </c>
      <c r="N11" s="24" t="str">
        <f>Dados!B76</f>
        <v xml:space="preserve">13º (décimo terceiro) salário  </v>
      </c>
      <c r="O11" s="353">
        <f>Dados!G76</f>
        <v>9.0899999999999995E-2</v>
      </c>
      <c r="P11" s="152" t="s">
        <v>525</v>
      </c>
      <c r="Q11" s="777" t="s">
        <v>472</v>
      </c>
    </row>
    <row r="12" spans="1:17" ht="57" x14ac:dyDescent="0.2">
      <c r="A12" s="21" t="s">
        <v>2</v>
      </c>
      <c r="B12" s="25" t="str">
        <f>Dados!B77</f>
        <v>Férias e Adicional de Férias</v>
      </c>
      <c r="C12" s="353">
        <f>Dados!G77</f>
        <v>0.1212</v>
      </c>
      <c r="D12" s="157" t="s">
        <v>160</v>
      </c>
      <c r="E12" s="777" t="s">
        <v>473</v>
      </c>
      <c r="G12" s="21" t="s">
        <v>2</v>
      </c>
      <c r="H12" s="25" t="str">
        <f>Dados!B77</f>
        <v>Férias e Adicional de Férias</v>
      </c>
      <c r="I12" s="353">
        <f>Dados!G77</f>
        <v>0.1212</v>
      </c>
      <c r="J12" s="157" t="s">
        <v>160</v>
      </c>
      <c r="K12" s="777" t="s">
        <v>473</v>
      </c>
      <c r="M12" s="21" t="s">
        <v>2</v>
      </c>
      <c r="N12" s="25" t="str">
        <f>Dados!B77</f>
        <v>Férias e Adicional de Férias</v>
      </c>
      <c r="O12" s="353">
        <f>Dados!G77</f>
        <v>0.1212</v>
      </c>
      <c r="P12" s="157" t="s">
        <v>160</v>
      </c>
      <c r="Q12" s="777" t="s">
        <v>473</v>
      </c>
    </row>
    <row r="13" spans="1:17" ht="16.5" customHeight="1" x14ac:dyDescent="0.2">
      <c r="A13" s="1155" t="s">
        <v>41</v>
      </c>
      <c r="B13" s="1155"/>
      <c r="C13" s="354">
        <f>SUM(C11:C12)</f>
        <v>0.21210000000000001</v>
      </c>
      <c r="D13" s="153" t="s">
        <v>82</v>
      </c>
      <c r="E13" s="156" t="s">
        <v>82</v>
      </c>
      <c r="G13" s="1155" t="s">
        <v>41</v>
      </c>
      <c r="H13" s="1155"/>
      <c r="I13" s="354">
        <f>SUM(I11:I12)</f>
        <v>0.21210000000000001</v>
      </c>
      <c r="J13" s="153" t="s">
        <v>82</v>
      </c>
      <c r="K13" s="156" t="s">
        <v>82</v>
      </c>
      <c r="M13" s="1155" t="s">
        <v>41</v>
      </c>
      <c r="N13" s="1155"/>
      <c r="O13" s="354">
        <f>SUM(O11:O12)</f>
        <v>0.21210000000000001</v>
      </c>
      <c r="P13" s="153" t="s">
        <v>82</v>
      </c>
      <c r="Q13" s="156" t="s">
        <v>82</v>
      </c>
    </row>
    <row r="14" spans="1:17" ht="16.5" customHeight="1" x14ac:dyDescent="0.2">
      <c r="A14" s="200" t="s">
        <v>232</v>
      </c>
      <c r="B14" s="23"/>
      <c r="C14" s="355"/>
      <c r="D14" s="154"/>
      <c r="E14" s="155"/>
      <c r="G14" s="200" t="s">
        <v>232</v>
      </c>
      <c r="H14" s="23"/>
      <c r="I14" s="355"/>
      <c r="J14" s="154"/>
      <c r="K14" s="155"/>
      <c r="M14" s="200" t="s">
        <v>232</v>
      </c>
      <c r="N14" s="23"/>
      <c r="O14" s="355"/>
      <c r="P14" s="154"/>
      <c r="Q14" s="155"/>
    </row>
    <row r="15" spans="1:17" ht="16.5" customHeight="1" x14ac:dyDescent="0.2">
      <c r="A15" s="23"/>
      <c r="B15" s="23"/>
      <c r="C15" s="355"/>
      <c r="D15" s="154"/>
      <c r="E15" s="155"/>
      <c r="G15" s="23"/>
      <c r="H15" s="23"/>
      <c r="I15" s="355"/>
      <c r="J15" s="154"/>
      <c r="K15" s="155"/>
      <c r="M15" s="23"/>
      <c r="N15" s="23"/>
      <c r="O15" s="355"/>
      <c r="P15" s="154"/>
      <c r="Q15" s="155"/>
    </row>
    <row r="16" spans="1:17" ht="16.5" customHeight="1" x14ac:dyDescent="0.2">
      <c r="A16" s="23"/>
      <c r="B16" s="23"/>
      <c r="C16" s="355"/>
      <c r="D16" s="154"/>
      <c r="E16" s="155"/>
      <c r="G16" s="23"/>
      <c r="H16" s="23"/>
      <c r="I16" s="355"/>
      <c r="J16" s="154"/>
      <c r="K16" s="155"/>
      <c r="M16" s="23"/>
      <c r="N16" s="23"/>
      <c r="O16" s="355"/>
      <c r="P16" s="154"/>
      <c r="Q16" s="155"/>
    </row>
    <row r="17" spans="1:17" ht="42.75" x14ac:dyDescent="0.2">
      <c r="A17" s="199" t="str">
        <f>Dados!A79</f>
        <v>2.2</v>
      </c>
      <c r="B17" s="778" t="str">
        <f>Dados!B79</f>
        <v>ENCARGOS PREVIDENCIÁRIOS (GPS), FUNDO DE GARANTIA POR TEMPO DE SERVIÇO (FGTS) E OUTRAS CONTRIBUIÇÕES</v>
      </c>
      <c r="C17" s="775" t="s">
        <v>11</v>
      </c>
      <c r="D17" s="779" t="s">
        <v>80</v>
      </c>
      <c r="E17" s="779" t="s">
        <v>81</v>
      </c>
      <c r="G17" s="199" t="str">
        <f>Dados!A79</f>
        <v>2.2</v>
      </c>
      <c r="H17" s="778" t="str">
        <f>Dados!B79</f>
        <v>ENCARGOS PREVIDENCIÁRIOS (GPS), FUNDO DE GARANTIA POR TEMPO DE SERVIÇO (FGTS) E OUTRAS CONTRIBUIÇÕES</v>
      </c>
      <c r="I17" s="775" t="s">
        <v>11</v>
      </c>
      <c r="J17" s="779" t="s">
        <v>80</v>
      </c>
      <c r="K17" s="779" t="s">
        <v>81</v>
      </c>
      <c r="M17" s="199" t="str">
        <f>Dados!A79</f>
        <v>2.2</v>
      </c>
      <c r="N17" s="778" t="str">
        <f>Dados!B79</f>
        <v>ENCARGOS PREVIDENCIÁRIOS (GPS), FUNDO DE GARANTIA POR TEMPO DE SERVIÇO (FGTS) E OUTRAS CONTRIBUIÇÕES</v>
      </c>
      <c r="O17" s="775" t="s">
        <v>11</v>
      </c>
      <c r="P17" s="779" t="s">
        <v>80</v>
      </c>
      <c r="Q17" s="779" t="s">
        <v>81</v>
      </c>
    </row>
    <row r="18" spans="1:17" ht="16.5" customHeight="1" x14ac:dyDescent="0.2">
      <c r="A18" s="21" t="s">
        <v>1</v>
      </c>
      <c r="B18" s="22" t="str">
        <f>Dados!B80</f>
        <v>INSS</v>
      </c>
      <c r="C18" s="353">
        <f>Dados!G80</f>
        <v>0.2</v>
      </c>
      <c r="D18" s="153" t="s">
        <v>82</v>
      </c>
      <c r="E18" s="367" t="s">
        <v>151</v>
      </c>
      <c r="G18" s="21" t="s">
        <v>1</v>
      </c>
      <c r="H18" s="22" t="str">
        <f>Dados!B80</f>
        <v>INSS</v>
      </c>
      <c r="I18" s="353">
        <f>Dados!G80</f>
        <v>0.2</v>
      </c>
      <c r="J18" s="153" t="s">
        <v>82</v>
      </c>
      <c r="K18" s="367" t="s">
        <v>151</v>
      </c>
      <c r="M18" s="21" t="s">
        <v>1</v>
      </c>
      <c r="N18" s="22" t="str">
        <f>Dados!B80</f>
        <v>INSS</v>
      </c>
      <c r="O18" s="353">
        <f>Dados!G80</f>
        <v>0.2</v>
      </c>
      <c r="P18" s="153" t="s">
        <v>82</v>
      </c>
      <c r="Q18" s="367" t="s">
        <v>151</v>
      </c>
    </row>
    <row r="19" spans="1:17" ht="28.5" x14ac:dyDescent="0.2">
      <c r="A19" s="21" t="s">
        <v>2</v>
      </c>
      <c r="B19" s="22" t="str">
        <f>Dados!B81</f>
        <v>Salário Educação</v>
      </c>
      <c r="C19" s="353">
        <f>Dados!G81</f>
        <v>2.5000000000000001E-2</v>
      </c>
      <c r="D19" s="153" t="s">
        <v>82</v>
      </c>
      <c r="E19" s="367" t="s">
        <v>467</v>
      </c>
      <c r="G19" s="21" t="s">
        <v>2</v>
      </c>
      <c r="H19" s="22" t="str">
        <f>Dados!B81</f>
        <v>Salário Educação</v>
      </c>
      <c r="I19" s="353">
        <f>Dados!G81</f>
        <v>2.5000000000000001E-2</v>
      </c>
      <c r="J19" s="153" t="s">
        <v>82</v>
      </c>
      <c r="K19" s="367" t="s">
        <v>467</v>
      </c>
      <c r="M19" s="21" t="s">
        <v>2</v>
      </c>
      <c r="N19" s="22" t="str">
        <f>Dados!B81</f>
        <v>Salário Educação</v>
      </c>
      <c r="O19" s="353">
        <f>Dados!G81</f>
        <v>2.5000000000000001E-2</v>
      </c>
      <c r="P19" s="153" t="s">
        <v>82</v>
      </c>
      <c r="Q19" s="367" t="s">
        <v>467</v>
      </c>
    </row>
    <row r="20" spans="1:17" ht="42.75" x14ac:dyDescent="0.2">
      <c r="A20" s="21" t="s">
        <v>4</v>
      </c>
      <c r="B20" s="22" t="str">
        <f>Dados!B82</f>
        <v>Seguro Acidente do Trabalho - SAT = RAT x FAP</v>
      </c>
      <c r="C20" s="353">
        <f>Dados!G82</f>
        <v>2.4899999999999999E-2</v>
      </c>
      <c r="D20" s="152" t="s">
        <v>530</v>
      </c>
      <c r="E20" s="367" t="s">
        <v>156</v>
      </c>
      <c r="G20" s="21" t="s">
        <v>4</v>
      </c>
      <c r="H20" s="22" t="str">
        <f>Dados!B82</f>
        <v>Seguro Acidente do Trabalho - SAT = RAT x FAP</v>
      </c>
      <c r="I20" s="353">
        <v>2.5700000000000001E-2</v>
      </c>
      <c r="J20" s="152" t="s">
        <v>487</v>
      </c>
      <c r="K20" s="367" t="s">
        <v>156</v>
      </c>
      <c r="M20" s="21" t="s">
        <v>4</v>
      </c>
      <c r="N20" s="22" t="str">
        <f>Dados!B82</f>
        <v>Seguro Acidente do Trabalho - SAT = RAT x FAP</v>
      </c>
      <c r="O20" s="353">
        <v>2.5700000000000001E-2</v>
      </c>
      <c r="P20" s="152" t="s">
        <v>487</v>
      </c>
      <c r="Q20" s="367" t="s">
        <v>156</v>
      </c>
    </row>
    <row r="21" spans="1:17" ht="16.5" customHeight="1" x14ac:dyDescent="0.2">
      <c r="A21" s="21" t="s">
        <v>5</v>
      </c>
      <c r="B21" s="22" t="str">
        <f>Dados!B83</f>
        <v>SESI ou SESC</v>
      </c>
      <c r="C21" s="353">
        <f>Dados!G83</f>
        <v>1.4999999999999999E-2</v>
      </c>
      <c r="D21" s="153" t="s">
        <v>82</v>
      </c>
      <c r="E21" s="367" t="s">
        <v>465</v>
      </c>
      <c r="G21" s="21" t="s">
        <v>5</v>
      </c>
      <c r="H21" s="22" t="str">
        <f>Dados!B83</f>
        <v>SESI ou SESC</v>
      </c>
      <c r="I21" s="353">
        <f>Dados!G83</f>
        <v>1.4999999999999999E-2</v>
      </c>
      <c r="J21" s="153" t="s">
        <v>82</v>
      </c>
      <c r="K21" s="367" t="s">
        <v>465</v>
      </c>
      <c r="M21" s="21" t="s">
        <v>5</v>
      </c>
      <c r="N21" s="22" t="str">
        <f>Dados!B83</f>
        <v>SESI ou SESC</v>
      </c>
      <c r="O21" s="353">
        <f>Dados!G83</f>
        <v>1.4999999999999999E-2</v>
      </c>
      <c r="P21" s="153" t="s">
        <v>82</v>
      </c>
      <c r="Q21" s="367" t="s">
        <v>465</v>
      </c>
    </row>
    <row r="22" spans="1:17" ht="14.25" x14ac:dyDescent="0.2">
      <c r="A22" s="21" t="s">
        <v>6</v>
      </c>
      <c r="B22" s="22" t="str">
        <f>Dados!B84</f>
        <v>SENAI ou SENAC</v>
      </c>
      <c r="C22" s="353">
        <f>Dados!G84</f>
        <v>0.01</v>
      </c>
      <c r="D22" s="153" t="s">
        <v>82</v>
      </c>
      <c r="E22" s="367" t="s">
        <v>152</v>
      </c>
      <c r="G22" s="21" t="s">
        <v>6</v>
      </c>
      <c r="H22" s="22" t="str">
        <f>Dados!B84</f>
        <v>SENAI ou SENAC</v>
      </c>
      <c r="I22" s="353">
        <f>Dados!G84</f>
        <v>0.01</v>
      </c>
      <c r="J22" s="153" t="s">
        <v>82</v>
      </c>
      <c r="K22" s="367" t="s">
        <v>152</v>
      </c>
      <c r="M22" s="21" t="s">
        <v>6</v>
      </c>
      <c r="N22" s="22" t="str">
        <f>Dados!B84</f>
        <v>SENAI ou SENAC</v>
      </c>
      <c r="O22" s="353">
        <f>Dados!G84</f>
        <v>0.01</v>
      </c>
      <c r="P22" s="153" t="s">
        <v>82</v>
      </c>
      <c r="Q22" s="367" t="s">
        <v>152</v>
      </c>
    </row>
    <row r="23" spans="1:17" ht="16.5" customHeight="1" x14ac:dyDescent="0.2">
      <c r="A23" s="21" t="s">
        <v>7</v>
      </c>
      <c r="B23" s="22" t="str">
        <f>Dados!B85</f>
        <v>SEBRAE</v>
      </c>
      <c r="C23" s="353">
        <f>Dados!G85</f>
        <v>6.0000000000000001E-3</v>
      </c>
      <c r="D23" s="153" t="s">
        <v>82</v>
      </c>
      <c r="E23" s="367" t="s">
        <v>466</v>
      </c>
      <c r="G23" s="21" t="s">
        <v>7</v>
      </c>
      <c r="H23" s="22" t="str">
        <f>Dados!B85</f>
        <v>SEBRAE</v>
      </c>
      <c r="I23" s="353">
        <f>Dados!G85</f>
        <v>6.0000000000000001E-3</v>
      </c>
      <c r="J23" s="153" t="s">
        <v>82</v>
      </c>
      <c r="K23" s="367" t="s">
        <v>466</v>
      </c>
      <c r="M23" s="21" t="s">
        <v>7</v>
      </c>
      <c r="N23" s="22" t="str">
        <f>Dados!B85</f>
        <v>SEBRAE</v>
      </c>
      <c r="O23" s="353">
        <f>Dados!G85</f>
        <v>6.0000000000000001E-3</v>
      </c>
      <c r="P23" s="153" t="s">
        <v>82</v>
      </c>
      <c r="Q23" s="367" t="s">
        <v>466</v>
      </c>
    </row>
    <row r="24" spans="1:17" ht="16.5" customHeight="1" x14ac:dyDescent="0.2">
      <c r="A24" s="21" t="s">
        <v>8</v>
      </c>
      <c r="B24" s="22" t="str">
        <f>Dados!B86</f>
        <v>INCRA</v>
      </c>
      <c r="C24" s="353">
        <f>Dados!G86</f>
        <v>2E-3</v>
      </c>
      <c r="D24" s="153" t="s">
        <v>82</v>
      </c>
      <c r="E24" s="367" t="s">
        <v>153</v>
      </c>
      <c r="G24" s="21" t="s">
        <v>8</v>
      </c>
      <c r="H24" s="22" t="str">
        <f>Dados!B86</f>
        <v>INCRA</v>
      </c>
      <c r="I24" s="353">
        <f>Dados!G86</f>
        <v>2E-3</v>
      </c>
      <c r="J24" s="153" t="s">
        <v>82</v>
      </c>
      <c r="K24" s="367" t="s">
        <v>153</v>
      </c>
      <c r="M24" s="21" t="s">
        <v>8</v>
      </c>
      <c r="N24" s="22" t="str">
        <f>Dados!B86</f>
        <v>INCRA</v>
      </c>
      <c r="O24" s="353">
        <f>Dados!G86</f>
        <v>2E-3</v>
      </c>
      <c r="P24" s="153" t="s">
        <v>82</v>
      </c>
      <c r="Q24" s="367" t="s">
        <v>153</v>
      </c>
    </row>
    <row r="25" spans="1:17" ht="16.5" customHeight="1" x14ac:dyDescent="0.2">
      <c r="A25" s="21" t="s">
        <v>9</v>
      </c>
      <c r="B25" s="22" t="str">
        <f>Dados!B87</f>
        <v>FGTS</v>
      </c>
      <c r="C25" s="353">
        <f>Dados!G87</f>
        <v>0.08</v>
      </c>
      <c r="D25" s="153" t="s">
        <v>82</v>
      </c>
      <c r="E25" s="367" t="s">
        <v>155</v>
      </c>
      <c r="G25" s="21" t="s">
        <v>9</v>
      </c>
      <c r="H25" s="22" t="str">
        <f>Dados!B87</f>
        <v>FGTS</v>
      </c>
      <c r="I25" s="353">
        <f>Dados!G87</f>
        <v>0.08</v>
      </c>
      <c r="J25" s="153" t="s">
        <v>82</v>
      </c>
      <c r="K25" s="367" t="s">
        <v>155</v>
      </c>
      <c r="M25" s="21" t="s">
        <v>9</v>
      </c>
      <c r="N25" s="22" t="str">
        <f>Dados!B87</f>
        <v>FGTS</v>
      </c>
      <c r="O25" s="353">
        <f>Dados!G87</f>
        <v>0.08</v>
      </c>
      <c r="P25" s="153" t="s">
        <v>82</v>
      </c>
      <c r="Q25" s="367" t="s">
        <v>155</v>
      </c>
    </row>
    <row r="26" spans="1:17" ht="16.5" customHeight="1" x14ac:dyDescent="0.2">
      <c r="A26" s="1155" t="s">
        <v>41</v>
      </c>
      <c r="B26" s="1155"/>
      <c r="C26" s="354">
        <f>SUM(C18:C25)</f>
        <v>0.3629</v>
      </c>
      <c r="D26" s="153" t="s">
        <v>82</v>
      </c>
      <c r="E26" s="156" t="s">
        <v>82</v>
      </c>
      <c r="G26" s="1155" t="s">
        <v>41</v>
      </c>
      <c r="H26" s="1155"/>
      <c r="I26" s="354">
        <f>SUM(I18:I25)</f>
        <v>0.36370000000000002</v>
      </c>
      <c r="J26" s="153" t="s">
        <v>82</v>
      </c>
      <c r="K26" s="156" t="s">
        <v>82</v>
      </c>
      <c r="M26" s="1155" t="s">
        <v>41</v>
      </c>
      <c r="N26" s="1155"/>
      <c r="O26" s="354">
        <f>SUM(O18:O25)</f>
        <v>0.36370000000000002</v>
      </c>
      <c r="P26" s="153" t="s">
        <v>82</v>
      </c>
      <c r="Q26" s="156" t="s">
        <v>82</v>
      </c>
    </row>
    <row r="27" spans="1:17" ht="16.5" customHeight="1" x14ac:dyDescent="0.2">
      <c r="A27" s="1152" t="s">
        <v>247</v>
      </c>
      <c r="B27" s="1152"/>
      <c r="C27" s="1152"/>
      <c r="D27" s="1152"/>
      <c r="E27" s="1152"/>
      <c r="G27" s="1152" t="s">
        <v>247</v>
      </c>
      <c r="H27" s="1152"/>
      <c r="I27" s="1152"/>
      <c r="J27" s="1152"/>
      <c r="K27" s="1152"/>
      <c r="M27" s="1152" t="s">
        <v>247</v>
      </c>
      <c r="N27" s="1152"/>
      <c r="O27" s="1152"/>
      <c r="P27" s="1152"/>
      <c r="Q27" s="1152"/>
    </row>
    <row r="28" spans="1:17" ht="16.5" customHeight="1" x14ac:dyDescent="0.2">
      <c r="A28" s="23"/>
      <c r="B28" s="23"/>
      <c r="C28" s="355"/>
      <c r="D28" s="154"/>
      <c r="E28" s="155"/>
      <c r="G28" s="23"/>
      <c r="H28" s="23"/>
      <c r="I28" s="355"/>
      <c r="J28" s="154"/>
      <c r="K28" s="155"/>
    </row>
    <row r="29" spans="1:17" ht="16.5" customHeight="1" x14ac:dyDescent="0.2">
      <c r="A29" s="23"/>
      <c r="B29" s="23"/>
      <c r="C29" s="355"/>
      <c r="D29" s="154"/>
      <c r="E29" s="155"/>
      <c r="G29" s="23"/>
      <c r="H29" s="23"/>
      <c r="I29" s="355"/>
      <c r="J29" s="154"/>
      <c r="K29" s="155"/>
      <c r="M29" s="1153"/>
      <c r="N29" s="1153"/>
      <c r="O29" s="1153"/>
      <c r="P29" s="1153"/>
      <c r="Q29" s="1153"/>
    </row>
    <row r="30" spans="1:17" ht="16.5" customHeight="1" x14ac:dyDescent="0.2">
      <c r="A30" s="718" t="str">
        <f>Dados!A89</f>
        <v>3.</v>
      </c>
      <c r="B30" s="774" t="str">
        <f>Dados!B89</f>
        <v>PROVISÕES PARA RESCISÃO</v>
      </c>
      <c r="C30" s="775" t="s">
        <v>11</v>
      </c>
      <c r="D30" s="776" t="s">
        <v>80</v>
      </c>
      <c r="E30" s="776" t="s">
        <v>81</v>
      </c>
      <c r="G30" s="718" t="str">
        <f>Dados!A89</f>
        <v>3.</v>
      </c>
      <c r="H30" s="774" t="str">
        <f>Dados!B89</f>
        <v>PROVISÕES PARA RESCISÃO</v>
      </c>
      <c r="I30" s="775" t="s">
        <v>11</v>
      </c>
      <c r="J30" s="776" t="s">
        <v>80</v>
      </c>
      <c r="K30" s="776" t="s">
        <v>81</v>
      </c>
      <c r="M30" s="718" t="s">
        <v>213</v>
      </c>
      <c r="N30" s="774" t="s">
        <v>49</v>
      </c>
      <c r="O30" s="775" t="s">
        <v>11</v>
      </c>
      <c r="P30" s="776" t="s">
        <v>80</v>
      </c>
      <c r="Q30" s="776" t="s">
        <v>81</v>
      </c>
    </row>
    <row r="31" spans="1:17" ht="45.75" customHeight="1" x14ac:dyDescent="0.2">
      <c r="A31" s="26" t="s">
        <v>1</v>
      </c>
      <c r="B31" s="27" t="str">
        <f>Dados!B90</f>
        <v>Aviso Prévio Indenizado </v>
      </c>
      <c r="C31" s="357">
        <f>Dados!G90</f>
        <v>2.5000000000000001E-3</v>
      </c>
      <c r="D31" s="157" t="s">
        <v>457</v>
      </c>
      <c r="E31" s="780" t="s">
        <v>468</v>
      </c>
      <c r="G31" s="26" t="s">
        <v>1</v>
      </c>
      <c r="H31" s="27" t="str">
        <f>Dados!B90</f>
        <v>Aviso Prévio Indenizado </v>
      </c>
      <c r="I31" s="357">
        <f>Dados!G90</f>
        <v>2.5000000000000001E-3</v>
      </c>
      <c r="J31" s="157" t="s">
        <v>457</v>
      </c>
      <c r="K31" s="780" t="s">
        <v>468</v>
      </c>
      <c r="M31" s="26" t="s">
        <v>1</v>
      </c>
      <c r="N31" s="27" t="s">
        <v>50</v>
      </c>
      <c r="O31" s="357">
        <v>2.5000000000000001E-3</v>
      </c>
      <c r="P31" s="157" t="s">
        <v>457</v>
      </c>
      <c r="Q31" s="780" t="s">
        <v>468</v>
      </c>
    </row>
    <row r="32" spans="1:17" ht="36.75" customHeight="1" x14ac:dyDescent="0.2">
      <c r="A32" s="26" t="s">
        <v>2</v>
      </c>
      <c r="B32" s="27" t="str">
        <f>Dados!B91</f>
        <v>Incidência do FGTS sobre aviso prévio indenizado</v>
      </c>
      <c r="C32" s="357">
        <f>Dados!G91</f>
        <v>2.0000000000000001E-4</v>
      </c>
      <c r="D32" s="157" t="s">
        <v>511</v>
      </c>
      <c r="E32" s="348" t="s">
        <v>440</v>
      </c>
      <c r="G32" s="26" t="s">
        <v>2</v>
      </c>
      <c r="H32" s="27" t="str">
        <f>Dados!B91</f>
        <v>Incidência do FGTS sobre aviso prévio indenizado</v>
      </c>
      <c r="I32" s="357">
        <f>Dados!G91</f>
        <v>2.0000000000000001E-4</v>
      </c>
      <c r="J32" s="157" t="s">
        <v>511</v>
      </c>
      <c r="K32" s="348" t="s">
        <v>440</v>
      </c>
      <c r="M32" s="26" t="s">
        <v>2</v>
      </c>
      <c r="N32" s="27" t="s">
        <v>110</v>
      </c>
      <c r="O32" s="357">
        <v>2.0000000000000001E-4</v>
      </c>
      <c r="P32" s="157" t="s">
        <v>511</v>
      </c>
      <c r="Q32" s="348" t="s">
        <v>440</v>
      </c>
    </row>
    <row r="33" spans="1:17" ht="38.25" customHeight="1" x14ac:dyDescent="0.2">
      <c r="A33" s="26" t="s">
        <v>4</v>
      </c>
      <c r="B33" s="27" t="str">
        <f>Dados!B92</f>
        <v xml:space="preserve">Multa sobre FGTS sobre o aviso prévio indenizado </v>
      </c>
      <c r="C33" s="781">
        <f>Dados!G92</f>
        <v>9.9999999999999995E-7</v>
      </c>
      <c r="D33" s="157" t="s">
        <v>458</v>
      </c>
      <c r="E33" s="368" t="s">
        <v>65</v>
      </c>
      <c r="G33" s="26" t="s">
        <v>4</v>
      </c>
      <c r="H33" s="27" t="str">
        <f>Dados!B92</f>
        <v xml:space="preserve">Multa sobre FGTS sobre o aviso prévio indenizado </v>
      </c>
      <c r="I33" s="781">
        <f>Dados!G92</f>
        <v>9.9999999999999995E-7</v>
      </c>
      <c r="J33" s="157" t="s">
        <v>458</v>
      </c>
      <c r="K33" s="368" t="s">
        <v>65</v>
      </c>
      <c r="M33" s="26" t="s">
        <v>4</v>
      </c>
      <c r="N33" s="27" t="s">
        <v>298</v>
      </c>
      <c r="O33" s="781">
        <v>9.9999999999999995E-7</v>
      </c>
      <c r="P33" s="157" t="s">
        <v>458</v>
      </c>
      <c r="Q33" s="368" t="s">
        <v>65</v>
      </c>
    </row>
    <row r="34" spans="1:17" ht="40.5" customHeight="1" x14ac:dyDescent="0.2">
      <c r="A34" s="26" t="s">
        <v>5</v>
      </c>
      <c r="B34" s="27" t="str">
        <f>Dados!B93</f>
        <v>Aviso Prévio Trabalhado</v>
      </c>
      <c r="C34" s="357">
        <f>Dados!G93</f>
        <v>1.9400000000000001E-2</v>
      </c>
      <c r="D34" s="157" t="s">
        <v>285</v>
      </c>
      <c r="E34" s="777" t="s">
        <v>476</v>
      </c>
      <c r="G34" s="26" t="s">
        <v>5</v>
      </c>
      <c r="H34" s="27" t="str">
        <f>Dados!B93</f>
        <v>Aviso Prévio Trabalhado</v>
      </c>
      <c r="I34" s="357">
        <f>Dados!G93</f>
        <v>1.9400000000000001E-2</v>
      </c>
      <c r="J34" s="157" t="s">
        <v>285</v>
      </c>
      <c r="K34" s="777" t="s">
        <v>476</v>
      </c>
      <c r="M34" s="26" t="s">
        <v>5</v>
      </c>
      <c r="N34" s="27" t="s">
        <v>158</v>
      </c>
      <c r="O34" s="782">
        <v>1.9400000000000001E-3</v>
      </c>
      <c r="P34" s="157" t="s">
        <v>514</v>
      </c>
      <c r="Q34" s="777" t="s">
        <v>515</v>
      </c>
    </row>
    <row r="35" spans="1:17" ht="42" customHeight="1" x14ac:dyDescent="0.2">
      <c r="A35" s="26" t="s">
        <v>6</v>
      </c>
      <c r="B35" s="27" t="str">
        <f>Dados!B94</f>
        <v>Incidência de GPS, FGTS e outras contribuições sobre o aviso prévio trabalhado</v>
      </c>
      <c r="C35" s="357">
        <f>Dados!G94</f>
        <v>7.0000000000000001E-3</v>
      </c>
      <c r="D35" s="157" t="s">
        <v>527</v>
      </c>
      <c r="E35" s="349" t="s">
        <v>485</v>
      </c>
      <c r="G35" s="26" t="s">
        <v>6</v>
      </c>
      <c r="H35" s="27" t="str">
        <f>Dados!B94</f>
        <v>Incidência de GPS, FGTS e outras contribuições sobre o aviso prévio trabalhado</v>
      </c>
      <c r="I35" s="357">
        <v>7.1000000000000004E-3</v>
      </c>
      <c r="J35" s="157" t="s">
        <v>526</v>
      </c>
      <c r="K35" s="349" t="s">
        <v>485</v>
      </c>
      <c r="M35" s="26" t="s">
        <v>6</v>
      </c>
      <c r="N35" s="27" t="s">
        <v>257</v>
      </c>
      <c r="O35" s="357">
        <v>6.9999999999999999E-4</v>
      </c>
      <c r="P35" s="157" t="s">
        <v>510</v>
      </c>
      <c r="Q35" s="349" t="s">
        <v>485</v>
      </c>
    </row>
    <row r="36" spans="1:17" ht="33" customHeight="1" x14ac:dyDescent="0.2">
      <c r="A36" s="26" t="s">
        <v>7</v>
      </c>
      <c r="B36" s="27" t="str">
        <f>Dados!B95</f>
        <v xml:space="preserve">Multa sobre FGTS sobre o aviso prévio trabalhado </v>
      </c>
      <c r="C36" s="357">
        <f>Dados!G95</f>
        <v>1E-4</v>
      </c>
      <c r="D36" s="157" t="s">
        <v>441</v>
      </c>
      <c r="E36" s="368" t="s">
        <v>65</v>
      </c>
      <c r="G36" s="26" t="s">
        <v>7</v>
      </c>
      <c r="H36" s="27" t="str">
        <f>Dados!B95</f>
        <v xml:space="preserve">Multa sobre FGTS sobre o aviso prévio trabalhado </v>
      </c>
      <c r="I36" s="357">
        <f>Dados!G95</f>
        <v>1E-4</v>
      </c>
      <c r="J36" s="157" t="s">
        <v>441</v>
      </c>
      <c r="K36" s="368" t="s">
        <v>65</v>
      </c>
      <c r="M36" s="26" t="s">
        <v>7</v>
      </c>
      <c r="N36" s="27" t="s">
        <v>299</v>
      </c>
      <c r="O36" s="781">
        <v>7.9999999999999996E-6</v>
      </c>
      <c r="P36" s="157" t="s">
        <v>512</v>
      </c>
      <c r="Q36" s="368" t="s">
        <v>65</v>
      </c>
    </row>
    <row r="37" spans="1:17" ht="33" customHeight="1" x14ac:dyDescent="0.2">
      <c r="A37" s="26" t="s">
        <v>8</v>
      </c>
      <c r="B37" s="27" t="str">
        <f>Dados!B96</f>
        <v>Multa FGTS - rescisão sem justa causa</v>
      </c>
      <c r="C37" s="357">
        <f>Dados!G96</f>
        <v>3.49E-2</v>
      </c>
      <c r="D37" s="157" t="s">
        <v>421</v>
      </c>
      <c r="E37" s="777" t="s">
        <v>474</v>
      </c>
      <c r="G37" s="26" t="s">
        <v>8</v>
      </c>
      <c r="H37" s="27" t="str">
        <f>Dados!B96</f>
        <v>Multa FGTS - rescisão sem justa causa</v>
      </c>
      <c r="I37" s="357">
        <f>Dados!G96</f>
        <v>3.49E-2</v>
      </c>
      <c r="J37" s="157" t="s">
        <v>421</v>
      </c>
      <c r="K37" s="777" t="s">
        <v>474</v>
      </c>
      <c r="M37" s="26" t="s">
        <v>8</v>
      </c>
      <c r="N37" s="27" t="s">
        <v>483</v>
      </c>
      <c r="O37" s="357">
        <v>3.49E-2</v>
      </c>
      <c r="P37" s="157" t="s">
        <v>421</v>
      </c>
      <c r="Q37" s="777" t="s">
        <v>474</v>
      </c>
    </row>
    <row r="38" spans="1:17" ht="16.5" customHeight="1" x14ac:dyDescent="0.2">
      <c r="A38" s="1155" t="s">
        <v>41</v>
      </c>
      <c r="B38" s="1155"/>
      <c r="C38" s="358">
        <f>SUM(C31:C37)</f>
        <v>6.4100000000000004E-2</v>
      </c>
      <c r="D38" s="153" t="s">
        <v>82</v>
      </c>
      <c r="E38" s="156" t="s">
        <v>82</v>
      </c>
      <c r="G38" s="1155" t="s">
        <v>41</v>
      </c>
      <c r="H38" s="1155"/>
      <c r="I38" s="358">
        <f>SUM(I31:I37)</f>
        <v>6.4199999999999993E-2</v>
      </c>
      <c r="J38" s="153" t="s">
        <v>82</v>
      </c>
      <c r="K38" s="156" t="s">
        <v>82</v>
      </c>
      <c r="M38" s="1155" t="s">
        <v>41</v>
      </c>
      <c r="N38" s="1155"/>
      <c r="O38" s="358">
        <f>SUM(O31:O37)</f>
        <v>4.02E-2</v>
      </c>
      <c r="P38" s="153" t="s">
        <v>82</v>
      </c>
      <c r="Q38" s="156" t="s">
        <v>82</v>
      </c>
    </row>
    <row r="39" spans="1:17" s="17" customFormat="1" ht="14.25" customHeight="1" x14ac:dyDescent="0.2">
      <c r="A39" s="1152" t="s">
        <v>469</v>
      </c>
      <c r="B39" s="1152"/>
      <c r="C39" s="1152"/>
      <c r="D39" s="1152"/>
      <c r="E39" s="1152"/>
      <c r="G39" s="1152" t="s">
        <v>469</v>
      </c>
      <c r="H39" s="1152"/>
      <c r="I39" s="1152"/>
      <c r="J39" s="1152"/>
      <c r="K39" s="1152"/>
      <c r="M39" s="1152" t="s">
        <v>469</v>
      </c>
      <c r="N39" s="1152"/>
      <c r="O39" s="1152"/>
      <c r="P39" s="1152"/>
      <c r="Q39" s="1152"/>
    </row>
    <row r="40" spans="1:17" s="17" customFormat="1" ht="14.25" x14ac:dyDescent="0.2">
      <c r="A40" s="1154"/>
      <c r="B40" s="1154"/>
      <c r="C40" s="1154"/>
      <c r="D40" s="1154"/>
      <c r="E40" s="1154"/>
      <c r="G40" s="1154"/>
      <c r="H40" s="1154"/>
      <c r="I40" s="1154"/>
      <c r="J40" s="1154"/>
      <c r="K40" s="1154"/>
      <c r="M40" s="1154"/>
      <c r="N40" s="1154"/>
      <c r="O40" s="1154"/>
      <c r="P40" s="1154"/>
      <c r="Q40" s="1154"/>
    </row>
    <row r="41" spans="1:17" ht="14.25" customHeight="1" x14ac:dyDescent="0.2">
      <c r="A41" s="1154" t="s">
        <v>247</v>
      </c>
      <c r="B41" s="1154"/>
      <c r="C41" s="1154"/>
      <c r="D41" s="1154"/>
      <c r="E41" s="1154"/>
      <c r="G41" s="1154" t="s">
        <v>247</v>
      </c>
      <c r="H41" s="1154"/>
      <c r="I41" s="1154"/>
      <c r="J41" s="1154"/>
      <c r="K41" s="1154"/>
      <c r="M41" s="1154" t="s">
        <v>247</v>
      </c>
      <c r="N41" s="1154"/>
      <c r="O41" s="1154"/>
      <c r="P41" s="1154"/>
      <c r="Q41" s="1154"/>
    </row>
    <row r="42" spans="1:17" ht="14.25" x14ac:dyDescent="0.2">
      <c r="A42" s="717"/>
      <c r="B42" s="717"/>
      <c r="C42" s="356"/>
      <c r="D42" s="717"/>
      <c r="E42" s="717"/>
      <c r="G42" s="717"/>
      <c r="H42" s="717"/>
      <c r="I42" s="356"/>
      <c r="J42" s="717"/>
      <c r="K42" s="717"/>
    </row>
    <row r="43" spans="1:17" ht="16.5" customHeight="1" x14ac:dyDescent="0.2">
      <c r="A43" s="23"/>
      <c r="B43" s="23"/>
      <c r="C43" s="355"/>
      <c r="D43" s="154"/>
      <c r="E43" s="155"/>
      <c r="G43" s="23"/>
      <c r="H43" s="23"/>
      <c r="I43" s="355"/>
      <c r="J43" s="154"/>
      <c r="K43" s="155"/>
    </row>
    <row r="44" spans="1:17" ht="16.5" customHeight="1" x14ac:dyDescent="0.2">
      <c r="A44" s="718" t="str">
        <f>Dados!A98</f>
        <v>4.1</v>
      </c>
      <c r="B44" s="783" t="str">
        <f>Dados!B98</f>
        <v>SUBSTITUTO NAS AUSÊNCIAS LEGAIS</v>
      </c>
      <c r="C44" s="775" t="s">
        <v>11</v>
      </c>
      <c r="D44" s="776" t="s">
        <v>80</v>
      </c>
      <c r="E44" s="776" t="s">
        <v>81</v>
      </c>
      <c r="G44" s="718" t="str">
        <f>Dados!A98</f>
        <v>4.1</v>
      </c>
      <c r="H44" s="783" t="str">
        <f>Dados!B98</f>
        <v>SUBSTITUTO NAS AUSÊNCIAS LEGAIS</v>
      </c>
      <c r="I44" s="775" t="s">
        <v>11</v>
      </c>
      <c r="J44" s="776" t="s">
        <v>80</v>
      </c>
      <c r="K44" s="776" t="s">
        <v>81</v>
      </c>
      <c r="M44" s="718" t="str">
        <f>Dados!A98</f>
        <v>4.1</v>
      </c>
      <c r="N44" s="783" t="str">
        <f>Dados!B98</f>
        <v>SUBSTITUTO NAS AUSÊNCIAS LEGAIS</v>
      </c>
      <c r="O44" s="775" t="s">
        <v>11</v>
      </c>
      <c r="P44" s="776" t="s">
        <v>80</v>
      </c>
      <c r="Q44" s="776" t="s">
        <v>81</v>
      </c>
    </row>
    <row r="45" spans="1:17" ht="14.25" x14ac:dyDescent="0.2">
      <c r="A45" s="26" t="s">
        <v>1</v>
      </c>
      <c r="B45" s="349" t="str">
        <f>Dados!B99</f>
        <v>Substituto na cobertura de Férias</v>
      </c>
      <c r="C45" s="357">
        <f>Dados!G99</f>
        <v>6.8999999999999999E-3</v>
      </c>
      <c r="D45" s="152" t="s">
        <v>442</v>
      </c>
      <c r="E45" s="367" t="s">
        <v>239</v>
      </c>
      <c r="G45" s="26" t="s">
        <v>1</v>
      </c>
      <c r="H45" s="349" t="str">
        <f>Dados!B99</f>
        <v>Substituto na cobertura de Férias</v>
      </c>
      <c r="I45" s="357">
        <f>Dados!G99</f>
        <v>6.8999999999999999E-3</v>
      </c>
      <c r="J45" s="152" t="s">
        <v>442</v>
      </c>
      <c r="K45" s="367" t="s">
        <v>239</v>
      </c>
      <c r="M45" s="26" t="s">
        <v>1</v>
      </c>
      <c r="N45" s="349" t="str">
        <f>Dados!B99</f>
        <v>Substituto na cobertura de Férias</v>
      </c>
      <c r="O45" s="357">
        <f>Dados!G99</f>
        <v>6.8999999999999999E-3</v>
      </c>
      <c r="P45" s="152" t="s">
        <v>442</v>
      </c>
      <c r="Q45" s="367" t="s">
        <v>239</v>
      </c>
    </row>
    <row r="46" spans="1:17" ht="28.5" x14ac:dyDescent="0.2">
      <c r="A46" s="26" t="s">
        <v>2</v>
      </c>
      <c r="B46" s="349" t="str">
        <f>Dados!B100</f>
        <v>Substituto na cobertura de Ausências Legais</v>
      </c>
      <c r="C46" s="357">
        <f>Dados!G100</f>
        <v>1E-4</v>
      </c>
      <c r="D46" s="152" t="s">
        <v>286</v>
      </c>
      <c r="E46" s="367" t="s">
        <v>461</v>
      </c>
      <c r="G46" s="26" t="s">
        <v>2</v>
      </c>
      <c r="H46" s="349" t="str">
        <f>Dados!B100</f>
        <v>Substituto na cobertura de Ausências Legais</v>
      </c>
      <c r="I46" s="357">
        <f>Dados!G100</f>
        <v>1E-4</v>
      </c>
      <c r="J46" s="152" t="s">
        <v>286</v>
      </c>
      <c r="K46" s="367" t="s">
        <v>461</v>
      </c>
      <c r="M46" s="26" t="s">
        <v>2</v>
      </c>
      <c r="N46" s="349" t="str">
        <f>Dados!B100</f>
        <v>Substituto na cobertura de Ausências Legais</v>
      </c>
      <c r="O46" s="357">
        <f>Dados!G100</f>
        <v>1E-4</v>
      </c>
      <c r="P46" s="152" t="s">
        <v>286</v>
      </c>
      <c r="Q46" s="367" t="s">
        <v>461</v>
      </c>
    </row>
    <row r="47" spans="1:17" ht="42.75" x14ac:dyDescent="0.2">
      <c r="A47" s="26" t="s">
        <v>4</v>
      </c>
      <c r="B47" s="349" t="str">
        <f>Dados!B101</f>
        <v>Substituto na cobertura de Licença-Paternidade</v>
      </c>
      <c r="C47" s="357">
        <f>Dados!G101</f>
        <v>1E-4</v>
      </c>
      <c r="D47" s="152" t="s">
        <v>286</v>
      </c>
      <c r="E47" s="367" t="s">
        <v>470</v>
      </c>
      <c r="G47" s="26" t="s">
        <v>4</v>
      </c>
      <c r="H47" s="349" t="str">
        <f>Dados!B101</f>
        <v>Substituto na cobertura de Licença-Paternidade</v>
      </c>
      <c r="I47" s="357">
        <f>Dados!G101</f>
        <v>1E-4</v>
      </c>
      <c r="J47" s="152" t="s">
        <v>286</v>
      </c>
      <c r="K47" s="367" t="s">
        <v>470</v>
      </c>
      <c r="M47" s="26" t="s">
        <v>4</v>
      </c>
      <c r="N47" s="349" t="str">
        <f>Dados!B101</f>
        <v>Substituto na cobertura de Licença-Paternidade</v>
      </c>
      <c r="O47" s="357">
        <f>Dados!G101</f>
        <v>1E-4</v>
      </c>
      <c r="P47" s="152" t="s">
        <v>286</v>
      </c>
      <c r="Q47" s="367" t="s">
        <v>470</v>
      </c>
    </row>
    <row r="48" spans="1:17" ht="42.75" x14ac:dyDescent="0.2">
      <c r="A48" s="26" t="s">
        <v>5</v>
      </c>
      <c r="B48" s="349" t="str">
        <f>Dados!B102</f>
        <v>Substituto na cobertura de Ausência por acidente de trabalho</v>
      </c>
      <c r="C48" s="357">
        <f>Dados!G102</f>
        <v>1E-4</v>
      </c>
      <c r="D48" s="152" t="s">
        <v>287</v>
      </c>
      <c r="E48" s="367" t="s">
        <v>471</v>
      </c>
      <c r="G48" s="26" t="s">
        <v>5</v>
      </c>
      <c r="H48" s="349" t="str">
        <f>Dados!B102</f>
        <v>Substituto na cobertura de Ausência por acidente de trabalho</v>
      </c>
      <c r="I48" s="357">
        <f>Dados!G102</f>
        <v>1E-4</v>
      </c>
      <c r="J48" s="152" t="s">
        <v>287</v>
      </c>
      <c r="K48" s="367" t="s">
        <v>471</v>
      </c>
      <c r="M48" s="26" t="s">
        <v>5</v>
      </c>
      <c r="N48" s="349" t="str">
        <f>Dados!B102</f>
        <v>Substituto na cobertura de Ausência por acidente de trabalho</v>
      </c>
      <c r="O48" s="357">
        <f>Dados!G102</f>
        <v>1E-4</v>
      </c>
      <c r="P48" s="152" t="s">
        <v>287</v>
      </c>
      <c r="Q48" s="367" t="s">
        <v>471</v>
      </c>
    </row>
    <row r="49" spans="1:17" ht="57" x14ac:dyDescent="0.2">
      <c r="A49" s="26" t="s">
        <v>6</v>
      </c>
      <c r="B49" s="349" t="str">
        <f>Dados!B103</f>
        <v>Substituto na cobertura de Afastamento Maternidade</v>
      </c>
      <c r="C49" s="357">
        <f>Dados!G103</f>
        <v>1E-4</v>
      </c>
      <c r="D49" s="157" t="s">
        <v>459</v>
      </c>
      <c r="E49" s="777" t="s">
        <v>462</v>
      </c>
      <c r="G49" s="26" t="s">
        <v>6</v>
      </c>
      <c r="H49" s="349" t="str">
        <f>Dados!B103</f>
        <v>Substituto na cobertura de Afastamento Maternidade</v>
      </c>
      <c r="I49" s="357">
        <f>Dados!G103</f>
        <v>1E-4</v>
      </c>
      <c r="J49" s="157" t="s">
        <v>459</v>
      </c>
      <c r="K49" s="777" t="s">
        <v>462</v>
      </c>
      <c r="M49" s="26" t="s">
        <v>6</v>
      </c>
      <c r="N49" s="349" t="str">
        <f>Dados!B103</f>
        <v>Substituto na cobertura de Afastamento Maternidade</v>
      </c>
      <c r="O49" s="357">
        <f>Dados!G103</f>
        <v>1E-4</v>
      </c>
      <c r="P49" s="157" t="s">
        <v>459</v>
      </c>
      <c r="Q49" s="777" t="s">
        <v>462</v>
      </c>
    </row>
    <row r="50" spans="1:17" ht="14.25" x14ac:dyDescent="0.2">
      <c r="A50" s="26" t="s">
        <v>7</v>
      </c>
      <c r="B50" s="349" t="str">
        <f>Dados!B104</f>
        <v>Substituto na cobertura de Outras ausências (especificar)</v>
      </c>
      <c r="C50" s="357">
        <f>Dados!G104</f>
        <v>0</v>
      </c>
      <c r="D50" s="153" t="s">
        <v>82</v>
      </c>
      <c r="E50" s="153" t="s">
        <v>82</v>
      </c>
      <c r="G50" s="26" t="s">
        <v>7</v>
      </c>
      <c r="H50" s="349" t="str">
        <f>Dados!B104</f>
        <v>Substituto na cobertura de Outras ausências (especificar)</v>
      </c>
      <c r="I50" s="357">
        <f>Dados!G104</f>
        <v>0</v>
      </c>
      <c r="J50" s="153" t="s">
        <v>82</v>
      </c>
      <c r="K50" s="153" t="s">
        <v>82</v>
      </c>
      <c r="M50" s="26" t="s">
        <v>7</v>
      </c>
      <c r="N50" s="349" t="str">
        <f>Dados!B104</f>
        <v>Substituto na cobertura de Outras ausências (especificar)</v>
      </c>
      <c r="O50" s="357">
        <f>Dados!G104</f>
        <v>0</v>
      </c>
      <c r="P50" s="153" t="s">
        <v>82</v>
      </c>
      <c r="Q50" s="153" t="s">
        <v>82</v>
      </c>
    </row>
    <row r="51" spans="1:17" ht="16.5" customHeight="1" x14ac:dyDescent="0.2">
      <c r="A51" s="1108" t="s">
        <v>48</v>
      </c>
      <c r="B51" s="1108"/>
      <c r="C51" s="358">
        <f>SUM(C45:C50)</f>
        <v>7.3000000000000001E-3</v>
      </c>
      <c r="D51" s="153" t="s">
        <v>82</v>
      </c>
      <c r="E51" s="153" t="s">
        <v>82</v>
      </c>
      <c r="G51" s="1108" t="s">
        <v>48</v>
      </c>
      <c r="H51" s="1108"/>
      <c r="I51" s="358">
        <f>SUM(I45:I50)</f>
        <v>7.3000000000000001E-3</v>
      </c>
      <c r="J51" s="153" t="s">
        <v>82</v>
      </c>
      <c r="K51" s="153" t="s">
        <v>82</v>
      </c>
      <c r="M51" s="1108" t="s">
        <v>48</v>
      </c>
      <c r="N51" s="1108"/>
      <c r="O51" s="358">
        <f>SUM(O45:O50)</f>
        <v>7.3000000000000001E-3</v>
      </c>
      <c r="P51" s="153" t="s">
        <v>82</v>
      </c>
      <c r="Q51" s="153" t="s">
        <v>82</v>
      </c>
    </row>
    <row r="52" spans="1:17" ht="14.25" customHeight="1" x14ac:dyDescent="0.2">
      <c r="A52" s="1152" t="s">
        <v>247</v>
      </c>
      <c r="B52" s="1152"/>
      <c r="C52" s="1152"/>
      <c r="D52" s="1152"/>
      <c r="E52" s="1152"/>
      <c r="G52" s="1152" t="s">
        <v>247</v>
      </c>
      <c r="H52" s="1152"/>
      <c r="I52" s="1152"/>
      <c r="J52" s="1152"/>
      <c r="K52" s="1152"/>
      <c r="M52" s="1152" t="s">
        <v>247</v>
      </c>
      <c r="N52" s="1152"/>
      <c r="O52" s="1152"/>
      <c r="P52" s="1152"/>
      <c r="Q52" s="1152"/>
    </row>
    <row r="53" spans="1:17" ht="14.25" x14ac:dyDescent="0.2">
      <c r="A53" s="200"/>
      <c r="B53" s="18"/>
      <c r="C53" s="359"/>
      <c r="D53" s="18"/>
      <c r="E53" s="18"/>
    </row>
    <row r="54" spans="1:17" ht="14.25" x14ac:dyDescent="0.2"/>
  </sheetData>
  <mergeCells count="42">
    <mergeCell ref="M8:Q8"/>
    <mergeCell ref="M41:Q41"/>
    <mergeCell ref="M38:N38"/>
    <mergeCell ref="G38:H38"/>
    <mergeCell ref="G39:K40"/>
    <mergeCell ref="G41:K41"/>
    <mergeCell ref="G8:K8"/>
    <mergeCell ref="G13:H13"/>
    <mergeCell ref="G26:H26"/>
    <mergeCell ref="G27:K27"/>
    <mergeCell ref="M13:N13"/>
    <mergeCell ref="M26:N26"/>
    <mergeCell ref="M27:Q27"/>
    <mergeCell ref="G6:K6"/>
    <mergeCell ref="M2:Q2"/>
    <mergeCell ref="M3:Q3"/>
    <mergeCell ref="M4:Q4"/>
    <mergeCell ref="M5:Q5"/>
    <mergeCell ref="M6:Q6"/>
    <mergeCell ref="G2:K2"/>
    <mergeCell ref="G3:K3"/>
    <mergeCell ref="G4:K4"/>
    <mergeCell ref="G5:K5"/>
    <mergeCell ref="A27:E27"/>
    <mergeCell ref="A52:E52"/>
    <mergeCell ref="A41:E41"/>
    <mergeCell ref="A13:B13"/>
    <mergeCell ref="A2:E2"/>
    <mergeCell ref="A3:E3"/>
    <mergeCell ref="A8:E8"/>
    <mergeCell ref="A26:B26"/>
    <mergeCell ref="A4:E4"/>
    <mergeCell ref="A5:E5"/>
    <mergeCell ref="M52:Q52"/>
    <mergeCell ref="M29:Q29"/>
    <mergeCell ref="M39:Q40"/>
    <mergeCell ref="A51:B51"/>
    <mergeCell ref="A38:B38"/>
    <mergeCell ref="A39:E40"/>
    <mergeCell ref="G51:H51"/>
    <mergeCell ref="G52:K52"/>
    <mergeCell ref="M51:N51"/>
  </mergeCells>
  <printOptions horizontalCentered="1"/>
  <pageMargins left="0.31496062992125984" right="0.35433070866141736" top="1.4566929133858268" bottom="0.43307086614173229" header="0.19685039370078741" footer="0.27559055118110237"/>
  <pageSetup paperSize="9" scale="53" fitToHeight="0" orientation="portrait" r:id="rId1"/>
  <headerFooter alignWithMargins="0">
    <oddHeader>&amp;L&amp;"+,Negrito"&amp;8PROPOSTA Nº 053/2020 - CJF</oddHeader>
  </headerFooter>
  <colBreaks count="3" manualBreakCount="3">
    <brk id="5" max="54" man="1"/>
    <brk id="11" max="54" man="1"/>
    <brk id="17" max="54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10">
    <tabColor rgb="FF92D050"/>
    <pageSetUpPr fitToPage="1"/>
  </sheetPr>
  <dimension ref="A2:E22"/>
  <sheetViews>
    <sheetView view="pageBreakPreview" zoomScale="90" zoomScaleNormal="130" zoomScaleSheetLayoutView="90" workbookViewId="0">
      <selection activeCell="E11" sqref="E11"/>
    </sheetView>
  </sheetViews>
  <sheetFormatPr defaultRowHeight="14.25" x14ac:dyDescent="0.2"/>
  <cols>
    <col min="1" max="1" width="5.28515625" style="217" customWidth="1"/>
    <col min="2" max="2" width="24.85546875" style="217" customWidth="1"/>
    <col min="3" max="3" width="8.7109375" style="217" customWidth="1"/>
    <col min="4" max="4" width="59.7109375" style="217" customWidth="1"/>
    <col min="5" max="5" width="52.28515625" style="217" customWidth="1"/>
    <col min="6" max="257" width="9.140625" style="217"/>
    <col min="258" max="258" width="27.140625" style="217" customWidth="1"/>
    <col min="259" max="259" width="35.85546875" style="217" customWidth="1"/>
    <col min="260" max="260" width="43.42578125" style="217" customWidth="1"/>
    <col min="261" max="261" width="52.28515625" style="217" customWidth="1"/>
    <col min="262" max="513" width="9.140625" style="217"/>
    <col min="514" max="514" width="27.140625" style="217" customWidth="1"/>
    <col min="515" max="515" width="35.85546875" style="217" customWidth="1"/>
    <col min="516" max="516" width="43.42578125" style="217" customWidth="1"/>
    <col min="517" max="517" width="52.28515625" style="217" customWidth="1"/>
    <col min="518" max="769" width="9.140625" style="217"/>
    <col min="770" max="770" width="27.140625" style="217" customWidth="1"/>
    <col min="771" max="771" width="35.85546875" style="217" customWidth="1"/>
    <col min="772" max="772" width="43.42578125" style="217" customWidth="1"/>
    <col min="773" max="773" width="52.28515625" style="217" customWidth="1"/>
    <col min="774" max="1025" width="9.140625" style="217"/>
    <col min="1026" max="1026" width="27.140625" style="217" customWidth="1"/>
    <col min="1027" max="1027" width="35.85546875" style="217" customWidth="1"/>
    <col min="1028" max="1028" width="43.42578125" style="217" customWidth="1"/>
    <col min="1029" max="1029" width="52.28515625" style="217" customWidth="1"/>
    <col min="1030" max="1281" width="9.140625" style="217"/>
    <col min="1282" max="1282" width="27.140625" style="217" customWidth="1"/>
    <col min="1283" max="1283" width="35.85546875" style="217" customWidth="1"/>
    <col min="1284" max="1284" width="43.42578125" style="217" customWidth="1"/>
    <col min="1285" max="1285" width="52.28515625" style="217" customWidth="1"/>
    <col min="1286" max="1537" width="9.140625" style="217"/>
    <col min="1538" max="1538" width="27.140625" style="217" customWidth="1"/>
    <col min="1539" max="1539" width="35.85546875" style="217" customWidth="1"/>
    <col min="1540" max="1540" width="43.42578125" style="217" customWidth="1"/>
    <col min="1541" max="1541" width="52.28515625" style="217" customWidth="1"/>
    <col min="1542" max="1793" width="9.140625" style="217"/>
    <col min="1794" max="1794" width="27.140625" style="217" customWidth="1"/>
    <col min="1795" max="1795" width="35.85546875" style="217" customWidth="1"/>
    <col min="1796" max="1796" width="43.42578125" style="217" customWidth="1"/>
    <col min="1797" max="1797" width="52.28515625" style="217" customWidth="1"/>
    <col min="1798" max="2049" width="9.140625" style="217"/>
    <col min="2050" max="2050" width="27.140625" style="217" customWidth="1"/>
    <col min="2051" max="2051" width="35.85546875" style="217" customWidth="1"/>
    <col min="2052" max="2052" width="43.42578125" style="217" customWidth="1"/>
    <col min="2053" max="2053" width="52.28515625" style="217" customWidth="1"/>
    <col min="2054" max="2305" width="9.140625" style="217"/>
    <col min="2306" max="2306" width="27.140625" style="217" customWidth="1"/>
    <col min="2307" max="2307" width="35.85546875" style="217" customWidth="1"/>
    <col min="2308" max="2308" width="43.42578125" style="217" customWidth="1"/>
    <col min="2309" max="2309" width="52.28515625" style="217" customWidth="1"/>
    <col min="2310" max="2561" width="9.140625" style="217"/>
    <col min="2562" max="2562" width="27.140625" style="217" customWidth="1"/>
    <col min="2563" max="2563" width="35.85546875" style="217" customWidth="1"/>
    <col min="2564" max="2564" width="43.42578125" style="217" customWidth="1"/>
    <col min="2565" max="2565" width="52.28515625" style="217" customWidth="1"/>
    <col min="2566" max="2817" width="9.140625" style="217"/>
    <col min="2818" max="2818" width="27.140625" style="217" customWidth="1"/>
    <col min="2819" max="2819" width="35.85546875" style="217" customWidth="1"/>
    <col min="2820" max="2820" width="43.42578125" style="217" customWidth="1"/>
    <col min="2821" max="2821" width="52.28515625" style="217" customWidth="1"/>
    <col min="2822" max="3073" width="9.140625" style="217"/>
    <col min="3074" max="3074" width="27.140625" style="217" customWidth="1"/>
    <col min="3075" max="3075" width="35.85546875" style="217" customWidth="1"/>
    <col min="3076" max="3076" width="43.42578125" style="217" customWidth="1"/>
    <col min="3077" max="3077" width="52.28515625" style="217" customWidth="1"/>
    <col min="3078" max="3329" width="9.140625" style="217"/>
    <col min="3330" max="3330" width="27.140625" style="217" customWidth="1"/>
    <col min="3331" max="3331" width="35.85546875" style="217" customWidth="1"/>
    <col min="3332" max="3332" width="43.42578125" style="217" customWidth="1"/>
    <col min="3333" max="3333" width="52.28515625" style="217" customWidth="1"/>
    <col min="3334" max="3585" width="9.140625" style="217"/>
    <col min="3586" max="3586" width="27.140625" style="217" customWidth="1"/>
    <col min="3587" max="3587" width="35.85546875" style="217" customWidth="1"/>
    <col min="3588" max="3588" width="43.42578125" style="217" customWidth="1"/>
    <col min="3589" max="3589" width="52.28515625" style="217" customWidth="1"/>
    <col min="3590" max="3841" width="9.140625" style="217"/>
    <col min="3842" max="3842" width="27.140625" style="217" customWidth="1"/>
    <col min="3843" max="3843" width="35.85546875" style="217" customWidth="1"/>
    <col min="3844" max="3844" width="43.42578125" style="217" customWidth="1"/>
    <col min="3845" max="3845" width="52.28515625" style="217" customWidth="1"/>
    <col min="3846" max="4097" width="9.140625" style="217"/>
    <col min="4098" max="4098" width="27.140625" style="217" customWidth="1"/>
    <col min="4099" max="4099" width="35.85546875" style="217" customWidth="1"/>
    <col min="4100" max="4100" width="43.42578125" style="217" customWidth="1"/>
    <col min="4101" max="4101" width="52.28515625" style="217" customWidth="1"/>
    <col min="4102" max="4353" width="9.140625" style="217"/>
    <col min="4354" max="4354" width="27.140625" style="217" customWidth="1"/>
    <col min="4355" max="4355" width="35.85546875" style="217" customWidth="1"/>
    <col min="4356" max="4356" width="43.42578125" style="217" customWidth="1"/>
    <col min="4357" max="4357" width="52.28515625" style="217" customWidth="1"/>
    <col min="4358" max="4609" width="9.140625" style="217"/>
    <col min="4610" max="4610" width="27.140625" style="217" customWidth="1"/>
    <col min="4611" max="4611" width="35.85546875" style="217" customWidth="1"/>
    <col min="4612" max="4612" width="43.42578125" style="217" customWidth="1"/>
    <col min="4613" max="4613" width="52.28515625" style="217" customWidth="1"/>
    <col min="4614" max="4865" width="9.140625" style="217"/>
    <col min="4866" max="4866" width="27.140625" style="217" customWidth="1"/>
    <col min="4867" max="4867" width="35.85546875" style="217" customWidth="1"/>
    <col min="4868" max="4868" width="43.42578125" style="217" customWidth="1"/>
    <col min="4869" max="4869" width="52.28515625" style="217" customWidth="1"/>
    <col min="4870" max="5121" width="9.140625" style="217"/>
    <col min="5122" max="5122" width="27.140625" style="217" customWidth="1"/>
    <col min="5123" max="5123" width="35.85546875" style="217" customWidth="1"/>
    <col min="5124" max="5124" width="43.42578125" style="217" customWidth="1"/>
    <col min="5125" max="5125" width="52.28515625" style="217" customWidth="1"/>
    <col min="5126" max="5377" width="9.140625" style="217"/>
    <col min="5378" max="5378" width="27.140625" style="217" customWidth="1"/>
    <col min="5379" max="5379" width="35.85546875" style="217" customWidth="1"/>
    <col min="5380" max="5380" width="43.42578125" style="217" customWidth="1"/>
    <col min="5381" max="5381" width="52.28515625" style="217" customWidth="1"/>
    <col min="5382" max="5633" width="9.140625" style="217"/>
    <col min="5634" max="5634" width="27.140625" style="217" customWidth="1"/>
    <col min="5635" max="5635" width="35.85546875" style="217" customWidth="1"/>
    <col min="5636" max="5636" width="43.42578125" style="217" customWidth="1"/>
    <col min="5637" max="5637" width="52.28515625" style="217" customWidth="1"/>
    <col min="5638" max="5889" width="9.140625" style="217"/>
    <col min="5890" max="5890" width="27.140625" style="217" customWidth="1"/>
    <col min="5891" max="5891" width="35.85546875" style="217" customWidth="1"/>
    <col min="5892" max="5892" width="43.42578125" style="217" customWidth="1"/>
    <col min="5893" max="5893" width="52.28515625" style="217" customWidth="1"/>
    <col min="5894" max="6145" width="9.140625" style="217"/>
    <col min="6146" max="6146" width="27.140625" style="217" customWidth="1"/>
    <col min="6147" max="6147" width="35.85546875" style="217" customWidth="1"/>
    <col min="6148" max="6148" width="43.42578125" style="217" customWidth="1"/>
    <col min="6149" max="6149" width="52.28515625" style="217" customWidth="1"/>
    <col min="6150" max="6401" width="9.140625" style="217"/>
    <col min="6402" max="6402" width="27.140625" style="217" customWidth="1"/>
    <col min="6403" max="6403" width="35.85546875" style="217" customWidth="1"/>
    <col min="6404" max="6404" width="43.42578125" style="217" customWidth="1"/>
    <col min="6405" max="6405" width="52.28515625" style="217" customWidth="1"/>
    <col min="6406" max="6657" width="9.140625" style="217"/>
    <col min="6658" max="6658" width="27.140625" style="217" customWidth="1"/>
    <col min="6659" max="6659" width="35.85546875" style="217" customWidth="1"/>
    <col min="6660" max="6660" width="43.42578125" style="217" customWidth="1"/>
    <col min="6661" max="6661" width="52.28515625" style="217" customWidth="1"/>
    <col min="6662" max="6913" width="9.140625" style="217"/>
    <col min="6914" max="6914" width="27.140625" style="217" customWidth="1"/>
    <col min="6915" max="6915" width="35.85546875" style="217" customWidth="1"/>
    <col min="6916" max="6916" width="43.42578125" style="217" customWidth="1"/>
    <col min="6917" max="6917" width="52.28515625" style="217" customWidth="1"/>
    <col min="6918" max="7169" width="9.140625" style="217"/>
    <col min="7170" max="7170" width="27.140625" style="217" customWidth="1"/>
    <col min="7171" max="7171" width="35.85546875" style="217" customWidth="1"/>
    <col min="7172" max="7172" width="43.42578125" style="217" customWidth="1"/>
    <col min="7173" max="7173" width="52.28515625" style="217" customWidth="1"/>
    <col min="7174" max="7425" width="9.140625" style="217"/>
    <col min="7426" max="7426" width="27.140625" style="217" customWidth="1"/>
    <col min="7427" max="7427" width="35.85546875" style="217" customWidth="1"/>
    <col min="7428" max="7428" width="43.42578125" style="217" customWidth="1"/>
    <col min="7429" max="7429" width="52.28515625" style="217" customWidth="1"/>
    <col min="7430" max="7681" width="9.140625" style="217"/>
    <col min="7682" max="7682" width="27.140625" style="217" customWidth="1"/>
    <col min="7683" max="7683" width="35.85546875" style="217" customWidth="1"/>
    <col min="7684" max="7684" width="43.42578125" style="217" customWidth="1"/>
    <col min="7685" max="7685" width="52.28515625" style="217" customWidth="1"/>
    <col min="7686" max="7937" width="9.140625" style="217"/>
    <col min="7938" max="7938" width="27.140625" style="217" customWidth="1"/>
    <col min="7939" max="7939" width="35.85546875" style="217" customWidth="1"/>
    <col min="7940" max="7940" width="43.42578125" style="217" customWidth="1"/>
    <col min="7941" max="7941" width="52.28515625" style="217" customWidth="1"/>
    <col min="7942" max="8193" width="9.140625" style="217"/>
    <col min="8194" max="8194" width="27.140625" style="217" customWidth="1"/>
    <col min="8195" max="8195" width="35.85546875" style="217" customWidth="1"/>
    <col min="8196" max="8196" width="43.42578125" style="217" customWidth="1"/>
    <col min="8197" max="8197" width="52.28515625" style="217" customWidth="1"/>
    <col min="8198" max="8449" width="9.140625" style="217"/>
    <col min="8450" max="8450" width="27.140625" style="217" customWidth="1"/>
    <col min="8451" max="8451" width="35.85546875" style="217" customWidth="1"/>
    <col min="8452" max="8452" width="43.42578125" style="217" customWidth="1"/>
    <col min="8453" max="8453" width="52.28515625" style="217" customWidth="1"/>
    <col min="8454" max="8705" width="9.140625" style="217"/>
    <col min="8706" max="8706" width="27.140625" style="217" customWidth="1"/>
    <col min="8707" max="8707" width="35.85546875" style="217" customWidth="1"/>
    <col min="8708" max="8708" width="43.42578125" style="217" customWidth="1"/>
    <col min="8709" max="8709" width="52.28515625" style="217" customWidth="1"/>
    <col min="8710" max="8961" width="9.140625" style="217"/>
    <col min="8962" max="8962" width="27.140625" style="217" customWidth="1"/>
    <col min="8963" max="8963" width="35.85546875" style="217" customWidth="1"/>
    <col min="8964" max="8964" width="43.42578125" style="217" customWidth="1"/>
    <col min="8965" max="8965" width="52.28515625" style="217" customWidth="1"/>
    <col min="8966" max="9217" width="9.140625" style="217"/>
    <col min="9218" max="9218" width="27.140625" style="217" customWidth="1"/>
    <col min="9219" max="9219" width="35.85546875" style="217" customWidth="1"/>
    <col min="9220" max="9220" width="43.42578125" style="217" customWidth="1"/>
    <col min="9221" max="9221" width="52.28515625" style="217" customWidth="1"/>
    <col min="9222" max="9473" width="9.140625" style="217"/>
    <col min="9474" max="9474" width="27.140625" style="217" customWidth="1"/>
    <col min="9475" max="9475" width="35.85546875" style="217" customWidth="1"/>
    <col min="9476" max="9476" width="43.42578125" style="217" customWidth="1"/>
    <col min="9477" max="9477" width="52.28515625" style="217" customWidth="1"/>
    <col min="9478" max="9729" width="9.140625" style="217"/>
    <col min="9730" max="9730" width="27.140625" style="217" customWidth="1"/>
    <col min="9731" max="9731" width="35.85546875" style="217" customWidth="1"/>
    <col min="9732" max="9732" width="43.42578125" style="217" customWidth="1"/>
    <col min="9733" max="9733" width="52.28515625" style="217" customWidth="1"/>
    <col min="9734" max="9985" width="9.140625" style="217"/>
    <col min="9986" max="9986" width="27.140625" style="217" customWidth="1"/>
    <col min="9987" max="9987" width="35.85546875" style="217" customWidth="1"/>
    <col min="9988" max="9988" width="43.42578125" style="217" customWidth="1"/>
    <col min="9989" max="9989" width="52.28515625" style="217" customWidth="1"/>
    <col min="9990" max="10241" width="9.140625" style="217"/>
    <col min="10242" max="10242" width="27.140625" style="217" customWidth="1"/>
    <col min="10243" max="10243" width="35.85546875" style="217" customWidth="1"/>
    <col min="10244" max="10244" width="43.42578125" style="217" customWidth="1"/>
    <col min="10245" max="10245" width="52.28515625" style="217" customWidth="1"/>
    <col min="10246" max="10497" width="9.140625" style="217"/>
    <col min="10498" max="10498" width="27.140625" style="217" customWidth="1"/>
    <col min="10499" max="10499" width="35.85546875" style="217" customWidth="1"/>
    <col min="10500" max="10500" width="43.42578125" style="217" customWidth="1"/>
    <col min="10501" max="10501" width="52.28515625" style="217" customWidth="1"/>
    <col min="10502" max="10753" width="9.140625" style="217"/>
    <col min="10754" max="10754" width="27.140625" style="217" customWidth="1"/>
    <col min="10755" max="10755" width="35.85546875" style="217" customWidth="1"/>
    <col min="10756" max="10756" width="43.42578125" style="217" customWidth="1"/>
    <col min="10757" max="10757" width="52.28515625" style="217" customWidth="1"/>
    <col min="10758" max="11009" width="9.140625" style="217"/>
    <col min="11010" max="11010" width="27.140625" style="217" customWidth="1"/>
    <col min="11011" max="11011" width="35.85546875" style="217" customWidth="1"/>
    <col min="11012" max="11012" width="43.42578125" style="217" customWidth="1"/>
    <col min="11013" max="11013" width="52.28515625" style="217" customWidth="1"/>
    <col min="11014" max="11265" width="9.140625" style="217"/>
    <col min="11266" max="11266" width="27.140625" style="217" customWidth="1"/>
    <col min="11267" max="11267" width="35.85546875" style="217" customWidth="1"/>
    <col min="11268" max="11268" width="43.42578125" style="217" customWidth="1"/>
    <col min="11269" max="11269" width="52.28515625" style="217" customWidth="1"/>
    <col min="11270" max="11521" width="9.140625" style="217"/>
    <col min="11522" max="11522" width="27.140625" style="217" customWidth="1"/>
    <col min="11523" max="11523" width="35.85546875" style="217" customWidth="1"/>
    <col min="11524" max="11524" width="43.42578125" style="217" customWidth="1"/>
    <col min="11525" max="11525" width="52.28515625" style="217" customWidth="1"/>
    <col min="11526" max="11777" width="9.140625" style="217"/>
    <col min="11778" max="11778" width="27.140625" style="217" customWidth="1"/>
    <col min="11779" max="11779" width="35.85546875" style="217" customWidth="1"/>
    <col min="11780" max="11780" width="43.42578125" style="217" customWidth="1"/>
    <col min="11781" max="11781" width="52.28515625" style="217" customWidth="1"/>
    <col min="11782" max="12033" width="9.140625" style="217"/>
    <col min="12034" max="12034" width="27.140625" style="217" customWidth="1"/>
    <col min="12035" max="12035" width="35.85546875" style="217" customWidth="1"/>
    <col min="12036" max="12036" width="43.42578125" style="217" customWidth="1"/>
    <col min="12037" max="12037" width="52.28515625" style="217" customWidth="1"/>
    <col min="12038" max="12289" width="9.140625" style="217"/>
    <col min="12290" max="12290" width="27.140625" style="217" customWidth="1"/>
    <col min="12291" max="12291" width="35.85546875" style="217" customWidth="1"/>
    <col min="12292" max="12292" width="43.42578125" style="217" customWidth="1"/>
    <col min="12293" max="12293" width="52.28515625" style="217" customWidth="1"/>
    <col min="12294" max="12545" width="9.140625" style="217"/>
    <col min="12546" max="12546" width="27.140625" style="217" customWidth="1"/>
    <col min="12547" max="12547" width="35.85546875" style="217" customWidth="1"/>
    <col min="12548" max="12548" width="43.42578125" style="217" customWidth="1"/>
    <col min="12549" max="12549" width="52.28515625" style="217" customWidth="1"/>
    <col min="12550" max="12801" width="9.140625" style="217"/>
    <col min="12802" max="12802" width="27.140625" style="217" customWidth="1"/>
    <col min="12803" max="12803" width="35.85546875" style="217" customWidth="1"/>
    <col min="12804" max="12804" width="43.42578125" style="217" customWidth="1"/>
    <col min="12805" max="12805" width="52.28515625" style="217" customWidth="1"/>
    <col min="12806" max="13057" width="9.140625" style="217"/>
    <col min="13058" max="13058" width="27.140625" style="217" customWidth="1"/>
    <col min="13059" max="13059" width="35.85546875" style="217" customWidth="1"/>
    <col min="13060" max="13060" width="43.42578125" style="217" customWidth="1"/>
    <col min="13061" max="13061" width="52.28515625" style="217" customWidth="1"/>
    <col min="13062" max="13313" width="9.140625" style="217"/>
    <col min="13314" max="13314" width="27.140625" style="217" customWidth="1"/>
    <col min="13315" max="13315" width="35.85546875" style="217" customWidth="1"/>
    <col min="13316" max="13316" width="43.42578125" style="217" customWidth="1"/>
    <col min="13317" max="13317" width="52.28515625" style="217" customWidth="1"/>
    <col min="13318" max="13569" width="9.140625" style="217"/>
    <col min="13570" max="13570" width="27.140625" style="217" customWidth="1"/>
    <col min="13571" max="13571" width="35.85546875" style="217" customWidth="1"/>
    <col min="13572" max="13572" width="43.42578125" style="217" customWidth="1"/>
    <col min="13573" max="13573" width="52.28515625" style="217" customWidth="1"/>
    <col min="13574" max="13825" width="9.140625" style="217"/>
    <col min="13826" max="13826" width="27.140625" style="217" customWidth="1"/>
    <col min="13827" max="13827" width="35.85546875" style="217" customWidth="1"/>
    <col min="13828" max="13828" width="43.42578125" style="217" customWidth="1"/>
    <col min="13829" max="13829" width="52.28515625" style="217" customWidth="1"/>
    <col min="13830" max="14081" width="9.140625" style="217"/>
    <col min="14082" max="14082" width="27.140625" style="217" customWidth="1"/>
    <col min="14083" max="14083" width="35.85546875" style="217" customWidth="1"/>
    <col min="14084" max="14084" width="43.42578125" style="217" customWidth="1"/>
    <col min="14085" max="14085" width="52.28515625" style="217" customWidth="1"/>
    <col min="14086" max="14337" width="9.140625" style="217"/>
    <col min="14338" max="14338" width="27.140625" style="217" customWidth="1"/>
    <col min="14339" max="14339" width="35.85546875" style="217" customWidth="1"/>
    <col min="14340" max="14340" width="43.42578125" style="217" customWidth="1"/>
    <col min="14341" max="14341" width="52.28515625" style="217" customWidth="1"/>
    <col min="14342" max="14593" width="9.140625" style="217"/>
    <col min="14594" max="14594" width="27.140625" style="217" customWidth="1"/>
    <col min="14595" max="14595" width="35.85546875" style="217" customWidth="1"/>
    <col min="14596" max="14596" width="43.42578125" style="217" customWidth="1"/>
    <col min="14597" max="14597" width="52.28515625" style="217" customWidth="1"/>
    <col min="14598" max="14849" width="9.140625" style="217"/>
    <col min="14850" max="14850" width="27.140625" style="217" customWidth="1"/>
    <col min="14851" max="14851" width="35.85546875" style="217" customWidth="1"/>
    <col min="14852" max="14852" width="43.42578125" style="217" customWidth="1"/>
    <col min="14853" max="14853" width="52.28515625" style="217" customWidth="1"/>
    <col min="14854" max="15105" width="9.140625" style="217"/>
    <col min="15106" max="15106" width="27.140625" style="217" customWidth="1"/>
    <col min="15107" max="15107" width="35.85546875" style="217" customWidth="1"/>
    <col min="15108" max="15108" width="43.42578125" style="217" customWidth="1"/>
    <col min="15109" max="15109" width="52.28515625" style="217" customWidth="1"/>
    <col min="15110" max="15361" width="9.140625" style="217"/>
    <col min="15362" max="15362" width="27.140625" style="217" customWidth="1"/>
    <col min="15363" max="15363" width="35.85546875" style="217" customWidth="1"/>
    <col min="15364" max="15364" width="43.42578125" style="217" customWidth="1"/>
    <col min="15365" max="15365" width="52.28515625" style="217" customWidth="1"/>
    <col min="15366" max="15617" width="9.140625" style="217"/>
    <col min="15618" max="15618" width="27.140625" style="217" customWidth="1"/>
    <col min="15619" max="15619" width="35.85546875" style="217" customWidth="1"/>
    <col min="15620" max="15620" width="43.42578125" style="217" customWidth="1"/>
    <col min="15621" max="15621" width="52.28515625" style="217" customWidth="1"/>
    <col min="15622" max="15873" width="9.140625" style="217"/>
    <col min="15874" max="15874" width="27.140625" style="217" customWidth="1"/>
    <col min="15875" max="15875" width="35.85546875" style="217" customWidth="1"/>
    <col min="15876" max="15876" width="43.42578125" style="217" customWidth="1"/>
    <col min="15877" max="15877" width="52.28515625" style="217" customWidth="1"/>
    <col min="15878" max="16129" width="9.140625" style="217"/>
    <col min="16130" max="16130" width="27.140625" style="217" customWidth="1"/>
    <col min="16131" max="16131" width="35.85546875" style="217" customWidth="1"/>
    <col min="16132" max="16132" width="43.42578125" style="217" customWidth="1"/>
    <col min="16133" max="16133" width="52.28515625" style="217" customWidth="1"/>
    <col min="16134" max="16384" width="9.140625" style="217"/>
  </cols>
  <sheetData>
    <row r="2" spans="1:5" x14ac:dyDescent="0.2">
      <c r="A2" s="1160" t="str">
        <f>Dados!A5</f>
        <v>CONSELHO DA JUSTIÇA FEDERAL - CJF</v>
      </c>
      <c r="B2" s="1160"/>
      <c r="C2" s="1160"/>
      <c r="D2" s="1160"/>
      <c r="E2" s="1160"/>
    </row>
    <row r="3" spans="1:5" x14ac:dyDescent="0.2">
      <c r="A3" s="1160" t="str">
        <f>Dados!A9</f>
        <v>PREGÃO ELETRÔNICO Nº 09/2020 - CJF</v>
      </c>
      <c r="B3" s="1160"/>
      <c r="C3" s="1160"/>
      <c r="D3" s="1160"/>
      <c r="E3" s="1160"/>
    </row>
    <row r="4" spans="1:5" hidden="1" x14ac:dyDescent="0.2">
      <c r="A4" s="1164" t="str">
        <f>Dados!A10</f>
        <v>CONTRATO Nº __________/201__ - CONTRATANTE - PRESTAÇÃO DE SERVIÇOS --------</v>
      </c>
      <c r="B4" s="1164"/>
      <c r="C4" s="1164"/>
      <c r="D4" s="1164"/>
      <c r="E4" s="1164"/>
    </row>
    <row r="5" spans="1:5" hidden="1" x14ac:dyDescent="0.2">
      <c r="A5" s="1164" t="str">
        <f>Dados!H2</f>
        <v xml:space="preserve">REPACTUAÇÃO CONTRATUAL 20___ - </v>
      </c>
      <c r="B5" s="1164"/>
      <c r="C5" s="1164"/>
      <c r="D5" s="1164"/>
      <c r="E5" s="1164"/>
    </row>
    <row r="6" spans="1:5" x14ac:dyDescent="0.2">
      <c r="A6" s="202"/>
      <c r="B6" s="218"/>
      <c r="C6" s="218"/>
      <c r="D6" s="169"/>
      <c r="E6" s="218"/>
    </row>
    <row r="7" spans="1:5" x14ac:dyDescent="0.2">
      <c r="A7" s="202"/>
      <c r="B7" s="218"/>
      <c r="C7" s="218"/>
      <c r="D7" s="169"/>
      <c r="E7" s="218"/>
    </row>
    <row r="8" spans="1:5" ht="14.25" customHeight="1" x14ac:dyDescent="0.2">
      <c r="A8" s="1133" t="s">
        <v>276</v>
      </c>
      <c r="B8" s="1133"/>
      <c r="C8" s="1133"/>
      <c r="D8" s="1133"/>
      <c r="E8" s="1133"/>
    </row>
    <row r="9" spans="1:5" x14ac:dyDescent="0.2">
      <c r="A9" s="202"/>
      <c r="B9" s="210"/>
      <c r="C9" s="210"/>
      <c r="D9" s="210"/>
      <c r="E9" s="210"/>
    </row>
    <row r="10" spans="1:5" x14ac:dyDescent="0.2">
      <c r="A10" s="170"/>
      <c r="B10" s="171" t="s">
        <v>63</v>
      </c>
      <c r="C10" s="172" t="s">
        <v>11</v>
      </c>
      <c r="D10" s="171" t="s">
        <v>80</v>
      </c>
      <c r="E10" s="172" t="s">
        <v>81</v>
      </c>
    </row>
    <row r="11" spans="1:5" ht="71.25" x14ac:dyDescent="0.2">
      <c r="A11" s="173" t="s">
        <v>1</v>
      </c>
      <c r="B11" s="174" t="s">
        <v>183</v>
      </c>
      <c r="C11" s="175">
        <f>Dados!J67</f>
        <v>0.01</v>
      </c>
      <c r="D11" s="176" t="s">
        <v>273</v>
      </c>
      <c r="E11" s="177" t="s">
        <v>184</v>
      </c>
    </row>
    <row r="12" spans="1:5" ht="85.5" x14ac:dyDescent="0.2">
      <c r="A12" s="173" t="s">
        <v>2</v>
      </c>
      <c r="B12" s="174" t="s">
        <v>18</v>
      </c>
      <c r="C12" s="175">
        <f>Dados!J68</f>
        <v>0.01</v>
      </c>
      <c r="D12" s="177" t="s">
        <v>274</v>
      </c>
      <c r="E12" s="177" t="s">
        <v>189</v>
      </c>
    </row>
    <row r="13" spans="1:5" ht="57.75" x14ac:dyDescent="0.2">
      <c r="A13" s="173" t="s">
        <v>4</v>
      </c>
      <c r="B13" s="174" t="s">
        <v>21</v>
      </c>
      <c r="C13" s="179"/>
      <c r="D13" s="177" t="s">
        <v>275</v>
      </c>
      <c r="E13" s="178" t="s">
        <v>185</v>
      </c>
    </row>
    <row r="14" spans="1:5" x14ac:dyDescent="0.2">
      <c r="A14" s="1165" t="s">
        <v>271</v>
      </c>
      <c r="B14" s="1161" t="s">
        <v>186</v>
      </c>
      <c r="C14" s="1162"/>
      <c r="D14" s="1162"/>
      <c r="E14" s="1163"/>
    </row>
    <row r="15" spans="1:5" ht="28.5" x14ac:dyDescent="0.2">
      <c r="A15" s="1167"/>
      <c r="B15" s="174" t="s">
        <v>20</v>
      </c>
      <c r="C15" s="175">
        <f>Dados!E72</f>
        <v>0.03</v>
      </c>
      <c r="D15" s="179"/>
      <c r="E15" s="177" t="s">
        <v>199</v>
      </c>
    </row>
    <row r="16" spans="1:5" ht="28.5" x14ac:dyDescent="0.2">
      <c r="A16" s="1166"/>
      <c r="B16" s="174" t="s">
        <v>19</v>
      </c>
      <c r="C16" s="175">
        <f>Dados!F72</f>
        <v>6.4999999999999997E-3</v>
      </c>
      <c r="D16" s="179"/>
      <c r="E16" s="177" t="s">
        <v>198</v>
      </c>
    </row>
    <row r="17" spans="1:5" x14ac:dyDescent="0.2">
      <c r="A17" s="1165" t="s">
        <v>272</v>
      </c>
      <c r="B17" s="1161" t="s">
        <v>187</v>
      </c>
      <c r="C17" s="1162"/>
      <c r="D17" s="1162"/>
      <c r="E17" s="1163"/>
    </row>
    <row r="18" spans="1:5" x14ac:dyDescent="0.2">
      <c r="A18" s="1166"/>
      <c r="B18" s="174" t="s">
        <v>188</v>
      </c>
      <c r="C18" s="175">
        <f>Dados!C72</f>
        <v>0.05</v>
      </c>
      <c r="D18" s="179"/>
      <c r="E18" s="179"/>
    </row>
    <row r="19" spans="1:5" x14ac:dyDescent="0.2">
      <c r="A19" s="218"/>
      <c r="B19" s="180"/>
      <c r="C19" s="180"/>
      <c r="D19" s="181"/>
      <c r="E19" s="182"/>
    </row>
    <row r="20" spans="1:5" x14ac:dyDescent="0.2">
      <c r="A20" s="219" t="s">
        <v>190</v>
      </c>
      <c r="B20" s="183"/>
      <c r="C20" s="183"/>
      <c r="D20" s="184"/>
      <c r="E20" s="185"/>
    </row>
    <row r="21" spans="1:5" hidden="1" x14ac:dyDescent="0.2">
      <c r="A21" s="1159" t="s">
        <v>191</v>
      </c>
      <c r="B21" s="1159"/>
      <c r="C21" s="1159"/>
      <c r="D21" s="1159"/>
      <c r="E21" s="1159"/>
    </row>
    <row r="22" spans="1:5" hidden="1" x14ac:dyDescent="0.2">
      <c r="A22" s="1159"/>
      <c r="B22" s="1159"/>
      <c r="C22" s="1159"/>
      <c r="D22" s="1159"/>
      <c r="E22" s="1159"/>
    </row>
  </sheetData>
  <mergeCells count="10">
    <mergeCell ref="A21:E22"/>
    <mergeCell ref="A2:E2"/>
    <mergeCell ref="A3:E3"/>
    <mergeCell ref="A8:E8"/>
    <mergeCell ref="B14:E14"/>
    <mergeCell ref="B17:E17"/>
    <mergeCell ref="A4:E4"/>
    <mergeCell ref="A5:E5"/>
    <mergeCell ref="A17:A18"/>
    <mergeCell ref="A14:A16"/>
  </mergeCells>
  <dataValidations count="1">
    <dataValidation allowBlank="1" showInputMessage="1" showErrorMessage="1" errorTitle="Alerta" error="Re-exibir no caso de SPED/DACON. As informações estão ocultas nas Coluna &quot;A&quot; Linhas &quot;21-22&quot; e Coluna &quot;D&quot; Linhas &quot;13-14&quot;." promptTitle="PIS e COFINS" prompt="Re-exibir no caso de SPED/DACON. As informações estão ocultas nas Coluna &quot;A&quot; Linhas &quot;21-22&quot; e Coluna &quot;D&quot; Linhas &quot;13-14&quot;." sqref="A21:E22" xr:uid="{00000000-0002-0000-0D00-000000000000}"/>
  </dataValidations>
  <printOptions horizontalCentered="1"/>
  <pageMargins left="0.51181102362204722" right="0.51181102362204722" top="1.9685039370078741" bottom="0.78740157480314965" header="0.31496062992125984" footer="0.31496062992125984"/>
  <pageSetup paperSize="9" scale="61" fitToHeight="0" orientation="portrait" horizontalDpi="1200" verticalDpi="1200" r:id="rId1"/>
  <headerFooter>
    <oddHeader>&amp;L&amp;"+,Negrito"&amp;8PROPOSTA Nº 053/2020 - CJF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Plan13">
    <tabColor rgb="FFFFFF00"/>
    <pageSetUpPr fitToPage="1"/>
  </sheetPr>
  <dimension ref="A2:P75"/>
  <sheetViews>
    <sheetView tabSelected="1" zoomScaleNormal="100" zoomScaleSheetLayoutView="90" workbookViewId="0">
      <selection activeCell="H56" sqref="H56"/>
    </sheetView>
  </sheetViews>
  <sheetFormatPr defaultRowHeight="14.25" x14ac:dyDescent="0.2"/>
  <cols>
    <col min="1" max="1" width="6.7109375" style="28" customWidth="1"/>
    <col min="2" max="2" width="31.7109375" style="28" customWidth="1"/>
    <col min="3" max="3" width="27" style="28" customWidth="1"/>
    <col min="4" max="4" width="18.140625" style="28" customWidth="1"/>
    <col min="5" max="5" width="14.7109375" style="28" customWidth="1"/>
    <col min="6" max="6" width="17.5703125" style="28" customWidth="1"/>
    <col min="7" max="7" width="18.7109375" style="28" customWidth="1"/>
    <col min="8" max="8" width="23.28515625" style="28" customWidth="1"/>
    <col min="9" max="9" width="9.140625" style="28"/>
    <col min="10" max="10" width="6" style="28" customWidth="1"/>
    <col min="11" max="11" width="22.28515625" style="28" customWidth="1"/>
    <col min="12" max="12" width="15.42578125" style="28" bestFit="1" customWidth="1"/>
    <col min="13" max="13" width="7" style="28" customWidth="1"/>
    <col min="14" max="14" width="6.140625" style="28" customWidth="1"/>
    <col min="15" max="15" width="5" style="28" customWidth="1"/>
    <col min="16" max="16" width="13.140625" style="28" customWidth="1"/>
    <col min="17" max="16384" width="9.140625" style="28"/>
  </cols>
  <sheetData>
    <row r="2" spans="1:13" x14ac:dyDescent="0.2">
      <c r="A2" s="1177" t="str">
        <f>Dados!A5</f>
        <v>CONSELHO DA JUSTIÇA FEDERAL - CJF</v>
      </c>
      <c r="B2" s="1177"/>
      <c r="C2" s="1177"/>
      <c r="D2" s="1177"/>
      <c r="E2" s="1177"/>
      <c r="F2" s="1177"/>
      <c r="G2" s="1177"/>
      <c r="H2" s="1177"/>
    </row>
    <row r="3" spans="1:13" x14ac:dyDescent="0.2">
      <c r="A3" s="1177" t="str">
        <f>Dados!A9</f>
        <v>PREGÃO ELETRÔNICO Nº 09/2020 - CJF</v>
      </c>
      <c r="B3" s="1177"/>
      <c r="C3" s="1177"/>
      <c r="D3" s="1177"/>
      <c r="E3" s="1177"/>
      <c r="F3" s="1177"/>
      <c r="G3" s="1177"/>
      <c r="H3" s="1177"/>
    </row>
    <row r="4" spans="1:13" hidden="1" x14ac:dyDescent="0.2">
      <c r="A4" s="1178" t="str">
        <f>Dados!A10</f>
        <v>CONTRATO Nº __________/201__ - CONTRATANTE - PRESTAÇÃO DE SERVIÇOS --------</v>
      </c>
      <c r="B4" s="1178"/>
      <c r="C4" s="1178"/>
      <c r="D4" s="1178"/>
      <c r="E4" s="1178"/>
      <c r="F4" s="1178"/>
      <c r="G4" s="1178"/>
      <c r="H4" s="1178"/>
    </row>
    <row r="5" spans="1:13" hidden="1" x14ac:dyDescent="0.2">
      <c r="A5" s="1178" t="str">
        <f>Dados!H2</f>
        <v xml:space="preserve">REPACTUAÇÃO CONTRATUAL 20___ - </v>
      </c>
      <c r="B5" s="1178"/>
      <c r="C5" s="1178"/>
      <c r="D5" s="1178"/>
      <c r="E5" s="1178"/>
      <c r="F5" s="1178"/>
      <c r="G5" s="1178"/>
      <c r="H5" s="1178"/>
    </row>
    <row r="7" spans="1:13" hidden="1" x14ac:dyDescent="0.2"/>
    <row r="8" spans="1:13" hidden="1" x14ac:dyDescent="0.2">
      <c r="A8" s="1177" t="s">
        <v>118</v>
      </c>
      <c r="B8" s="1177"/>
      <c r="C8" s="1177"/>
      <c r="D8" s="1177"/>
      <c r="E8" s="1177"/>
      <c r="F8" s="1177"/>
      <c r="G8" s="1177"/>
      <c r="H8" s="1177"/>
    </row>
    <row r="9" spans="1:13" hidden="1" x14ac:dyDescent="0.2">
      <c r="A9" s="102"/>
      <c r="B9" s="102"/>
      <c r="C9" s="102"/>
      <c r="D9" s="102"/>
      <c r="E9" s="102"/>
      <c r="F9" s="102"/>
      <c r="G9" s="102"/>
      <c r="H9" s="102"/>
    </row>
    <row r="10" spans="1:13" s="33" customFormat="1" ht="42.75" hidden="1" x14ac:dyDescent="0.2">
      <c r="A10" s="1172" t="s">
        <v>63</v>
      </c>
      <c r="B10" s="1172" t="s">
        <v>85</v>
      </c>
      <c r="C10" s="1172"/>
      <c r="D10" s="211" t="s">
        <v>193</v>
      </c>
      <c r="E10" s="1173" t="s">
        <v>64</v>
      </c>
      <c r="F10" s="211" t="s">
        <v>74</v>
      </c>
      <c r="G10" s="211" t="s">
        <v>194</v>
      </c>
      <c r="H10" s="211" t="s">
        <v>353</v>
      </c>
    </row>
    <row r="11" spans="1:13" s="33" customFormat="1" ht="18" hidden="1" customHeight="1" x14ac:dyDescent="0.2">
      <c r="A11" s="1172"/>
      <c r="B11" s="1172"/>
      <c r="C11" s="1172"/>
      <c r="D11" s="186" t="s">
        <v>112</v>
      </c>
      <c r="E11" s="1174"/>
      <c r="F11" s="187" t="s">
        <v>113</v>
      </c>
      <c r="G11" s="186" t="s">
        <v>114</v>
      </c>
      <c r="H11" s="186" t="s">
        <v>351</v>
      </c>
    </row>
    <row r="12" spans="1:13" s="220" customFormat="1" ht="30.75" hidden="1" customHeight="1" x14ac:dyDescent="0.2">
      <c r="A12" s="104">
        <v>1</v>
      </c>
      <c r="B12" s="1168" t="str">
        <f>Dados!P73</f>
        <v>Vigilante Armado, 12 horas diunas em escala 12x36, das 07h às 19h</v>
      </c>
      <c r="C12" s="1168"/>
      <c r="D12" s="103">
        <f>'Item 01'!G184</f>
        <v>6476.4</v>
      </c>
      <c r="E12" s="104">
        <f>Dados!R73</f>
        <v>5</v>
      </c>
      <c r="F12" s="104">
        <f>Dados!T73</f>
        <v>10</v>
      </c>
      <c r="G12" s="105">
        <f>D12*F12</f>
        <v>64764</v>
      </c>
      <c r="H12" s="105">
        <f>G12*Dados!$G$26</f>
        <v>1295280</v>
      </c>
    </row>
    <row r="13" spans="1:13" s="220" customFormat="1" ht="30.75" hidden="1" customHeight="1" x14ac:dyDescent="0.2">
      <c r="A13" s="104">
        <v>2</v>
      </c>
      <c r="B13" s="1168" t="str">
        <f>Dados!P74</f>
        <v>Vigilante Desarmado Diurno, 44 horas semanais, sendo 8h48 trabalhadas de 2ª a 6ª feira, entre das 07h e 21h</v>
      </c>
      <c r="C13" s="1168"/>
      <c r="D13" s="103">
        <f>'Item 02'!G184</f>
        <v>6848.84</v>
      </c>
      <c r="E13" s="104">
        <f>Dados!R74</f>
        <v>6</v>
      </c>
      <c r="F13" s="104">
        <f>Dados!T74</f>
        <v>6</v>
      </c>
      <c r="G13" s="105">
        <f t="shared" ref="G13:G14" si="0">D13*F13</f>
        <v>41093.040000000001</v>
      </c>
      <c r="H13" s="105">
        <f>G13*Dados!$G$26</f>
        <v>821860.8</v>
      </c>
      <c r="M13" s="361"/>
    </row>
    <row r="14" spans="1:13" s="220" customFormat="1" ht="30.75" hidden="1" customHeight="1" x14ac:dyDescent="0.2">
      <c r="A14" s="104">
        <v>3</v>
      </c>
      <c r="B14" s="1168" t="str">
        <f>Dados!P75</f>
        <v>Vigilante Armado, 12 horas noturnas em escala 12x36, das 19h às 07h</v>
      </c>
      <c r="C14" s="1168"/>
      <c r="D14" s="103">
        <f>'Item 03'!G184</f>
        <v>7082.34</v>
      </c>
      <c r="E14" s="104">
        <f>Dados!R75</f>
        <v>5</v>
      </c>
      <c r="F14" s="104">
        <f>Dados!T75</f>
        <v>10</v>
      </c>
      <c r="G14" s="105">
        <f t="shared" si="0"/>
        <v>70823.399999999994</v>
      </c>
      <c r="H14" s="105">
        <f>G14*Dados!$G$26</f>
        <v>1416468</v>
      </c>
      <c r="M14" s="362"/>
    </row>
    <row r="15" spans="1:13" ht="22.5" hidden="1" customHeight="1" x14ac:dyDescent="0.2">
      <c r="A15" s="1169" t="s">
        <v>53</v>
      </c>
      <c r="B15" s="1169"/>
      <c r="C15" s="1169"/>
      <c r="D15" s="106" t="s">
        <v>54</v>
      </c>
      <c r="E15" s="107">
        <f>SUM(E12:E14)</f>
        <v>16</v>
      </c>
      <c r="F15" s="107">
        <f>SUM(F12:F14)</f>
        <v>26</v>
      </c>
      <c r="G15" s="108">
        <f>SUM(G12:G14)</f>
        <v>176680.44</v>
      </c>
      <c r="H15" s="108">
        <f>SUM(H12:H14)</f>
        <v>3533608.8</v>
      </c>
    </row>
    <row r="16" spans="1:13" ht="15" hidden="1" customHeight="1" x14ac:dyDescent="0.2">
      <c r="A16" s="221"/>
      <c r="B16" s="221"/>
      <c r="C16" s="221"/>
      <c r="D16" s="221"/>
      <c r="E16" s="221"/>
      <c r="F16" s="221"/>
      <c r="G16" s="222"/>
      <c r="H16" s="223"/>
    </row>
    <row r="17" spans="1:8" ht="15" hidden="1" customHeight="1" x14ac:dyDescent="0.2">
      <c r="A17" s="221"/>
      <c r="B17" s="221"/>
      <c r="C17" s="221"/>
      <c r="D17" s="221"/>
      <c r="E17" s="221"/>
      <c r="F17" s="221"/>
      <c r="G17" s="222"/>
      <c r="H17" s="223"/>
    </row>
    <row r="18" spans="1:8" ht="15" hidden="1" customHeight="1" x14ac:dyDescent="0.2">
      <c r="A18" s="221"/>
      <c r="B18" s="1171" t="s">
        <v>490</v>
      </c>
      <c r="C18" s="1171"/>
      <c r="D18" s="1171"/>
      <c r="E18" s="1171"/>
      <c r="F18" s="1171"/>
      <c r="G18" s="1171"/>
      <c r="H18" s="223"/>
    </row>
    <row r="19" spans="1:8" ht="15" hidden="1" customHeight="1" x14ac:dyDescent="0.2">
      <c r="A19" s="224"/>
      <c r="B19" s="1170" t="s">
        <v>491</v>
      </c>
      <c r="C19" s="1170"/>
      <c r="D19" s="1170"/>
      <c r="E19" s="1170"/>
      <c r="F19" s="1170"/>
      <c r="G19" s="1170"/>
      <c r="H19" s="225"/>
    </row>
    <row r="20" spans="1:8" ht="43.5" hidden="1" customHeight="1" x14ac:dyDescent="0.2">
      <c r="A20" s="1172" t="s">
        <v>63</v>
      </c>
      <c r="B20" s="1172" t="s">
        <v>85</v>
      </c>
      <c r="C20" s="1172"/>
      <c r="D20" s="371" t="s">
        <v>193</v>
      </c>
      <c r="E20" s="1173" t="s">
        <v>64</v>
      </c>
      <c r="F20" s="371" t="s">
        <v>74</v>
      </c>
      <c r="G20" s="371" t="s">
        <v>194</v>
      </c>
      <c r="H20" s="371" t="s">
        <v>353</v>
      </c>
    </row>
    <row r="21" spans="1:8" ht="15" hidden="1" customHeight="1" x14ac:dyDescent="0.2">
      <c r="A21" s="1172"/>
      <c r="B21" s="1172"/>
      <c r="C21" s="1172"/>
      <c r="D21" s="186" t="s">
        <v>112</v>
      </c>
      <c r="E21" s="1174"/>
      <c r="F21" s="187" t="s">
        <v>113</v>
      </c>
      <c r="G21" s="186" t="s">
        <v>114</v>
      </c>
      <c r="H21" s="186" t="s">
        <v>351</v>
      </c>
    </row>
    <row r="22" spans="1:8" ht="33" hidden="1" customHeight="1" x14ac:dyDescent="0.2">
      <c r="A22" s="104">
        <v>1</v>
      </c>
      <c r="B22" s="1168" t="str">
        <f>Dados!P73</f>
        <v>Vigilante Armado, 12 horas diunas em escala 12x36, das 07h às 19h</v>
      </c>
      <c r="C22" s="1168"/>
      <c r="D22" s="374">
        <f>'Item 01'!O182</f>
        <v>6671.1</v>
      </c>
      <c r="E22" s="104">
        <f>Dados!R73</f>
        <v>5</v>
      </c>
      <c r="F22" s="104">
        <f>Dados!T73</f>
        <v>10</v>
      </c>
      <c r="G22" s="376">
        <f>D22*F22</f>
        <v>66711</v>
      </c>
      <c r="H22" s="376">
        <f>G22*Dados!$G$26</f>
        <v>1334220</v>
      </c>
    </row>
    <row r="23" spans="1:8" ht="34.5" hidden="1" customHeight="1" x14ac:dyDescent="0.2">
      <c r="A23" s="104">
        <v>2</v>
      </c>
      <c r="B23" s="1175" t="str">
        <f>Dados!P74</f>
        <v>Vigilante Desarmado Diurno, 44 horas semanais, sendo 8h48 trabalhadas de 2ª a 6ª feira, entre das 07h e 21h</v>
      </c>
      <c r="C23" s="1176"/>
      <c r="D23" s="374">
        <f>'Item 02'!J186</f>
        <v>7057.23</v>
      </c>
      <c r="E23" s="104">
        <f>Dados!R74</f>
        <v>6</v>
      </c>
      <c r="F23" s="104">
        <f>Dados!T74</f>
        <v>6</v>
      </c>
      <c r="G23" s="376">
        <f>D23*F23</f>
        <v>42343.38</v>
      </c>
      <c r="H23" s="376">
        <f>G23*Dados!$G$26</f>
        <v>846867.6</v>
      </c>
    </row>
    <row r="24" spans="1:8" ht="38.25" hidden="1" customHeight="1" x14ac:dyDescent="0.2">
      <c r="A24" s="104">
        <v>3</v>
      </c>
      <c r="B24" s="1168" t="str">
        <f>Dados!P75</f>
        <v>Vigilante Armado, 12 horas noturnas em escala 12x36, das 19h às 07h</v>
      </c>
      <c r="C24" s="1168"/>
      <c r="D24" s="374">
        <f>'Item 03'!O182</f>
        <v>7295.6</v>
      </c>
      <c r="E24" s="104">
        <f>Dados!R75</f>
        <v>5</v>
      </c>
      <c r="F24" s="104">
        <f>Dados!T75</f>
        <v>10</v>
      </c>
      <c r="G24" s="376">
        <f t="shared" ref="G24" si="1">D24*F24</f>
        <v>72956</v>
      </c>
      <c r="H24" s="376">
        <f>G24*Dados!$G$26</f>
        <v>1459120</v>
      </c>
    </row>
    <row r="25" spans="1:8" ht="28.5" hidden="1" customHeight="1" x14ac:dyDescent="0.2">
      <c r="A25" s="1169" t="s">
        <v>53</v>
      </c>
      <c r="B25" s="1169"/>
      <c r="C25" s="1169"/>
      <c r="D25" s="106" t="s">
        <v>54</v>
      </c>
      <c r="E25" s="107">
        <f>SUM(E22:E24)</f>
        <v>16</v>
      </c>
      <c r="F25" s="107">
        <f>SUM(F22:F24)</f>
        <v>26</v>
      </c>
      <c r="G25" s="377">
        <f>SUM(G22:G24)</f>
        <v>182010.38</v>
      </c>
      <c r="H25" s="377">
        <f>SUM(H22:H24)</f>
        <v>3640207.6</v>
      </c>
    </row>
    <row r="26" spans="1:8" ht="15" hidden="1" customHeight="1" x14ac:dyDescent="0.2">
      <c r="A26" s="224"/>
      <c r="B26" s="224"/>
      <c r="C26" s="224"/>
      <c r="D26" s="224"/>
      <c r="E26" s="224"/>
      <c r="F26" s="224"/>
      <c r="G26" s="224"/>
      <c r="H26" s="224"/>
    </row>
    <row r="27" spans="1:8" ht="15" hidden="1" customHeight="1" x14ac:dyDescent="0.2"/>
    <row r="28" spans="1:8" ht="12" hidden="1" customHeight="1" x14ac:dyDescent="0.2">
      <c r="A28" s="221"/>
      <c r="B28" s="1171" t="s">
        <v>490</v>
      </c>
      <c r="C28" s="1171"/>
      <c r="D28" s="1171"/>
      <c r="E28" s="1171"/>
      <c r="F28" s="1171"/>
      <c r="G28" s="1171"/>
      <c r="H28" s="223"/>
    </row>
    <row r="29" spans="1:8" ht="12" hidden="1" customHeight="1" x14ac:dyDescent="0.2">
      <c r="A29" s="224"/>
      <c r="B29" s="1179" t="s">
        <v>519</v>
      </c>
      <c r="C29" s="1179"/>
      <c r="D29" s="1179"/>
      <c r="E29" s="1179"/>
      <c r="F29" s="1179"/>
      <c r="G29" s="1179"/>
      <c r="H29" s="225"/>
    </row>
    <row r="30" spans="1:8" ht="12" hidden="1" customHeight="1" x14ac:dyDescent="0.2">
      <c r="A30" s="1172" t="s">
        <v>63</v>
      </c>
      <c r="B30" s="1180" t="s">
        <v>85</v>
      </c>
      <c r="C30" s="1180"/>
      <c r="D30" s="373" t="s">
        <v>193</v>
      </c>
      <c r="E30" s="1173" t="s">
        <v>64</v>
      </c>
      <c r="F30" s="373" t="s">
        <v>74</v>
      </c>
      <c r="G30" s="373" t="s">
        <v>194</v>
      </c>
      <c r="H30" s="373" t="s">
        <v>353</v>
      </c>
    </row>
    <row r="31" spans="1:8" ht="45" hidden="1" customHeight="1" x14ac:dyDescent="0.2">
      <c r="A31" s="1172"/>
      <c r="B31" s="1180"/>
      <c r="C31" s="1180"/>
      <c r="D31" s="186" t="s">
        <v>112</v>
      </c>
      <c r="E31" s="1174"/>
      <c r="F31" s="187" t="s">
        <v>113</v>
      </c>
      <c r="G31" s="186" t="s">
        <v>114</v>
      </c>
      <c r="H31" s="186" t="s">
        <v>351</v>
      </c>
    </row>
    <row r="32" spans="1:8" ht="30.75" hidden="1" customHeight="1" x14ac:dyDescent="0.2">
      <c r="A32" s="104">
        <v>1</v>
      </c>
      <c r="B32" s="1168" t="str">
        <f>Dados!P73</f>
        <v>Vigilante Armado, 12 horas diunas em escala 12x36, das 07h às 19h</v>
      </c>
      <c r="C32" s="1168"/>
      <c r="D32" s="374">
        <f>'Item 01'!W182</f>
        <v>6575.91</v>
      </c>
      <c r="E32" s="104">
        <f>Dados!R73</f>
        <v>5</v>
      </c>
      <c r="F32" s="104">
        <f>Dados!T73</f>
        <v>10</v>
      </c>
      <c r="G32" s="376">
        <f>D32*F32</f>
        <v>65759.100000000006</v>
      </c>
      <c r="H32" s="376">
        <f>G32*Dados!$G$26</f>
        <v>1315182</v>
      </c>
    </row>
    <row r="33" spans="1:16" ht="31.5" hidden="1" customHeight="1" x14ac:dyDescent="0.2">
      <c r="A33" s="104">
        <v>2</v>
      </c>
      <c r="B33" s="1168" t="str">
        <f>Dados!P74</f>
        <v>Vigilante Desarmado Diurno, 44 horas semanais, sendo 8h48 trabalhadas de 2ª a 6ª feira, entre das 07h e 21h</v>
      </c>
      <c r="C33" s="1168"/>
      <c r="D33" s="374">
        <f>'Item 02'!M186</f>
        <v>6962.03</v>
      </c>
      <c r="E33" s="104">
        <f>Dados!R74</f>
        <v>6</v>
      </c>
      <c r="F33" s="104">
        <f>Dados!T74</f>
        <v>6</v>
      </c>
      <c r="G33" s="376">
        <f t="shared" ref="G33:G34" si="2">D33*F33</f>
        <v>41772.18</v>
      </c>
      <c r="H33" s="376">
        <f>G33*Dados!$G$26</f>
        <v>835443.6</v>
      </c>
    </row>
    <row r="34" spans="1:16" ht="32.25" hidden="1" customHeight="1" x14ac:dyDescent="0.2">
      <c r="A34" s="104">
        <v>3</v>
      </c>
      <c r="B34" s="1168" t="str">
        <f>Dados!P75</f>
        <v>Vigilante Armado, 12 horas noturnas em escala 12x36, das 19h às 07h</v>
      </c>
      <c r="C34" s="1168"/>
      <c r="D34" s="374">
        <f>'Item 03'!W182</f>
        <v>7189.99</v>
      </c>
      <c r="E34" s="104">
        <f>Dados!R75</f>
        <v>5</v>
      </c>
      <c r="F34" s="104">
        <f>Dados!T75</f>
        <v>10</v>
      </c>
      <c r="G34" s="376">
        <f t="shared" si="2"/>
        <v>71899.899999999994</v>
      </c>
      <c r="H34" s="376">
        <f>G34*Dados!$G$26</f>
        <v>1437998</v>
      </c>
    </row>
    <row r="35" spans="1:16" ht="33" hidden="1" customHeight="1" x14ac:dyDescent="0.2">
      <c r="A35" s="1169" t="s">
        <v>53</v>
      </c>
      <c r="B35" s="1169"/>
      <c r="C35" s="1169"/>
      <c r="D35" s="106" t="s">
        <v>54</v>
      </c>
      <c r="E35" s="107">
        <f>SUM(E32:E34)</f>
        <v>16</v>
      </c>
      <c r="F35" s="107">
        <f>SUM(F32:F34)</f>
        <v>26</v>
      </c>
      <c r="G35" s="377">
        <f>SUM(G32:G34)</f>
        <v>179431.18</v>
      </c>
      <c r="H35" s="377">
        <f>SUM(H32:H34)</f>
        <v>3588623.6</v>
      </c>
      <c r="K35" s="671"/>
    </row>
    <row r="36" spans="1:16" ht="12" customHeight="1" x14ac:dyDescent="0.2">
      <c r="K36" s="720"/>
    </row>
    <row r="37" spans="1:16" ht="12" customHeight="1" x14ac:dyDescent="0.2">
      <c r="B37" s="1171" t="s">
        <v>540</v>
      </c>
      <c r="C37" s="1171"/>
      <c r="D37" s="1171"/>
      <c r="E37" s="1171"/>
      <c r="F37" s="1171"/>
      <c r="G37" s="1171"/>
      <c r="H37" s="784"/>
    </row>
    <row r="38" spans="1:16" ht="12" customHeight="1" x14ac:dyDescent="0.2">
      <c r="A38" s="33"/>
      <c r="B38" s="1181" t="s">
        <v>558</v>
      </c>
      <c r="C38" s="1181"/>
      <c r="D38" s="1181"/>
      <c r="E38" s="1181"/>
      <c r="F38" s="1181"/>
      <c r="G38" s="1181"/>
      <c r="H38" s="785"/>
    </row>
    <row r="39" spans="1:16" ht="12" customHeight="1" x14ac:dyDescent="0.2">
      <c r="A39" s="1172" t="s">
        <v>63</v>
      </c>
      <c r="B39" s="1180" t="s">
        <v>85</v>
      </c>
      <c r="C39" s="1180"/>
      <c r="D39" s="719" t="s">
        <v>193</v>
      </c>
      <c r="E39" s="1173" t="s">
        <v>64</v>
      </c>
      <c r="F39" s="719" t="s">
        <v>74</v>
      </c>
      <c r="G39" s="719" t="s">
        <v>194</v>
      </c>
      <c r="H39" s="719" t="s">
        <v>353</v>
      </c>
    </row>
    <row r="40" spans="1:16" ht="37.5" customHeight="1" x14ac:dyDescent="0.2">
      <c r="A40" s="1172"/>
      <c r="B40" s="1180"/>
      <c r="C40" s="1180"/>
      <c r="D40" s="186" t="s">
        <v>112</v>
      </c>
      <c r="E40" s="1174"/>
      <c r="F40" s="187" t="s">
        <v>113</v>
      </c>
      <c r="G40" s="186" t="s">
        <v>114</v>
      </c>
      <c r="H40" s="186" t="s">
        <v>351</v>
      </c>
    </row>
    <row r="41" spans="1:16" ht="26.25" customHeight="1" x14ac:dyDescent="0.2">
      <c r="A41" s="104">
        <v>1</v>
      </c>
      <c r="B41" s="1168" t="str">
        <f>Dados!P73</f>
        <v>Vigilante Armado, 12 horas diunas em escala 12x36, das 07h às 19h</v>
      </c>
      <c r="C41" s="1168"/>
      <c r="D41" s="703">
        <f>'Item 01'!Y182</f>
        <v>6590.23</v>
      </c>
      <c r="E41" s="104">
        <f>Dados!R73</f>
        <v>5</v>
      </c>
      <c r="F41" s="104">
        <f>Dados!T73</f>
        <v>10</v>
      </c>
      <c r="G41" s="105">
        <f>D41*F41</f>
        <v>65902.3</v>
      </c>
      <c r="H41" s="105">
        <f>G41*Dados!$G$26</f>
        <v>1318046</v>
      </c>
    </row>
    <row r="42" spans="1:16" ht="27.75" customHeight="1" x14ac:dyDescent="0.2">
      <c r="A42" s="104">
        <v>2</v>
      </c>
      <c r="B42" s="1168" t="str">
        <f>Dados!P74</f>
        <v>Vigilante Desarmado Diurno, 44 horas semanais, sendo 8h48 trabalhadas de 2ª a 6ª feira, entre das 07h e 21h</v>
      </c>
      <c r="C42" s="1168"/>
      <c r="D42" s="703">
        <f>'Item 02'!R186</f>
        <v>6978.44</v>
      </c>
      <c r="E42" s="104">
        <v>9</v>
      </c>
      <c r="F42" s="104">
        <v>9</v>
      </c>
      <c r="G42" s="105">
        <f t="shared" ref="G42:G43" si="3">D42*F42</f>
        <v>62805.96</v>
      </c>
      <c r="H42" s="105">
        <f>G42*Dados!$G$26</f>
        <v>1256119.2</v>
      </c>
      <c r="P42" s="671"/>
    </row>
    <row r="43" spans="1:16" ht="84" customHeight="1" thickBot="1" x14ac:dyDescent="0.25">
      <c r="A43" s="104">
        <v>3</v>
      </c>
      <c r="B43" s="1168" t="str">
        <f>Dados!P75</f>
        <v>Vigilante Armado, 12 horas noturnas em escala 12x36, das 19h às 07h</v>
      </c>
      <c r="C43" s="1168"/>
      <c r="D43" s="703">
        <f>'Item 03'!Y182</f>
        <v>7204.31</v>
      </c>
      <c r="E43" s="104">
        <v>6</v>
      </c>
      <c r="F43" s="104">
        <f>E43*2</f>
        <v>12</v>
      </c>
      <c r="G43" s="105">
        <f t="shared" si="3"/>
        <v>86451.72</v>
      </c>
      <c r="H43" s="105">
        <f>G43*Dados!$G$26</f>
        <v>1729034.4</v>
      </c>
      <c r="K43" s="721"/>
    </row>
    <row r="44" spans="1:16" ht="30" customHeight="1" x14ac:dyDescent="0.2">
      <c r="A44" s="104">
        <v>4</v>
      </c>
      <c r="B44" s="1182" t="s">
        <v>539</v>
      </c>
      <c r="C44" s="1183"/>
      <c r="D44" s="703">
        <f>'Item 4 Inserido após o II TA '!G182</f>
        <v>8066.92</v>
      </c>
      <c r="E44" s="104">
        <v>1</v>
      </c>
      <c r="F44" s="104">
        <v>1</v>
      </c>
      <c r="G44" s="105">
        <f>E44*D44</f>
        <v>8066.92</v>
      </c>
      <c r="H44" s="105">
        <f>G44*20</f>
        <v>161338.4</v>
      </c>
      <c r="K44" s="722"/>
    </row>
    <row r="45" spans="1:16" ht="12" customHeight="1" x14ac:dyDescent="0.2">
      <c r="A45" s="1169" t="s">
        <v>53</v>
      </c>
      <c r="B45" s="1169"/>
      <c r="C45" s="1169"/>
      <c r="D45" s="106" t="s">
        <v>54</v>
      </c>
      <c r="E45" s="107">
        <f>SUM(E41:E44)</f>
        <v>21</v>
      </c>
      <c r="F45" s="107">
        <f>SUM(F41:F44)</f>
        <v>32</v>
      </c>
      <c r="G45" s="108">
        <f>SUM(G41:G44)</f>
        <v>223226.9</v>
      </c>
      <c r="H45" s="108">
        <f>SUM(H41:H44)</f>
        <v>4464538</v>
      </c>
      <c r="K45" s="594"/>
    </row>
    <row r="46" spans="1:16" ht="12" customHeight="1" x14ac:dyDescent="0.2">
      <c r="K46" s="593"/>
    </row>
    <row r="47" spans="1:16" ht="12" customHeight="1" x14ac:dyDescent="0.2">
      <c r="K47" s="593"/>
    </row>
    <row r="48" spans="1:16" ht="12" customHeight="1" thickBot="1" x14ac:dyDescent="0.25">
      <c r="K48" s="596"/>
    </row>
    <row r="49" spans="11:12" ht="12" customHeight="1" x14ac:dyDescent="0.2">
      <c r="K49" s="592"/>
    </row>
    <row r="50" spans="11:12" ht="12" customHeight="1" x14ac:dyDescent="0.2"/>
    <row r="51" spans="11:12" ht="12" customHeight="1" thickBot="1" x14ac:dyDescent="0.25"/>
    <row r="52" spans="11:12" ht="15" thickBot="1" x14ac:dyDescent="0.25">
      <c r="K52" s="675"/>
      <c r="L52" s="676"/>
    </row>
    <row r="53" spans="11:12" ht="12" customHeight="1" x14ac:dyDescent="0.2"/>
    <row r="54" spans="11:12" ht="12" customHeight="1" x14ac:dyDescent="0.2"/>
    <row r="55" spans="11:12" ht="12" customHeight="1" x14ac:dyDescent="0.2"/>
    <row r="56" spans="11:12" ht="12" customHeight="1" x14ac:dyDescent="0.2"/>
    <row r="57" spans="11:12" ht="12" customHeight="1" x14ac:dyDescent="0.2"/>
    <row r="58" spans="11:12" ht="12" customHeight="1" x14ac:dyDescent="0.2"/>
    <row r="59" spans="11:12" ht="12" customHeight="1" x14ac:dyDescent="0.2"/>
    <row r="60" spans="11:12" ht="12" customHeight="1" x14ac:dyDescent="0.2"/>
    <row r="61" spans="11:12" ht="12" customHeight="1" x14ac:dyDescent="0.2"/>
    <row r="62" spans="11:12" ht="12" customHeight="1" x14ac:dyDescent="0.2"/>
    <row r="63" spans="11:12" ht="12" customHeight="1" x14ac:dyDescent="0.2"/>
    <row r="64" spans="11:12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8" customHeight="1" x14ac:dyDescent="0.2"/>
  </sheetData>
  <mergeCells count="40">
    <mergeCell ref="B41:C41"/>
    <mergeCell ref="B42:C42"/>
    <mergeCell ref="B43:C43"/>
    <mergeCell ref="A45:C45"/>
    <mergeCell ref="B44:C44"/>
    <mergeCell ref="B37:G37"/>
    <mergeCell ref="B38:G38"/>
    <mergeCell ref="A39:A40"/>
    <mergeCell ref="B39:C40"/>
    <mergeCell ref="E39:E40"/>
    <mergeCell ref="B32:C32"/>
    <mergeCell ref="B33:C33"/>
    <mergeCell ref="B34:C34"/>
    <mergeCell ref="A35:C35"/>
    <mergeCell ref="B28:G28"/>
    <mergeCell ref="B29:G29"/>
    <mergeCell ref="A30:A31"/>
    <mergeCell ref="B30:C31"/>
    <mergeCell ref="E30:E31"/>
    <mergeCell ref="A15:C15"/>
    <mergeCell ref="A10:A11"/>
    <mergeCell ref="B12:C12"/>
    <mergeCell ref="B13:C13"/>
    <mergeCell ref="B14:C14"/>
    <mergeCell ref="A2:H2"/>
    <mergeCell ref="A3:H3"/>
    <mergeCell ref="B10:C11"/>
    <mergeCell ref="A8:H8"/>
    <mergeCell ref="E10:E11"/>
    <mergeCell ref="A4:H4"/>
    <mergeCell ref="A5:H5"/>
    <mergeCell ref="B24:C24"/>
    <mergeCell ref="A25:C25"/>
    <mergeCell ref="B19:G19"/>
    <mergeCell ref="B18:G18"/>
    <mergeCell ref="A20:A21"/>
    <mergeCell ref="B20:C21"/>
    <mergeCell ref="E20:E21"/>
    <mergeCell ref="B22:C22"/>
    <mergeCell ref="B23:C23"/>
  </mergeCells>
  <printOptions horizontalCentered="1"/>
  <pageMargins left="0.43307086614173229" right="0.39370078740157483" top="2.2834645669291338" bottom="0.35433070866141736" header="0.23622047244094491" footer="0.27559055118110237"/>
  <pageSetup paperSize="9" scale="62" fitToHeight="0" orientation="portrait" r:id="rId1"/>
  <headerFooter>
    <oddHeader>&amp;L&amp;"+,Negrito"&amp;8PROPOSTA Nº 053/2020 - CJF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27EBC-FC8B-45F1-BB59-F6706193E427}">
  <sheetPr>
    <tabColor rgb="FFFFFF00"/>
    <pageSetUpPr fitToPage="1"/>
  </sheetPr>
  <dimension ref="A2:P48"/>
  <sheetViews>
    <sheetView topLeftCell="B1" zoomScaleNormal="100" zoomScaleSheetLayoutView="90" workbookViewId="0">
      <selection activeCell="M19" sqref="M19"/>
    </sheetView>
  </sheetViews>
  <sheetFormatPr defaultRowHeight="14.25" x14ac:dyDescent="0.2"/>
  <cols>
    <col min="1" max="1" width="6.7109375" style="28" customWidth="1"/>
    <col min="2" max="2" width="31.7109375" style="28" customWidth="1"/>
    <col min="3" max="3" width="27" style="28" customWidth="1"/>
    <col min="4" max="4" width="18.140625" style="28" customWidth="1"/>
    <col min="5" max="5" width="14.7109375" style="28" customWidth="1"/>
    <col min="6" max="6" width="17.5703125" style="28" customWidth="1"/>
    <col min="7" max="7" width="18.7109375" style="28" customWidth="1"/>
    <col min="8" max="8" width="23.28515625" style="28" customWidth="1"/>
    <col min="9" max="9" width="9.140625" style="28"/>
    <col min="10" max="10" width="6" style="28" customWidth="1"/>
    <col min="11" max="11" width="22.28515625" style="28" customWidth="1"/>
    <col min="12" max="12" width="9.140625" style="28"/>
    <col min="13" max="13" width="7" style="28" customWidth="1"/>
    <col min="14" max="14" width="6.140625" style="28" customWidth="1"/>
    <col min="15" max="15" width="5" style="28" customWidth="1"/>
    <col min="16" max="16" width="15.42578125" style="28" bestFit="1" customWidth="1"/>
    <col min="17" max="16384" width="9.140625" style="28"/>
  </cols>
  <sheetData>
    <row r="2" spans="1:16" ht="15" customHeight="1" x14ac:dyDescent="0.2">
      <c r="A2" s="224"/>
      <c r="B2" s="1184" t="s">
        <v>549</v>
      </c>
      <c r="C2" s="1184"/>
      <c r="D2" s="1184"/>
      <c r="E2" s="1184"/>
      <c r="F2" s="1184"/>
      <c r="G2" s="1184"/>
      <c r="H2" s="225"/>
    </row>
    <row r="3" spans="1:16" ht="43.5" customHeight="1" x14ac:dyDescent="0.2">
      <c r="A3" s="1172" t="s">
        <v>63</v>
      </c>
      <c r="B3" s="1172" t="s">
        <v>85</v>
      </c>
      <c r="C3" s="1172"/>
      <c r="D3" s="673" t="s">
        <v>193</v>
      </c>
      <c r="E3" s="1173" t="s">
        <v>64</v>
      </c>
      <c r="F3" s="673" t="s">
        <v>74</v>
      </c>
      <c r="G3" s="673" t="s">
        <v>194</v>
      </c>
      <c r="H3" s="673" t="s">
        <v>353</v>
      </c>
    </row>
    <row r="4" spans="1:16" ht="15" customHeight="1" x14ac:dyDescent="0.2">
      <c r="A4" s="1172"/>
      <c r="B4" s="1172"/>
      <c r="C4" s="1172"/>
      <c r="D4" s="186" t="s">
        <v>112</v>
      </c>
      <c r="E4" s="1174"/>
      <c r="F4" s="187" t="s">
        <v>113</v>
      </c>
      <c r="G4" s="186" t="s">
        <v>114</v>
      </c>
      <c r="H4" s="186" t="s">
        <v>351</v>
      </c>
    </row>
    <row r="5" spans="1:16" ht="33" customHeight="1" x14ac:dyDescent="0.2">
      <c r="A5" s="104">
        <v>1</v>
      </c>
      <c r="B5" s="1168" t="str">
        <f>Dados!P73</f>
        <v>Vigilante Armado, 12 horas diunas em escala 12x36, das 07h às 19h</v>
      </c>
      <c r="C5" s="1168"/>
      <c r="D5" s="672">
        <f>'Item 01'!O182</f>
        <v>6671.1</v>
      </c>
      <c r="E5" s="104">
        <f>Dados!R73</f>
        <v>5</v>
      </c>
      <c r="F5" s="104">
        <f>Dados!T73</f>
        <v>10</v>
      </c>
      <c r="G5" s="105">
        <f>D5*F5</f>
        <v>66711</v>
      </c>
      <c r="H5" s="105">
        <f>G5*Dados!$G$26</f>
        <v>1334220</v>
      </c>
    </row>
    <row r="6" spans="1:16" ht="34.5" customHeight="1" x14ac:dyDescent="0.2">
      <c r="A6" s="104">
        <v>2</v>
      </c>
      <c r="B6" s="1175" t="str">
        <f>Dados!P74</f>
        <v>Vigilante Desarmado Diurno, 44 horas semanais, sendo 8h48 trabalhadas de 2ª a 6ª feira, entre das 07h e 21h</v>
      </c>
      <c r="C6" s="1176"/>
      <c r="D6" s="672">
        <f>'Item 02'!J186</f>
        <v>7057.23</v>
      </c>
      <c r="E6" s="104">
        <f>Dados!R74</f>
        <v>6</v>
      </c>
      <c r="F6" s="104">
        <f>Dados!T74</f>
        <v>6</v>
      </c>
      <c r="G6" s="105">
        <f>D6*F6</f>
        <v>42343.38</v>
      </c>
      <c r="H6" s="105">
        <f>G6*Dados!$G$26</f>
        <v>846867.6</v>
      </c>
    </row>
    <row r="7" spans="1:16" ht="38.25" customHeight="1" x14ac:dyDescent="0.2">
      <c r="A7" s="104">
        <v>3</v>
      </c>
      <c r="B7" s="1168" t="str">
        <f>Dados!P75</f>
        <v>Vigilante Armado, 12 horas noturnas em escala 12x36, das 19h às 07h</v>
      </c>
      <c r="C7" s="1168"/>
      <c r="D7" s="672">
        <f>'Item 03'!O182</f>
        <v>7295.6</v>
      </c>
      <c r="E7" s="104">
        <f>Dados!R75</f>
        <v>5</v>
      </c>
      <c r="F7" s="104">
        <f>Dados!T75</f>
        <v>10</v>
      </c>
      <c r="G7" s="105">
        <f t="shared" ref="G7" si="0">D7*F7</f>
        <v>72956</v>
      </c>
      <c r="H7" s="105">
        <f>G7*Dados!$G$26</f>
        <v>1459120</v>
      </c>
    </row>
    <row r="8" spans="1:16" ht="28.5" customHeight="1" x14ac:dyDescent="0.2">
      <c r="A8" s="1169" t="s">
        <v>53</v>
      </c>
      <c r="B8" s="1169"/>
      <c r="C8" s="1169"/>
      <c r="D8" s="106" t="s">
        <v>54</v>
      </c>
      <c r="E8" s="107">
        <f>SUM(E5:E7)</f>
        <v>16</v>
      </c>
      <c r="F8" s="107">
        <f>SUM(F5:F7)</f>
        <v>26</v>
      </c>
      <c r="G8" s="108">
        <f>SUM(G5:G7)</f>
        <v>182010.38</v>
      </c>
      <c r="H8" s="108">
        <f>SUM(H5:H7)</f>
        <v>3640207.6</v>
      </c>
    </row>
    <row r="9" spans="1:16" ht="15" customHeight="1" x14ac:dyDescent="0.2">
      <c r="A9" s="224"/>
      <c r="B9" s="224"/>
      <c r="C9" s="224"/>
      <c r="D9" s="224"/>
      <c r="E9" s="224"/>
      <c r="F9" s="224"/>
      <c r="G9" s="224"/>
      <c r="H9" s="224"/>
    </row>
    <row r="10" spans="1:16" ht="12" customHeight="1" x14ac:dyDescent="0.2"/>
    <row r="11" spans="1:16" ht="12" customHeight="1" x14ac:dyDescent="0.2">
      <c r="A11" s="224"/>
      <c r="B11" s="1181" t="s">
        <v>550</v>
      </c>
      <c r="C11" s="1179"/>
      <c r="D11" s="1179"/>
      <c r="E11" s="1179"/>
      <c r="F11" s="1179"/>
      <c r="G11" s="1179"/>
      <c r="H11" s="225"/>
    </row>
    <row r="12" spans="1:16" ht="12" customHeight="1" x14ac:dyDescent="0.2">
      <c r="A12" s="1172" t="s">
        <v>63</v>
      </c>
      <c r="B12" s="1180" t="s">
        <v>85</v>
      </c>
      <c r="C12" s="1180"/>
      <c r="D12" s="673" t="s">
        <v>193</v>
      </c>
      <c r="E12" s="1173" t="s">
        <v>64</v>
      </c>
      <c r="F12" s="673" t="s">
        <v>74</v>
      </c>
      <c r="G12" s="673" t="s">
        <v>194</v>
      </c>
      <c r="H12" s="673" t="s">
        <v>353</v>
      </c>
    </row>
    <row r="13" spans="1:16" ht="37.5" customHeight="1" x14ac:dyDescent="0.2">
      <c r="A13" s="1172"/>
      <c r="B13" s="1180"/>
      <c r="C13" s="1180"/>
      <c r="D13" s="186" t="s">
        <v>112</v>
      </c>
      <c r="E13" s="1174"/>
      <c r="F13" s="187" t="s">
        <v>113</v>
      </c>
      <c r="G13" s="186" t="s">
        <v>114</v>
      </c>
      <c r="H13" s="186" t="s">
        <v>351</v>
      </c>
    </row>
    <row r="14" spans="1:16" ht="26.25" customHeight="1" x14ac:dyDescent="0.2">
      <c r="A14" s="104">
        <v>1</v>
      </c>
      <c r="B14" s="1168" t="str">
        <f>Dados!P73</f>
        <v>Vigilante Armado, 12 horas diunas em escala 12x36, das 07h às 19h</v>
      </c>
      <c r="C14" s="1168"/>
      <c r="D14" s="672">
        <f>D5</f>
        <v>6671.1</v>
      </c>
      <c r="E14" s="104">
        <f>Dados!R73</f>
        <v>5</v>
      </c>
      <c r="F14" s="104">
        <f>Dados!T73</f>
        <v>10</v>
      </c>
      <c r="G14" s="105">
        <f>D14*F14</f>
        <v>66711</v>
      </c>
      <c r="H14" s="105">
        <f>G14*Dados!$G$26</f>
        <v>1334220</v>
      </c>
    </row>
    <row r="15" spans="1:16" ht="27.75" customHeight="1" thickBot="1" x14ac:dyDescent="0.25">
      <c r="A15" s="104">
        <v>2</v>
      </c>
      <c r="B15" s="1168" t="str">
        <f>Dados!P74</f>
        <v>Vigilante Desarmado Diurno, 44 horas semanais, sendo 8h48 trabalhadas de 2ª a 6ª feira, entre das 07h e 21h</v>
      </c>
      <c r="C15" s="1168"/>
      <c r="D15" s="672">
        <f>D6</f>
        <v>7057.23</v>
      </c>
      <c r="E15" s="104">
        <v>9</v>
      </c>
      <c r="F15" s="104">
        <v>9</v>
      </c>
      <c r="G15" s="105">
        <f t="shared" ref="G15:G16" si="1">D15*F15</f>
        <v>63515.07</v>
      </c>
      <c r="H15" s="105">
        <f>G15*Dados!$G$26</f>
        <v>1270301.3999999999</v>
      </c>
      <c r="P15" s="671"/>
    </row>
    <row r="16" spans="1:16" ht="84" customHeight="1" x14ac:dyDescent="0.2">
      <c r="A16" s="104">
        <v>3</v>
      </c>
      <c r="B16" s="1168" t="str">
        <f>Dados!P75</f>
        <v>Vigilante Armado, 12 horas noturnas em escala 12x36, das 19h às 07h</v>
      </c>
      <c r="C16" s="1168"/>
      <c r="D16" s="672">
        <f>D7</f>
        <v>7295.6</v>
      </c>
      <c r="E16" s="104">
        <v>6</v>
      </c>
      <c r="F16" s="104">
        <f>E16*2</f>
        <v>12</v>
      </c>
      <c r="G16" s="105">
        <f t="shared" si="1"/>
        <v>87547.199999999997</v>
      </c>
      <c r="H16" s="105">
        <f>G16*Dados!$G$26</f>
        <v>1750944</v>
      </c>
      <c r="K16" s="595" t="s">
        <v>541</v>
      </c>
    </row>
    <row r="17" spans="1:11" ht="30" customHeight="1" x14ac:dyDescent="0.2">
      <c r="A17" s="104">
        <v>4</v>
      </c>
      <c r="B17" s="1182" t="s">
        <v>539</v>
      </c>
      <c r="C17" s="1183"/>
      <c r="D17" s="672">
        <f>'Item 4 Inserido após o II TA '!G182</f>
        <v>8066.92</v>
      </c>
      <c r="E17" s="104">
        <v>1</v>
      </c>
      <c r="F17" s="104">
        <v>1</v>
      </c>
      <c r="G17" s="105">
        <f>E17*D17</f>
        <v>8066.92</v>
      </c>
      <c r="H17" s="105">
        <f>G17*20</f>
        <v>161338.4</v>
      </c>
      <c r="K17" s="593">
        <f>H18-H8</f>
        <v>876596.2</v>
      </c>
    </row>
    <row r="18" spans="1:11" ht="12" customHeight="1" x14ac:dyDescent="0.2">
      <c r="A18" s="1169" t="s">
        <v>53</v>
      </c>
      <c r="B18" s="1169"/>
      <c r="C18" s="1169"/>
      <c r="D18" s="106" t="s">
        <v>54</v>
      </c>
      <c r="E18" s="107">
        <f>SUM(E14:E17)</f>
        <v>21</v>
      </c>
      <c r="F18" s="107">
        <f>SUM(F14:F17)</f>
        <v>32</v>
      </c>
      <c r="G18" s="108">
        <f>SUM(G14:G17)</f>
        <v>225840.19</v>
      </c>
      <c r="H18" s="108">
        <f>SUM(H14:H17)</f>
        <v>4516803.8</v>
      </c>
      <c r="K18" s="594"/>
    </row>
    <row r="19" spans="1:11" ht="12" customHeight="1" x14ac:dyDescent="0.2">
      <c r="K19" s="593">
        <f>K17*100</f>
        <v>87659620</v>
      </c>
    </row>
    <row r="20" spans="1:11" ht="12" customHeight="1" x14ac:dyDescent="0.2">
      <c r="K20" s="593"/>
    </row>
    <row r="21" spans="1:11" ht="12" customHeight="1" thickBot="1" x14ac:dyDescent="0.25">
      <c r="K21" s="596">
        <f>K19/H8</f>
        <v>24.080939779368599</v>
      </c>
    </row>
    <row r="22" spans="1:11" ht="12" customHeight="1" x14ac:dyDescent="0.2">
      <c r="K22" s="592"/>
    </row>
    <row r="23" spans="1:11" ht="12" customHeight="1" x14ac:dyDescent="0.2"/>
    <row r="24" spans="1:11" ht="12" customHeight="1" x14ac:dyDescent="0.2"/>
    <row r="25" spans="1:11" ht="12" customHeight="1" x14ac:dyDescent="0.2"/>
    <row r="26" spans="1:11" ht="12" customHeight="1" x14ac:dyDescent="0.2"/>
    <row r="27" spans="1:11" ht="12" customHeight="1" x14ac:dyDescent="0.2"/>
    <row r="28" spans="1:11" ht="12" customHeight="1" x14ac:dyDescent="0.2"/>
    <row r="29" spans="1:11" ht="12" customHeight="1" x14ac:dyDescent="0.2"/>
    <row r="30" spans="1:11" ht="12" customHeight="1" x14ac:dyDescent="0.2"/>
    <row r="31" spans="1:11" ht="12" customHeight="1" x14ac:dyDescent="0.2"/>
    <row r="32" spans="1:11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8" customHeight="1" x14ac:dyDescent="0.2"/>
  </sheetData>
  <mergeCells count="17">
    <mergeCell ref="B17:C17"/>
    <mergeCell ref="A18:C18"/>
    <mergeCell ref="A12:A13"/>
    <mergeCell ref="B12:C13"/>
    <mergeCell ref="E12:E13"/>
    <mergeCell ref="B14:C14"/>
    <mergeCell ref="B15:C15"/>
    <mergeCell ref="B16:C16"/>
    <mergeCell ref="B2:G2"/>
    <mergeCell ref="B11:G11"/>
    <mergeCell ref="A8:C8"/>
    <mergeCell ref="A3:A4"/>
    <mergeCell ref="B3:C4"/>
    <mergeCell ref="E3:E4"/>
    <mergeCell ref="B5:C5"/>
    <mergeCell ref="B6:C6"/>
    <mergeCell ref="B7:C7"/>
  </mergeCells>
  <printOptions horizontalCentered="1"/>
  <pageMargins left="0.43307086614173229" right="0.39370078740157483" top="2.2834645669291338" bottom="0.35433070866141736" header="0.23622047244094491" footer="0.27559055118110237"/>
  <pageSetup paperSize="9" scale="62" fitToHeight="0" orientation="portrait" r:id="rId1"/>
  <headerFooter>
    <oddHeader>&amp;L&amp;"+,Negrito"&amp;8PROPOSTA Nº 053/2020 - CJF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>
    <tabColor rgb="FFFFFF00"/>
    <pageSetUpPr fitToPage="1"/>
  </sheetPr>
  <dimension ref="A1:Q80"/>
  <sheetViews>
    <sheetView view="pageBreakPreview" topLeftCell="A19" zoomScale="80" zoomScaleNormal="100" zoomScaleSheetLayoutView="80" workbookViewId="0">
      <selection activeCell="G95" sqref="G95"/>
    </sheetView>
  </sheetViews>
  <sheetFormatPr defaultRowHeight="18" x14ac:dyDescent="0.2"/>
  <cols>
    <col min="1" max="1" width="8.85546875" style="38" customWidth="1"/>
    <col min="2" max="2" width="25.7109375" style="38" customWidth="1"/>
    <col min="3" max="3" width="27.140625" style="38" customWidth="1"/>
    <col min="4" max="4" width="15.140625" style="38" customWidth="1"/>
    <col min="5" max="5" width="19.7109375" style="38" customWidth="1"/>
    <col min="6" max="6" width="16.5703125" style="38" customWidth="1"/>
    <col min="7" max="7" width="18" style="38" customWidth="1"/>
    <col min="8" max="8" width="13.7109375" style="38" customWidth="1"/>
    <col min="9" max="9" width="7.28515625" style="38" customWidth="1"/>
    <col min="10" max="10" width="13.7109375" style="38" customWidth="1"/>
    <col min="11" max="11" width="10.28515625" style="38" customWidth="1"/>
    <col min="12" max="12" width="10" style="39" bestFit="1" customWidth="1"/>
    <col min="13" max="13" width="13.7109375" style="39" bestFit="1" customWidth="1"/>
    <col min="14" max="15" width="9.140625" style="39"/>
    <col min="16" max="16" width="12.28515625" style="39" bestFit="1" customWidth="1"/>
    <col min="17" max="16384" width="9.140625" style="39"/>
  </cols>
  <sheetData>
    <row r="1" spans="1:17" x14ac:dyDescent="0.2">
      <c r="A1" s="37" t="str">
        <f>Dados!A1</f>
        <v>PROPOSTA Nº 053/2020</v>
      </c>
      <c r="Q1" s="40"/>
    </row>
    <row r="2" spans="1:17" ht="22.5" customHeight="1" x14ac:dyDescent="0.2"/>
    <row r="3" spans="1:17" s="41" customFormat="1" x14ac:dyDescent="0.2">
      <c r="A3" s="38" t="s">
        <v>253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7" s="41" customFormat="1" x14ac:dyDescent="0.2">
      <c r="A4" s="42" t="str">
        <f>Dados!A5</f>
        <v>CONSELHO DA JUSTIÇA FEDERAL - CJF</v>
      </c>
      <c r="B4" s="37"/>
      <c r="C4" s="37"/>
      <c r="D4" s="37"/>
      <c r="E4" s="37"/>
      <c r="F4" s="37"/>
      <c r="G4" s="37"/>
      <c r="H4" s="37"/>
      <c r="I4" s="37"/>
      <c r="J4" s="38"/>
      <c r="K4" s="37"/>
    </row>
    <row r="5" spans="1:17" s="41" customFormat="1" x14ac:dyDescent="0.2">
      <c r="A5" s="43" t="str">
        <f>Dados!A6</f>
        <v>Poder Judiciário</v>
      </c>
      <c r="B5" s="37"/>
      <c r="C5" s="37"/>
      <c r="D5" s="37"/>
      <c r="E5" s="37"/>
      <c r="F5" s="37"/>
      <c r="G5" s="37"/>
      <c r="H5" s="37"/>
      <c r="I5" s="37"/>
      <c r="J5" s="38"/>
      <c r="K5" s="37"/>
    </row>
    <row r="6" spans="1:17" s="41" customFormat="1" x14ac:dyDescent="0.2">
      <c r="A6" s="43" t="str">
        <f>Dados!A7</f>
        <v>Setor de Clubes Sul - SCES, Trecho III, Polo 8, Lote 9, Edifício Sede - Brasília/DF</v>
      </c>
      <c r="B6" s="37"/>
      <c r="C6" s="37"/>
      <c r="D6" s="37"/>
      <c r="E6" s="37"/>
      <c r="F6" s="37"/>
      <c r="G6" s="37"/>
      <c r="H6" s="37"/>
      <c r="I6" s="37"/>
      <c r="J6" s="38"/>
      <c r="K6" s="37"/>
    </row>
    <row r="7" spans="1:17" s="41" customFormat="1" x14ac:dyDescent="0.2">
      <c r="A7" s="43" t="str">
        <f>"Processo Administrativo nº:" &amp; " " &amp; Dados!G14</f>
        <v>Processo Administrativo nº: 0000793-29.2020.4.90.8000</v>
      </c>
      <c r="B7" s="37"/>
      <c r="C7" s="37"/>
      <c r="D7" s="37"/>
      <c r="E7" s="37"/>
      <c r="F7" s="37"/>
      <c r="G7" s="37"/>
      <c r="H7" s="37"/>
      <c r="I7" s="37"/>
      <c r="J7" s="38"/>
      <c r="K7" s="37"/>
    </row>
    <row r="8" spans="1:17" x14ac:dyDescent="0.2">
      <c r="A8" s="44"/>
    </row>
    <row r="9" spans="1:17" x14ac:dyDescent="0.2">
      <c r="A9" s="37" t="s">
        <v>357</v>
      </c>
    </row>
    <row r="10" spans="1:17" x14ac:dyDescent="0.2">
      <c r="A10" s="44"/>
    </row>
    <row r="11" spans="1:17" x14ac:dyDescent="0.2">
      <c r="A11" s="37" t="s">
        <v>195</v>
      </c>
      <c r="B11" s="42" t="str">
        <f>Dados!A9</f>
        <v>PREGÃO ELETRÔNICO Nº 09/2020 - CJF</v>
      </c>
    </row>
    <row r="12" spans="1:17" x14ac:dyDescent="0.2">
      <c r="A12" s="37" t="str">
        <f>"Data da abertura: "&amp;TEXT(Dados!G15,"dd/mm/aaaa")&amp; " às " &amp; "" &amp; TEXT(Dados!G18,"hh:mm")&amp; " " &amp; "horas"</f>
        <v>Data da abertura: 22/06/2020 às 10:00 horas</v>
      </c>
      <c r="B12" s="42"/>
    </row>
    <row r="13" spans="1:17" x14ac:dyDescent="0.2">
      <c r="A13" s="44"/>
    </row>
    <row r="14" spans="1:17" x14ac:dyDescent="0.2">
      <c r="B14" s="43" t="s">
        <v>358</v>
      </c>
    </row>
    <row r="15" spans="1:17" ht="7.5" customHeight="1" x14ac:dyDescent="0.2"/>
    <row r="16" spans="1:17" ht="12.75" customHeight="1" x14ac:dyDescent="0.2">
      <c r="A16" s="911" t="s">
        <v>311</v>
      </c>
      <c r="B16" s="911"/>
      <c r="C16" s="911"/>
      <c r="D16" s="911"/>
      <c r="E16" s="911"/>
      <c r="F16" s="911"/>
      <c r="G16" s="911"/>
      <c r="H16" s="911"/>
      <c r="I16" s="911"/>
      <c r="J16" s="911"/>
      <c r="K16" s="911"/>
    </row>
    <row r="17" spans="1:16" ht="16.5" customHeight="1" x14ac:dyDescent="0.2">
      <c r="A17" s="911"/>
      <c r="B17" s="911"/>
      <c r="C17" s="911"/>
      <c r="D17" s="911"/>
      <c r="E17" s="911"/>
      <c r="F17" s="911"/>
      <c r="G17" s="911"/>
      <c r="H17" s="911"/>
      <c r="I17" s="911"/>
      <c r="J17" s="911"/>
      <c r="K17" s="911"/>
    </row>
    <row r="18" spans="1:16" ht="12.75" customHeight="1" x14ac:dyDescent="0.2">
      <c r="A18" s="911"/>
      <c r="B18" s="911"/>
      <c r="C18" s="911"/>
      <c r="D18" s="911"/>
      <c r="E18" s="911"/>
      <c r="F18" s="911"/>
      <c r="G18" s="911"/>
      <c r="H18" s="911"/>
      <c r="I18" s="911"/>
      <c r="J18" s="911"/>
      <c r="K18" s="911"/>
    </row>
    <row r="19" spans="1:16" ht="12.75" customHeight="1" x14ac:dyDescent="0.2">
      <c r="A19" s="911"/>
      <c r="B19" s="911"/>
      <c r="C19" s="911"/>
      <c r="D19" s="911"/>
      <c r="E19" s="911"/>
      <c r="F19" s="911"/>
      <c r="G19" s="911"/>
      <c r="H19" s="911"/>
      <c r="I19" s="911"/>
      <c r="J19" s="911"/>
      <c r="K19" s="911"/>
    </row>
    <row r="20" spans="1:16" ht="7.5" customHeight="1" x14ac:dyDescent="0.2">
      <c r="B20" s="45"/>
      <c r="C20" s="45"/>
      <c r="D20" s="45"/>
      <c r="E20" s="45"/>
      <c r="F20" s="45"/>
      <c r="G20" s="45"/>
      <c r="H20" s="45"/>
      <c r="I20" s="45"/>
      <c r="J20" s="45"/>
    </row>
    <row r="21" spans="1:16" s="47" customFormat="1" ht="36" x14ac:dyDescent="0.2">
      <c r="A21" s="912" t="s">
        <v>63</v>
      </c>
      <c r="B21" s="914" t="s">
        <v>85</v>
      </c>
      <c r="C21" s="915"/>
      <c r="D21" s="916"/>
      <c r="E21" s="46" t="s">
        <v>196</v>
      </c>
      <c r="F21" s="920" t="s">
        <v>64</v>
      </c>
      <c r="G21" s="192" t="s">
        <v>74</v>
      </c>
      <c r="H21" s="909" t="s">
        <v>197</v>
      </c>
      <c r="I21" s="910"/>
      <c r="J21" s="909" t="s">
        <v>352</v>
      </c>
      <c r="K21" s="910"/>
      <c r="P21" s="48"/>
    </row>
    <row r="22" spans="1:16" s="47" customFormat="1" ht="18" customHeight="1" x14ac:dyDescent="0.2">
      <c r="A22" s="913"/>
      <c r="B22" s="917"/>
      <c r="C22" s="918"/>
      <c r="D22" s="919"/>
      <c r="E22" s="49" t="s">
        <v>112</v>
      </c>
      <c r="F22" s="921"/>
      <c r="G22" s="50" t="s">
        <v>113</v>
      </c>
      <c r="H22" s="907" t="s">
        <v>114</v>
      </c>
      <c r="I22" s="908"/>
      <c r="J22" s="907" t="s">
        <v>351</v>
      </c>
      <c r="K22" s="908"/>
      <c r="P22" s="48"/>
    </row>
    <row r="23" spans="1:16" s="55" customFormat="1" ht="36" customHeight="1" x14ac:dyDescent="0.2">
      <c r="A23" s="109">
        <v>1</v>
      </c>
      <c r="B23" s="894" t="str">
        <f>Dados!P73</f>
        <v>Vigilante Armado, 12 horas diunas em escala 12x36, das 07h às 19h</v>
      </c>
      <c r="C23" s="895"/>
      <c r="D23" s="896"/>
      <c r="E23" s="51">
        <f>Resumo!D12</f>
        <v>6476.4</v>
      </c>
      <c r="F23" s="52">
        <f>Dados!R73</f>
        <v>5</v>
      </c>
      <c r="G23" s="52">
        <f>Dados!T73</f>
        <v>10</v>
      </c>
      <c r="H23" s="892">
        <f>E23*G23</f>
        <v>64764</v>
      </c>
      <c r="I23" s="893"/>
      <c r="J23" s="892">
        <f>H23*Dados!$G$26</f>
        <v>1295280</v>
      </c>
      <c r="K23" s="893"/>
      <c r="L23" s="53"/>
      <c r="M23" s="54"/>
    </row>
    <row r="24" spans="1:16" s="55" customFormat="1" ht="36" customHeight="1" x14ac:dyDescent="0.2">
      <c r="A24" s="234">
        <v>2</v>
      </c>
      <c r="B24" s="894" t="str">
        <f>Dados!P74</f>
        <v>Vigilante Desarmado Diurno, 44 horas semanais, sendo 8h48 trabalhadas de 2ª a 6ª feira, entre das 07h e 21h</v>
      </c>
      <c r="C24" s="895"/>
      <c r="D24" s="896"/>
      <c r="E24" s="51">
        <f>Resumo!D13</f>
        <v>6848.84</v>
      </c>
      <c r="F24" s="52">
        <f>Dados!R74</f>
        <v>6</v>
      </c>
      <c r="G24" s="52">
        <f>Dados!T74</f>
        <v>6</v>
      </c>
      <c r="H24" s="892">
        <f t="shared" ref="H24:H25" si="0">E24*G24</f>
        <v>41093.040000000001</v>
      </c>
      <c r="I24" s="893"/>
      <c r="J24" s="892">
        <f>H24*Dados!$G$26</f>
        <v>821860.8</v>
      </c>
      <c r="K24" s="893"/>
      <c r="L24" s="53"/>
      <c r="M24" s="54"/>
    </row>
    <row r="25" spans="1:16" s="55" customFormat="1" ht="36" customHeight="1" x14ac:dyDescent="0.2">
      <c r="A25" s="109">
        <v>3</v>
      </c>
      <c r="B25" s="894" t="str">
        <f>Dados!P75</f>
        <v>Vigilante Armado, 12 horas noturnas em escala 12x36, das 19h às 07h</v>
      </c>
      <c r="C25" s="895"/>
      <c r="D25" s="896"/>
      <c r="E25" s="51">
        <f>Resumo!D14</f>
        <v>7082.34</v>
      </c>
      <c r="F25" s="52">
        <f>Dados!R75</f>
        <v>5</v>
      </c>
      <c r="G25" s="52">
        <f>Dados!T75</f>
        <v>10</v>
      </c>
      <c r="H25" s="892">
        <f t="shared" si="0"/>
        <v>70823.399999999994</v>
      </c>
      <c r="I25" s="893"/>
      <c r="J25" s="892">
        <f>H25*Dados!$G$26</f>
        <v>1416468</v>
      </c>
      <c r="K25" s="893"/>
      <c r="L25" s="53"/>
      <c r="M25" s="54"/>
    </row>
    <row r="26" spans="1:16" s="58" customFormat="1" ht="24" customHeight="1" x14ac:dyDescent="0.2">
      <c r="A26" s="899" t="s">
        <v>53</v>
      </c>
      <c r="B26" s="900"/>
      <c r="C26" s="900"/>
      <c r="D26" s="901"/>
      <c r="E26" s="56" t="s">
        <v>54</v>
      </c>
      <c r="F26" s="57">
        <f>SUM(F23:F25)</f>
        <v>16</v>
      </c>
      <c r="G26" s="57">
        <f>SUM(G23:G25)</f>
        <v>26</v>
      </c>
      <c r="H26" s="897">
        <f>SUM(H23:I25)</f>
        <v>176680.44</v>
      </c>
      <c r="I26" s="898"/>
      <c r="J26" s="897">
        <f>SUM(J23:K25)</f>
        <v>3533608.8</v>
      </c>
      <c r="K26" s="898"/>
    </row>
    <row r="27" spans="1:16" s="59" customFormat="1" ht="6" customHeight="1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6" s="59" customFormat="1" x14ac:dyDescent="0.2">
      <c r="A28" s="226" t="s">
        <v>528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6" s="59" customFormat="1" x14ac:dyDescent="0.2">
      <c r="A29" s="226" t="s">
        <v>529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6" s="59" customFormat="1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6" ht="18" customHeight="1" x14ac:dyDescent="0.2">
      <c r="A31" s="38" t="s">
        <v>55</v>
      </c>
      <c r="C31" s="903" t="s">
        <v>312</v>
      </c>
      <c r="D31" s="903"/>
      <c r="E31" s="903"/>
      <c r="F31" s="903"/>
      <c r="G31" s="903"/>
      <c r="H31" s="903"/>
      <c r="I31" s="903"/>
      <c r="J31" s="903"/>
      <c r="K31" s="903"/>
    </row>
    <row r="32" spans="1:16" x14ac:dyDescent="0.25">
      <c r="A32" s="60"/>
      <c r="E32" s="45"/>
      <c r="F32" s="45"/>
      <c r="G32" s="45"/>
      <c r="H32" s="45"/>
      <c r="I32" s="45"/>
      <c r="J32" s="45"/>
    </row>
    <row r="33" spans="1:11" ht="18" customHeight="1" x14ac:dyDescent="0.2">
      <c r="C33" s="903" t="s">
        <v>86</v>
      </c>
      <c r="D33" s="903"/>
      <c r="E33" s="903"/>
      <c r="F33" s="903"/>
      <c r="G33" s="903"/>
      <c r="H33" s="903"/>
      <c r="I33" s="903"/>
      <c r="J33" s="903"/>
      <c r="K33" s="903"/>
    </row>
    <row r="34" spans="1:11" x14ac:dyDescent="0.2">
      <c r="C34" s="903"/>
      <c r="D34" s="903"/>
      <c r="E34" s="903"/>
      <c r="F34" s="903"/>
      <c r="G34" s="903"/>
      <c r="H34" s="903"/>
      <c r="I34" s="903"/>
      <c r="J34" s="903"/>
      <c r="K34" s="903"/>
    </row>
    <row r="35" spans="1:11" x14ac:dyDescent="0.2">
      <c r="C35" s="903"/>
      <c r="D35" s="903"/>
      <c r="E35" s="903"/>
      <c r="F35" s="903"/>
      <c r="G35" s="903"/>
      <c r="H35" s="903"/>
      <c r="I35" s="903"/>
      <c r="J35" s="903"/>
      <c r="K35" s="903"/>
    </row>
    <row r="36" spans="1:11" x14ac:dyDescent="0.2">
      <c r="C36" s="45"/>
      <c r="D36" s="45"/>
      <c r="E36" s="45"/>
      <c r="F36" s="45"/>
      <c r="G36" s="45"/>
      <c r="H36" s="45"/>
      <c r="I36" s="45"/>
      <c r="J36" s="45"/>
    </row>
    <row r="37" spans="1:11" ht="18" hidden="1" customHeight="1" x14ac:dyDescent="0.2">
      <c r="C37" s="904" t="s">
        <v>270</v>
      </c>
      <c r="D37" s="904"/>
      <c r="E37" s="904"/>
      <c r="F37" s="904"/>
      <c r="G37" s="904"/>
      <c r="H37" s="904"/>
      <c r="I37" s="904"/>
      <c r="J37" s="904"/>
      <c r="K37" s="904"/>
    </row>
    <row r="38" spans="1:11" hidden="1" x14ac:dyDescent="0.2">
      <c r="C38" s="904"/>
      <c r="D38" s="904"/>
      <c r="E38" s="904"/>
      <c r="F38" s="904"/>
      <c r="G38" s="904"/>
      <c r="H38" s="904"/>
      <c r="I38" s="904"/>
      <c r="J38" s="904"/>
      <c r="K38" s="904"/>
    </row>
    <row r="39" spans="1:11" hidden="1" x14ac:dyDescent="0.2">
      <c r="C39" s="232"/>
      <c r="D39" s="232"/>
      <c r="E39" s="232"/>
      <c r="F39" s="232"/>
      <c r="G39" s="232"/>
      <c r="H39" s="232"/>
      <c r="I39" s="232"/>
      <c r="J39" s="232"/>
      <c r="K39" s="232"/>
    </row>
    <row r="40" spans="1:11" x14ac:dyDescent="0.2">
      <c r="C40" s="904" t="s">
        <v>313</v>
      </c>
      <c r="D40" s="904"/>
      <c r="E40" s="904"/>
      <c r="F40" s="904"/>
      <c r="G40" s="904"/>
      <c r="H40" s="904"/>
      <c r="I40" s="904"/>
      <c r="J40" s="904"/>
      <c r="K40" s="904"/>
    </row>
    <row r="41" spans="1:11" x14ac:dyDescent="0.2">
      <c r="C41" s="904"/>
      <c r="D41" s="904"/>
      <c r="E41" s="904"/>
      <c r="F41" s="904"/>
      <c r="G41" s="904"/>
      <c r="H41" s="904"/>
      <c r="I41" s="904"/>
      <c r="J41" s="904"/>
      <c r="K41" s="904"/>
    </row>
    <row r="42" spans="1:11" x14ac:dyDescent="0.2">
      <c r="C42" s="232"/>
      <c r="D42" s="232"/>
      <c r="E42" s="232"/>
      <c r="F42" s="232"/>
      <c r="G42" s="232"/>
      <c r="H42" s="232"/>
      <c r="I42" s="232"/>
      <c r="J42" s="232"/>
      <c r="K42" s="232"/>
    </row>
    <row r="43" spans="1:11" x14ac:dyDescent="0.2">
      <c r="A43" s="38" t="s">
        <v>56</v>
      </c>
      <c r="C43" s="43" t="s">
        <v>240</v>
      </c>
      <c r="D43" s="43"/>
    </row>
    <row r="44" spans="1:11" x14ac:dyDescent="0.2">
      <c r="E44" s="45"/>
      <c r="F44" s="45"/>
      <c r="G44" s="45"/>
      <c r="H44" s="45"/>
      <c r="I44" s="45"/>
      <c r="J44" s="45"/>
    </row>
    <row r="45" spans="1:11" x14ac:dyDescent="0.2">
      <c r="A45" s="38" t="s">
        <v>57</v>
      </c>
      <c r="C45" s="38" t="s">
        <v>109</v>
      </c>
    </row>
    <row r="47" spans="1:11" ht="18" customHeight="1" x14ac:dyDescent="0.2">
      <c r="A47" s="38" t="s">
        <v>58</v>
      </c>
      <c r="C47" s="905" t="str">
        <f>"Declaramos que iremos cumprir os termos da Convenção Coletiva de Trabalho -" &amp; " " &amp; Dados!$N$82 &amp; "" &amp; ", e de que reconhecemos a Categoria Sindical, como sendo aquela que regerá durante a vigência do contrato os salários e benefícios dos profissionais a serem alocados na execução dos serviços objeto do Edital em epígrafe."</f>
        <v>Declaramos que iremos cumprir os termos da Convenção Coletiva de Trabalho - SINDESV/SINDESP-DF, e de que reconhecemos a Categoria Sindical, como sendo aquela que regerá durante a vigência do contrato os salários e benefícios dos profissionais a serem alocados na execução dos serviços objeto do Edital em epígrafe.</v>
      </c>
      <c r="D47" s="905"/>
      <c r="E47" s="905"/>
      <c r="F47" s="905"/>
      <c r="G47" s="905"/>
      <c r="H47" s="905"/>
      <c r="I47" s="905"/>
      <c r="J47" s="905"/>
      <c r="K47" s="905"/>
    </row>
    <row r="48" spans="1:11" x14ac:dyDescent="0.2">
      <c r="C48" s="905"/>
      <c r="D48" s="905"/>
      <c r="E48" s="905"/>
      <c r="F48" s="905"/>
      <c r="G48" s="905"/>
      <c r="H48" s="905"/>
      <c r="I48" s="905"/>
      <c r="J48" s="905"/>
      <c r="K48" s="905"/>
    </row>
    <row r="49" spans="1:11" x14ac:dyDescent="0.2">
      <c r="C49" s="905"/>
      <c r="D49" s="905"/>
      <c r="E49" s="905"/>
      <c r="F49" s="905"/>
      <c r="G49" s="905"/>
      <c r="H49" s="905"/>
      <c r="I49" s="905"/>
      <c r="J49" s="905"/>
      <c r="K49" s="905"/>
    </row>
    <row r="50" spans="1:11" x14ac:dyDescent="0.2">
      <c r="C50" s="905" t="str">
        <f>"Declaramos ainda, que os preços desta proposta foram elaborados de acordo com a CCT" &amp; " " &amp; Dados!$G$24 &amp; "" &amp; ", registro no M.T.E" &amp;  " " &amp; Dados!$L$82 &amp; "" &amp; ", vigência" &amp; " " &amp; Dados!$Q$82 &amp; "" &amp; ", sendo a data-base da categoria" &amp; " " &amp; TEXT(Dados!$U$82,"[$-416]d-mmm;@") &amp; "" &amp; ". Os reajustes terão como base os mesmos percentuais acordados na data-base."</f>
        <v>Declaramos ainda, que os preços desta proposta foram elaborados de acordo com a CCT 2020/2020, registro no M.T.E DF000040/2020, vigência 01/01/2020 a 31/12/2020, sendo a data-base da categoria 1-jan. Os reajustes terão como base os mesmos percentuais acordados na data-base.</v>
      </c>
      <c r="D50" s="905"/>
      <c r="E50" s="905"/>
      <c r="F50" s="905"/>
      <c r="G50" s="905"/>
      <c r="H50" s="905"/>
      <c r="I50" s="905"/>
      <c r="J50" s="905"/>
      <c r="K50" s="905"/>
    </row>
    <row r="51" spans="1:11" x14ac:dyDescent="0.2">
      <c r="C51" s="905"/>
      <c r="D51" s="905"/>
      <c r="E51" s="905"/>
      <c r="F51" s="905"/>
      <c r="G51" s="905"/>
      <c r="H51" s="905"/>
      <c r="I51" s="905"/>
      <c r="J51" s="905"/>
      <c r="K51" s="905"/>
    </row>
    <row r="52" spans="1:11" x14ac:dyDescent="0.2">
      <c r="C52" s="905"/>
      <c r="D52" s="905"/>
      <c r="E52" s="905"/>
      <c r="F52" s="905"/>
      <c r="G52" s="905"/>
      <c r="H52" s="905"/>
      <c r="I52" s="905"/>
      <c r="J52" s="905"/>
      <c r="K52" s="905"/>
    </row>
    <row r="53" spans="1:11" s="61" customFormat="1" hidden="1" x14ac:dyDescent="0.2">
      <c r="A53" s="194"/>
      <c r="B53" s="194"/>
      <c r="C53" s="230" t="s">
        <v>284</v>
      </c>
      <c r="D53" s="203"/>
      <c r="E53" s="203"/>
      <c r="F53" s="203"/>
      <c r="G53" s="203"/>
      <c r="H53" s="203"/>
      <c r="I53" s="203"/>
      <c r="J53" s="203"/>
      <c r="K53" s="203"/>
    </row>
    <row r="54" spans="1:11" s="61" customFormat="1" x14ac:dyDescent="0.2">
      <c r="A54" s="194"/>
      <c r="B54" s="194"/>
      <c r="C54" s="363"/>
      <c r="D54" s="363"/>
      <c r="E54" s="363"/>
      <c r="F54" s="363"/>
      <c r="G54" s="363"/>
      <c r="H54" s="363"/>
      <c r="I54" s="363"/>
      <c r="J54" s="363"/>
      <c r="K54" s="363"/>
    </row>
    <row r="55" spans="1:11" x14ac:dyDescent="0.2">
      <c r="A55" s="38" t="s">
        <v>59</v>
      </c>
      <c r="C55" s="193" t="s">
        <v>446</v>
      </c>
      <c r="J55" s="194"/>
    </row>
    <row r="56" spans="1:11" x14ac:dyDescent="0.25">
      <c r="C56" s="193" t="s">
        <v>447</v>
      </c>
      <c r="I56" s="62"/>
      <c r="J56" s="62"/>
    </row>
    <row r="57" spans="1:11" x14ac:dyDescent="0.25">
      <c r="C57" s="193" t="s">
        <v>448</v>
      </c>
      <c r="E57" s="43"/>
      <c r="F57" s="43"/>
      <c r="G57" s="43"/>
      <c r="I57" s="62"/>
      <c r="J57" s="62"/>
    </row>
    <row r="58" spans="1:11" x14ac:dyDescent="0.25">
      <c r="C58" s="193" t="s">
        <v>449</v>
      </c>
      <c r="I58" s="62"/>
      <c r="J58" s="62"/>
    </row>
    <row r="59" spans="1:11" x14ac:dyDescent="0.25">
      <c r="C59" s="193" t="s">
        <v>450</v>
      </c>
      <c r="F59" s="63"/>
      <c r="G59" s="62"/>
      <c r="I59" s="62"/>
      <c r="J59" s="62"/>
    </row>
    <row r="60" spans="1:11" x14ac:dyDescent="0.25">
      <c r="C60" s="193" t="s">
        <v>451</v>
      </c>
      <c r="I60" s="62"/>
      <c r="J60" s="62"/>
    </row>
    <row r="61" spans="1:11" x14ac:dyDescent="0.25">
      <c r="C61" s="193" t="s">
        <v>452</v>
      </c>
      <c r="D61" s="364"/>
      <c r="E61" s="39"/>
      <c r="F61" s="365"/>
      <c r="G61" s="365"/>
      <c r="I61" s="62"/>
      <c r="J61" s="62"/>
    </row>
    <row r="62" spans="1:11" x14ac:dyDescent="0.25">
      <c r="C62" s="193" t="s">
        <v>453</v>
      </c>
      <c r="D62" s="364"/>
      <c r="E62" s="39"/>
      <c r="F62" s="365"/>
      <c r="G62" s="365"/>
      <c r="I62" s="62"/>
      <c r="J62" s="62"/>
    </row>
    <row r="63" spans="1:11" x14ac:dyDescent="0.2">
      <c r="G63" s="365"/>
    </row>
    <row r="64" spans="1:11" x14ac:dyDescent="0.2">
      <c r="A64" s="38" t="s">
        <v>60</v>
      </c>
      <c r="C64" s="38" t="s">
        <v>454</v>
      </c>
    </row>
    <row r="65" spans="1:11" x14ac:dyDescent="0.2">
      <c r="C65" s="38" t="s">
        <v>455</v>
      </c>
    </row>
    <row r="66" spans="1:11" x14ac:dyDescent="0.2">
      <c r="C66" s="38" t="s">
        <v>61</v>
      </c>
      <c r="E66" s="43"/>
      <c r="F66" s="43"/>
    </row>
    <row r="68" spans="1:11" x14ac:dyDescent="0.2">
      <c r="A68" s="38" t="s">
        <v>435</v>
      </c>
      <c r="C68" s="38" t="s">
        <v>464</v>
      </c>
    </row>
    <row r="69" spans="1:11" x14ac:dyDescent="0.2">
      <c r="C69" s="365"/>
      <c r="D69" s="365"/>
      <c r="G69" s="365"/>
    </row>
    <row r="70" spans="1:11" ht="18" customHeight="1" x14ac:dyDescent="0.2">
      <c r="A70" s="38" t="s">
        <v>62</v>
      </c>
      <c r="C70" s="193" t="s">
        <v>314</v>
      </c>
    </row>
    <row r="72" spans="1:11" s="345" customFormat="1" x14ac:dyDescent="0.2">
      <c r="A72" s="344" t="s">
        <v>304</v>
      </c>
      <c r="B72" s="344"/>
      <c r="C72" s="344" t="s">
        <v>303</v>
      </c>
      <c r="D72" s="344"/>
      <c r="E72" s="344"/>
      <c r="F72" s="344"/>
      <c r="G72" s="344"/>
      <c r="H72" s="344"/>
      <c r="I72" s="344"/>
      <c r="J72" s="344"/>
      <c r="K72" s="344"/>
    </row>
    <row r="73" spans="1:11" ht="24.75" customHeight="1" x14ac:dyDescent="0.2"/>
    <row r="74" spans="1:11" x14ac:dyDescent="0.2">
      <c r="A74" s="906" t="str">
        <f>"Brasília/DF," &amp; " " &amp; TEXT(Dados!$G$16,"[$-F800]dddd, mmmm dd, aaaa")</f>
        <v>Brasília/DF, terça-feira, 30 de junho de 2020</v>
      </c>
      <c r="B74" s="906"/>
      <c r="C74" s="906"/>
      <c r="D74" s="906"/>
      <c r="E74" s="906"/>
      <c r="F74" s="906"/>
      <c r="G74" s="906"/>
      <c r="H74" s="906"/>
      <c r="I74" s="906"/>
      <c r="J74" s="906"/>
      <c r="K74" s="906"/>
    </row>
    <row r="77" spans="1:11" x14ac:dyDescent="0.2">
      <c r="H77" s="64"/>
    </row>
    <row r="78" spans="1:11" x14ac:dyDescent="0.2">
      <c r="A78" s="902" t="s">
        <v>246</v>
      </c>
      <c r="B78" s="902"/>
      <c r="C78" s="902"/>
      <c r="D78" s="902"/>
      <c r="E78" s="902"/>
      <c r="F78" s="902"/>
      <c r="G78" s="902"/>
      <c r="H78" s="902"/>
      <c r="I78" s="902"/>
      <c r="J78" s="902"/>
      <c r="K78" s="902"/>
    </row>
    <row r="79" spans="1:11" x14ac:dyDescent="0.2">
      <c r="A79" s="902" t="str">
        <f>C56</f>
        <v>CNPJ: 03.497.401/0001-97</v>
      </c>
      <c r="B79" s="902"/>
      <c r="C79" s="902"/>
      <c r="D79" s="902"/>
      <c r="E79" s="902"/>
      <c r="F79" s="902"/>
      <c r="G79" s="902"/>
      <c r="H79" s="902"/>
      <c r="I79" s="902"/>
      <c r="J79" s="902"/>
      <c r="K79" s="902"/>
    </row>
    <row r="80" spans="1:11" x14ac:dyDescent="0.2">
      <c r="A80" s="902" t="s">
        <v>456</v>
      </c>
      <c r="B80" s="902"/>
      <c r="C80" s="902"/>
      <c r="D80" s="902"/>
      <c r="E80" s="902"/>
      <c r="F80" s="902"/>
      <c r="G80" s="902"/>
      <c r="H80" s="902"/>
      <c r="I80" s="902"/>
      <c r="J80" s="902"/>
      <c r="K80" s="902"/>
    </row>
  </sheetData>
  <mergeCells count="30">
    <mergeCell ref="A16:K19"/>
    <mergeCell ref="A21:A22"/>
    <mergeCell ref="J21:K21"/>
    <mergeCell ref="H22:I22"/>
    <mergeCell ref="B21:D22"/>
    <mergeCell ref="F21:F22"/>
    <mergeCell ref="B23:D23"/>
    <mergeCell ref="H23:I23"/>
    <mergeCell ref="J23:K23"/>
    <mergeCell ref="J22:K22"/>
    <mergeCell ref="H21:I21"/>
    <mergeCell ref="H26:I26"/>
    <mergeCell ref="J26:K26"/>
    <mergeCell ref="A26:D26"/>
    <mergeCell ref="A80:K80"/>
    <mergeCell ref="C31:K31"/>
    <mergeCell ref="C33:K35"/>
    <mergeCell ref="C37:K38"/>
    <mergeCell ref="C47:K49"/>
    <mergeCell ref="C50:K52"/>
    <mergeCell ref="A79:K79"/>
    <mergeCell ref="A78:K78"/>
    <mergeCell ref="C40:K41"/>
    <mergeCell ref="A74:K74"/>
    <mergeCell ref="H24:I24"/>
    <mergeCell ref="H25:I25"/>
    <mergeCell ref="B24:D24"/>
    <mergeCell ref="B25:D25"/>
    <mergeCell ref="J24:K24"/>
    <mergeCell ref="J25:K25"/>
  </mergeCells>
  <printOptions horizontalCentered="1"/>
  <pageMargins left="0.51181102362204722" right="0.43307086614173229" top="1.24" bottom="0.15748031496062992" header="0.51181102362204722" footer="0.27559055118110237"/>
  <pageSetup paperSize="9" scale="5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4"/>
  <dimension ref="A1:AA184"/>
  <sheetViews>
    <sheetView topLeftCell="A113" zoomScale="88" zoomScaleNormal="88" zoomScaleSheetLayoutView="100" workbookViewId="0">
      <selection activeCell="C187" sqref="C187"/>
    </sheetView>
  </sheetViews>
  <sheetFormatPr defaultRowHeight="14.25" x14ac:dyDescent="0.2"/>
  <cols>
    <col min="1" max="1" width="5.85546875" style="34" customWidth="1"/>
    <col min="2" max="2" width="54.5703125" style="34" customWidth="1"/>
    <col min="3" max="3" width="19.7109375" style="34" customWidth="1"/>
    <col min="4" max="4" width="17.140625" style="34" customWidth="1"/>
    <col min="5" max="5" width="20.140625" style="34" customWidth="1"/>
    <col min="6" max="6" width="15.42578125" style="34" hidden="1" customWidth="1"/>
    <col min="7" max="7" width="28.5703125" style="66" hidden="1" customWidth="1"/>
    <col min="8" max="8" width="11" style="35" hidden="1" customWidth="1"/>
    <col min="9" max="9" width="7.28515625" style="35" hidden="1" customWidth="1"/>
    <col min="10" max="10" width="27.28515625" style="35" hidden="1" customWidth="1"/>
    <col min="11" max="11" width="20.140625" style="35" hidden="1" customWidth="1"/>
    <col min="12" max="12" width="16.5703125" style="35" hidden="1" customWidth="1"/>
    <col min="13" max="13" width="22" style="35" hidden="1" customWidth="1"/>
    <col min="14" max="14" width="21.7109375" style="35" hidden="1" customWidth="1"/>
    <col min="15" max="15" width="19.140625" style="35" hidden="1" customWidth="1"/>
    <col min="16" max="17" width="0" style="35" hidden="1" customWidth="1"/>
    <col min="18" max="18" width="27.28515625" style="35" hidden="1" customWidth="1"/>
    <col min="19" max="19" width="18.140625" style="35" hidden="1" customWidth="1"/>
    <col min="20" max="20" width="18.5703125" style="35" hidden="1" customWidth="1"/>
    <col min="21" max="21" width="21.42578125" style="35" hidden="1" customWidth="1"/>
    <col min="22" max="22" width="23.140625" style="35" hidden="1" customWidth="1"/>
    <col min="23" max="23" width="18.5703125" style="35" hidden="1" customWidth="1"/>
    <col min="24" max="24" width="19.140625" style="35" customWidth="1"/>
    <col min="25" max="25" width="20.5703125" style="35" customWidth="1"/>
    <col min="26" max="26" width="9.140625" style="35"/>
    <col min="27" max="27" width="10.5703125" style="35" bestFit="1" customWidth="1"/>
    <col min="28" max="16384" width="9.140625" style="35"/>
  </cols>
  <sheetData>
    <row r="1" spans="1:25" x14ac:dyDescent="0.2">
      <c r="A1" s="65" t="str">
        <f>Proposta!C55</f>
        <v>Razão Social: BRASFORT EMPRESA DE SEGURANÇA LTDA</v>
      </c>
      <c r="H1" s="34"/>
      <c r="I1" s="65" t="str">
        <f>Proposta!C55</f>
        <v>Razão Social: BRASFORT EMPRESA DE SEGURANÇA LTDA</v>
      </c>
      <c r="J1" s="34"/>
      <c r="K1" s="34"/>
      <c r="L1" s="34"/>
      <c r="M1" s="34"/>
      <c r="N1" s="34"/>
      <c r="O1" s="34"/>
      <c r="P1" s="34"/>
      <c r="Q1" s="65" t="str">
        <f>Proposta!C55</f>
        <v>Razão Social: BRASFORT EMPRESA DE SEGURANÇA LTDA</v>
      </c>
      <c r="R1" s="34"/>
      <c r="S1" s="34"/>
      <c r="T1" s="34"/>
      <c r="U1" s="34"/>
      <c r="V1" s="34"/>
      <c r="W1" s="34"/>
      <c r="X1" s="34"/>
      <c r="Y1" s="34"/>
    </row>
    <row r="2" spans="1:25" x14ac:dyDescent="0.2">
      <c r="A2" s="65" t="str">
        <f>Proposta!C56</f>
        <v>CNPJ: 03.497.401/0001-97</v>
      </c>
      <c r="H2" s="34"/>
      <c r="I2" s="65" t="str">
        <f>Proposta!C56</f>
        <v>CNPJ: 03.497.401/0001-97</v>
      </c>
      <c r="J2" s="34"/>
      <c r="K2" s="34"/>
      <c r="L2" s="34"/>
      <c r="M2" s="34"/>
      <c r="N2" s="34"/>
      <c r="O2" s="34"/>
      <c r="P2" s="34"/>
      <c r="Q2" s="65" t="str">
        <f>Proposta!C56</f>
        <v>CNPJ: 03.497.401/0001-97</v>
      </c>
      <c r="R2" s="34"/>
      <c r="S2" s="34"/>
      <c r="T2" s="34"/>
      <c r="U2" s="34"/>
      <c r="V2" s="34"/>
      <c r="W2" s="34"/>
      <c r="X2" s="34"/>
      <c r="Y2" s="34"/>
    </row>
    <row r="3" spans="1:25" x14ac:dyDescent="0.2">
      <c r="A3" s="66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1:25" x14ac:dyDescent="0.2">
      <c r="A4" s="66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1:25" hidden="1" x14ac:dyDescent="0.2">
      <c r="A5" s="956" t="str">
        <f>Dados!H2</f>
        <v xml:space="preserve">REPACTUAÇÃO CONTRATUAL 20___ - </v>
      </c>
      <c r="B5" s="956"/>
      <c r="C5" s="956"/>
      <c r="D5" s="956"/>
      <c r="E5" s="956"/>
      <c r="F5" s="956"/>
      <c r="G5" s="956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hidden="1" x14ac:dyDescent="0.2">
      <c r="A6" s="956" t="str">
        <f>Dados!A10</f>
        <v>CONTRATO Nº __________/201__ - CONTRATANTE - PRESTAÇÃO DE SERVIÇOS --------</v>
      </c>
      <c r="B6" s="956"/>
      <c r="C6" s="956"/>
      <c r="D6" s="956"/>
      <c r="E6" s="956"/>
      <c r="F6" s="956"/>
      <c r="G6" s="956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</row>
    <row r="7" spans="1:25" ht="14.25" customHeight="1" x14ac:dyDescent="0.2">
      <c r="A7" s="956" t="s">
        <v>475</v>
      </c>
      <c r="B7" s="956"/>
      <c r="C7" s="956"/>
      <c r="D7" s="956"/>
      <c r="E7" s="956"/>
      <c r="F7" s="956"/>
      <c r="G7" s="956"/>
      <c r="H7" s="34"/>
      <c r="I7" s="956"/>
      <c r="J7" s="956"/>
      <c r="K7" s="956"/>
      <c r="L7" s="956"/>
      <c r="M7" s="956"/>
      <c r="N7" s="956"/>
      <c r="O7" s="956"/>
      <c r="P7" s="34"/>
      <c r="Q7" s="956"/>
      <c r="R7" s="956"/>
      <c r="S7" s="956"/>
      <c r="T7" s="956"/>
      <c r="U7" s="956"/>
      <c r="V7" s="956"/>
      <c r="W7" s="956"/>
      <c r="X7" s="686"/>
      <c r="Y7" s="34"/>
    </row>
    <row r="8" spans="1:25" ht="14.25" customHeight="1" x14ac:dyDescent="0.2">
      <c r="A8" s="956" t="str">
        <f>Dados!A11</f>
        <v>PLANILHA DE CUSTOS E FORMAÇÃO DE PREÇOS - CJF</v>
      </c>
      <c r="B8" s="956"/>
      <c r="C8" s="956"/>
      <c r="D8" s="956"/>
      <c r="E8" s="956"/>
      <c r="F8" s="956"/>
      <c r="G8" s="956"/>
      <c r="H8" s="34"/>
      <c r="I8" s="956"/>
      <c r="J8" s="956"/>
      <c r="K8" s="956"/>
      <c r="L8" s="956"/>
      <c r="M8" s="956"/>
      <c r="N8" s="956"/>
      <c r="O8" s="956"/>
      <c r="P8" s="34"/>
      <c r="Q8" s="956"/>
      <c r="R8" s="956"/>
      <c r="S8" s="956"/>
      <c r="T8" s="956"/>
      <c r="U8" s="956"/>
      <c r="V8" s="956"/>
      <c r="W8" s="956"/>
      <c r="X8" s="686"/>
      <c r="Y8" s="34"/>
    </row>
    <row r="9" spans="1:25" ht="14.25" hidden="1" customHeight="1" x14ac:dyDescent="0.2">
      <c r="A9" s="956" t="s">
        <v>256</v>
      </c>
      <c r="B9" s="956"/>
      <c r="C9" s="956"/>
      <c r="D9" s="956"/>
      <c r="E9" s="956"/>
      <c r="F9" s="956"/>
      <c r="G9" s="956"/>
      <c r="H9" s="34"/>
      <c r="I9" s="956" t="s">
        <v>256</v>
      </c>
      <c r="J9" s="956"/>
      <c r="K9" s="956"/>
      <c r="L9" s="956"/>
      <c r="M9" s="956"/>
      <c r="N9" s="956"/>
      <c r="O9" s="956"/>
      <c r="P9" s="34"/>
      <c r="Q9" s="956" t="s">
        <v>256</v>
      </c>
      <c r="R9" s="956"/>
      <c r="S9" s="956"/>
      <c r="T9" s="956"/>
      <c r="U9" s="956"/>
      <c r="V9" s="956"/>
      <c r="W9" s="956"/>
      <c r="X9" s="686"/>
      <c r="Y9" s="34"/>
    </row>
    <row r="10" spans="1:25" ht="14.25" customHeight="1" x14ac:dyDescent="0.2">
      <c r="A10" s="698"/>
      <c r="B10" s="698"/>
      <c r="C10" s="698"/>
      <c r="D10" s="698"/>
      <c r="E10" s="698"/>
      <c r="F10" s="698"/>
      <c r="G10" s="698"/>
      <c r="H10" s="34"/>
      <c r="I10" s="698"/>
      <c r="J10" s="698"/>
      <c r="K10" s="960" t="s">
        <v>488</v>
      </c>
      <c r="L10" s="960"/>
      <c r="M10" s="960"/>
      <c r="N10" s="698"/>
      <c r="O10" s="698"/>
      <c r="P10" s="34"/>
      <c r="Q10" s="698"/>
      <c r="R10" s="698"/>
      <c r="S10" s="960" t="s">
        <v>518</v>
      </c>
      <c r="T10" s="960"/>
      <c r="U10" s="960"/>
      <c r="V10" s="698"/>
      <c r="W10" s="698"/>
      <c r="X10" s="698"/>
      <c r="Y10" s="34"/>
    </row>
    <row r="11" spans="1:25" ht="9.75" customHeight="1" x14ac:dyDescent="0.2">
      <c r="A11" s="68"/>
      <c r="B11" s="68"/>
      <c r="C11" s="68"/>
      <c r="D11" s="68"/>
      <c r="E11" s="68"/>
      <c r="F11" s="68"/>
      <c r="G11" s="68"/>
      <c r="H11" s="34"/>
      <c r="I11" s="68"/>
      <c r="J11" s="68"/>
      <c r="K11" s="68"/>
      <c r="L11" s="68"/>
      <c r="M11" s="68"/>
      <c r="N11" s="68"/>
      <c r="O11" s="68"/>
      <c r="P11" s="34"/>
      <c r="Q11" s="68"/>
      <c r="R11" s="68"/>
      <c r="S11" s="68"/>
      <c r="T11" s="68"/>
      <c r="U11" s="68"/>
      <c r="V11" s="68"/>
      <c r="W11" s="68"/>
      <c r="X11" s="68"/>
      <c r="Y11" s="34"/>
    </row>
    <row r="12" spans="1:25" ht="15.75" customHeight="1" x14ac:dyDescent="0.2">
      <c r="A12" s="957" t="s">
        <v>104</v>
      </c>
      <c r="B12" s="957"/>
      <c r="C12" s="958" t="str">
        <f>Dados!G14</f>
        <v>0000793-29.2020.4.90.8000</v>
      </c>
      <c r="D12" s="958"/>
      <c r="E12" s="69"/>
      <c r="F12" s="80"/>
      <c r="G12" s="69"/>
      <c r="H12" s="34"/>
      <c r="I12" s="961" t="s">
        <v>104</v>
      </c>
      <c r="J12" s="962"/>
      <c r="K12" s="963" t="str">
        <f>Dados!G14</f>
        <v>0000793-29.2020.4.90.8000</v>
      </c>
      <c r="L12" s="964"/>
      <c r="M12" s="69"/>
      <c r="N12" s="80"/>
      <c r="O12" s="69"/>
      <c r="P12" s="34"/>
      <c r="Q12" s="961" t="s">
        <v>104</v>
      </c>
      <c r="R12" s="962"/>
      <c r="S12" s="963" t="str">
        <f>Dados!G14</f>
        <v>0000793-29.2020.4.90.8000</v>
      </c>
      <c r="T12" s="964"/>
      <c r="U12" s="69"/>
      <c r="V12" s="80"/>
      <c r="W12" s="69"/>
      <c r="X12" s="69"/>
      <c r="Y12" s="34"/>
    </row>
    <row r="13" spans="1:25" ht="15.75" customHeight="1" x14ac:dyDescent="0.2">
      <c r="A13" s="957" t="s">
        <v>103</v>
      </c>
      <c r="B13" s="957"/>
      <c r="C13" s="959" t="str">
        <f>"Pregão Eletrônico nº:" &amp; " " &amp; Dados!G22</f>
        <v>Pregão Eletrônico nº: 09/2020</v>
      </c>
      <c r="D13" s="959"/>
      <c r="E13" s="69"/>
      <c r="F13" s="732">
        <v>1</v>
      </c>
      <c r="G13" s="69"/>
      <c r="H13" s="34"/>
      <c r="I13" s="961" t="s">
        <v>103</v>
      </c>
      <c r="J13" s="962"/>
      <c r="K13" s="965" t="str">
        <f>"Pregão Eletrônico nº:" &amp; " " &amp; Dados!G22</f>
        <v>Pregão Eletrônico nº: 09/2020</v>
      </c>
      <c r="L13" s="966"/>
      <c r="M13" s="69"/>
      <c r="N13" s="732">
        <v>1</v>
      </c>
      <c r="O13" s="69"/>
      <c r="P13" s="34"/>
      <c r="Q13" s="961" t="s">
        <v>103</v>
      </c>
      <c r="R13" s="962"/>
      <c r="S13" s="965" t="str">
        <f>"Pregão Eletrônico nº:" &amp; " " &amp; Dados!G22</f>
        <v>Pregão Eletrônico nº: 09/2020</v>
      </c>
      <c r="T13" s="966"/>
      <c r="U13" s="69"/>
      <c r="V13" s="732">
        <v>1</v>
      </c>
      <c r="W13" s="69"/>
      <c r="X13" s="69"/>
      <c r="Y13" s="34"/>
    </row>
    <row r="14" spans="1:25" ht="15.75" customHeight="1" x14ac:dyDescent="0.2">
      <c r="A14" s="70" t="str">
        <f>"Dia:" &amp; " " &amp; TEXT(Dados!G15,"dd/mm/aaaa") &amp; " " &amp; "às" &amp; " " &amp; TEXT(Dados!G18,"hh:mm") &amp; " " &amp; "horas"</f>
        <v>Dia: 22/06/2020 às 10:00 horas</v>
      </c>
      <c r="B14" s="71"/>
      <c r="C14" s="71"/>
      <c r="D14" s="68"/>
      <c r="E14" s="69"/>
      <c r="F14" s="698"/>
      <c r="G14" s="74"/>
      <c r="H14" s="34"/>
      <c r="I14" s="70" t="str">
        <f>"Dia:" &amp; " " &amp; TEXT(Dados!G15,"dd/mm/aaaa") &amp; " " &amp; "às" &amp; " " &amp; TEXT(Dados!G18,"hh:mm") &amp; " " &amp; "horas"</f>
        <v>Dia: 22/06/2020 às 10:00 horas</v>
      </c>
      <c r="J14" s="71"/>
      <c r="K14" s="71"/>
      <c r="L14" s="68"/>
      <c r="M14" s="69"/>
      <c r="N14" s="698"/>
      <c r="O14" s="74"/>
      <c r="P14" s="34"/>
      <c r="Q14" s="70" t="str">
        <f>"Dia:" &amp; " " &amp; TEXT(Dados!G15,"dd/mm/aaaa") &amp; " " &amp; "às" &amp; " " &amp; TEXT(Dados!G18,"hh:mm") &amp; " " &amp; "horas"</f>
        <v>Dia: 22/06/2020 às 10:00 horas</v>
      </c>
      <c r="R14" s="71"/>
      <c r="S14" s="71"/>
      <c r="T14" s="68"/>
      <c r="U14" s="69"/>
      <c r="V14" s="698"/>
      <c r="W14" s="74"/>
      <c r="X14" s="74"/>
      <c r="Y14" s="34"/>
    </row>
    <row r="15" spans="1:25" ht="8.25" customHeight="1" x14ac:dyDescent="0.2">
      <c r="A15" s="71"/>
      <c r="B15" s="71"/>
      <c r="C15" s="71"/>
      <c r="D15" s="68"/>
      <c r="E15" s="69"/>
      <c r="F15" s="690"/>
      <c r="G15" s="74"/>
      <c r="H15" s="34"/>
      <c r="I15" s="71"/>
      <c r="J15" s="71"/>
      <c r="K15" s="71"/>
      <c r="L15" s="68"/>
      <c r="M15" s="69"/>
      <c r="N15" s="690"/>
      <c r="O15" s="74"/>
      <c r="P15" s="34"/>
      <c r="Q15" s="71"/>
      <c r="R15" s="71"/>
      <c r="S15" s="71"/>
      <c r="T15" s="68"/>
      <c r="U15" s="69"/>
      <c r="V15" s="690"/>
      <c r="W15" s="74"/>
      <c r="X15" s="74"/>
      <c r="Y15" s="34"/>
    </row>
    <row r="16" spans="1:25" ht="18" customHeight="1" x14ac:dyDescent="0.2">
      <c r="A16" s="949" t="s">
        <v>205</v>
      </c>
      <c r="B16" s="949"/>
      <c r="C16" s="949"/>
      <c r="D16" s="949"/>
      <c r="E16" s="949"/>
      <c r="F16" s="949"/>
      <c r="G16" s="949"/>
      <c r="H16" s="34"/>
      <c r="I16" s="949"/>
      <c r="J16" s="949"/>
      <c r="K16" s="949"/>
      <c r="L16" s="949"/>
      <c r="M16" s="949"/>
      <c r="N16" s="949"/>
      <c r="O16" s="949"/>
      <c r="P16" s="34"/>
      <c r="Q16" s="967"/>
      <c r="R16" s="967"/>
      <c r="S16" s="967"/>
      <c r="T16" s="967"/>
      <c r="U16" s="967"/>
      <c r="V16" s="949"/>
      <c r="W16" s="949"/>
      <c r="X16" s="687"/>
      <c r="Y16" s="34"/>
    </row>
    <row r="17" spans="1:25" ht="16.5" customHeight="1" x14ac:dyDescent="0.2">
      <c r="A17" s="685" t="s">
        <v>1</v>
      </c>
      <c r="B17" s="680" t="s">
        <v>105</v>
      </c>
      <c r="C17" s="681"/>
      <c r="D17" s="694"/>
      <c r="E17" s="328"/>
      <c r="F17" s="932">
        <f>Dados!G16</f>
        <v>44012</v>
      </c>
      <c r="G17" s="950"/>
      <c r="H17" s="34"/>
      <c r="I17" s="698"/>
      <c r="J17" s="71"/>
      <c r="K17" s="71"/>
      <c r="L17" s="678"/>
      <c r="M17" s="69"/>
      <c r="N17" s="968"/>
      <c r="O17" s="968"/>
      <c r="P17" s="34"/>
      <c r="Q17" s="685"/>
      <c r="R17" s="680"/>
      <c r="S17" s="681"/>
      <c r="T17" s="694"/>
      <c r="U17" s="313"/>
      <c r="V17" s="968"/>
      <c r="W17" s="968"/>
      <c r="X17" s="690"/>
      <c r="Y17" s="34"/>
    </row>
    <row r="18" spans="1:25" ht="16.5" customHeight="1" x14ac:dyDescent="0.2">
      <c r="A18" s="685" t="s">
        <v>2</v>
      </c>
      <c r="B18" s="693" t="s">
        <v>3</v>
      </c>
      <c r="C18" s="694"/>
      <c r="D18" s="694"/>
      <c r="E18" s="328"/>
      <c r="F18" s="932" t="str">
        <f>Dados!G19</f>
        <v>Brasília - DF</v>
      </c>
      <c r="G18" s="950"/>
      <c r="H18" s="34"/>
      <c r="I18" s="698"/>
      <c r="J18" s="678"/>
      <c r="K18" s="678"/>
      <c r="L18" s="678"/>
      <c r="M18" s="69"/>
      <c r="N18" s="968"/>
      <c r="O18" s="968"/>
      <c r="P18" s="34"/>
      <c r="Q18" s="685"/>
      <c r="R18" s="693"/>
      <c r="S18" s="694"/>
      <c r="T18" s="694"/>
      <c r="U18" s="313"/>
      <c r="V18" s="968"/>
      <c r="W18" s="968"/>
      <c r="X18" s="690"/>
      <c r="Y18" s="34"/>
    </row>
    <row r="19" spans="1:25" ht="16.5" customHeight="1" x14ac:dyDescent="0.2">
      <c r="A19" s="685" t="s">
        <v>4</v>
      </c>
      <c r="B19" s="680" t="s">
        <v>106</v>
      </c>
      <c r="C19" s="681"/>
      <c r="D19" s="694"/>
      <c r="E19" s="328"/>
      <c r="F19" s="950">
        <f>Dados!G26</f>
        <v>20</v>
      </c>
      <c r="G19" s="950"/>
      <c r="H19" s="34"/>
      <c r="I19" s="698"/>
      <c r="J19" s="71"/>
      <c r="K19" s="71"/>
      <c r="L19" s="678"/>
      <c r="M19" s="69"/>
      <c r="N19" s="969"/>
      <c r="O19" s="969"/>
      <c r="P19" s="34"/>
      <c r="Q19" s="685"/>
      <c r="R19" s="680"/>
      <c r="S19" s="681"/>
      <c r="T19" s="694"/>
      <c r="U19" s="313"/>
      <c r="V19" s="969"/>
      <c r="W19" s="969"/>
      <c r="X19" s="697"/>
      <c r="Y19" s="34"/>
    </row>
    <row r="20" spans="1:25" ht="9" customHeight="1" x14ac:dyDescent="0.2">
      <c r="A20" s="698"/>
      <c r="B20" s="68"/>
      <c r="C20" s="68"/>
      <c r="D20" s="68"/>
      <c r="E20" s="68"/>
      <c r="F20" s="75"/>
      <c r="G20" s="76"/>
      <c r="H20" s="34"/>
      <c r="I20" s="698"/>
      <c r="J20" s="68"/>
      <c r="K20" s="68"/>
      <c r="L20" s="68"/>
      <c r="M20" s="68"/>
      <c r="N20" s="75"/>
      <c r="O20" s="76"/>
      <c r="P20" s="34"/>
      <c r="Q20" s="698"/>
      <c r="R20" s="68"/>
      <c r="S20" s="68"/>
      <c r="T20" s="68"/>
      <c r="U20" s="68"/>
      <c r="V20" s="68"/>
      <c r="W20" s="698"/>
      <c r="X20" s="698"/>
      <c r="Y20" s="34"/>
    </row>
    <row r="21" spans="1:25" ht="16.5" customHeight="1" x14ac:dyDescent="0.2">
      <c r="A21" s="949" t="s">
        <v>204</v>
      </c>
      <c r="B21" s="949"/>
      <c r="C21" s="949"/>
      <c r="D21" s="949"/>
      <c r="E21" s="949"/>
      <c r="F21" s="949"/>
      <c r="G21" s="949"/>
      <c r="H21" s="34"/>
      <c r="I21" s="696"/>
      <c r="J21" s="696"/>
      <c r="K21" s="696"/>
      <c r="L21" s="696"/>
      <c r="M21" s="696"/>
      <c r="N21" s="687"/>
      <c r="O21" s="687"/>
      <c r="P21" s="34"/>
      <c r="Q21" s="949"/>
      <c r="R21" s="949"/>
      <c r="S21" s="949"/>
      <c r="T21" s="949"/>
      <c r="U21" s="949"/>
      <c r="V21" s="949"/>
      <c r="W21" s="949"/>
      <c r="X21" s="687"/>
      <c r="Y21" s="34"/>
    </row>
    <row r="22" spans="1:25" ht="51" customHeight="1" x14ac:dyDescent="0.2">
      <c r="A22" s="944" t="s">
        <v>76</v>
      </c>
      <c r="B22" s="944"/>
      <c r="C22" s="723" t="s">
        <v>148</v>
      </c>
      <c r="D22" s="723" t="s">
        <v>102</v>
      </c>
      <c r="E22" s="723" t="s">
        <v>64</v>
      </c>
      <c r="F22" s="723" t="s">
        <v>149</v>
      </c>
      <c r="G22" s="723" t="s">
        <v>74</v>
      </c>
      <c r="H22" s="34"/>
      <c r="I22" s="707"/>
      <c r="J22" s="708"/>
      <c r="K22" s="723"/>
      <c r="L22" s="723"/>
      <c r="M22" s="707"/>
      <c r="N22" s="687"/>
      <c r="O22" s="687"/>
      <c r="P22" s="80"/>
      <c r="Q22" s="949"/>
      <c r="R22" s="949"/>
      <c r="S22" s="687"/>
      <c r="T22" s="687"/>
      <c r="U22" s="687"/>
      <c r="V22" s="687"/>
      <c r="W22" s="687"/>
      <c r="X22" s="687"/>
      <c r="Y22" s="34"/>
    </row>
    <row r="23" spans="1:25" ht="33.75" customHeight="1" x14ac:dyDescent="0.2">
      <c r="A23" s="957" t="str">
        <f>Dados!N73</f>
        <v>Vigilância Diurna 12x36</v>
      </c>
      <c r="B23" s="957"/>
      <c r="C23" s="685" t="str">
        <f>Dados!J30</f>
        <v>Escala 12x36 horas</v>
      </c>
      <c r="D23" s="685" t="str">
        <f>Dados!G25</f>
        <v>Postos de Serviços</v>
      </c>
      <c r="E23" s="331">
        <f>Dados!R73</f>
        <v>5</v>
      </c>
      <c r="F23" s="331">
        <f>Dados!S73</f>
        <v>2</v>
      </c>
      <c r="G23" s="331">
        <f>E23*F23</f>
        <v>10</v>
      </c>
      <c r="H23" s="34"/>
      <c r="I23" s="688"/>
      <c r="J23" s="689"/>
      <c r="K23" s="685"/>
      <c r="L23" s="685"/>
      <c r="M23" s="381"/>
      <c r="N23" s="382"/>
      <c r="O23" s="382"/>
      <c r="P23" s="80"/>
      <c r="Q23" s="960"/>
      <c r="R23" s="960"/>
      <c r="S23" s="698"/>
      <c r="T23" s="698"/>
      <c r="U23" s="382"/>
      <c r="V23" s="382"/>
      <c r="W23" s="382"/>
      <c r="X23" s="382"/>
      <c r="Y23" s="34"/>
    </row>
    <row r="24" spans="1:25" ht="14.25" customHeight="1" x14ac:dyDescent="0.2">
      <c r="A24" s="71"/>
      <c r="B24" s="71"/>
      <c r="C24" s="71"/>
      <c r="D24" s="71"/>
      <c r="E24" s="71"/>
      <c r="F24" s="195"/>
      <c r="G24" s="195"/>
      <c r="H24" s="34"/>
      <c r="I24" s="71"/>
      <c r="J24" s="71"/>
      <c r="K24" s="71"/>
      <c r="L24" s="71"/>
      <c r="M24" s="71"/>
      <c r="N24" s="71"/>
      <c r="O24" s="71"/>
      <c r="P24" s="34"/>
      <c r="Q24" s="71"/>
      <c r="R24" s="71"/>
      <c r="S24" s="71"/>
      <c r="T24" s="71"/>
      <c r="U24" s="71"/>
      <c r="V24" s="195"/>
      <c r="W24" s="195"/>
      <c r="X24" s="195"/>
      <c r="Y24" s="34"/>
    </row>
    <row r="25" spans="1:25" ht="36" customHeight="1" x14ac:dyDescent="0.2">
      <c r="A25" s="940" t="s">
        <v>415</v>
      </c>
      <c r="B25" s="941"/>
      <c r="C25" s="941"/>
      <c r="D25" s="941"/>
      <c r="E25" s="941"/>
      <c r="F25" s="941"/>
      <c r="G25" s="941"/>
      <c r="H25" s="941"/>
      <c r="I25" s="941"/>
      <c r="J25" s="941"/>
      <c r="K25" s="941"/>
      <c r="L25" s="941"/>
      <c r="M25" s="941"/>
      <c r="N25" s="941"/>
      <c r="O25" s="941"/>
      <c r="P25" s="941"/>
      <c r="Q25" s="941"/>
      <c r="R25" s="941"/>
      <c r="S25" s="941"/>
      <c r="T25" s="941"/>
      <c r="U25" s="941"/>
      <c r="V25" s="941"/>
      <c r="W25" s="941"/>
      <c r="X25" s="941"/>
      <c r="Y25" s="942"/>
    </row>
    <row r="26" spans="1:25" ht="31.5" customHeight="1" x14ac:dyDescent="0.2">
      <c r="A26" s="685">
        <v>1</v>
      </c>
      <c r="B26" s="922" t="s">
        <v>76</v>
      </c>
      <c r="C26" s="922"/>
      <c r="D26" s="922"/>
      <c r="E26" s="922"/>
      <c r="F26" s="950" t="str">
        <f>Dados!P73</f>
        <v>Vigilante Armado, 12 horas diunas em escala 12x36, das 07h às 19h</v>
      </c>
      <c r="G26" s="950"/>
      <c r="H26" s="607"/>
      <c r="I26" s="685"/>
      <c r="J26" s="677"/>
      <c r="K26" s="677"/>
      <c r="L26" s="677"/>
      <c r="M26" s="677"/>
      <c r="N26" s="950" t="str">
        <f>Dados!P73</f>
        <v>Vigilante Armado, 12 horas diunas em escala 12x36, das 07h às 19h</v>
      </c>
      <c r="O26" s="950"/>
      <c r="P26" s="313"/>
      <c r="Q26" s="313"/>
      <c r="R26" s="313"/>
      <c r="S26" s="313"/>
      <c r="T26" s="313"/>
      <c r="U26" s="313"/>
      <c r="V26" s="950" t="str">
        <f>Dados!P73</f>
        <v>Vigilante Armado, 12 horas diunas em escala 12x36, das 07h às 19h</v>
      </c>
      <c r="W26" s="950"/>
      <c r="X26" s="927" t="s">
        <v>344</v>
      </c>
      <c r="Y26" s="928"/>
    </row>
    <row r="27" spans="1:25" ht="14.25" customHeight="1" x14ac:dyDescent="0.2">
      <c r="A27" s="685">
        <v>2</v>
      </c>
      <c r="B27" s="922" t="s">
        <v>202</v>
      </c>
      <c r="C27" s="922"/>
      <c r="D27" s="922"/>
      <c r="E27" s="922"/>
      <c r="F27" s="957" t="str">
        <f>Dados!O73</f>
        <v>5173-30</v>
      </c>
      <c r="G27" s="957"/>
      <c r="H27" s="607"/>
      <c r="I27" s="685"/>
      <c r="J27" s="922"/>
      <c r="K27" s="922"/>
      <c r="L27" s="922"/>
      <c r="M27" s="922"/>
      <c r="N27" s="950" t="str">
        <f>Dados!O73</f>
        <v>5173-30</v>
      </c>
      <c r="O27" s="950"/>
      <c r="P27" s="313"/>
      <c r="Q27" s="313"/>
      <c r="R27" s="313"/>
      <c r="S27" s="313"/>
      <c r="T27" s="313"/>
      <c r="U27" s="313"/>
      <c r="V27" s="950" t="str">
        <f>Dados!O73</f>
        <v>5173-30</v>
      </c>
      <c r="W27" s="950"/>
      <c r="X27" s="927" t="s">
        <v>350</v>
      </c>
      <c r="Y27" s="928"/>
    </row>
    <row r="28" spans="1:25" ht="15.75" customHeight="1" x14ac:dyDescent="0.2">
      <c r="A28" s="685">
        <v>3</v>
      </c>
      <c r="B28" s="922" t="s">
        <v>416</v>
      </c>
      <c r="C28" s="922"/>
      <c r="D28" s="922"/>
      <c r="E28" s="922"/>
      <c r="F28" s="923">
        <f>Dados!U73</f>
        <v>2192.65</v>
      </c>
      <c r="G28" s="923"/>
      <c r="H28" s="607"/>
      <c r="I28" s="685"/>
      <c r="J28" s="922"/>
      <c r="K28" s="922"/>
      <c r="L28" s="922"/>
      <c r="M28" s="922"/>
      <c r="N28" s="985">
        <v>2258.4299999999998</v>
      </c>
      <c r="O28" s="985"/>
      <c r="P28" s="733"/>
      <c r="Q28" s="733"/>
      <c r="R28" s="733"/>
      <c r="S28" s="733"/>
      <c r="T28" s="733"/>
      <c r="U28" s="733"/>
      <c r="V28" s="985">
        <v>2258.4299999999998</v>
      </c>
      <c r="W28" s="985"/>
      <c r="X28" s="925">
        <v>2258.4299999999998</v>
      </c>
      <c r="Y28" s="926"/>
    </row>
    <row r="29" spans="1:25" ht="15.75" customHeight="1" x14ac:dyDescent="0.2">
      <c r="A29" s="685" t="s">
        <v>4</v>
      </c>
      <c r="B29" s="700" t="s">
        <v>417</v>
      </c>
      <c r="C29" s="623"/>
      <c r="D29" s="623"/>
      <c r="E29" s="623"/>
      <c r="F29" s="950" t="str">
        <f>Dados!N82</f>
        <v>SINDESV/SINDESP-DF</v>
      </c>
      <c r="G29" s="950"/>
      <c r="H29" s="607"/>
      <c r="I29" s="685"/>
      <c r="J29" s="700"/>
      <c r="K29" s="623"/>
      <c r="L29" s="623"/>
      <c r="M29" s="623"/>
      <c r="N29" s="950" t="str">
        <f>Dados!N82</f>
        <v>SINDESV/SINDESP-DF</v>
      </c>
      <c r="O29" s="950"/>
      <c r="P29" s="313"/>
      <c r="Q29" s="313"/>
      <c r="R29" s="313"/>
      <c r="S29" s="313"/>
      <c r="T29" s="313"/>
      <c r="U29" s="313"/>
      <c r="V29" s="950" t="str">
        <f>Dados!N82</f>
        <v>SINDESV/SINDESP-DF</v>
      </c>
      <c r="W29" s="950"/>
      <c r="X29" s="927" t="s">
        <v>242</v>
      </c>
      <c r="Y29" s="928"/>
    </row>
    <row r="30" spans="1:25" ht="14.25" customHeight="1" x14ac:dyDescent="0.2">
      <c r="A30" s="685">
        <v>4</v>
      </c>
      <c r="B30" s="922" t="s">
        <v>10</v>
      </c>
      <c r="C30" s="922"/>
      <c r="D30" s="922"/>
      <c r="E30" s="922"/>
      <c r="F30" s="932">
        <f>Dados!T82</f>
        <v>43831</v>
      </c>
      <c r="G30" s="932"/>
      <c r="H30" s="607"/>
      <c r="I30" s="685"/>
      <c r="J30" s="922"/>
      <c r="K30" s="922"/>
      <c r="L30" s="922"/>
      <c r="M30" s="922"/>
      <c r="N30" s="932">
        <v>44197</v>
      </c>
      <c r="O30" s="932"/>
      <c r="P30" s="734"/>
      <c r="Q30" s="734"/>
      <c r="R30" s="734"/>
      <c r="S30" s="734"/>
      <c r="T30" s="734"/>
      <c r="U30" s="734"/>
      <c r="V30" s="932">
        <v>44197</v>
      </c>
      <c r="W30" s="932"/>
      <c r="X30" s="929">
        <v>44197</v>
      </c>
      <c r="Y30" s="930"/>
    </row>
    <row r="31" spans="1:25" ht="14.25" customHeight="1" x14ac:dyDescent="0.2">
      <c r="A31" s="685">
        <v>5</v>
      </c>
      <c r="B31" s="922" t="s">
        <v>418</v>
      </c>
      <c r="C31" s="922"/>
      <c r="D31" s="922"/>
      <c r="E31" s="922"/>
      <c r="F31" s="932" t="str">
        <f>Dados!L82</f>
        <v>DF000040/2020</v>
      </c>
      <c r="G31" s="932"/>
      <c r="H31" s="607"/>
      <c r="I31" s="685"/>
      <c r="J31" s="922"/>
      <c r="K31" s="922"/>
      <c r="L31" s="922"/>
      <c r="M31" s="922"/>
      <c r="N31" s="950" t="s">
        <v>492</v>
      </c>
      <c r="O31" s="950"/>
      <c r="P31" s="313"/>
      <c r="Q31" s="313"/>
      <c r="R31" s="313"/>
      <c r="S31" s="313"/>
      <c r="T31" s="313"/>
      <c r="U31" s="313"/>
      <c r="V31" s="950" t="s">
        <v>492</v>
      </c>
      <c r="W31" s="950"/>
      <c r="X31" s="927" t="s">
        <v>492</v>
      </c>
      <c r="Y31" s="928"/>
    </row>
    <row r="32" spans="1:25" ht="14.25" customHeight="1" x14ac:dyDescent="0.2">
      <c r="A32" s="685"/>
      <c r="B32" s="677"/>
      <c r="C32" s="677"/>
      <c r="D32" s="677"/>
      <c r="E32" s="677"/>
      <c r="F32" s="679"/>
      <c r="G32" s="679"/>
      <c r="H32" s="607"/>
      <c r="I32" s="685"/>
      <c r="J32" s="677"/>
      <c r="K32" s="677"/>
      <c r="L32" s="677"/>
      <c r="M32" s="677"/>
      <c r="N32" s="679"/>
      <c r="O32" s="679"/>
      <c r="P32" s="320"/>
      <c r="Q32" s="685"/>
      <c r="R32" s="677"/>
      <c r="S32" s="677"/>
      <c r="T32" s="677"/>
      <c r="U32" s="677"/>
      <c r="V32" s="679"/>
      <c r="W32" s="679"/>
      <c r="X32" s="679"/>
      <c r="Y32" s="607"/>
    </row>
    <row r="33" spans="1:25" s="198" customFormat="1" x14ac:dyDescent="0.2">
      <c r="A33" s="931" t="s">
        <v>25</v>
      </c>
      <c r="B33" s="931"/>
      <c r="C33" s="931"/>
      <c r="D33" s="931"/>
      <c r="E33" s="931"/>
      <c r="F33" s="931"/>
      <c r="G33" s="931"/>
      <c r="H33" s="931"/>
      <c r="I33" s="931"/>
      <c r="J33" s="931"/>
      <c r="K33" s="931"/>
      <c r="L33" s="931"/>
      <c r="M33" s="931"/>
      <c r="N33" s="931"/>
      <c r="O33" s="931"/>
      <c r="P33" s="931"/>
      <c r="Q33" s="931"/>
      <c r="R33" s="931"/>
      <c r="S33" s="931"/>
      <c r="T33" s="931"/>
      <c r="U33" s="931"/>
      <c r="V33" s="931"/>
      <c r="W33" s="931"/>
      <c r="X33" s="931"/>
      <c r="Y33" s="931"/>
    </row>
    <row r="34" spans="1:25" ht="71.25" customHeight="1" x14ac:dyDescent="0.2">
      <c r="A34" s="724">
        <v>1</v>
      </c>
      <c r="B34" s="982" t="s">
        <v>77</v>
      </c>
      <c r="C34" s="982"/>
      <c r="D34" s="982"/>
      <c r="E34" s="982"/>
      <c r="F34" s="725" t="s">
        <v>222</v>
      </c>
      <c r="G34" s="724" t="s">
        <v>520</v>
      </c>
      <c r="H34" s="79"/>
      <c r="I34" s="724">
        <v>1</v>
      </c>
      <c r="J34" s="934" t="s">
        <v>77</v>
      </c>
      <c r="K34" s="935"/>
      <c r="L34" s="935"/>
      <c r="M34" s="936"/>
      <c r="N34" s="725" t="s">
        <v>222</v>
      </c>
      <c r="O34" s="725" t="s">
        <v>521</v>
      </c>
      <c r="P34" s="79"/>
      <c r="Q34" s="724">
        <v>1</v>
      </c>
      <c r="R34" s="934" t="s">
        <v>77</v>
      </c>
      <c r="S34" s="935"/>
      <c r="T34" s="935"/>
      <c r="U34" s="936"/>
      <c r="V34" s="725" t="s">
        <v>222</v>
      </c>
      <c r="W34" s="725" t="s">
        <v>522</v>
      </c>
      <c r="X34" s="725" t="s">
        <v>222</v>
      </c>
      <c r="Y34" s="725" t="s">
        <v>542</v>
      </c>
    </row>
    <row r="35" spans="1:25" x14ac:dyDescent="0.2">
      <c r="A35" s="301" t="s">
        <v>1</v>
      </c>
      <c r="B35" s="680" t="s">
        <v>178</v>
      </c>
      <c r="C35" s="681"/>
      <c r="D35" s="681"/>
      <c r="E35" s="682"/>
      <c r="F35" s="302"/>
      <c r="G35" s="303">
        <f>$F$28*F13</f>
        <v>2192.65</v>
      </c>
      <c r="H35" s="79"/>
      <c r="I35" s="301" t="s">
        <v>1</v>
      </c>
      <c r="J35" s="680" t="s">
        <v>178</v>
      </c>
      <c r="K35" s="681"/>
      <c r="L35" s="681"/>
      <c r="M35" s="682"/>
      <c r="N35" s="302"/>
      <c r="O35" s="303">
        <f>$F$28*N13*1.03</f>
        <v>2258.4299999999998</v>
      </c>
      <c r="P35" s="79"/>
      <c r="Q35" s="301" t="s">
        <v>1</v>
      </c>
      <c r="R35" s="680" t="s">
        <v>178</v>
      </c>
      <c r="S35" s="681"/>
      <c r="T35" s="681"/>
      <c r="U35" s="682"/>
      <c r="V35" s="302"/>
      <c r="W35" s="303">
        <f>$F$28*N13*1.03</f>
        <v>2258.4299999999998</v>
      </c>
      <c r="X35" s="303"/>
      <c r="Y35" s="303">
        <f>$F$28*N13*1.03</f>
        <v>2258.4299999999998</v>
      </c>
    </row>
    <row r="36" spans="1:25" x14ac:dyDescent="0.2">
      <c r="A36" s="301" t="s">
        <v>2</v>
      </c>
      <c r="B36" s="680" t="str">
        <f>Dados!A36 &amp; " " &amp; "- Salário base x 30%"</f>
        <v>Adicional de Periculosidade  - Salário base x 30%</v>
      </c>
      <c r="C36" s="681"/>
      <c r="D36" s="681"/>
      <c r="E36" s="682"/>
      <c r="F36" s="302">
        <f>Dados!G36</f>
        <v>0.3</v>
      </c>
      <c r="G36" s="304">
        <f>G35*F36</f>
        <v>657.8</v>
      </c>
      <c r="H36" s="79"/>
      <c r="I36" s="301" t="s">
        <v>2</v>
      </c>
      <c r="J36" s="680" t="str">
        <f>Dados!A36 &amp; " " &amp; "- Salário base x 30%"</f>
        <v>Adicional de Periculosidade  - Salário base x 30%</v>
      </c>
      <c r="K36" s="681"/>
      <c r="L36" s="681"/>
      <c r="M36" s="682"/>
      <c r="N36" s="302">
        <f>Dados!G36</f>
        <v>0.3</v>
      </c>
      <c r="O36" s="304">
        <f>O35*N36</f>
        <v>677.53</v>
      </c>
      <c r="P36" s="79"/>
      <c r="Q36" s="301" t="s">
        <v>2</v>
      </c>
      <c r="R36" s="680" t="s">
        <v>493</v>
      </c>
      <c r="S36" s="681"/>
      <c r="T36" s="681"/>
      <c r="U36" s="682"/>
      <c r="V36" s="302">
        <v>0.3</v>
      </c>
      <c r="W36" s="304">
        <v>677.53</v>
      </c>
      <c r="X36" s="302">
        <v>0.3</v>
      </c>
      <c r="Y36" s="304">
        <v>677.53</v>
      </c>
    </row>
    <row r="37" spans="1:25" x14ac:dyDescent="0.2">
      <c r="A37" s="301" t="s">
        <v>4</v>
      </c>
      <c r="B37" s="680" t="s">
        <v>255</v>
      </c>
      <c r="C37" s="681"/>
      <c r="D37" s="681"/>
      <c r="E37" s="682"/>
      <c r="F37" s="302"/>
      <c r="G37" s="304"/>
      <c r="H37" s="79"/>
      <c r="I37" s="301" t="s">
        <v>4</v>
      </c>
      <c r="J37" s="680" t="s">
        <v>255</v>
      </c>
      <c r="K37" s="681"/>
      <c r="L37" s="681"/>
      <c r="M37" s="682"/>
      <c r="N37" s="302"/>
      <c r="O37" s="304"/>
      <c r="P37" s="79"/>
      <c r="Q37" s="301" t="s">
        <v>4</v>
      </c>
      <c r="R37" s="680" t="s">
        <v>255</v>
      </c>
      <c r="S37" s="681"/>
      <c r="T37" s="681"/>
      <c r="U37" s="682"/>
      <c r="V37" s="302"/>
      <c r="W37" s="304"/>
      <c r="X37" s="304"/>
      <c r="Y37" s="304"/>
    </row>
    <row r="38" spans="1:25" ht="15" x14ac:dyDescent="0.2">
      <c r="A38" s="301" t="s">
        <v>5</v>
      </c>
      <c r="B38" s="680" t="s">
        <v>437</v>
      </c>
      <c r="C38" s="681"/>
      <c r="D38" s="681"/>
      <c r="E38" s="682"/>
      <c r="F38" s="302">
        <f>Dados!G39</f>
        <v>0.2</v>
      </c>
      <c r="G38" s="304"/>
      <c r="H38" s="79"/>
      <c r="I38" s="301" t="s">
        <v>5</v>
      </c>
      <c r="J38" s="680" t="s">
        <v>437</v>
      </c>
      <c r="K38" s="681"/>
      <c r="L38" s="681"/>
      <c r="M38" s="682"/>
      <c r="N38" s="302">
        <f>Dados!O39</f>
        <v>0</v>
      </c>
      <c r="O38" s="304"/>
      <c r="P38" s="79"/>
      <c r="Q38" s="301" t="s">
        <v>5</v>
      </c>
      <c r="R38" s="680" t="s">
        <v>494</v>
      </c>
      <c r="S38" s="681"/>
      <c r="T38" s="681"/>
      <c r="U38" s="682"/>
      <c r="V38" s="302">
        <v>0</v>
      </c>
      <c r="W38" s="304"/>
      <c r="X38" s="304"/>
      <c r="Y38" s="304"/>
    </row>
    <row r="39" spans="1:25" x14ac:dyDescent="0.2">
      <c r="A39" s="301" t="s">
        <v>6</v>
      </c>
      <c r="B39" s="680" t="s">
        <v>206</v>
      </c>
      <c r="C39" s="681"/>
      <c r="D39" s="681"/>
      <c r="E39" s="682"/>
      <c r="F39" s="302"/>
      <c r="G39" s="304"/>
      <c r="H39" s="79"/>
      <c r="I39" s="301" t="s">
        <v>6</v>
      </c>
      <c r="J39" s="680" t="s">
        <v>206</v>
      </c>
      <c r="K39" s="681"/>
      <c r="L39" s="681"/>
      <c r="M39" s="682"/>
      <c r="N39" s="302"/>
      <c r="O39" s="304"/>
      <c r="P39" s="79"/>
      <c r="Q39" s="301" t="s">
        <v>6</v>
      </c>
      <c r="R39" s="680" t="s">
        <v>206</v>
      </c>
      <c r="S39" s="681"/>
      <c r="T39" s="681"/>
      <c r="U39" s="682"/>
      <c r="V39" s="302"/>
      <c r="W39" s="304"/>
      <c r="X39" s="304"/>
      <c r="Y39" s="304"/>
    </row>
    <row r="40" spans="1:25" x14ac:dyDescent="0.2">
      <c r="A40" s="301" t="s">
        <v>7</v>
      </c>
      <c r="B40" s="680" t="s">
        <v>51</v>
      </c>
      <c r="C40" s="681"/>
      <c r="D40" s="681"/>
      <c r="E40" s="682"/>
      <c r="F40" s="302"/>
      <c r="G40" s="304"/>
      <c r="H40" s="79"/>
      <c r="I40" s="301" t="s">
        <v>7</v>
      </c>
      <c r="J40" s="680" t="s">
        <v>51</v>
      </c>
      <c r="K40" s="681"/>
      <c r="L40" s="681"/>
      <c r="M40" s="682"/>
      <c r="N40" s="302"/>
      <c r="O40" s="304"/>
      <c r="P40" s="79"/>
      <c r="Q40" s="301" t="s">
        <v>7</v>
      </c>
      <c r="R40" s="680" t="s">
        <v>51</v>
      </c>
      <c r="S40" s="681"/>
      <c r="T40" s="681"/>
      <c r="U40" s="682"/>
      <c r="V40" s="302"/>
      <c r="W40" s="304"/>
      <c r="X40" s="304"/>
      <c r="Y40" s="304"/>
    </row>
    <row r="41" spans="1:25" ht="16.5" customHeight="1" x14ac:dyDescent="0.2">
      <c r="A41" s="933" t="s">
        <v>159</v>
      </c>
      <c r="B41" s="933"/>
      <c r="C41" s="933"/>
      <c r="D41" s="933"/>
      <c r="E41" s="933"/>
      <c r="F41" s="933"/>
      <c r="G41" s="726">
        <f>SUM(G35:G40)</f>
        <v>2850.45</v>
      </c>
      <c r="H41" s="79"/>
      <c r="I41" s="937" t="s">
        <v>159</v>
      </c>
      <c r="J41" s="938"/>
      <c r="K41" s="938"/>
      <c r="L41" s="938"/>
      <c r="M41" s="938"/>
      <c r="N41" s="939"/>
      <c r="O41" s="726">
        <f>SUM(O35:O40)</f>
        <v>2935.96</v>
      </c>
      <c r="P41" s="79"/>
      <c r="Q41" s="937" t="s">
        <v>159</v>
      </c>
      <c r="R41" s="938"/>
      <c r="S41" s="938"/>
      <c r="T41" s="938"/>
      <c r="U41" s="938"/>
      <c r="V41" s="939"/>
      <c r="W41" s="726">
        <f>SUM(W35:W40)</f>
        <v>2935.96</v>
      </c>
      <c r="X41" s="726" t="s">
        <v>159</v>
      </c>
      <c r="Y41" s="726">
        <f>SUM(Y35:Y40)</f>
        <v>2935.96</v>
      </c>
    </row>
    <row r="42" spans="1:25" s="34" customFormat="1" hidden="1" x14ac:dyDescent="0.2">
      <c r="A42" s="71" t="s">
        <v>207</v>
      </c>
      <c r="B42" s="71"/>
      <c r="C42" s="71"/>
      <c r="D42" s="71"/>
      <c r="E42" s="71"/>
      <c r="F42" s="196"/>
      <c r="G42" s="197"/>
      <c r="H42" s="79"/>
      <c r="I42" s="71" t="s">
        <v>207</v>
      </c>
      <c r="J42" s="71"/>
      <c r="K42" s="71"/>
      <c r="L42" s="71"/>
      <c r="M42" s="71"/>
      <c r="N42" s="196"/>
      <c r="O42" s="197"/>
      <c r="P42" s="79"/>
      <c r="Q42" s="71" t="s">
        <v>495</v>
      </c>
      <c r="R42" s="71"/>
      <c r="S42" s="71"/>
      <c r="T42" s="71"/>
      <c r="U42" s="71"/>
      <c r="V42" s="196"/>
      <c r="W42" s="197"/>
      <c r="X42" s="197"/>
    </row>
    <row r="43" spans="1:25" s="34" customFormat="1" ht="14.25" hidden="1" customHeight="1" x14ac:dyDescent="0.2">
      <c r="A43" s="924" t="s">
        <v>208</v>
      </c>
      <c r="B43" s="924"/>
      <c r="C43" s="924"/>
      <c r="D43" s="924"/>
      <c r="E43" s="924"/>
      <c r="F43" s="924"/>
      <c r="G43" s="924"/>
      <c r="H43" s="79"/>
      <c r="I43" s="924" t="s">
        <v>208</v>
      </c>
      <c r="J43" s="924"/>
      <c r="K43" s="924"/>
      <c r="L43" s="924"/>
      <c r="M43" s="924"/>
      <c r="N43" s="924"/>
      <c r="O43" s="924"/>
      <c r="P43" s="79"/>
      <c r="Q43" s="924" t="s">
        <v>496</v>
      </c>
      <c r="R43" s="924"/>
      <c r="S43" s="924"/>
      <c r="T43" s="924"/>
      <c r="U43" s="924"/>
      <c r="V43" s="924"/>
      <c r="W43" s="924"/>
      <c r="X43" s="678"/>
    </row>
    <row r="44" spans="1:25" s="34" customFormat="1" ht="14.25" hidden="1" customHeight="1" x14ac:dyDescent="0.2">
      <c r="A44" s="924"/>
      <c r="B44" s="924"/>
      <c r="C44" s="924"/>
      <c r="D44" s="924"/>
      <c r="E44" s="924"/>
      <c r="F44" s="924"/>
      <c r="G44" s="924"/>
      <c r="H44" s="79"/>
      <c r="I44" s="924"/>
      <c r="J44" s="924"/>
      <c r="K44" s="924"/>
      <c r="L44" s="924"/>
      <c r="M44" s="924"/>
      <c r="N44" s="924"/>
      <c r="O44" s="924"/>
      <c r="P44" s="79"/>
      <c r="Q44" s="924"/>
      <c r="R44" s="924"/>
      <c r="S44" s="924"/>
      <c r="T44" s="924"/>
      <c r="U44" s="924"/>
      <c r="V44" s="924"/>
      <c r="W44" s="924"/>
      <c r="X44" s="678"/>
    </row>
    <row r="45" spans="1:25" s="34" customFormat="1" hidden="1" x14ac:dyDescent="0.2">
      <c r="A45" s="71"/>
      <c r="B45" s="71"/>
      <c r="C45" s="71"/>
      <c r="D45" s="71"/>
      <c r="E45" s="71"/>
      <c r="F45" s="196"/>
      <c r="G45" s="197"/>
      <c r="H45" s="79"/>
      <c r="I45" s="71"/>
      <c r="J45" s="71"/>
      <c r="K45" s="71"/>
      <c r="L45" s="71"/>
      <c r="M45" s="71"/>
      <c r="N45" s="196"/>
      <c r="O45" s="197"/>
      <c r="P45" s="79"/>
      <c r="Q45" s="71"/>
      <c r="R45" s="71"/>
      <c r="S45" s="71"/>
      <c r="T45" s="71"/>
      <c r="U45" s="71"/>
      <c r="V45" s="196"/>
      <c r="W45" s="197"/>
      <c r="X45" s="197"/>
    </row>
    <row r="46" spans="1:25" s="34" customFormat="1" ht="14.25" customHeight="1" x14ac:dyDescent="0.2">
      <c r="A46" s="944" t="s">
        <v>209</v>
      </c>
      <c r="B46" s="944"/>
      <c r="C46" s="944"/>
      <c r="D46" s="944"/>
      <c r="E46" s="944"/>
      <c r="F46" s="944"/>
      <c r="G46" s="944"/>
      <c r="H46" s="944"/>
      <c r="I46" s="944"/>
      <c r="J46" s="944"/>
      <c r="K46" s="944"/>
      <c r="L46" s="944"/>
      <c r="M46" s="944"/>
      <c r="N46" s="944"/>
      <c r="O46" s="944"/>
      <c r="P46" s="944"/>
      <c r="Q46" s="944"/>
      <c r="R46" s="944"/>
      <c r="S46" s="944"/>
      <c r="T46" s="944"/>
      <c r="U46" s="944"/>
      <c r="V46" s="944"/>
      <c r="W46" s="944"/>
      <c r="X46" s="944"/>
      <c r="Y46" s="944"/>
    </row>
    <row r="47" spans="1:25" s="34" customFormat="1" x14ac:dyDescent="0.2">
      <c r="A47" s="931" t="s">
        <v>216</v>
      </c>
      <c r="B47" s="931"/>
      <c r="C47" s="931"/>
      <c r="D47" s="931"/>
      <c r="E47" s="931"/>
      <c r="F47" s="931"/>
      <c r="G47" s="931"/>
      <c r="H47" s="931"/>
      <c r="I47" s="931"/>
      <c r="J47" s="931"/>
      <c r="K47" s="931"/>
      <c r="L47" s="931"/>
      <c r="M47" s="931"/>
      <c r="N47" s="931"/>
      <c r="O47" s="931"/>
      <c r="P47" s="931"/>
      <c r="Q47" s="931"/>
      <c r="R47" s="931"/>
      <c r="S47" s="931"/>
      <c r="T47" s="931"/>
      <c r="U47" s="931"/>
      <c r="V47" s="931"/>
      <c r="W47" s="931"/>
      <c r="X47" s="931"/>
      <c r="Y47" s="931"/>
    </row>
    <row r="48" spans="1:25" s="34" customFormat="1" ht="14.25" customHeight="1" x14ac:dyDescent="0.2">
      <c r="A48" s="723" t="s">
        <v>211</v>
      </c>
      <c r="B48" s="944" t="s">
        <v>223</v>
      </c>
      <c r="C48" s="944"/>
      <c r="D48" s="944"/>
      <c r="E48" s="944"/>
      <c r="F48" s="723" t="s">
        <v>222</v>
      </c>
      <c r="G48" s="727" t="s">
        <v>107</v>
      </c>
      <c r="H48" s="606"/>
      <c r="I48" s="723" t="s">
        <v>211</v>
      </c>
      <c r="J48" s="944" t="s">
        <v>223</v>
      </c>
      <c r="K48" s="944"/>
      <c r="L48" s="944"/>
      <c r="M48" s="944"/>
      <c r="N48" s="723" t="s">
        <v>222</v>
      </c>
      <c r="O48" s="727" t="s">
        <v>107</v>
      </c>
      <c r="P48" s="606"/>
      <c r="Q48" s="723" t="s">
        <v>211</v>
      </c>
      <c r="R48" s="944" t="s">
        <v>223</v>
      </c>
      <c r="S48" s="944"/>
      <c r="T48" s="944"/>
      <c r="U48" s="944"/>
      <c r="V48" s="723" t="s">
        <v>222</v>
      </c>
      <c r="W48" s="727" t="s">
        <v>107</v>
      </c>
      <c r="X48" s="723" t="s">
        <v>222</v>
      </c>
      <c r="Y48" s="727" t="s">
        <v>107</v>
      </c>
    </row>
    <row r="49" spans="1:25" s="34" customFormat="1" x14ac:dyDescent="0.2">
      <c r="A49" s="692" t="s">
        <v>1</v>
      </c>
      <c r="B49" s="137" t="str">
        <f>Dados!B76</f>
        <v xml:space="preserve">13º (décimo terceiro) salário  </v>
      </c>
      <c r="C49" s="138"/>
      <c r="D49" s="611"/>
      <c r="E49" s="612"/>
      <c r="F49" s="613">
        <f>Dados!G76</f>
        <v>9.0899999999999995E-2</v>
      </c>
      <c r="G49" s="614">
        <f>F49*$G$41</f>
        <v>259.11</v>
      </c>
      <c r="H49" s="79"/>
      <c r="I49" s="692" t="s">
        <v>1</v>
      </c>
      <c r="J49" s="137" t="str">
        <f>Dados!B76</f>
        <v xml:space="preserve">13º (décimo terceiro) salário  </v>
      </c>
      <c r="K49" s="138"/>
      <c r="L49" s="611"/>
      <c r="M49" s="612"/>
      <c r="N49" s="613">
        <f>Dados!G76</f>
        <v>9.0899999999999995E-2</v>
      </c>
      <c r="O49" s="614">
        <f>N49*$O$41</f>
        <v>266.88</v>
      </c>
      <c r="P49" s="79"/>
      <c r="Q49" s="692" t="s">
        <v>1</v>
      </c>
      <c r="R49" s="137" t="s">
        <v>157</v>
      </c>
      <c r="S49" s="138"/>
      <c r="T49" s="611"/>
      <c r="U49" s="612"/>
      <c r="V49" s="613">
        <v>9.0899999999999995E-2</v>
      </c>
      <c r="W49" s="614">
        <f>N49*$O$41</f>
        <v>266.88</v>
      </c>
      <c r="X49" s="613">
        <v>9.0899999999999995E-2</v>
      </c>
      <c r="Y49" s="614">
        <f>N49*$O$41</f>
        <v>266.88</v>
      </c>
    </row>
    <row r="50" spans="1:25" s="34" customFormat="1" ht="14.25" customHeight="1" x14ac:dyDescent="0.2">
      <c r="A50" s="685" t="s">
        <v>2</v>
      </c>
      <c r="B50" s="981" t="str">
        <f>Dados!B77</f>
        <v>Férias e Adicional de Férias</v>
      </c>
      <c r="C50" s="981"/>
      <c r="D50" s="981"/>
      <c r="E50" s="981"/>
      <c r="F50" s="314">
        <f>Dados!G77</f>
        <v>0.1212</v>
      </c>
      <c r="G50" s="704">
        <f>F50*$G$41</f>
        <v>345.47</v>
      </c>
      <c r="H50" s="79"/>
      <c r="I50" s="685" t="s">
        <v>2</v>
      </c>
      <c r="J50" s="975" t="str">
        <f>Dados!B77</f>
        <v>Férias e Adicional de Férias</v>
      </c>
      <c r="K50" s="976"/>
      <c r="L50" s="976"/>
      <c r="M50" s="977"/>
      <c r="N50" s="314">
        <f>Dados!G77</f>
        <v>0.1212</v>
      </c>
      <c r="O50" s="704">
        <f>N50*$O$41</f>
        <v>355.84</v>
      </c>
      <c r="P50" s="79"/>
      <c r="Q50" s="685" t="s">
        <v>2</v>
      </c>
      <c r="R50" s="975" t="s">
        <v>224</v>
      </c>
      <c r="S50" s="976"/>
      <c r="T50" s="976"/>
      <c r="U50" s="977"/>
      <c r="V50" s="314">
        <v>0.1212</v>
      </c>
      <c r="W50" s="704">
        <f>N50*$O$41</f>
        <v>355.84</v>
      </c>
      <c r="X50" s="314">
        <v>0.1212</v>
      </c>
      <c r="Y50" s="704">
        <f>N50*$O$41</f>
        <v>355.84</v>
      </c>
    </row>
    <row r="51" spans="1:25" s="34" customFormat="1" ht="43.5" customHeight="1" x14ac:dyDescent="0.2">
      <c r="A51" s="933" t="s">
        <v>159</v>
      </c>
      <c r="B51" s="933"/>
      <c r="C51" s="933"/>
      <c r="D51" s="933"/>
      <c r="E51" s="933"/>
      <c r="F51" s="317">
        <f>SUM(F49:F50)</f>
        <v>0.21210000000000001</v>
      </c>
      <c r="G51" s="322">
        <f>SUM(G49:G50)</f>
        <v>604.58000000000004</v>
      </c>
      <c r="H51" s="79"/>
      <c r="I51" s="937" t="s">
        <v>159</v>
      </c>
      <c r="J51" s="938"/>
      <c r="K51" s="938"/>
      <c r="L51" s="938"/>
      <c r="M51" s="939"/>
      <c r="N51" s="317">
        <f>SUM(N49:N50)</f>
        <v>0.21210000000000001</v>
      </c>
      <c r="O51" s="322">
        <f>SUM(O49:O50)</f>
        <v>622.72</v>
      </c>
      <c r="P51" s="79"/>
      <c r="Q51" s="937" t="s">
        <v>159</v>
      </c>
      <c r="R51" s="938"/>
      <c r="S51" s="938"/>
      <c r="T51" s="938"/>
      <c r="U51" s="939"/>
      <c r="V51" s="317">
        <v>0.21210000000000001</v>
      </c>
      <c r="W51" s="322">
        <v>622.72</v>
      </c>
      <c r="X51" s="317">
        <v>0.21210000000000001</v>
      </c>
      <c r="Y51" s="322">
        <v>622.72</v>
      </c>
    </row>
    <row r="52" spans="1:25" s="34" customFormat="1" ht="14.25" hidden="1" customHeight="1" x14ac:dyDescent="0.2">
      <c r="A52" s="924" t="s">
        <v>215</v>
      </c>
      <c r="B52" s="924"/>
      <c r="C52" s="924"/>
      <c r="D52" s="924"/>
      <c r="E52" s="924"/>
      <c r="F52" s="924"/>
      <c r="G52" s="924"/>
      <c r="H52" s="79"/>
      <c r="I52" s="948"/>
      <c r="J52" s="948"/>
      <c r="K52" s="948"/>
      <c r="L52" s="948"/>
      <c r="M52" s="948"/>
      <c r="N52" s="948"/>
      <c r="O52" s="948"/>
      <c r="P52" s="79"/>
      <c r="Q52" s="948"/>
      <c r="R52" s="948"/>
      <c r="S52" s="948"/>
      <c r="T52" s="948"/>
      <c r="U52" s="948"/>
      <c r="V52" s="948"/>
      <c r="W52" s="948"/>
      <c r="X52" s="678"/>
    </row>
    <row r="53" spans="1:25" s="34" customFormat="1" ht="14.25" hidden="1" customHeight="1" x14ac:dyDescent="0.2">
      <c r="A53" s="924"/>
      <c r="B53" s="924"/>
      <c r="C53" s="924"/>
      <c r="D53" s="924"/>
      <c r="E53" s="924"/>
      <c r="F53" s="924"/>
      <c r="G53" s="924"/>
      <c r="H53" s="79"/>
      <c r="I53" s="924"/>
      <c r="J53" s="924"/>
      <c r="K53" s="924"/>
      <c r="L53" s="924"/>
      <c r="M53" s="924"/>
      <c r="N53" s="924"/>
      <c r="O53" s="924"/>
      <c r="P53" s="79"/>
      <c r="Q53" s="924"/>
      <c r="R53" s="924"/>
      <c r="S53" s="924"/>
      <c r="T53" s="924"/>
      <c r="U53" s="924"/>
      <c r="V53" s="924"/>
      <c r="W53" s="924"/>
      <c r="X53" s="678"/>
    </row>
    <row r="54" spans="1:25" s="34" customFormat="1" ht="14.25" hidden="1" customHeight="1" x14ac:dyDescent="0.2">
      <c r="A54" s="924" t="s">
        <v>477</v>
      </c>
      <c r="B54" s="924"/>
      <c r="C54" s="924"/>
      <c r="D54" s="924"/>
      <c r="E54" s="924"/>
      <c r="F54" s="924"/>
      <c r="G54" s="924"/>
      <c r="H54" s="79"/>
      <c r="I54" s="924"/>
      <c r="J54" s="924"/>
      <c r="K54" s="924"/>
      <c r="L54" s="924"/>
      <c r="M54" s="924"/>
      <c r="N54" s="924"/>
      <c r="O54" s="924"/>
      <c r="P54" s="79"/>
      <c r="Q54" s="924"/>
      <c r="R54" s="924"/>
      <c r="S54" s="924"/>
      <c r="T54" s="924"/>
      <c r="U54" s="924"/>
      <c r="V54" s="924"/>
      <c r="W54" s="924"/>
      <c r="X54" s="678"/>
    </row>
    <row r="55" spans="1:25" s="34" customFormat="1" ht="14.25" hidden="1" customHeight="1" x14ac:dyDescent="0.2">
      <c r="A55" s="924"/>
      <c r="B55" s="924"/>
      <c r="C55" s="924"/>
      <c r="D55" s="924"/>
      <c r="E55" s="924"/>
      <c r="F55" s="924"/>
      <c r="G55" s="924"/>
      <c r="H55" s="79"/>
      <c r="I55" s="924"/>
      <c r="J55" s="924"/>
      <c r="K55" s="924"/>
      <c r="L55" s="924"/>
      <c r="M55" s="924"/>
      <c r="N55" s="924"/>
      <c r="O55" s="924"/>
      <c r="P55" s="79"/>
      <c r="Q55" s="924"/>
      <c r="R55" s="924"/>
      <c r="S55" s="924"/>
      <c r="T55" s="924"/>
      <c r="U55" s="924"/>
      <c r="V55" s="924"/>
      <c r="W55" s="924"/>
      <c r="X55" s="678"/>
    </row>
    <row r="56" spans="1:25" s="34" customFormat="1" ht="14.25" hidden="1" customHeight="1" x14ac:dyDescent="0.2">
      <c r="A56" s="924" t="s">
        <v>419</v>
      </c>
      <c r="B56" s="924"/>
      <c r="C56" s="924"/>
      <c r="D56" s="924"/>
      <c r="E56" s="924"/>
      <c r="F56" s="924"/>
      <c r="G56" s="924"/>
      <c r="H56" s="79"/>
      <c r="I56" s="924"/>
      <c r="J56" s="924"/>
      <c r="K56" s="924"/>
      <c r="L56" s="924"/>
      <c r="M56" s="924"/>
      <c r="N56" s="924"/>
      <c r="O56" s="924"/>
      <c r="P56" s="79"/>
      <c r="Q56" s="924"/>
      <c r="R56" s="924"/>
      <c r="S56" s="924"/>
      <c r="T56" s="924"/>
      <c r="U56" s="924"/>
      <c r="V56" s="924"/>
      <c r="W56" s="924"/>
      <c r="X56" s="678"/>
    </row>
    <row r="57" spans="1:25" s="34" customFormat="1" ht="14.25" hidden="1" customHeight="1" x14ac:dyDescent="0.2">
      <c r="A57" s="924"/>
      <c r="B57" s="924"/>
      <c r="C57" s="924"/>
      <c r="D57" s="924"/>
      <c r="E57" s="924"/>
      <c r="F57" s="924"/>
      <c r="G57" s="924"/>
      <c r="H57" s="79"/>
      <c r="I57" s="924"/>
      <c r="J57" s="924"/>
      <c r="K57" s="924"/>
      <c r="L57" s="924"/>
      <c r="M57" s="924"/>
      <c r="N57" s="924"/>
      <c r="O57" s="924"/>
      <c r="P57" s="79"/>
      <c r="Q57" s="924"/>
      <c r="R57" s="924"/>
      <c r="S57" s="924"/>
      <c r="T57" s="924"/>
      <c r="U57" s="924"/>
      <c r="V57" s="924"/>
      <c r="W57" s="924"/>
      <c r="X57" s="678"/>
    </row>
    <row r="58" spans="1:25" s="34" customFormat="1" ht="14.25" hidden="1" customHeight="1" x14ac:dyDescent="0.2">
      <c r="A58" s="678"/>
      <c r="B58" s="678"/>
      <c r="C58" s="678"/>
      <c r="D58" s="678"/>
      <c r="E58" s="678"/>
      <c r="F58" s="678"/>
      <c r="G58" s="678"/>
      <c r="H58" s="79"/>
      <c r="I58" s="678"/>
      <c r="J58" s="678"/>
      <c r="K58" s="678"/>
      <c r="L58" s="678"/>
      <c r="M58" s="678"/>
      <c r="N58" s="678"/>
      <c r="O58" s="678"/>
      <c r="P58" s="79"/>
      <c r="Q58" s="678"/>
      <c r="R58" s="678"/>
      <c r="S58" s="678"/>
      <c r="T58" s="678"/>
      <c r="U58" s="678"/>
      <c r="V58" s="678"/>
      <c r="W58" s="678"/>
      <c r="X58" s="678"/>
    </row>
    <row r="59" spans="1:25" s="34" customFormat="1" ht="63.75" customHeight="1" x14ac:dyDescent="0.2">
      <c r="A59" s="944" t="s">
        <v>420</v>
      </c>
      <c r="B59" s="944"/>
      <c r="C59" s="944"/>
      <c r="D59" s="944"/>
      <c r="E59" s="944"/>
      <c r="F59" s="944"/>
      <c r="G59" s="727" t="s">
        <v>107</v>
      </c>
      <c r="H59" s="79"/>
      <c r="I59" s="940" t="s">
        <v>420</v>
      </c>
      <c r="J59" s="941"/>
      <c r="K59" s="941"/>
      <c r="L59" s="941"/>
      <c r="M59" s="941"/>
      <c r="N59" s="942"/>
      <c r="O59" s="727" t="s">
        <v>107</v>
      </c>
      <c r="P59" s="79"/>
      <c r="Q59" s="940" t="s">
        <v>420</v>
      </c>
      <c r="R59" s="941"/>
      <c r="S59" s="941"/>
      <c r="T59" s="941"/>
      <c r="U59" s="941"/>
      <c r="V59" s="942"/>
      <c r="W59" s="727" t="s">
        <v>107</v>
      </c>
      <c r="X59" s="723" t="s">
        <v>420</v>
      </c>
      <c r="Y59" s="727" t="s">
        <v>107</v>
      </c>
    </row>
    <row r="60" spans="1:25" s="34" customFormat="1" x14ac:dyDescent="0.2">
      <c r="A60" s="685">
        <v>1</v>
      </c>
      <c r="B60" s="319" t="str">
        <f>A33</f>
        <v>Módulo 1 - Composição da Remuneração</v>
      </c>
      <c r="C60" s="122"/>
      <c r="D60" s="321"/>
      <c r="E60" s="321"/>
      <c r="F60" s="710"/>
      <c r="G60" s="704">
        <f>G41</f>
        <v>2850.45</v>
      </c>
      <c r="H60" s="79"/>
      <c r="I60" s="685">
        <v>1</v>
      </c>
      <c r="J60" s="319">
        <f>I33</f>
        <v>0</v>
      </c>
      <c r="K60" s="122"/>
      <c r="L60" s="321"/>
      <c r="M60" s="321"/>
      <c r="N60" s="710"/>
      <c r="O60" s="704">
        <f>O41</f>
        <v>2935.96</v>
      </c>
      <c r="P60" s="79"/>
      <c r="Q60" s="685">
        <v>1</v>
      </c>
      <c r="R60" s="319" t="s">
        <v>25</v>
      </c>
      <c r="S60" s="122"/>
      <c r="T60" s="321"/>
      <c r="U60" s="321"/>
      <c r="V60" s="710"/>
      <c r="W60" s="704">
        <f>O41</f>
        <v>2935.96</v>
      </c>
      <c r="X60" s="704"/>
      <c r="Y60" s="704">
        <f>O41</f>
        <v>2935.96</v>
      </c>
    </row>
    <row r="61" spans="1:25" s="34" customFormat="1" x14ac:dyDescent="0.2">
      <c r="A61" s="685" t="s">
        <v>211</v>
      </c>
      <c r="B61" s="319" t="str">
        <f>A47</f>
        <v>Submódulo 2.1 - 13º (décimo terceiro) Salário, Férias e Adicional de Férias</v>
      </c>
      <c r="C61" s="122"/>
      <c r="D61" s="321"/>
      <c r="E61" s="321"/>
      <c r="F61" s="710"/>
      <c r="G61" s="704">
        <f>G51</f>
        <v>604.58000000000004</v>
      </c>
      <c r="H61" s="79"/>
      <c r="I61" s="685" t="s">
        <v>211</v>
      </c>
      <c r="J61" s="319">
        <f>I47</f>
        <v>0</v>
      </c>
      <c r="K61" s="122"/>
      <c r="L61" s="321"/>
      <c r="M61" s="321"/>
      <c r="N61" s="710"/>
      <c r="O61" s="704">
        <f>O51</f>
        <v>622.72</v>
      </c>
      <c r="P61" s="79"/>
      <c r="Q61" s="685" t="s">
        <v>211</v>
      </c>
      <c r="R61" s="319" t="s">
        <v>216</v>
      </c>
      <c r="S61" s="122"/>
      <c r="T61" s="321"/>
      <c r="U61" s="321"/>
      <c r="V61" s="710"/>
      <c r="W61" s="704">
        <f>O51</f>
        <v>622.72</v>
      </c>
      <c r="X61" s="704"/>
      <c r="Y61" s="704">
        <f>O51</f>
        <v>622.72</v>
      </c>
    </row>
    <row r="62" spans="1:25" s="34" customFormat="1" x14ac:dyDescent="0.2">
      <c r="A62" s="943" t="s">
        <v>241</v>
      </c>
      <c r="B62" s="943"/>
      <c r="C62" s="943"/>
      <c r="D62" s="943"/>
      <c r="E62" s="943"/>
      <c r="F62" s="943"/>
      <c r="G62" s="322">
        <f>SUM(G60:G61)</f>
        <v>3455.03</v>
      </c>
      <c r="H62" s="79"/>
      <c r="I62" s="945" t="s">
        <v>241</v>
      </c>
      <c r="J62" s="946"/>
      <c r="K62" s="946"/>
      <c r="L62" s="946"/>
      <c r="M62" s="946"/>
      <c r="N62" s="947"/>
      <c r="O62" s="322">
        <f>SUM(O60:O61)</f>
        <v>3558.68</v>
      </c>
      <c r="P62" s="79"/>
      <c r="Q62" s="945" t="s">
        <v>241</v>
      </c>
      <c r="R62" s="946"/>
      <c r="S62" s="946"/>
      <c r="T62" s="946"/>
      <c r="U62" s="946"/>
      <c r="V62" s="947"/>
      <c r="W62" s="322">
        <v>3558.68</v>
      </c>
      <c r="X62" s="322" t="s">
        <v>241</v>
      </c>
      <c r="Y62" s="322">
        <v>3558.68</v>
      </c>
    </row>
    <row r="63" spans="1:25" s="34" customFormat="1" hidden="1" x14ac:dyDescent="0.2">
      <c r="A63" s="678"/>
      <c r="B63" s="678"/>
      <c r="C63" s="678"/>
      <c r="D63" s="678"/>
      <c r="E63" s="678"/>
      <c r="F63" s="678"/>
      <c r="G63" s="678"/>
      <c r="H63" s="79"/>
      <c r="I63" s="678"/>
      <c r="J63" s="678"/>
      <c r="K63" s="678"/>
      <c r="L63" s="678"/>
      <c r="M63" s="678"/>
      <c r="N63" s="678"/>
      <c r="O63" s="678"/>
      <c r="P63" s="79"/>
      <c r="Q63" s="678"/>
      <c r="R63" s="678"/>
      <c r="S63" s="678"/>
      <c r="T63" s="678"/>
      <c r="U63" s="678"/>
      <c r="V63" s="678"/>
      <c r="W63" s="678"/>
      <c r="X63" s="678"/>
    </row>
    <row r="64" spans="1:25" x14ac:dyDescent="0.2">
      <c r="A64" s="931" t="s">
        <v>217</v>
      </c>
      <c r="B64" s="931"/>
      <c r="C64" s="931"/>
      <c r="D64" s="931"/>
      <c r="E64" s="931"/>
      <c r="F64" s="931"/>
      <c r="G64" s="931"/>
      <c r="H64" s="931"/>
      <c r="I64" s="931"/>
      <c r="J64" s="931"/>
      <c r="K64" s="931"/>
      <c r="L64" s="931"/>
      <c r="M64" s="931"/>
      <c r="N64" s="931"/>
      <c r="O64" s="931"/>
      <c r="P64" s="931"/>
      <c r="Q64" s="931"/>
      <c r="R64" s="931"/>
      <c r="S64" s="931"/>
      <c r="T64" s="931"/>
      <c r="U64" s="931"/>
      <c r="V64" s="931"/>
      <c r="W64" s="931"/>
      <c r="X64" s="931"/>
      <c r="Y64" s="931"/>
    </row>
    <row r="65" spans="1:25" ht="14.25" customHeight="1" x14ac:dyDescent="0.2">
      <c r="A65" s="725" t="s">
        <v>210</v>
      </c>
      <c r="B65" s="983" t="s">
        <v>221</v>
      </c>
      <c r="C65" s="983"/>
      <c r="D65" s="983"/>
      <c r="E65" s="983"/>
      <c r="F65" s="725" t="s">
        <v>222</v>
      </c>
      <c r="G65" s="724" t="s">
        <v>107</v>
      </c>
      <c r="H65" s="79"/>
      <c r="I65" s="725" t="s">
        <v>210</v>
      </c>
      <c r="J65" s="970" t="s">
        <v>221</v>
      </c>
      <c r="K65" s="967"/>
      <c r="L65" s="967"/>
      <c r="M65" s="971"/>
      <c r="N65" s="725" t="s">
        <v>222</v>
      </c>
      <c r="O65" s="724" t="s">
        <v>107</v>
      </c>
      <c r="P65" s="79"/>
      <c r="Q65" s="725" t="s">
        <v>210</v>
      </c>
      <c r="R65" s="970" t="s">
        <v>221</v>
      </c>
      <c r="S65" s="967"/>
      <c r="T65" s="967"/>
      <c r="U65" s="971"/>
      <c r="V65" s="725" t="s">
        <v>222</v>
      </c>
      <c r="W65" s="724" t="s">
        <v>107</v>
      </c>
      <c r="X65" s="725" t="s">
        <v>222</v>
      </c>
      <c r="Y65" s="724" t="s">
        <v>107</v>
      </c>
    </row>
    <row r="66" spans="1:25" x14ac:dyDescent="0.2">
      <c r="A66" s="685" t="s">
        <v>1</v>
      </c>
      <c r="B66" s="319" t="str">
        <f>Dados!B80</f>
        <v>INSS</v>
      </c>
      <c r="C66" s="122"/>
      <c r="D66" s="321"/>
      <c r="E66" s="310"/>
      <c r="F66" s="314">
        <f>Dados!G80</f>
        <v>0.2</v>
      </c>
      <c r="G66" s="704">
        <f>$G$62*F66</f>
        <v>691.01</v>
      </c>
      <c r="H66" s="79"/>
      <c r="I66" s="685" t="s">
        <v>1</v>
      </c>
      <c r="J66" s="319" t="str">
        <f>Dados!B80</f>
        <v>INSS</v>
      </c>
      <c r="K66" s="122"/>
      <c r="L66" s="321"/>
      <c r="M66" s="310"/>
      <c r="N66" s="314">
        <f>Dados!G80</f>
        <v>0.2</v>
      </c>
      <c r="O66" s="704">
        <f t="shared" ref="O66:O73" si="0">$O$62*N66</f>
        <v>711.74</v>
      </c>
      <c r="P66" s="79"/>
      <c r="Q66" s="685" t="s">
        <v>1</v>
      </c>
      <c r="R66" s="319" t="s">
        <v>12</v>
      </c>
      <c r="S66" s="122"/>
      <c r="T66" s="321"/>
      <c r="U66" s="310"/>
      <c r="V66" s="314">
        <v>0.2</v>
      </c>
      <c r="W66" s="704">
        <f t="shared" ref="W66:W73" si="1">$O$62*N66</f>
        <v>711.74</v>
      </c>
      <c r="X66" s="314">
        <v>0.2</v>
      </c>
      <c r="Y66" s="704">
        <f t="shared" ref="Y66:Y73" si="2">$O$62*N66</f>
        <v>711.74</v>
      </c>
    </row>
    <row r="67" spans="1:25" x14ac:dyDescent="0.2">
      <c r="A67" s="685" t="s">
        <v>2</v>
      </c>
      <c r="B67" s="319" t="str">
        <f>Dados!B81</f>
        <v>Salário Educação</v>
      </c>
      <c r="C67" s="122"/>
      <c r="D67" s="321"/>
      <c r="E67" s="310"/>
      <c r="F67" s="314">
        <f>Dados!G81</f>
        <v>2.5000000000000001E-2</v>
      </c>
      <c r="G67" s="704">
        <f t="shared" ref="G67:G73" si="3">$G$62*F67</f>
        <v>86.38</v>
      </c>
      <c r="H67" s="79"/>
      <c r="I67" s="685" t="s">
        <v>2</v>
      </c>
      <c r="J67" s="319" t="str">
        <f>Dados!B81</f>
        <v>Salário Educação</v>
      </c>
      <c r="K67" s="122"/>
      <c r="L67" s="321"/>
      <c r="M67" s="310"/>
      <c r="N67" s="314">
        <f>Dados!G81</f>
        <v>2.5000000000000001E-2</v>
      </c>
      <c r="O67" s="704">
        <f t="shared" si="0"/>
        <v>88.97</v>
      </c>
      <c r="P67" s="79"/>
      <c r="Q67" s="685" t="s">
        <v>2</v>
      </c>
      <c r="R67" s="319" t="s">
        <v>154</v>
      </c>
      <c r="S67" s="122"/>
      <c r="T67" s="321"/>
      <c r="U67" s="310"/>
      <c r="V67" s="314">
        <v>2.5000000000000001E-2</v>
      </c>
      <c r="W67" s="704">
        <f t="shared" si="1"/>
        <v>88.97</v>
      </c>
      <c r="X67" s="314">
        <v>2.5000000000000001E-2</v>
      </c>
      <c r="Y67" s="704">
        <f t="shared" si="2"/>
        <v>88.97</v>
      </c>
    </row>
    <row r="68" spans="1:25" x14ac:dyDescent="0.2">
      <c r="A68" s="685" t="s">
        <v>4</v>
      </c>
      <c r="B68" s="319" t="str">
        <f>Dados!B82</f>
        <v>Seguro Acidente do Trabalho - SAT = RAT x FAP</v>
      </c>
      <c r="C68" s="122"/>
      <c r="D68" s="321"/>
      <c r="E68" s="310"/>
      <c r="F68" s="314">
        <f>Dados!G82</f>
        <v>2.4899999999999999E-2</v>
      </c>
      <c r="G68" s="704">
        <f t="shared" si="3"/>
        <v>86.03</v>
      </c>
      <c r="H68" s="79"/>
      <c r="I68" s="685" t="s">
        <v>4</v>
      </c>
      <c r="J68" s="319" t="str">
        <f>Dados!B82</f>
        <v>Seguro Acidente do Trabalho - SAT = RAT x FAP</v>
      </c>
      <c r="K68" s="122"/>
      <c r="L68" s="321"/>
      <c r="M68" s="310"/>
      <c r="N68" s="314">
        <v>2.5700000000000001E-2</v>
      </c>
      <c r="O68" s="704">
        <f t="shared" si="0"/>
        <v>91.46</v>
      </c>
      <c r="P68" s="79"/>
      <c r="Q68" s="685" t="s">
        <v>4</v>
      </c>
      <c r="R68" s="319" t="s">
        <v>200</v>
      </c>
      <c r="S68" s="122"/>
      <c r="T68" s="321"/>
      <c r="U68" s="310"/>
      <c r="V68" s="314">
        <v>2.5700000000000001E-2</v>
      </c>
      <c r="W68" s="704">
        <f t="shared" si="1"/>
        <v>91.46</v>
      </c>
      <c r="X68" s="314">
        <v>2.5700000000000001E-2</v>
      </c>
      <c r="Y68" s="704">
        <f t="shared" si="2"/>
        <v>91.46</v>
      </c>
    </row>
    <row r="69" spans="1:25" x14ac:dyDescent="0.2">
      <c r="A69" s="685" t="s">
        <v>5</v>
      </c>
      <c r="B69" s="319" t="str">
        <f>Dados!B83</f>
        <v>SESI ou SESC</v>
      </c>
      <c r="C69" s="122"/>
      <c r="D69" s="321"/>
      <c r="E69" s="310"/>
      <c r="F69" s="314">
        <f>Dados!G83</f>
        <v>1.4999999999999999E-2</v>
      </c>
      <c r="G69" s="704">
        <f t="shared" si="3"/>
        <v>51.83</v>
      </c>
      <c r="H69" s="79"/>
      <c r="I69" s="685" t="s">
        <v>5</v>
      </c>
      <c r="J69" s="319" t="str">
        <f>Dados!B83</f>
        <v>SESI ou SESC</v>
      </c>
      <c r="K69" s="122"/>
      <c r="L69" s="321"/>
      <c r="M69" s="310"/>
      <c r="N69" s="314">
        <f>Dados!G83</f>
        <v>1.4999999999999999E-2</v>
      </c>
      <c r="O69" s="704">
        <f t="shared" si="0"/>
        <v>53.38</v>
      </c>
      <c r="P69" s="79"/>
      <c r="Q69" s="685" t="s">
        <v>5</v>
      </c>
      <c r="R69" s="319" t="s">
        <v>13</v>
      </c>
      <c r="S69" s="122"/>
      <c r="T69" s="321"/>
      <c r="U69" s="310"/>
      <c r="V69" s="314">
        <v>1.4999999999999999E-2</v>
      </c>
      <c r="W69" s="704">
        <f t="shared" si="1"/>
        <v>53.38</v>
      </c>
      <c r="X69" s="314">
        <v>1.4999999999999999E-2</v>
      </c>
      <c r="Y69" s="704">
        <f t="shared" si="2"/>
        <v>53.38</v>
      </c>
    </row>
    <row r="70" spans="1:25" x14ac:dyDescent="0.2">
      <c r="A70" s="685" t="s">
        <v>6</v>
      </c>
      <c r="B70" s="319" t="str">
        <f>Dados!B84</f>
        <v>SENAI ou SENAC</v>
      </c>
      <c r="C70" s="122"/>
      <c r="D70" s="321"/>
      <c r="E70" s="310"/>
      <c r="F70" s="314">
        <f>Dados!G84</f>
        <v>0.01</v>
      </c>
      <c r="G70" s="704">
        <f t="shared" si="3"/>
        <v>34.549999999999997</v>
      </c>
      <c r="H70" s="79"/>
      <c r="I70" s="685" t="s">
        <v>6</v>
      </c>
      <c r="J70" s="319" t="str">
        <f>Dados!B84</f>
        <v>SENAI ou SENAC</v>
      </c>
      <c r="K70" s="122"/>
      <c r="L70" s="321"/>
      <c r="M70" s="310"/>
      <c r="N70" s="314">
        <f>Dados!G84</f>
        <v>0.01</v>
      </c>
      <c r="O70" s="704">
        <f t="shared" si="0"/>
        <v>35.590000000000003</v>
      </c>
      <c r="P70" s="79"/>
      <c r="Q70" s="685" t="s">
        <v>6</v>
      </c>
      <c r="R70" s="319" t="s">
        <v>14</v>
      </c>
      <c r="S70" s="122"/>
      <c r="T70" s="321"/>
      <c r="U70" s="310"/>
      <c r="V70" s="314">
        <v>0.01</v>
      </c>
      <c r="W70" s="704">
        <f t="shared" si="1"/>
        <v>35.590000000000003</v>
      </c>
      <c r="X70" s="314">
        <v>0.01</v>
      </c>
      <c r="Y70" s="704">
        <f t="shared" si="2"/>
        <v>35.590000000000003</v>
      </c>
    </row>
    <row r="71" spans="1:25" x14ac:dyDescent="0.2">
      <c r="A71" s="685" t="s">
        <v>7</v>
      </c>
      <c r="B71" s="319" t="str">
        <f>Dados!B85</f>
        <v>SEBRAE</v>
      </c>
      <c r="C71" s="122"/>
      <c r="D71" s="321"/>
      <c r="E71" s="310"/>
      <c r="F71" s="314">
        <f>Dados!G85</f>
        <v>6.0000000000000001E-3</v>
      </c>
      <c r="G71" s="704">
        <f t="shared" si="3"/>
        <v>20.73</v>
      </c>
      <c r="H71" s="79"/>
      <c r="I71" s="685" t="s">
        <v>7</v>
      </c>
      <c r="J71" s="319" t="str">
        <f>Dados!B85</f>
        <v>SEBRAE</v>
      </c>
      <c r="K71" s="122"/>
      <c r="L71" s="321"/>
      <c r="M71" s="310"/>
      <c r="N71" s="314">
        <f>Dados!G85</f>
        <v>6.0000000000000001E-3</v>
      </c>
      <c r="O71" s="704">
        <f t="shared" si="0"/>
        <v>21.35</v>
      </c>
      <c r="P71" s="79"/>
      <c r="Q71" s="685" t="s">
        <v>7</v>
      </c>
      <c r="R71" s="319" t="s">
        <v>17</v>
      </c>
      <c r="S71" s="122"/>
      <c r="T71" s="321"/>
      <c r="U71" s="310"/>
      <c r="V71" s="314">
        <v>6.0000000000000001E-3</v>
      </c>
      <c r="W71" s="704">
        <f t="shared" si="1"/>
        <v>21.35</v>
      </c>
      <c r="X71" s="314">
        <v>6.0000000000000001E-3</v>
      </c>
      <c r="Y71" s="704">
        <f t="shared" si="2"/>
        <v>21.35</v>
      </c>
    </row>
    <row r="72" spans="1:25" x14ac:dyDescent="0.2">
      <c r="A72" s="685" t="s">
        <v>8</v>
      </c>
      <c r="B72" s="319" t="str">
        <f>Dados!B86</f>
        <v>INCRA</v>
      </c>
      <c r="C72" s="122"/>
      <c r="D72" s="321"/>
      <c r="E72" s="310"/>
      <c r="F72" s="314">
        <f>Dados!G86</f>
        <v>2E-3</v>
      </c>
      <c r="G72" s="704">
        <f t="shared" si="3"/>
        <v>6.91</v>
      </c>
      <c r="H72" s="79"/>
      <c r="I72" s="685" t="s">
        <v>8</v>
      </c>
      <c r="J72" s="319" t="str">
        <f>Dados!B86</f>
        <v>INCRA</v>
      </c>
      <c r="K72" s="122"/>
      <c r="L72" s="321"/>
      <c r="M72" s="310"/>
      <c r="N72" s="314">
        <f>Dados!G86</f>
        <v>2E-3</v>
      </c>
      <c r="O72" s="704">
        <f t="shared" si="0"/>
        <v>7.12</v>
      </c>
      <c r="P72" s="79"/>
      <c r="Q72" s="685" t="s">
        <v>8</v>
      </c>
      <c r="R72" s="319" t="s">
        <v>15</v>
      </c>
      <c r="S72" s="122"/>
      <c r="T72" s="321"/>
      <c r="U72" s="310"/>
      <c r="V72" s="314">
        <v>2E-3</v>
      </c>
      <c r="W72" s="704">
        <f t="shared" si="1"/>
        <v>7.12</v>
      </c>
      <c r="X72" s="314">
        <v>2E-3</v>
      </c>
      <c r="Y72" s="704">
        <f t="shared" si="2"/>
        <v>7.12</v>
      </c>
    </row>
    <row r="73" spans="1:25" x14ac:dyDescent="0.2">
      <c r="A73" s="699" t="s">
        <v>9</v>
      </c>
      <c r="B73" s="140" t="str">
        <f>Dados!B87</f>
        <v>FGTS</v>
      </c>
      <c r="C73" s="122"/>
      <c r="D73" s="321"/>
      <c r="E73" s="337"/>
      <c r="F73" s="333">
        <f>Dados!G87</f>
        <v>0.08</v>
      </c>
      <c r="G73" s="334">
        <f t="shared" si="3"/>
        <v>276.39999999999998</v>
      </c>
      <c r="H73" s="79"/>
      <c r="I73" s="699" t="s">
        <v>9</v>
      </c>
      <c r="J73" s="140" t="str">
        <f>Dados!B87</f>
        <v>FGTS</v>
      </c>
      <c r="K73" s="122"/>
      <c r="L73" s="321"/>
      <c r="M73" s="337"/>
      <c r="N73" s="333">
        <f>Dados!G87</f>
        <v>0.08</v>
      </c>
      <c r="O73" s="334">
        <f t="shared" si="0"/>
        <v>284.69</v>
      </c>
      <c r="P73" s="79"/>
      <c r="Q73" s="699" t="s">
        <v>9</v>
      </c>
      <c r="R73" s="140" t="s">
        <v>16</v>
      </c>
      <c r="S73" s="122"/>
      <c r="T73" s="321"/>
      <c r="U73" s="337"/>
      <c r="V73" s="333">
        <v>0.08</v>
      </c>
      <c r="W73" s="334">
        <f t="shared" si="1"/>
        <v>284.69</v>
      </c>
      <c r="X73" s="333">
        <v>0.08</v>
      </c>
      <c r="Y73" s="334">
        <f t="shared" si="2"/>
        <v>284.69</v>
      </c>
    </row>
    <row r="74" spans="1:25" ht="15.75" customHeight="1" x14ac:dyDescent="0.2">
      <c r="A74" s="933" t="s">
        <v>159</v>
      </c>
      <c r="B74" s="933"/>
      <c r="C74" s="933"/>
      <c r="D74" s="933"/>
      <c r="E74" s="933"/>
      <c r="F74" s="317">
        <f>SUM(F66:F73)</f>
        <v>0.3629</v>
      </c>
      <c r="G74" s="322">
        <f>SUM(G66:G73)</f>
        <v>1253.8399999999999</v>
      </c>
      <c r="H74" s="79"/>
      <c r="I74" s="937" t="s">
        <v>159</v>
      </c>
      <c r="J74" s="938"/>
      <c r="K74" s="938"/>
      <c r="L74" s="938"/>
      <c r="M74" s="939"/>
      <c r="N74" s="317">
        <f>SUM(N66:N73)</f>
        <v>0.36370000000000002</v>
      </c>
      <c r="O74" s="322">
        <f>SUM(O66:O73)</f>
        <v>1294.3</v>
      </c>
      <c r="P74" s="79"/>
      <c r="Q74" s="937" t="s">
        <v>159</v>
      </c>
      <c r="R74" s="938"/>
      <c r="S74" s="938"/>
      <c r="T74" s="938"/>
      <c r="U74" s="939"/>
      <c r="V74" s="317">
        <v>0.36370000000000002</v>
      </c>
      <c r="W74" s="322">
        <f>SUM(W66:W73)</f>
        <v>1294.3</v>
      </c>
      <c r="X74" s="317">
        <v>0.36370000000000002</v>
      </c>
      <c r="Y74" s="322">
        <f>SUM(Y66:Y73)</f>
        <v>1294.3</v>
      </c>
    </row>
    <row r="75" spans="1:25" ht="14.25" hidden="1" customHeight="1" x14ac:dyDescent="0.2">
      <c r="A75" s="924" t="s">
        <v>432</v>
      </c>
      <c r="B75" s="924"/>
      <c r="C75" s="924"/>
      <c r="D75" s="924"/>
      <c r="E75" s="924"/>
      <c r="F75" s="924"/>
      <c r="G75" s="924"/>
      <c r="H75" s="79"/>
      <c r="I75" s="948"/>
      <c r="J75" s="948"/>
      <c r="K75" s="948"/>
      <c r="L75" s="948"/>
      <c r="M75" s="948"/>
      <c r="N75" s="948"/>
      <c r="O75" s="948"/>
      <c r="P75" s="79"/>
      <c r="Q75" s="948"/>
      <c r="R75" s="948"/>
      <c r="S75" s="948"/>
      <c r="T75" s="948"/>
      <c r="U75" s="948"/>
      <c r="V75" s="948"/>
      <c r="W75" s="948"/>
      <c r="X75" s="678"/>
      <c r="Y75" s="34"/>
    </row>
    <row r="76" spans="1:25" ht="14.25" hidden="1" customHeight="1" x14ac:dyDescent="0.2">
      <c r="A76" s="924" t="s">
        <v>430</v>
      </c>
      <c r="B76" s="924"/>
      <c r="C76" s="924"/>
      <c r="D76" s="924"/>
      <c r="E76" s="924"/>
      <c r="F76" s="924"/>
      <c r="G76" s="924"/>
      <c r="H76" s="79"/>
      <c r="I76" s="924"/>
      <c r="J76" s="924"/>
      <c r="K76" s="924"/>
      <c r="L76" s="924"/>
      <c r="M76" s="924"/>
      <c r="N76" s="924"/>
      <c r="O76" s="924"/>
      <c r="P76" s="79"/>
      <c r="Q76" s="924"/>
      <c r="R76" s="924"/>
      <c r="S76" s="924"/>
      <c r="T76" s="924"/>
      <c r="U76" s="924"/>
      <c r="V76" s="924"/>
      <c r="W76" s="924"/>
      <c r="X76" s="678"/>
      <c r="Y76" s="34"/>
    </row>
    <row r="77" spans="1:25" ht="30.75" hidden="1" customHeight="1" x14ac:dyDescent="0.2">
      <c r="A77" s="924" t="s">
        <v>479</v>
      </c>
      <c r="B77" s="924"/>
      <c r="C77" s="924"/>
      <c r="D77" s="924"/>
      <c r="E77" s="924"/>
      <c r="F77" s="924"/>
      <c r="G77" s="924"/>
      <c r="H77" s="79"/>
      <c r="I77" s="924"/>
      <c r="J77" s="924"/>
      <c r="K77" s="924"/>
      <c r="L77" s="924"/>
      <c r="M77" s="924"/>
      <c r="N77" s="924"/>
      <c r="O77" s="924"/>
      <c r="P77" s="79"/>
      <c r="Q77" s="924"/>
      <c r="R77" s="924"/>
      <c r="S77" s="924"/>
      <c r="T77" s="924"/>
      <c r="U77" s="924"/>
      <c r="V77" s="924"/>
      <c r="W77" s="924"/>
      <c r="X77" s="678"/>
      <c r="Y77" s="34"/>
    </row>
    <row r="78" spans="1:25" hidden="1" x14ac:dyDescent="0.2">
      <c r="A78" s="195" t="s">
        <v>555</v>
      </c>
      <c r="B78" s="267"/>
      <c r="C78" s="267"/>
      <c r="D78" s="267"/>
      <c r="E78" s="267"/>
      <c r="F78" s="267"/>
      <c r="G78" s="267"/>
      <c r="H78" s="79"/>
      <c r="I78" s="195" t="s">
        <v>555</v>
      </c>
      <c r="J78" s="267"/>
      <c r="K78" s="267"/>
      <c r="L78" s="267"/>
      <c r="M78" s="267"/>
      <c r="N78" s="267"/>
      <c r="O78" s="267"/>
      <c r="P78" s="79"/>
      <c r="Q78" s="195" t="s">
        <v>497</v>
      </c>
      <c r="R78" s="267"/>
      <c r="S78" s="267"/>
      <c r="T78" s="267"/>
      <c r="U78" s="267"/>
      <c r="V78" s="267"/>
      <c r="W78" s="267"/>
      <c r="X78" s="267"/>
      <c r="Y78" s="34"/>
    </row>
    <row r="79" spans="1:25" hidden="1" x14ac:dyDescent="0.2">
      <c r="A79" s="71" t="s">
        <v>431</v>
      </c>
      <c r="B79" s="267"/>
      <c r="C79" s="267"/>
      <c r="D79" s="267"/>
      <c r="E79" s="267"/>
      <c r="F79" s="267"/>
      <c r="G79" s="267"/>
      <c r="H79" s="79"/>
      <c r="I79" s="71" t="s">
        <v>431</v>
      </c>
      <c r="J79" s="267"/>
      <c r="K79" s="267"/>
      <c r="L79" s="267"/>
      <c r="M79" s="267"/>
      <c r="N79" s="267"/>
      <c r="O79" s="267"/>
      <c r="P79" s="79"/>
      <c r="Q79" s="71" t="s">
        <v>498</v>
      </c>
      <c r="R79" s="267"/>
      <c r="S79" s="267"/>
      <c r="T79" s="267"/>
      <c r="U79" s="267"/>
      <c r="V79" s="267"/>
      <c r="W79" s="267"/>
      <c r="X79" s="267"/>
      <c r="Y79" s="34"/>
    </row>
    <row r="80" spans="1:25" hidden="1" x14ac:dyDescent="0.2">
      <c r="A80" s="195" t="s">
        <v>556</v>
      </c>
      <c r="B80" s="267"/>
      <c r="C80" s="267"/>
      <c r="D80" s="267"/>
      <c r="E80" s="267"/>
      <c r="F80" s="267"/>
      <c r="G80" s="267"/>
      <c r="H80" s="79"/>
      <c r="I80" s="195" t="s">
        <v>556</v>
      </c>
      <c r="J80" s="267"/>
      <c r="K80" s="267"/>
      <c r="L80" s="267"/>
      <c r="M80" s="267"/>
      <c r="N80" s="267"/>
      <c r="O80" s="267"/>
      <c r="P80" s="79"/>
      <c r="Q80" s="195" t="s">
        <v>499</v>
      </c>
      <c r="R80" s="267"/>
      <c r="S80" s="267"/>
      <c r="T80" s="267"/>
      <c r="U80" s="267"/>
      <c r="V80" s="267"/>
      <c r="W80" s="267"/>
      <c r="X80" s="267"/>
      <c r="Y80" s="34"/>
    </row>
    <row r="81" spans="1:25" ht="15" hidden="1" x14ac:dyDescent="0.2">
      <c r="A81" s="735"/>
      <c r="B81" s="267"/>
      <c r="C81" s="267"/>
      <c r="D81" s="267"/>
      <c r="E81" s="267"/>
      <c r="F81" s="267"/>
      <c r="G81" s="267"/>
      <c r="H81" s="79"/>
      <c r="I81" s="735"/>
      <c r="J81" s="267"/>
      <c r="K81" s="267"/>
      <c r="L81" s="267"/>
      <c r="M81" s="267"/>
      <c r="N81" s="267"/>
      <c r="O81" s="267"/>
      <c r="P81" s="79"/>
      <c r="Q81" s="735"/>
      <c r="R81" s="267"/>
      <c r="S81" s="267"/>
      <c r="T81" s="267"/>
      <c r="U81" s="267"/>
      <c r="V81" s="267"/>
      <c r="W81" s="267"/>
      <c r="X81" s="267"/>
      <c r="Y81" s="34"/>
    </row>
    <row r="82" spans="1:25" x14ac:dyDescent="0.2">
      <c r="A82" s="931" t="s">
        <v>218</v>
      </c>
      <c r="B82" s="931"/>
      <c r="C82" s="931"/>
      <c r="D82" s="931"/>
      <c r="E82" s="931"/>
      <c r="F82" s="931"/>
      <c r="G82" s="931"/>
      <c r="H82" s="931"/>
      <c r="I82" s="931"/>
      <c r="J82" s="931"/>
      <c r="K82" s="931"/>
      <c r="L82" s="931"/>
      <c r="M82" s="931"/>
      <c r="N82" s="931"/>
      <c r="O82" s="931"/>
      <c r="P82" s="931"/>
      <c r="Q82" s="931"/>
      <c r="R82" s="931"/>
      <c r="S82" s="931"/>
      <c r="T82" s="931"/>
      <c r="U82" s="931"/>
      <c r="V82" s="931"/>
      <c r="W82" s="931"/>
      <c r="X82" s="931"/>
      <c r="Y82" s="931"/>
    </row>
    <row r="83" spans="1:25" ht="14.25" customHeight="1" x14ac:dyDescent="0.2">
      <c r="A83" s="723" t="s">
        <v>219</v>
      </c>
      <c r="B83" s="944" t="s">
        <v>22</v>
      </c>
      <c r="C83" s="944"/>
      <c r="D83" s="944"/>
      <c r="E83" s="944"/>
      <c r="F83" s="723" t="s">
        <v>222</v>
      </c>
      <c r="G83" s="727" t="s">
        <v>107</v>
      </c>
      <c r="H83" s="606"/>
      <c r="I83" s="723" t="s">
        <v>219</v>
      </c>
      <c r="J83" s="944" t="s">
        <v>22</v>
      </c>
      <c r="K83" s="944"/>
      <c r="L83" s="944"/>
      <c r="M83" s="944"/>
      <c r="N83" s="723" t="s">
        <v>222</v>
      </c>
      <c r="O83" s="727" t="s">
        <v>107</v>
      </c>
      <c r="P83" s="606"/>
      <c r="Q83" s="723" t="s">
        <v>219</v>
      </c>
      <c r="R83" s="944" t="s">
        <v>22</v>
      </c>
      <c r="S83" s="944"/>
      <c r="T83" s="944"/>
      <c r="U83" s="944"/>
      <c r="V83" s="723" t="s">
        <v>222</v>
      </c>
      <c r="W83" s="727" t="s">
        <v>107</v>
      </c>
      <c r="X83" s="727" t="s">
        <v>222</v>
      </c>
      <c r="Y83" s="727" t="s">
        <v>107</v>
      </c>
    </row>
    <row r="84" spans="1:25" x14ac:dyDescent="0.2">
      <c r="A84" s="973" t="s">
        <v>1</v>
      </c>
      <c r="B84" s="602" t="s">
        <v>532</v>
      </c>
      <c r="C84" s="615"/>
      <c r="D84" s="616"/>
      <c r="E84" s="736">
        <f>INDEX(Dados!$J$27:$M$32,MATCH($C$23,Dados!$J$27:$J$32,0),4)</f>
        <v>15</v>
      </c>
      <c r="F84" s="620">
        <f>Dados!J45</f>
        <v>11</v>
      </c>
      <c r="G84" s="605">
        <f>$E$84*F84*$F$13</f>
        <v>165</v>
      </c>
      <c r="H84" s="79"/>
      <c r="I84" s="974" t="s">
        <v>1</v>
      </c>
      <c r="J84" s="602" t="e">
        <f>HLOOKUP($F$29,#REF!,4,FALSE)</f>
        <v>#REF!</v>
      </c>
      <c r="K84" s="615"/>
      <c r="L84" s="616"/>
      <c r="M84" s="736">
        <f>INDEX(Dados!$J$27:$M$32,MATCH($C$23,Dados!$J$27:$J$32,0),4)</f>
        <v>15</v>
      </c>
      <c r="N84" s="620">
        <f>Dados!R45</f>
        <v>0</v>
      </c>
      <c r="O84" s="605">
        <f>$E$84*F84*$F$13</f>
        <v>165</v>
      </c>
      <c r="P84" s="79"/>
      <c r="Q84" s="974" t="s">
        <v>1</v>
      </c>
      <c r="R84" s="602" t="s">
        <v>292</v>
      </c>
      <c r="S84" s="615"/>
      <c r="T84" s="616"/>
      <c r="U84" s="736">
        <v>15</v>
      </c>
      <c r="V84" s="620">
        <v>0</v>
      </c>
      <c r="W84" s="605">
        <f>$E$84*F84*$F$13</f>
        <v>165</v>
      </c>
      <c r="X84" s="605"/>
      <c r="Y84" s="605">
        <f>$E$84*F84*$F$13</f>
        <v>165</v>
      </c>
    </row>
    <row r="85" spans="1:25" x14ac:dyDescent="0.2">
      <c r="A85" s="957"/>
      <c r="B85" s="680" t="str">
        <f>Dados!A46</f>
        <v>Desconto Legal sobre o salário</v>
      </c>
      <c r="C85" s="681"/>
      <c r="D85" s="694"/>
      <c r="E85" s="695"/>
      <c r="F85" s="306">
        <f>Dados!J46</f>
        <v>0.06</v>
      </c>
      <c r="G85" s="703">
        <f>-MIN(G84,(F85*G35))</f>
        <v>-131.56</v>
      </c>
      <c r="H85" s="79"/>
      <c r="I85" s="973"/>
      <c r="J85" s="680" t="str">
        <f>Dados!A46</f>
        <v>Desconto Legal sobre o salário</v>
      </c>
      <c r="K85" s="681"/>
      <c r="L85" s="694"/>
      <c r="M85" s="695"/>
      <c r="N85" s="306">
        <f>Dados!J46</f>
        <v>0.06</v>
      </c>
      <c r="O85" s="703">
        <f>-MIN(G84,(F85*O35))</f>
        <v>-135.51</v>
      </c>
      <c r="P85" s="79"/>
      <c r="Q85" s="973"/>
      <c r="R85" s="680" t="s">
        <v>177</v>
      </c>
      <c r="S85" s="681"/>
      <c r="T85" s="694"/>
      <c r="U85" s="695"/>
      <c r="V85" s="306">
        <v>0.06</v>
      </c>
      <c r="W85" s="703">
        <f>-MIN(G84,(F85*O35))</f>
        <v>-135.51</v>
      </c>
      <c r="X85" s="306">
        <v>0.06</v>
      </c>
      <c r="Y85" s="703">
        <f>-MIN(G84,(F85*O35))</f>
        <v>-135.51</v>
      </c>
    </row>
    <row r="86" spans="1:25" x14ac:dyDescent="0.2">
      <c r="A86" s="957" t="s">
        <v>2</v>
      </c>
      <c r="B86" s="680" t="s">
        <v>533</v>
      </c>
      <c r="C86" s="681"/>
      <c r="D86" s="694"/>
      <c r="E86" s="689">
        <f>INDEX(Dados!$J$27:$M$32,MATCH($C$23,Dados!$J$27:$J$32,0),4)</f>
        <v>15</v>
      </c>
      <c r="F86" s="703">
        <f>Dados!J48</f>
        <v>37.5</v>
      </c>
      <c r="G86" s="701">
        <f>(E86*F86)*$F$13</f>
        <v>562.5</v>
      </c>
      <c r="H86" s="79"/>
      <c r="I86" s="972" t="s">
        <v>2</v>
      </c>
      <c r="J86" s="680" t="e">
        <f>HLOOKUP($F$29,#REF!,2,FALSE)</f>
        <v>#REF!</v>
      </c>
      <c r="K86" s="681"/>
      <c r="L86" s="694"/>
      <c r="M86" s="689">
        <f>INDEX(Dados!$J$27:$M$32,MATCH($C$23,Dados!$J$27:$J$32,0),4)</f>
        <v>15</v>
      </c>
      <c r="N86" s="703">
        <f>Dados!R48</f>
        <v>0</v>
      </c>
      <c r="O86" s="701">
        <v>589.35</v>
      </c>
      <c r="P86" s="79"/>
      <c r="Q86" s="972" t="s">
        <v>2</v>
      </c>
      <c r="R86" s="680" t="s">
        <v>290</v>
      </c>
      <c r="S86" s="681"/>
      <c r="T86" s="694"/>
      <c r="U86" s="689">
        <v>15</v>
      </c>
      <c r="V86" s="703">
        <v>0</v>
      </c>
      <c r="W86" s="701">
        <v>589.35</v>
      </c>
      <c r="X86" s="701"/>
      <c r="Y86" s="701">
        <v>589.35</v>
      </c>
    </row>
    <row r="87" spans="1:25" x14ac:dyDescent="0.2">
      <c r="A87" s="957"/>
      <c r="B87" s="680" t="s">
        <v>531</v>
      </c>
      <c r="C87" s="312"/>
      <c r="D87" s="313"/>
      <c r="E87" s="310"/>
      <c r="F87" s="703">
        <f>Dados!J49</f>
        <v>0.75</v>
      </c>
      <c r="G87" s="702">
        <f>-F87*E86</f>
        <v>-11.25</v>
      </c>
      <c r="H87" s="79"/>
      <c r="I87" s="973"/>
      <c r="J87" s="680" t="e">
        <f>HLOOKUP($F$29,#REF!,3,FALSE)</f>
        <v>#REF!</v>
      </c>
      <c r="K87" s="312"/>
      <c r="L87" s="313"/>
      <c r="M87" s="310"/>
      <c r="N87" s="703">
        <f>Dados!R49</f>
        <v>0</v>
      </c>
      <c r="O87" s="702">
        <v>-11.85</v>
      </c>
      <c r="P87" s="79"/>
      <c r="Q87" s="973"/>
      <c r="R87" s="680" t="s">
        <v>291</v>
      </c>
      <c r="S87" s="312"/>
      <c r="T87" s="313"/>
      <c r="U87" s="310"/>
      <c r="V87" s="703">
        <v>0</v>
      </c>
      <c r="W87" s="702">
        <v>-11.85</v>
      </c>
      <c r="X87" s="702"/>
      <c r="Y87" s="702">
        <v>-11.85</v>
      </c>
    </row>
    <row r="88" spans="1:25" x14ac:dyDescent="0.2">
      <c r="A88" s="685" t="s">
        <v>4</v>
      </c>
      <c r="B88" s="680" t="s">
        <v>534</v>
      </c>
      <c r="C88" s="312"/>
      <c r="D88" s="313"/>
      <c r="E88" s="310"/>
      <c r="F88" s="703">
        <f>Dados!J50</f>
        <v>140</v>
      </c>
      <c r="G88" s="702">
        <f t="shared" ref="G88:G91" si="4">F88*$F$13</f>
        <v>140</v>
      </c>
      <c r="H88" s="79"/>
      <c r="I88" s="685" t="s">
        <v>4</v>
      </c>
      <c r="J88" s="680" t="e">
        <f>HLOOKUP($F$29,#REF!,5,FALSE) &amp; " " &amp; "(Pago por ressarcimento)"</f>
        <v>#REF!</v>
      </c>
      <c r="K88" s="312"/>
      <c r="L88" s="313"/>
      <c r="M88" s="310"/>
      <c r="N88" s="703">
        <f>Dados!R50</f>
        <v>0</v>
      </c>
      <c r="O88" s="702">
        <f>F88*$F$13</f>
        <v>140</v>
      </c>
      <c r="P88" s="79"/>
      <c r="Q88" s="685" t="s">
        <v>4</v>
      </c>
      <c r="R88" s="680" t="s">
        <v>500</v>
      </c>
      <c r="S88" s="312"/>
      <c r="T88" s="313"/>
      <c r="U88" s="310"/>
      <c r="V88" s="703">
        <v>0</v>
      </c>
      <c r="W88" s="702">
        <f>F88*$F$13</f>
        <v>140</v>
      </c>
      <c r="X88" s="702"/>
      <c r="Y88" s="702">
        <f>G88*$F$13</f>
        <v>140</v>
      </c>
    </row>
    <row r="89" spans="1:25" x14ac:dyDescent="0.2">
      <c r="A89" s="685" t="s">
        <v>5</v>
      </c>
      <c r="B89" s="680" t="s">
        <v>535</v>
      </c>
      <c r="C89" s="312"/>
      <c r="D89" s="313"/>
      <c r="E89" s="310"/>
      <c r="F89" s="703">
        <f>Dados!J51</f>
        <v>14</v>
      </c>
      <c r="G89" s="702">
        <f t="shared" si="4"/>
        <v>14</v>
      </c>
      <c r="H89" s="79"/>
      <c r="I89" s="685" t="s">
        <v>5</v>
      </c>
      <c r="J89" s="680" t="e">
        <f>HLOOKUP($F$29,#REF!,6,FALSE)</f>
        <v>#REF!</v>
      </c>
      <c r="K89" s="312"/>
      <c r="L89" s="313"/>
      <c r="M89" s="310"/>
      <c r="N89" s="703">
        <f>Dados!R51</f>
        <v>0</v>
      </c>
      <c r="O89" s="702">
        <f>F89*$F$13</f>
        <v>14</v>
      </c>
      <c r="P89" s="79"/>
      <c r="Q89" s="685" t="s">
        <v>5</v>
      </c>
      <c r="R89" s="680" t="s">
        <v>295</v>
      </c>
      <c r="S89" s="312"/>
      <c r="T89" s="313"/>
      <c r="U89" s="310"/>
      <c r="V89" s="703">
        <v>0</v>
      </c>
      <c r="W89" s="702">
        <f>F89*$F$13</f>
        <v>14</v>
      </c>
      <c r="X89" s="702"/>
      <c r="Y89" s="702">
        <f>G89*$F$13</f>
        <v>14</v>
      </c>
    </row>
    <row r="90" spans="1:25" x14ac:dyDescent="0.2">
      <c r="A90" s="685" t="s">
        <v>6</v>
      </c>
      <c r="B90" s="680" t="s">
        <v>536</v>
      </c>
      <c r="C90" s="312"/>
      <c r="D90" s="313"/>
      <c r="E90" s="310"/>
      <c r="F90" s="703">
        <f>Dados!J52</f>
        <v>6.4</v>
      </c>
      <c r="G90" s="702">
        <f t="shared" si="4"/>
        <v>6.4</v>
      </c>
      <c r="H90" s="79"/>
      <c r="I90" s="685" t="s">
        <v>6</v>
      </c>
      <c r="J90" s="680" t="e">
        <f>HLOOKUP($F$29,#REF!,7,FALSE)</f>
        <v>#REF!</v>
      </c>
      <c r="K90" s="312"/>
      <c r="L90" s="313"/>
      <c r="M90" s="310"/>
      <c r="N90" s="703">
        <f>Dados!R52</f>
        <v>0</v>
      </c>
      <c r="O90" s="702">
        <v>6.6</v>
      </c>
      <c r="P90" s="79"/>
      <c r="Q90" s="685" t="s">
        <v>6</v>
      </c>
      <c r="R90" s="680" t="s">
        <v>294</v>
      </c>
      <c r="S90" s="312"/>
      <c r="T90" s="313"/>
      <c r="U90" s="310"/>
      <c r="V90" s="703">
        <v>0</v>
      </c>
      <c r="W90" s="702">
        <v>6.6</v>
      </c>
      <c r="X90" s="702"/>
      <c r="Y90" s="702">
        <v>6.6</v>
      </c>
    </row>
    <row r="91" spans="1:25" x14ac:dyDescent="0.2">
      <c r="A91" s="685" t="s">
        <v>7</v>
      </c>
      <c r="B91" s="680" t="s">
        <v>537</v>
      </c>
      <c r="C91" s="312"/>
      <c r="D91" s="313"/>
      <c r="E91" s="310"/>
      <c r="F91" s="703">
        <f>Dados!J53</f>
        <v>9</v>
      </c>
      <c r="G91" s="702">
        <f t="shared" si="4"/>
        <v>9</v>
      </c>
      <c r="H91" s="79"/>
      <c r="I91" s="685" t="s">
        <v>7</v>
      </c>
      <c r="J91" s="680" t="e">
        <f>HLOOKUP($F$29,#REF!,8,FALSE)</f>
        <v>#REF!</v>
      </c>
      <c r="K91" s="312"/>
      <c r="L91" s="313"/>
      <c r="M91" s="310"/>
      <c r="N91" s="703">
        <f>Dados!R53</f>
        <v>0</v>
      </c>
      <c r="O91" s="702">
        <f>F91*$F$13</f>
        <v>9</v>
      </c>
      <c r="P91" s="79"/>
      <c r="Q91" s="685" t="s">
        <v>7</v>
      </c>
      <c r="R91" s="680" t="s">
        <v>293</v>
      </c>
      <c r="S91" s="312"/>
      <c r="T91" s="313"/>
      <c r="U91" s="310"/>
      <c r="V91" s="703">
        <v>0</v>
      </c>
      <c r="W91" s="702">
        <f>F91*$F$13</f>
        <v>9</v>
      </c>
      <c r="X91" s="702"/>
      <c r="Y91" s="702">
        <f>G91*$F$13</f>
        <v>9</v>
      </c>
    </row>
    <row r="92" spans="1:25" ht="14.25" hidden="1" customHeight="1" x14ac:dyDescent="0.2">
      <c r="A92" s="685" t="s">
        <v>9</v>
      </c>
      <c r="B92" s="680" t="e">
        <f>HLOOKUP($F$29,#REF!,9,FALSE)</f>
        <v>#REF!</v>
      </c>
      <c r="C92" s="312"/>
      <c r="D92" s="313"/>
      <c r="E92" s="310"/>
      <c r="F92" s="703">
        <f>Dados!J54</f>
        <v>0</v>
      </c>
      <c r="G92" s="702">
        <f t="shared" ref="G92:G94" si="5">F92*$F$13</f>
        <v>0</v>
      </c>
      <c r="H92" s="79"/>
      <c r="I92" s="685" t="s">
        <v>9</v>
      </c>
      <c r="J92" s="680" t="e">
        <f>HLOOKUP($F$29,#REF!,9,FALSE)</f>
        <v>#REF!</v>
      </c>
      <c r="K92" s="312"/>
      <c r="L92" s="313"/>
      <c r="M92" s="310"/>
      <c r="N92" s="703">
        <f>Dados!R54</f>
        <v>0</v>
      </c>
      <c r="O92" s="702">
        <f t="shared" ref="O92:O94" si="6">N92*$F$13</f>
        <v>0</v>
      </c>
      <c r="P92" s="79"/>
      <c r="Q92" s="685" t="s">
        <v>9</v>
      </c>
      <c r="R92" s="680" t="s">
        <v>283</v>
      </c>
      <c r="S92" s="312"/>
      <c r="T92" s="313"/>
      <c r="U92" s="310"/>
      <c r="V92" s="703">
        <v>0</v>
      </c>
      <c r="W92" s="702">
        <v>0</v>
      </c>
      <c r="X92" s="702"/>
      <c r="Y92" s="702">
        <v>0</v>
      </c>
    </row>
    <row r="93" spans="1:25" ht="14.25" hidden="1" customHeight="1" x14ac:dyDescent="0.2">
      <c r="A93" s="685" t="s">
        <v>127</v>
      </c>
      <c r="B93" s="680" t="e">
        <f>HLOOKUP($F$29,#REF!,10,FALSE)</f>
        <v>#REF!</v>
      </c>
      <c r="C93" s="312"/>
      <c r="D93" s="313"/>
      <c r="E93" s="310"/>
      <c r="F93" s="703">
        <f>Dados!J55</f>
        <v>0</v>
      </c>
      <c r="G93" s="702">
        <f t="shared" si="5"/>
        <v>0</v>
      </c>
      <c r="H93" s="79"/>
      <c r="I93" s="685" t="s">
        <v>127</v>
      </c>
      <c r="J93" s="680" t="e">
        <f>HLOOKUP($F$29,#REF!,10,FALSE)</f>
        <v>#REF!</v>
      </c>
      <c r="K93" s="312"/>
      <c r="L93" s="313"/>
      <c r="M93" s="310"/>
      <c r="N93" s="703">
        <f>Dados!R55</f>
        <v>0</v>
      </c>
      <c r="O93" s="702">
        <f t="shared" si="6"/>
        <v>0</v>
      </c>
      <c r="P93" s="79"/>
      <c r="Q93" s="685" t="s">
        <v>127</v>
      </c>
      <c r="R93" s="680" t="s">
        <v>296</v>
      </c>
      <c r="S93" s="312"/>
      <c r="T93" s="313"/>
      <c r="U93" s="310"/>
      <c r="V93" s="703">
        <v>0</v>
      </c>
      <c r="W93" s="702">
        <v>0</v>
      </c>
      <c r="X93" s="702"/>
      <c r="Y93" s="702">
        <v>0</v>
      </c>
    </row>
    <row r="94" spans="1:25" ht="14.25" hidden="1" customHeight="1" x14ac:dyDescent="0.2">
      <c r="A94" s="685" t="s">
        <v>282</v>
      </c>
      <c r="B94" s="680" t="e">
        <f>HLOOKUP($F$29,#REF!,11,FALSE)</f>
        <v>#REF!</v>
      </c>
      <c r="C94" s="312"/>
      <c r="D94" s="313"/>
      <c r="E94" s="310"/>
      <c r="F94" s="703">
        <f>Dados!J56</f>
        <v>0</v>
      </c>
      <c r="G94" s="702">
        <f t="shared" si="5"/>
        <v>0</v>
      </c>
      <c r="H94" s="79"/>
      <c r="I94" s="685" t="s">
        <v>282</v>
      </c>
      <c r="J94" s="680" t="e">
        <f>HLOOKUP($F$29,#REF!,11,FALSE)</f>
        <v>#REF!</v>
      </c>
      <c r="K94" s="312"/>
      <c r="L94" s="313"/>
      <c r="M94" s="310"/>
      <c r="N94" s="703">
        <f>Dados!R56</f>
        <v>0</v>
      </c>
      <c r="O94" s="702">
        <f t="shared" si="6"/>
        <v>0</v>
      </c>
      <c r="P94" s="79"/>
      <c r="Q94" s="685" t="s">
        <v>282</v>
      </c>
      <c r="R94" s="680" t="s">
        <v>297</v>
      </c>
      <c r="S94" s="312"/>
      <c r="T94" s="313"/>
      <c r="U94" s="310"/>
      <c r="V94" s="703">
        <v>0</v>
      </c>
      <c r="W94" s="702">
        <v>0</v>
      </c>
      <c r="X94" s="702"/>
      <c r="Y94" s="702">
        <v>0</v>
      </c>
    </row>
    <row r="95" spans="1:25" x14ac:dyDescent="0.2">
      <c r="A95" s="685" t="s">
        <v>8</v>
      </c>
      <c r="B95" s="309" t="s">
        <v>51</v>
      </c>
      <c r="C95" s="312"/>
      <c r="D95" s="313"/>
      <c r="E95" s="310"/>
      <c r="F95" s="703"/>
      <c r="G95" s="704"/>
      <c r="H95" s="79"/>
      <c r="I95" s="685" t="s">
        <v>8</v>
      </c>
      <c r="J95" s="309" t="s">
        <v>51</v>
      </c>
      <c r="K95" s="312"/>
      <c r="L95" s="313"/>
      <c r="M95" s="310"/>
      <c r="N95" s="703"/>
      <c r="O95" s="704"/>
      <c r="P95" s="79"/>
      <c r="Q95" s="685" t="s">
        <v>8</v>
      </c>
      <c r="R95" s="309" t="s">
        <v>51</v>
      </c>
      <c r="S95" s="312"/>
      <c r="T95" s="313"/>
      <c r="U95" s="310"/>
      <c r="V95" s="703"/>
      <c r="W95" s="704"/>
      <c r="X95" s="704"/>
      <c r="Y95" s="704"/>
    </row>
    <row r="96" spans="1:25" ht="18" customHeight="1" x14ac:dyDescent="0.2">
      <c r="A96" s="943" t="s">
        <v>159</v>
      </c>
      <c r="B96" s="943"/>
      <c r="C96" s="943"/>
      <c r="D96" s="943"/>
      <c r="E96" s="943"/>
      <c r="F96" s="943"/>
      <c r="G96" s="308">
        <f>SUM(G84:G95)</f>
        <v>754.09</v>
      </c>
      <c r="H96" s="79"/>
      <c r="I96" s="945" t="s">
        <v>159</v>
      </c>
      <c r="J96" s="946"/>
      <c r="K96" s="946"/>
      <c r="L96" s="946"/>
      <c r="M96" s="946"/>
      <c r="N96" s="947"/>
      <c r="O96" s="308">
        <f>SUM(O84:O95)</f>
        <v>776.59</v>
      </c>
      <c r="P96" s="79"/>
      <c r="Q96" s="945" t="s">
        <v>159</v>
      </c>
      <c r="R96" s="946"/>
      <c r="S96" s="946"/>
      <c r="T96" s="946"/>
      <c r="U96" s="946"/>
      <c r="V96" s="947"/>
      <c r="W96" s="308">
        <f>SUM(W84:W95)</f>
        <v>776.59</v>
      </c>
      <c r="X96" s="308" t="s">
        <v>159</v>
      </c>
      <c r="Y96" s="308">
        <f>SUM(Y84:Y95)</f>
        <v>776.59</v>
      </c>
    </row>
    <row r="97" spans="1:25" s="34" customFormat="1" ht="15" hidden="1" customHeight="1" x14ac:dyDescent="0.2">
      <c r="A97" s="71" t="s">
        <v>220</v>
      </c>
      <c r="B97" s="68"/>
      <c r="C97" s="68"/>
      <c r="D97" s="68"/>
      <c r="E97" s="68"/>
      <c r="F97" s="77"/>
      <c r="G97" s="78"/>
      <c r="H97" s="79"/>
      <c r="I97" s="71" t="s">
        <v>220</v>
      </c>
      <c r="J97" s="68"/>
      <c r="K97" s="68"/>
      <c r="L97" s="68"/>
      <c r="M97" s="68"/>
      <c r="N97" s="77"/>
      <c r="O97" s="78"/>
      <c r="P97" s="79"/>
      <c r="Q97" s="71" t="s">
        <v>501</v>
      </c>
      <c r="R97" s="68"/>
      <c r="S97" s="68"/>
      <c r="T97" s="68"/>
      <c r="U97" s="68"/>
      <c r="V97" s="77"/>
      <c r="W97" s="78"/>
      <c r="X97" s="78"/>
    </row>
    <row r="98" spans="1:25" s="34" customFormat="1" ht="14.25" hidden="1" customHeight="1" x14ac:dyDescent="0.2">
      <c r="A98" s="924" t="s">
        <v>481</v>
      </c>
      <c r="B98" s="924"/>
      <c r="C98" s="924"/>
      <c r="D98" s="924"/>
      <c r="E98" s="924"/>
      <c r="F98" s="924"/>
      <c r="G98" s="924"/>
      <c r="H98" s="79"/>
      <c r="I98" s="924"/>
      <c r="J98" s="924"/>
      <c r="K98" s="924"/>
      <c r="L98" s="924"/>
      <c r="M98" s="924"/>
      <c r="N98" s="924"/>
      <c r="O98" s="924"/>
      <c r="P98" s="79"/>
      <c r="Q98" s="924"/>
      <c r="R98" s="924"/>
      <c r="S98" s="924"/>
      <c r="T98" s="924"/>
      <c r="U98" s="924"/>
      <c r="V98" s="924"/>
      <c r="W98" s="924"/>
      <c r="X98" s="678"/>
    </row>
    <row r="99" spans="1:25" s="34" customFormat="1" hidden="1" x14ac:dyDescent="0.2">
      <c r="A99" s="698"/>
      <c r="B99" s="68"/>
      <c r="C99" s="68"/>
      <c r="D99" s="68"/>
      <c r="E99" s="68"/>
      <c r="F99" s="77"/>
      <c r="G99" s="78"/>
      <c r="H99" s="79"/>
      <c r="I99" s="698"/>
      <c r="J99" s="68"/>
      <c r="K99" s="68"/>
      <c r="L99" s="68"/>
      <c r="M99" s="68"/>
      <c r="N99" s="77"/>
      <c r="O99" s="78"/>
      <c r="P99" s="79"/>
      <c r="Q99" s="698"/>
      <c r="R99" s="68"/>
      <c r="S99" s="68"/>
      <c r="T99" s="68"/>
      <c r="U99" s="68"/>
      <c r="V99" s="77"/>
      <c r="W99" s="78"/>
      <c r="X99" s="78"/>
    </row>
    <row r="100" spans="1:25" s="34" customFormat="1" x14ac:dyDescent="0.2">
      <c r="A100" s="978" t="s">
        <v>225</v>
      </c>
      <c r="B100" s="979"/>
      <c r="C100" s="979"/>
      <c r="D100" s="979"/>
      <c r="E100" s="979"/>
      <c r="F100" s="979"/>
      <c r="G100" s="979"/>
      <c r="H100" s="979"/>
      <c r="I100" s="979"/>
      <c r="J100" s="979"/>
      <c r="K100" s="979"/>
      <c r="L100" s="979"/>
      <c r="M100" s="979"/>
      <c r="N100" s="979"/>
      <c r="O100" s="979"/>
      <c r="P100" s="979"/>
      <c r="Q100" s="979"/>
      <c r="R100" s="979"/>
      <c r="S100" s="979"/>
      <c r="T100" s="979"/>
      <c r="U100" s="979"/>
      <c r="V100" s="979"/>
      <c r="W100" s="979"/>
      <c r="X100" s="979"/>
      <c r="Y100" s="980"/>
    </row>
    <row r="101" spans="1:25" s="34" customFormat="1" ht="57" x14ac:dyDescent="0.2">
      <c r="A101" s="724">
        <v>2</v>
      </c>
      <c r="B101" s="982" t="s">
        <v>226</v>
      </c>
      <c r="C101" s="982"/>
      <c r="D101" s="982"/>
      <c r="E101" s="982"/>
      <c r="F101" s="982"/>
      <c r="G101" s="724" t="s">
        <v>107</v>
      </c>
      <c r="H101" s="79"/>
      <c r="I101" s="724">
        <v>2</v>
      </c>
      <c r="J101" s="934" t="s">
        <v>226</v>
      </c>
      <c r="K101" s="935"/>
      <c r="L101" s="935"/>
      <c r="M101" s="935"/>
      <c r="N101" s="936"/>
      <c r="O101" s="724" t="s">
        <v>107</v>
      </c>
      <c r="P101" s="79"/>
      <c r="Q101" s="724">
        <v>2</v>
      </c>
      <c r="R101" s="970" t="s">
        <v>226</v>
      </c>
      <c r="S101" s="967"/>
      <c r="T101" s="967"/>
      <c r="U101" s="967"/>
      <c r="V101" s="971"/>
      <c r="W101" s="724" t="s">
        <v>107</v>
      </c>
      <c r="X101" s="725" t="s">
        <v>226</v>
      </c>
      <c r="Y101" s="724" t="s">
        <v>107</v>
      </c>
    </row>
    <row r="102" spans="1:25" s="34" customFormat="1" x14ac:dyDescent="0.2">
      <c r="A102" s="301" t="s">
        <v>211</v>
      </c>
      <c r="B102" s="680" t="str">
        <f>B48</f>
        <v>13º (décimo terceiro) Salário, Férias e Adicional de Férias</v>
      </c>
      <c r="C102" s="342"/>
      <c r="D102" s="342"/>
      <c r="E102" s="342"/>
      <c r="F102" s="709"/>
      <c r="G102" s="701">
        <f>G51</f>
        <v>604.58000000000004</v>
      </c>
      <c r="H102" s="79"/>
      <c r="I102" s="301" t="s">
        <v>211</v>
      </c>
      <c r="J102" s="680" t="str">
        <f>J48</f>
        <v>13º (décimo terceiro) Salário, Férias e Adicional de Férias</v>
      </c>
      <c r="K102" s="342"/>
      <c r="L102" s="342"/>
      <c r="M102" s="342"/>
      <c r="N102" s="709"/>
      <c r="O102" s="701">
        <f>O51</f>
        <v>622.72</v>
      </c>
      <c r="P102" s="79"/>
      <c r="Q102" s="301" t="s">
        <v>211</v>
      </c>
      <c r="R102" s="680" t="s">
        <v>223</v>
      </c>
      <c r="S102" s="342"/>
      <c r="T102" s="342"/>
      <c r="U102" s="342"/>
      <c r="V102" s="709"/>
      <c r="W102" s="701">
        <f>O51</f>
        <v>622.72</v>
      </c>
      <c r="X102" s="701"/>
      <c r="Y102" s="701">
        <f>O51</f>
        <v>622.72</v>
      </c>
    </row>
    <row r="103" spans="1:25" s="34" customFormat="1" x14ac:dyDescent="0.2">
      <c r="A103" s="301" t="s">
        <v>210</v>
      </c>
      <c r="B103" s="680" t="str">
        <f>B65</f>
        <v>GPS, FGTS e outras contribuições</v>
      </c>
      <c r="C103" s="342"/>
      <c r="D103" s="342"/>
      <c r="E103" s="342"/>
      <c r="F103" s="709"/>
      <c r="G103" s="701">
        <f>G74</f>
        <v>1253.8399999999999</v>
      </c>
      <c r="H103" s="79"/>
      <c r="I103" s="301" t="s">
        <v>210</v>
      </c>
      <c r="J103" s="680" t="str">
        <f>J65</f>
        <v>GPS, FGTS e outras contribuições</v>
      </c>
      <c r="K103" s="342"/>
      <c r="L103" s="342"/>
      <c r="M103" s="342"/>
      <c r="N103" s="709"/>
      <c r="O103" s="701">
        <f>O74</f>
        <v>1294.3</v>
      </c>
      <c r="P103" s="79"/>
      <c r="Q103" s="301" t="s">
        <v>210</v>
      </c>
      <c r="R103" s="680" t="s">
        <v>221</v>
      </c>
      <c r="S103" s="342"/>
      <c r="T103" s="342"/>
      <c r="U103" s="342"/>
      <c r="V103" s="709"/>
      <c r="W103" s="701">
        <f>O74</f>
        <v>1294.3</v>
      </c>
      <c r="X103" s="701"/>
      <c r="Y103" s="701">
        <f>O74</f>
        <v>1294.3</v>
      </c>
    </row>
    <row r="104" spans="1:25" s="34" customFormat="1" x14ac:dyDescent="0.2">
      <c r="A104" s="301" t="s">
        <v>219</v>
      </c>
      <c r="B104" s="680" t="str">
        <f>B83</f>
        <v>Benefícios Mensais e Diários</v>
      </c>
      <c r="C104" s="342"/>
      <c r="D104" s="342"/>
      <c r="E104" s="342"/>
      <c r="F104" s="709"/>
      <c r="G104" s="701">
        <f>G96</f>
        <v>754.09</v>
      </c>
      <c r="H104" s="79"/>
      <c r="I104" s="301" t="s">
        <v>219</v>
      </c>
      <c r="J104" s="680" t="str">
        <f>J83</f>
        <v>Benefícios Mensais e Diários</v>
      </c>
      <c r="K104" s="342"/>
      <c r="L104" s="342"/>
      <c r="M104" s="342"/>
      <c r="N104" s="709"/>
      <c r="O104" s="701">
        <f>O96</f>
        <v>776.59</v>
      </c>
      <c r="P104" s="79"/>
      <c r="Q104" s="301" t="s">
        <v>219</v>
      </c>
      <c r="R104" s="680" t="s">
        <v>22</v>
      </c>
      <c r="S104" s="342"/>
      <c r="T104" s="342"/>
      <c r="U104" s="342"/>
      <c r="V104" s="709"/>
      <c r="W104" s="701">
        <f>W96</f>
        <v>776.59</v>
      </c>
      <c r="X104" s="701"/>
      <c r="Y104" s="701">
        <f>Y96</f>
        <v>776.59</v>
      </c>
    </row>
    <row r="105" spans="1:25" s="34" customFormat="1" x14ac:dyDescent="0.2">
      <c r="A105" s="933" t="s">
        <v>159</v>
      </c>
      <c r="B105" s="933"/>
      <c r="C105" s="933"/>
      <c r="D105" s="933"/>
      <c r="E105" s="933"/>
      <c r="F105" s="933"/>
      <c r="G105" s="322">
        <f>SUM(G102:G104)</f>
        <v>2612.5100000000002</v>
      </c>
      <c r="H105" s="79"/>
      <c r="I105" s="937" t="s">
        <v>159</v>
      </c>
      <c r="J105" s="938"/>
      <c r="K105" s="938"/>
      <c r="L105" s="938"/>
      <c r="M105" s="938"/>
      <c r="N105" s="939"/>
      <c r="O105" s="322">
        <f>SUM(O102:O104)</f>
        <v>2693.61</v>
      </c>
      <c r="P105" s="79"/>
      <c r="Q105" s="937" t="s">
        <v>159</v>
      </c>
      <c r="R105" s="938"/>
      <c r="S105" s="938"/>
      <c r="T105" s="938"/>
      <c r="U105" s="938"/>
      <c r="V105" s="939"/>
      <c r="W105" s="322">
        <f>SUM(W102:W104)</f>
        <v>2693.61</v>
      </c>
      <c r="X105" s="322" t="s">
        <v>159</v>
      </c>
      <c r="Y105" s="322">
        <f>SUM(Y102:Y104)</f>
        <v>2693.61</v>
      </c>
    </row>
    <row r="106" spans="1:25" s="34" customFormat="1" hidden="1" x14ac:dyDescent="0.2">
      <c r="A106" s="71"/>
      <c r="B106" s="71"/>
      <c r="C106" s="71"/>
      <c r="D106" s="71"/>
      <c r="E106" s="71"/>
      <c r="F106" s="196"/>
      <c r="G106" s="197"/>
      <c r="H106" s="79"/>
      <c r="I106" s="71"/>
      <c r="J106" s="71"/>
      <c r="K106" s="71"/>
      <c r="L106" s="71"/>
      <c r="M106" s="71"/>
      <c r="N106" s="196"/>
      <c r="O106" s="197"/>
      <c r="P106" s="79"/>
      <c r="Q106" s="71"/>
      <c r="R106" s="71"/>
      <c r="S106" s="71"/>
      <c r="T106" s="71"/>
      <c r="U106" s="71"/>
      <c r="V106" s="196"/>
      <c r="W106" s="197"/>
      <c r="X106" s="197"/>
    </row>
    <row r="107" spans="1:25" s="34" customFormat="1" ht="15" customHeight="1" x14ac:dyDescent="0.2">
      <c r="A107" s="931" t="s">
        <v>227</v>
      </c>
      <c r="B107" s="931"/>
      <c r="C107" s="931"/>
      <c r="D107" s="931"/>
      <c r="E107" s="931"/>
      <c r="F107" s="931"/>
      <c r="G107" s="931"/>
      <c r="H107" s="931"/>
      <c r="I107" s="931"/>
      <c r="J107" s="931"/>
      <c r="K107" s="931"/>
      <c r="L107" s="931"/>
      <c r="M107" s="931"/>
      <c r="N107" s="931"/>
      <c r="O107" s="931"/>
      <c r="P107" s="931"/>
      <c r="Q107" s="931"/>
      <c r="R107" s="931"/>
      <c r="S107" s="931"/>
      <c r="T107" s="931"/>
      <c r="U107" s="931"/>
      <c r="V107" s="931"/>
      <c r="W107" s="931"/>
      <c r="X107" s="931"/>
      <c r="Y107" s="931"/>
    </row>
    <row r="108" spans="1:25" s="34" customFormat="1" x14ac:dyDescent="0.2">
      <c r="A108" s="723">
        <v>3</v>
      </c>
      <c r="B108" s="944" t="s">
        <v>84</v>
      </c>
      <c r="C108" s="944"/>
      <c r="D108" s="944"/>
      <c r="E108" s="944"/>
      <c r="F108" s="723" t="s">
        <v>222</v>
      </c>
      <c r="G108" s="727" t="s">
        <v>107</v>
      </c>
      <c r="H108" s="606"/>
      <c r="I108" s="723">
        <v>3</v>
      </c>
      <c r="J108" s="944" t="s">
        <v>84</v>
      </c>
      <c r="K108" s="944"/>
      <c r="L108" s="944"/>
      <c r="M108" s="944"/>
      <c r="N108" s="723" t="s">
        <v>222</v>
      </c>
      <c r="O108" s="727" t="s">
        <v>107</v>
      </c>
      <c r="P108" s="606"/>
      <c r="Q108" s="723">
        <v>3</v>
      </c>
      <c r="R108" s="944" t="s">
        <v>84</v>
      </c>
      <c r="S108" s="944"/>
      <c r="T108" s="944"/>
      <c r="U108" s="944"/>
      <c r="V108" s="723" t="s">
        <v>222</v>
      </c>
      <c r="W108" s="727" t="s">
        <v>107</v>
      </c>
      <c r="X108" s="723" t="s">
        <v>222</v>
      </c>
      <c r="Y108" s="727" t="s">
        <v>107</v>
      </c>
    </row>
    <row r="109" spans="1:25" s="34" customFormat="1" x14ac:dyDescent="0.2">
      <c r="A109" s="692" t="s">
        <v>1</v>
      </c>
      <c r="B109" s="137" t="str">
        <f>Dados!B90</f>
        <v>Aviso Prévio Indenizado </v>
      </c>
      <c r="C109" s="138"/>
      <c r="D109" s="611"/>
      <c r="E109" s="612"/>
      <c r="F109" s="613">
        <f>Dados!G90</f>
        <v>2.5000000000000001E-3</v>
      </c>
      <c r="G109" s="614">
        <f>F109*$G$62</f>
        <v>8.64</v>
      </c>
      <c r="H109" s="79"/>
      <c r="I109" s="692" t="s">
        <v>1</v>
      </c>
      <c r="J109" s="137" t="str">
        <f>Dados!B90</f>
        <v>Aviso Prévio Indenizado </v>
      </c>
      <c r="K109" s="138"/>
      <c r="L109" s="611"/>
      <c r="M109" s="612"/>
      <c r="N109" s="613">
        <f>Dados!G90</f>
        <v>2.5000000000000001E-3</v>
      </c>
      <c r="O109" s="614">
        <f>N109*$O$62</f>
        <v>8.9</v>
      </c>
      <c r="P109" s="79"/>
      <c r="Q109" s="692" t="s">
        <v>1</v>
      </c>
      <c r="R109" s="137" t="s">
        <v>50</v>
      </c>
      <c r="S109" s="138"/>
      <c r="T109" s="611"/>
      <c r="U109" s="612"/>
      <c r="V109" s="613">
        <v>2.5000000000000001E-3</v>
      </c>
      <c r="W109" s="614">
        <f>V109*$W$62</f>
        <v>8.9</v>
      </c>
      <c r="X109" s="613">
        <v>2.5000000000000001E-3</v>
      </c>
      <c r="Y109" s="614">
        <f>V109*$W$62</f>
        <v>8.9</v>
      </c>
    </row>
    <row r="110" spans="1:25" s="34" customFormat="1" x14ac:dyDescent="0.2">
      <c r="A110" s="685" t="s">
        <v>2</v>
      </c>
      <c r="B110" s="319" t="str">
        <f>Dados!B91</f>
        <v>Incidência do FGTS sobre aviso prévio indenizado</v>
      </c>
      <c r="C110" s="122"/>
      <c r="D110" s="321"/>
      <c r="E110" s="310"/>
      <c r="F110" s="314">
        <f>Dados!G91</f>
        <v>2.0000000000000001E-4</v>
      </c>
      <c r="G110" s="704">
        <f t="shared" ref="G110:G115" si="7">F110*$G$62</f>
        <v>0.69</v>
      </c>
      <c r="H110" s="79"/>
      <c r="I110" s="685" t="s">
        <v>2</v>
      </c>
      <c r="J110" s="319" t="str">
        <f>Dados!B91</f>
        <v>Incidência do FGTS sobre aviso prévio indenizado</v>
      </c>
      <c r="K110" s="122"/>
      <c r="L110" s="321"/>
      <c r="M110" s="310"/>
      <c r="N110" s="314">
        <f>Dados!G91</f>
        <v>2.0000000000000001E-4</v>
      </c>
      <c r="O110" s="704">
        <f>N110*$O$62</f>
        <v>0.71</v>
      </c>
      <c r="P110" s="79"/>
      <c r="Q110" s="685" t="s">
        <v>2</v>
      </c>
      <c r="R110" s="319" t="s">
        <v>110</v>
      </c>
      <c r="S110" s="122"/>
      <c r="T110" s="321"/>
      <c r="U110" s="310"/>
      <c r="V110" s="314">
        <v>2.0000000000000001E-4</v>
      </c>
      <c r="W110" s="704">
        <f>V110*$W$62</f>
        <v>0.71</v>
      </c>
      <c r="X110" s="314">
        <v>2.0000000000000001E-4</v>
      </c>
      <c r="Y110" s="704">
        <f>V110*$W$62</f>
        <v>0.71</v>
      </c>
    </row>
    <row r="111" spans="1:25" s="34" customFormat="1" x14ac:dyDescent="0.2">
      <c r="A111" s="685" t="s">
        <v>4</v>
      </c>
      <c r="B111" s="319" t="str">
        <f>Dados!B92</f>
        <v xml:space="preserve">Multa sobre FGTS sobre o aviso prévio indenizado </v>
      </c>
      <c r="C111" s="122"/>
      <c r="D111" s="321"/>
      <c r="E111" s="310"/>
      <c r="F111" s="360">
        <f>Dados!G92</f>
        <v>9.9999999999999995E-7</v>
      </c>
      <c r="G111" s="704">
        <f t="shared" si="7"/>
        <v>0</v>
      </c>
      <c r="H111" s="79"/>
      <c r="I111" s="685" t="s">
        <v>4</v>
      </c>
      <c r="J111" s="319" t="str">
        <f>Dados!B92</f>
        <v xml:space="preserve">Multa sobre FGTS sobre o aviso prévio indenizado </v>
      </c>
      <c r="K111" s="122"/>
      <c r="L111" s="321"/>
      <c r="M111" s="310"/>
      <c r="N111" s="360">
        <f>Dados!G92</f>
        <v>9.9999999999999995E-7</v>
      </c>
      <c r="O111" s="704">
        <f t="shared" ref="O111" si="8">N111*$G$62</f>
        <v>0</v>
      </c>
      <c r="P111" s="79"/>
      <c r="Q111" s="685" t="s">
        <v>4</v>
      </c>
      <c r="R111" s="319" t="s">
        <v>298</v>
      </c>
      <c r="S111" s="122"/>
      <c r="T111" s="321"/>
      <c r="U111" s="310"/>
      <c r="V111" s="360">
        <v>9.9999999999999995E-7</v>
      </c>
      <c r="W111" s="704">
        <v>0</v>
      </c>
      <c r="X111" s="360">
        <v>9.9999999999999995E-7</v>
      </c>
      <c r="Y111" s="704">
        <v>0</v>
      </c>
    </row>
    <row r="112" spans="1:25" s="34" customFormat="1" x14ac:dyDescent="0.2">
      <c r="A112" s="685" t="s">
        <v>5</v>
      </c>
      <c r="B112" s="319" t="str">
        <f>Dados!B93</f>
        <v>Aviso Prévio Trabalhado</v>
      </c>
      <c r="C112" s="122"/>
      <c r="D112" s="321"/>
      <c r="E112" s="310"/>
      <c r="F112" s="314">
        <f>Dados!G93</f>
        <v>1.9400000000000001E-2</v>
      </c>
      <c r="G112" s="704">
        <f t="shared" si="7"/>
        <v>67.03</v>
      </c>
      <c r="H112" s="79"/>
      <c r="I112" s="685" t="s">
        <v>5</v>
      </c>
      <c r="J112" s="319" t="str">
        <f>Dados!B93</f>
        <v>Aviso Prévio Trabalhado</v>
      </c>
      <c r="K112" s="122"/>
      <c r="L112" s="321"/>
      <c r="M112" s="310"/>
      <c r="N112" s="314">
        <f>Dados!G93</f>
        <v>1.9400000000000001E-2</v>
      </c>
      <c r="O112" s="704">
        <f>N112*$O$62</f>
        <v>69.040000000000006</v>
      </c>
      <c r="P112" s="79"/>
      <c r="Q112" s="685" t="s">
        <v>5</v>
      </c>
      <c r="R112" s="319" t="s">
        <v>158</v>
      </c>
      <c r="S112" s="122"/>
      <c r="T112" s="321"/>
      <c r="U112" s="310"/>
      <c r="V112" s="591">
        <v>1.9400000000000001E-3</v>
      </c>
      <c r="W112" s="704">
        <f>V112*$W$62</f>
        <v>6.9</v>
      </c>
      <c r="X112" s="591">
        <v>1.9400000000000001E-3</v>
      </c>
      <c r="Y112" s="704">
        <f>V112*$W$62</f>
        <v>6.9</v>
      </c>
    </row>
    <row r="113" spans="1:25" s="34" customFormat="1" x14ac:dyDescent="0.2">
      <c r="A113" s="685" t="s">
        <v>6</v>
      </c>
      <c r="B113" s="319" t="str">
        <f>Dados!B94</f>
        <v>Incidência de GPS, FGTS e outras contribuições sobre o aviso prévio trabalhado</v>
      </c>
      <c r="C113" s="122"/>
      <c r="D113" s="321"/>
      <c r="E113" s="310"/>
      <c r="F113" s="314">
        <f>Dados!G94</f>
        <v>7.0000000000000001E-3</v>
      </c>
      <c r="G113" s="704">
        <f t="shared" si="7"/>
        <v>24.19</v>
      </c>
      <c r="H113" s="79"/>
      <c r="I113" s="685" t="s">
        <v>6</v>
      </c>
      <c r="J113" s="319" t="str">
        <f>Dados!B94</f>
        <v>Incidência de GPS, FGTS e outras contribuições sobre o aviso prévio trabalhado</v>
      </c>
      <c r="K113" s="122"/>
      <c r="L113" s="321"/>
      <c r="M113" s="310"/>
      <c r="N113" s="372" t="s">
        <v>489</v>
      </c>
      <c r="O113" s="704">
        <f xml:space="preserve"> 25.27</f>
        <v>25.27</v>
      </c>
      <c r="P113" s="79"/>
      <c r="Q113" s="685" t="s">
        <v>6</v>
      </c>
      <c r="R113" s="319" t="s">
        <v>257</v>
      </c>
      <c r="S113" s="122"/>
      <c r="T113" s="321"/>
      <c r="U113" s="310"/>
      <c r="V113" s="372" t="s">
        <v>513</v>
      </c>
      <c r="W113" s="704">
        <f>V113*$W$62</f>
        <v>2.4900000000000002</v>
      </c>
      <c r="X113" s="372" t="s">
        <v>513</v>
      </c>
      <c r="Y113" s="704">
        <f>V113*$W$62</f>
        <v>2.4900000000000002</v>
      </c>
    </row>
    <row r="114" spans="1:25" s="34" customFormat="1" x14ac:dyDescent="0.2">
      <c r="A114" s="685" t="s">
        <v>7</v>
      </c>
      <c r="B114" s="319" t="str">
        <f>Dados!B95</f>
        <v xml:space="preserve">Multa sobre FGTS sobre o aviso prévio trabalhado </v>
      </c>
      <c r="C114" s="122"/>
      <c r="D114" s="321"/>
      <c r="E114" s="310"/>
      <c r="F114" s="314">
        <f>Dados!G95</f>
        <v>1E-4</v>
      </c>
      <c r="G114" s="704">
        <f t="shared" si="7"/>
        <v>0.35</v>
      </c>
      <c r="H114" s="79"/>
      <c r="I114" s="685" t="s">
        <v>7</v>
      </c>
      <c r="J114" s="319" t="str">
        <f>Dados!B95</f>
        <v xml:space="preserve">Multa sobre FGTS sobre o aviso prévio trabalhado </v>
      </c>
      <c r="K114" s="122"/>
      <c r="L114" s="321"/>
      <c r="M114" s="310"/>
      <c r="N114" s="314">
        <f>Dados!G95</f>
        <v>1E-4</v>
      </c>
      <c r="O114" s="704">
        <f>N114*$O$62</f>
        <v>0.36</v>
      </c>
      <c r="P114" s="79"/>
      <c r="Q114" s="685" t="s">
        <v>7</v>
      </c>
      <c r="R114" s="319" t="s">
        <v>299</v>
      </c>
      <c r="S114" s="122"/>
      <c r="T114" s="321"/>
      <c r="U114" s="310"/>
      <c r="V114" s="360">
        <v>7.9999999999999996E-6</v>
      </c>
      <c r="W114" s="704">
        <f>V114*$W$62</f>
        <v>0.03</v>
      </c>
      <c r="X114" s="360">
        <v>7.9999999999999996E-6</v>
      </c>
      <c r="Y114" s="704">
        <f>V114*$W$62</f>
        <v>0.03</v>
      </c>
    </row>
    <row r="115" spans="1:25" s="34" customFormat="1" x14ac:dyDescent="0.2">
      <c r="A115" s="685" t="s">
        <v>7</v>
      </c>
      <c r="B115" s="319" t="str">
        <f>Dados!B96</f>
        <v>Multa FGTS - rescisão sem justa causa</v>
      </c>
      <c r="C115" s="122"/>
      <c r="D115" s="321"/>
      <c r="E115" s="310"/>
      <c r="F115" s="314">
        <f>Dados!G96</f>
        <v>3.49E-2</v>
      </c>
      <c r="G115" s="704">
        <f t="shared" si="7"/>
        <v>120.58</v>
      </c>
      <c r="H115" s="79"/>
      <c r="I115" s="685" t="s">
        <v>7</v>
      </c>
      <c r="J115" s="319" t="str">
        <f>Dados!B96</f>
        <v>Multa FGTS - rescisão sem justa causa</v>
      </c>
      <c r="K115" s="122"/>
      <c r="L115" s="321"/>
      <c r="M115" s="310"/>
      <c r="N115" s="314">
        <f>Dados!G96</f>
        <v>3.49E-2</v>
      </c>
      <c r="O115" s="704">
        <f>N115*$O$62</f>
        <v>124.2</v>
      </c>
      <c r="P115" s="79"/>
      <c r="Q115" s="685" t="s">
        <v>7</v>
      </c>
      <c r="R115" s="319" t="s">
        <v>483</v>
      </c>
      <c r="S115" s="122"/>
      <c r="T115" s="321"/>
      <c r="U115" s="310"/>
      <c r="V115" s="314">
        <v>3.49E-2</v>
      </c>
      <c r="W115" s="704">
        <f>V115*$W$62</f>
        <v>124.2</v>
      </c>
      <c r="X115" s="314">
        <v>3.49E-2</v>
      </c>
      <c r="Y115" s="704">
        <f>V115*$W$62</f>
        <v>124.2</v>
      </c>
    </row>
    <row r="116" spans="1:25" s="34" customFormat="1" x14ac:dyDescent="0.2">
      <c r="A116" s="933" t="s">
        <v>159</v>
      </c>
      <c r="B116" s="933"/>
      <c r="C116" s="933"/>
      <c r="D116" s="933"/>
      <c r="E116" s="933"/>
      <c r="F116" s="317">
        <f>SUM(F109:F115)</f>
        <v>6.4100000000000004E-2</v>
      </c>
      <c r="G116" s="322">
        <f>SUM(G109:G115)</f>
        <v>221.48</v>
      </c>
      <c r="H116" s="79"/>
      <c r="I116" s="937" t="s">
        <v>159</v>
      </c>
      <c r="J116" s="938"/>
      <c r="K116" s="938"/>
      <c r="L116" s="938"/>
      <c r="M116" s="939"/>
      <c r="N116" s="317">
        <f>SUM(N109:N115)</f>
        <v>5.7099999999999998E-2</v>
      </c>
      <c r="O116" s="322">
        <f>SUM(O109:O115)</f>
        <v>228.48</v>
      </c>
      <c r="P116" s="79"/>
      <c r="Q116" s="937" t="s">
        <v>159</v>
      </c>
      <c r="R116" s="938"/>
      <c r="S116" s="938"/>
      <c r="T116" s="938"/>
      <c r="U116" s="939"/>
      <c r="V116" s="317">
        <v>4.02E-2</v>
      </c>
      <c r="W116" s="322">
        <f>SUM(W109:W115)</f>
        <v>143.22999999999999</v>
      </c>
      <c r="X116" s="317">
        <v>4.02E-2</v>
      </c>
      <c r="Y116" s="322">
        <f>SUM(Y109:Y115)</f>
        <v>143.22999999999999</v>
      </c>
    </row>
    <row r="117" spans="1:25" s="34" customFormat="1" ht="14.25" hidden="1" customHeight="1" x14ac:dyDescent="0.2">
      <c r="A117" s="71" t="s">
        <v>422</v>
      </c>
      <c r="B117" s="71"/>
      <c r="C117" s="71"/>
      <c r="D117" s="71"/>
      <c r="E117" s="341"/>
      <c r="F117" s="335"/>
      <c r="G117" s="336"/>
      <c r="H117" s="79"/>
      <c r="I117" s="71" t="s">
        <v>422</v>
      </c>
      <c r="J117" s="71"/>
      <c r="K117" s="71"/>
      <c r="L117" s="71"/>
      <c r="M117" s="341"/>
      <c r="N117" s="335"/>
      <c r="O117" s="336"/>
      <c r="P117" s="79"/>
      <c r="Q117" s="71" t="s">
        <v>502</v>
      </c>
      <c r="R117" s="71"/>
      <c r="S117" s="71"/>
      <c r="T117" s="71"/>
      <c r="U117" s="341"/>
      <c r="V117" s="335"/>
      <c r="W117" s="336"/>
      <c r="X117" s="336"/>
    </row>
    <row r="118" spans="1:25" s="34" customFormat="1" ht="14.25" hidden="1" customHeight="1" x14ac:dyDescent="0.2">
      <c r="A118" s="71" t="s">
        <v>423</v>
      </c>
      <c r="B118" s="71"/>
      <c r="C118" s="71"/>
      <c r="D118" s="71"/>
      <c r="E118" s="341"/>
      <c r="F118" s="335"/>
      <c r="G118" s="336"/>
      <c r="H118" s="79"/>
      <c r="I118" s="71" t="s">
        <v>423</v>
      </c>
      <c r="J118" s="71"/>
      <c r="K118" s="71"/>
      <c r="L118" s="71"/>
      <c r="M118" s="341"/>
      <c r="N118" s="335"/>
      <c r="O118" s="336"/>
      <c r="P118" s="79"/>
      <c r="Q118" s="71" t="s">
        <v>503</v>
      </c>
      <c r="R118" s="71"/>
      <c r="S118" s="71"/>
      <c r="T118" s="71"/>
      <c r="U118" s="341"/>
      <c r="V118" s="335"/>
      <c r="W118" s="336"/>
      <c r="X118" s="336"/>
    </row>
    <row r="119" spans="1:25" s="34" customFormat="1" hidden="1" x14ac:dyDescent="0.2">
      <c r="A119" s="195" t="s">
        <v>556</v>
      </c>
      <c r="B119" s="341"/>
      <c r="C119" s="341"/>
      <c r="D119" s="341"/>
      <c r="E119" s="341"/>
      <c r="F119" s="335"/>
      <c r="G119" s="336"/>
      <c r="H119" s="79"/>
      <c r="I119" s="195" t="s">
        <v>556</v>
      </c>
      <c r="J119" s="341"/>
      <c r="K119" s="341"/>
      <c r="L119" s="341"/>
      <c r="M119" s="341"/>
      <c r="N119" s="335"/>
      <c r="O119" s="336"/>
      <c r="P119" s="79"/>
      <c r="Q119" s="195" t="s">
        <v>499</v>
      </c>
      <c r="R119" s="341"/>
      <c r="S119" s="341"/>
      <c r="T119" s="341"/>
      <c r="U119" s="341"/>
      <c r="V119" s="335"/>
      <c r="W119" s="336"/>
      <c r="X119" s="336"/>
    </row>
    <row r="120" spans="1:25" s="34" customFormat="1" hidden="1" x14ac:dyDescent="0.2">
      <c r="A120" s="712"/>
      <c r="B120" s="712"/>
      <c r="C120" s="712"/>
      <c r="D120" s="712"/>
      <c r="E120" s="712"/>
      <c r="F120" s="77"/>
      <c r="G120" s="81"/>
      <c r="H120" s="79"/>
      <c r="I120" s="712"/>
      <c r="J120" s="712"/>
      <c r="K120" s="712"/>
      <c r="L120" s="712"/>
      <c r="M120" s="712"/>
      <c r="N120" s="77"/>
      <c r="O120" s="81"/>
      <c r="P120" s="79"/>
      <c r="Q120" s="712"/>
      <c r="R120" s="712"/>
      <c r="S120" s="712"/>
      <c r="T120" s="712"/>
      <c r="U120" s="712"/>
      <c r="V120" s="77"/>
      <c r="W120" s="81"/>
      <c r="X120" s="81"/>
    </row>
    <row r="121" spans="1:25" s="34" customFormat="1" ht="14.25" customHeight="1" x14ac:dyDescent="0.2">
      <c r="A121" s="931" t="s">
        <v>228</v>
      </c>
      <c r="B121" s="931"/>
      <c r="C121" s="931"/>
      <c r="D121" s="931"/>
      <c r="E121" s="931"/>
      <c r="F121" s="931"/>
      <c r="G121" s="931"/>
      <c r="H121" s="931"/>
      <c r="I121" s="931"/>
      <c r="J121" s="931"/>
      <c r="K121" s="931"/>
      <c r="L121" s="931"/>
      <c r="M121" s="931"/>
      <c r="N121" s="931"/>
      <c r="O121" s="931"/>
      <c r="P121" s="931"/>
      <c r="Q121" s="931"/>
      <c r="R121" s="931"/>
      <c r="S121" s="931"/>
      <c r="T121" s="931"/>
      <c r="U121" s="931"/>
      <c r="V121" s="931"/>
      <c r="W121" s="931"/>
      <c r="X121" s="931"/>
      <c r="Y121" s="931"/>
    </row>
    <row r="122" spans="1:25" s="34" customFormat="1" ht="14.25" hidden="1" customHeight="1" x14ac:dyDescent="0.2">
      <c r="A122" s="981" t="s">
        <v>258</v>
      </c>
      <c r="B122" s="981"/>
      <c r="C122" s="981"/>
      <c r="D122" s="981"/>
      <c r="E122" s="981"/>
      <c r="F122" s="981"/>
      <c r="G122" s="981"/>
      <c r="H122" s="606"/>
      <c r="I122" s="981"/>
      <c r="J122" s="981"/>
      <c r="K122" s="981"/>
      <c r="L122" s="981"/>
      <c r="M122" s="981"/>
      <c r="N122" s="981"/>
      <c r="O122" s="981"/>
      <c r="P122" s="606"/>
      <c r="Q122" s="981"/>
      <c r="R122" s="981"/>
      <c r="S122" s="981"/>
      <c r="T122" s="981"/>
      <c r="U122" s="981"/>
      <c r="V122" s="981"/>
      <c r="W122" s="981"/>
      <c r="X122" s="691"/>
      <c r="Y122" s="607"/>
    </row>
    <row r="123" spans="1:25" s="34" customFormat="1" hidden="1" x14ac:dyDescent="0.2">
      <c r="A123" s="981"/>
      <c r="B123" s="981"/>
      <c r="C123" s="981"/>
      <c r="D123" s="981"/>
      <c r="E123" s="981"/>
      <c r="F123" s="981"/>
      <c r="G123" s="981"/>
      <c r="H123" s="606"/>
      <c r="I123" s="981"/>
      <c r="J123" s="981"/>
      <c r="K123" s="981"/>
      <c r="L123" s="981"/>
      <c r="M123" s="981"/>
      <c r="N123" s="981"/>
      <c r="O123" s="981"/>
      <c r="P123" s="606"/>
      <c r="Q123" s="981"/>
      <c r="R123" s="981"/>
      <c r="S123" s="981"/>
      <c r="T123" s="981"/>
      <c r="U123" s="981"/>
      <c r="V123" s="981"/>
      <c r="W123" s="981"/>
      <c r="X123" s="691"/>
      <c r="Y123" s="607"/>
    </row>
    <row r="124" spans="1:25" s="34" customFormat="1" x14ac:dyDescent="0.2">
      <c r="A124" s="931" t="s">
        <v>259</v>
      </c>
      <c r="B124" s="931"/>
      <c r="C124" s="931"/>
      <c r="D124" s="931"/>
      <c r="E124" s="931"/>
      <c r="F124" s="931"/>
      <c r="G124" s="931"/>
      <c r="H124" s="931"/>
      <c r="I124" s="931"/>
      <c r="J124" s="931"/>
      <c r="K124" s="931"/>
      <c r="L124" s="931"/>
      <c r="M124" s="931"/>
      <c r="N124" s="931"/>
      <c r="O124" s="931"/>
      <c r="P124" s="931"/>
      <c r="Q124" s="931"/>
      <c r="R124" s="931"/>
      <c r="S124" s="931"/>
      <c r="T124" s="931"/>
      <c r="U124" s="931"/>
      <c r="V124" s="931"/>
      <c r="W124" s="931"/>
      <c r="X124" s="931"/>
      <c r="Y124" s="931"/>
    </row>
    <row r="125" spans="1:25" s="34" customFormat="1" ht="15.75" customHeight="1" x14ac:dyDescent="0.2">
      <c r="A125" s="723" t="s">
        <v>42</v>
      </c>
      <c r="B125" s="944" t="s">
        <v>269</v>
      </c>
      <c r="C125" s="944"/>
      <c r="D125" s="944"/>
      <c r="E125" s="944"/>
      <c r="F125" s="723" t="s">
        <v>254</v>
      </c>
      <c r="G125" s="727" t="s">
        <v>107</v>
      </c>
      <c r="H125" s="723"/>
      <c r="I125" s="723" t="s">
        <v>42</v>
      </c>
      <c r="J125" s="944" t="s">
        <v>269</v>
      </c>
      <c r="K125" s="944"/>
      <c r="L125" s="944"/>
      <c r="M125" s="944"/>
      <c r="N125" s="723" t="s">
        <v>254</v>
      </c>
      <c r="O125" s="727" t="s">
        <v>107</v>
      </c>
      <c r="P125" s="606"/>
      <c r="Q125" s="723" t="s">
        <v>42</v>
      </c>
      <c r="R125" s="944" t="s">
        <v>269</v>
      </c>
      <c r="S125" s="944"/>
      <c r="T125" s="944"/>
      <c r="U125" s="944"/>
      <c r="V125" s="723" t="s">
        <v>254</v>
      </c>
      <c r="W125" s="727" t="s">
        <v>107</v>
      </c>
      <c r="X125" s="723" t="s">
        <v>254</v>
      </c>
      <c r="Y125" s="727" t="s">
        <v>107</v>
      </c>
    </row>
    <row r="126" spans="1:25" s="34" customFormat="1" x14ac:dyDescent="0.2">
      <c r="A126" s="692" t="s">
        <v>1</v>
      </c>
      <c r="B126" s="137" t="str">
        <f>Dados!B99</f>
        <v>Substituto na cobertura de Férias</v>
      </c>
      <c r="C126" s="138"/>
      <c r="D126" s="611"/>
      <c r="E126" s="617"/>
      <c r="F126" s="613">
        <f>Dados!G99</f>
        <v>6.8999999999999999E-3</v>
      </c>
      <c r="G126" s="614">
        <f>$G$62*F126</f>
        <v>23.84</v>
      </c>
      <c r="H126" s="737"/>
      <c r="I126" s="692" t="s">
        <v>1</v>
      </c>
      <c r="J126" s="137" t="str">
        <f>Dados!B99</f>
        <v>Substituto na cobertura de Férias</v>
      </c>
      <c r="K126" s="138"/>
      <c r="L126" s="611"/>
      <c r="M126" s="617"/>
      <c r="N126" s="613">
        <f>Dados!G99</f>
        <v>6.8999999999999999E-3</v>
      </c>
      <c r="O126" s="614">
        <f>$O$62*N126</f>
        <v>24.55</v>
      </c>
      <c r="P126" s="79"/>
      <c r="Q126" s="692" t="s">
        <v>1</v>
      </c>
      <c r="R126" s="137" t="s">
        <v>260</v>
      </c>
      <c r="S126" s="138"/>
      <c r="T126" s="611"/>
      <c r="U126" s="617"/>
      <c r="V126" s="613">
        <v>6.8999999999999999E-3</v>
      </c>
      <c r="W126" s="614">
        <f>$O$62*N126</f>
        <v>24.55</v>
      </c>
      <c r="X126" s="613">
        <v>6.8999999999999999E-3</v>
      </c>
      <c r="Y126" s="614">
        <f>$O$62*N126</f>
        <v>24.55</v>
      </c>
    </row>
    <row r="127" spans="1:25" s="34" customFormat="1" x14ac:dyDescent="0.2">
      <c r="A127" s="685" t="s">
        <v>2</v>
      </c>
      <c r="B127" s="319" t="str">
        <f>Dados!B100</f>
        <v>Substituto na cobertura de Ausências Legais</v>
      </c>
      <c r="C127" s="122"/>
      <c r="D127" s="321"/>
      <c r="E127" s="320"/>
      <c r="F127" s="314">
        <f>Dados!G100</f>
        <v>1E-4</v>
      </c>
      <c r="G127" s="704">
        <f t="shared" ref="G127:G131" si="9">$G$62*F127</f>
        <v>0.35</v>
      </c>
      <c r="H127" s="738"/>
      <c r="I127" s="685" t="s">
        <v>2</v>
      </c>
      <c r="J127" s="319" t="str">
        <f>Dados!B100</f>
        <v>Substituto na cobertura de Ausências Legais</v>
      </c>
      <c r="K127" s="122"/>
      <c r="L127" s="321"/>
      <c r="M127" s="320"/>
      <c r="N127" s="314">
        <f>Dados!G100</f>
        <v>1E-4</v>
      </c>
      <c r="O127" s="704">
        <f>$O$62*N127</f>
        <v>0.36</v>
      </c>
      <c r="P127" s="79"/>
      <c r="Q127" s="685" t="s">
        <v>2</v>
      </c>
      <c r="R127" s="319" t="s">
        <v>262</v>
      </c>
      <c r="S127" s="122"/>
      <c r="T127" s="321"/>
      <c r="U127" s="320"/>
      <c r="V127" s="314">
        <v>1E-4</v>
      </c>
      <c r="W127" s="704">
        <f>$O$62*N127</f>
        <v>0.36</v>
      </c>
      <c r="X127" s="314">
        <v>1E-4</v>
      </c>
      <c r="Y127" s="704">
        <f>$O$62*N127</f>
        <v>0.36</v>
      </c>
    </row>
    <row r="128" spans="1:25" s="34" customFormat="1" x14ac:dyDescent="0.2">
      <c r="A128" s="685" t="s">
        <v>4</v>
      </c>
      <c r="B128" s="319" t="str">
        <f>Dados!B101</f>
        <v>Substituto na cobertura de Licença-Paternidade</v>
      </c>
      <c r="C128" s="122"/>
      <c r="D128" s="321"/>
      <c r="E128" s="320"/>
      <c r="F128" s="314">
        <f>Dados!G101</f>
        <v>1E-4</v>
      </c>
      <c r="G128" s="704">
        <f t="shared" si="9"/>
        <v>0.35</v>
      </c>
      <c r="H128" s="737"/>
      <c r="I128" s="685" t="s">
        <v>4</v>
      </c>
      <c r="J128" s="319" t="str">
        <f>Dados!B101</f>
        <v>Substituto na cobertura de Licença-Paternidade</v>
      </c>
      <c r="K128" s="122"/>
      <c r="L128" s="321"/>
      <c r="M128" s="320"/>
      <c r="N128" s="314">
        <f>Dados!G101</f>
        <v>1E-4</v>
      </c>
      <c r="O128" s="704">
        <f>$O$62*N128</f>
        <v>0.36</v>
      </c>
      <c r="P128" s="79"/>
      <c r="Q128" s="685" t="s">
        <v>4</v>
      </c>
      <c r="R128" s="319" t="s">
        <v>263</v>
      </c>
      <c r="S128" s="122"/>
      <c r="T128" s="321"/>
      <c r="U128" s="320"/>
      <c r="V128" s="314">
        <v>1E-4</v>
      </c>
      <c r="W128" s="704">
        <f>$O$62*N128</f>
        <v>0.36</v>
      </c>
      <c r="X128" s="314">
        <v>1E-4</v>
      </c>
      <c r="Y128" s="704">
        <f>$O$62*N128</f>
        <v>0.36</v>
      </c>
    </row>
    <row r="129" spans="1:25" s="34" customFormat="1" x14ac:dyDescent="0.2">
      <c r="A129" s="685" t="s">
        <v>5</v>
      </c>
      <c r="B129" s="319" t="str">
        <f>Dados!B102</f>
        <v>Substituto na cobertura de Ausência por acidente de trabalho</v>
      </c>
      <c r="C129" s="122"/>
      <c r="D129" s="321"/>
      <c r="E129" s="320"/>
      <c r="F129" s="314">
        <f>Dados!G102</f>
        <v>1E-4</v>
      </c>
      <c r="G129" s="704">
        <f t="shared" si="9"/>
        <v>0.35</v>
      </c>
      <c r="H129" s="737"/>
      <c r="I129" s="685" t="s">
        <v>5</v>
      </c>
      <c r="J129" s="319" t="str">
        <f>Dados!B102</f>
        <v>Substituto na cobertura de Ausência por acidente de trabalho</v>
      </c>
      <c r="K129" s="122"/>
      <c r="L129" s="321"/>
      <c r="M129" s="320"/>
      <c r="N129" s="314">
        <f>Dados!G102</f>
        <v>1E-4</v>
      </c>
      <c r="O129" s="704">
        <f>$O$62*N129</f>
        <v>0.36</v>
      </c>
      <c r="P129" s="79"/>
      <c r="Q129" s="685" t="s">
        <v>5</v>
      </c>
      <c r="R129" s="319" t="s">
        <v>264</v>
      </c>
      <c r="S129" s="122"/>
      <c r="T129" s="321"/>
      <c r="U129" s="320"/>
      <c r="V129" s="314">
        <v>1E-4</v>
      </c>
      <c r="W129" s="704">
        <f>$O$62*N129</f>
        <v>0.36</v>
      </c>
      <c r="X129" s="314">
        <v>1E-4</v>
      </c>
      <c r="Y129" s="704">
        <f>$O$62*N129</f>
        <v>0.36</v>
      </c>
    </row>
    <row r="130" spans="1:25" s="34" customFormat="1" x14ac:dyDescent="0.2">
      <c r="A130" s="685" t="s">
        <v>6</v>
      </c>
      <c r="B130" s="319" t="str">
        <f>Dados!B103</f>
        <v>Substituto na cobertura de Afastamento Maternidade</v>
      </c>
      <c r="C130" s="122"/>
      <c r="D130" s="321"/>
      <c r="E130" s="320"/>
      <c r="F130" s="314">
        <f>Dados!G103</f>
        <v>1E-4</v>
      </c>
      <c r="G130" s="704">
        <f t="shared" si="9"/>
        <v>0.35</v>
      </c>
      <c r="H130" s="737"/>
      <c r="I130" s="685" t="s">
        <v>6</v>
      </c>
      <c r="J130" s="319" t="str">
        <f>Dados!B103</f>
        <v>Substituto na cobertura de Afastamento Maternidade</v>
      </c>
      <c r="K130" s="122"/>
      <c r="L130" s="321"/>
      <c r="M130" s="320"/>
      <c r="N130" s="314">
        <f>Dados!G103</f>
        <v>1E-4</v>
      </c>
      <c r="O130" s="704">
        <f>$O$62*N130</f>
        <v>0.36</v>
      </c>
      <c r="P130" s="79"/>
      <c r="Q130" s="685" t="s">
        <v>6</v>
      </c>
      <c r="R130" s="319" t="s">
        <v>265</v>
      </c>
      <c r="S130" s="122"/>
      <c r="T130" s="321"/>
      <c r="U130" s="320"/>
      <c r="V130" s="314">
        <v>1E-4</v>
      </c>
      <c r="W130" s="704">
        <f>$O$62*N130</f>
        <v>0.36</v>
      </c>
      <c r="X130" s="314">
        <v>1E-4</v>
      </c>
      <c r="Y130" s="704">
        <f>$O$62*N130</f>
        <v>0.36</v>
      </c>
    </row>
    <row r="131" spans="1:25" s="34" customFormat="1" x14ac:dyDescent="0.2">
      <c r="A131" s="685" t="s">
        <v>7</v>
      </c>
      <c r="B131" s="319" t="str">
        <f>Dados!B104</f>
        <v>Substituto na cobertura de Outras ausências (especificar)</v>
      </c>
      <c r="C131" s="122"/>
      <c r="D131" s="321"/>
      <c r="E131" s="320"/>
      <c r="F131" s="314">
        <f>Dados!G104</f>
        <v>0</v>
      </c>
      <c r="G131" s="704">
        <f t="shared" si="9"/>
        <v>0</v>
      </c>
      <c r="H131" s="737"/>
      <c r="I131" s="685" t="s">
        <v>7</v>
      </c>
      <c r="J131" s="319" t="str">
        <f>Dados!B104</f>
        <v>Substituto na cobertura de Outras ausências (especificar)</v>
      </c>
      <c r="K131" s="122"/>
      <c r="L131" s="321"/>
      <c r="M131" s="320"/>
      <c r="N131" s="314">
        <f>Dados!G104</f>
        <v>0</v>
      </c>
      <c r="O131" s="704">
        <f t="shared" ref="O131" si="10">$G$62*N131</f>
        <v>0</v>
      </c>
      <c r="P131" s="79"/>
      <c r="Q131" s="685" t="s">
        <v>7</v>
      </c>
      <c r="R131" s="319" t="s">
        <v>266</v>
      </c>
      <c r="S131" s="122"/>
      <c r="T131" s="321"/>
      <c r="U131" s="320"/>
      <c r="V131" s="314">
        <v>0</v>
      </c>
      <c r="W131" s="704">
        <v>0</v>
      </c>
      <c r="X131" s="314">
        <v>0</v>
      </c>
      <c r="Y131" s="704">
        <v>0</v>
      </c>
    </row>
    <row r="132" spans="1:25" s="34" customFormat="1" ht="14.25" customHeight="1" x14ac:dyDescent="0.2">
      <c r="A132" s="933" t="s">
        <v>159</v>
      </c>
      <c r="B132" s="933"/>
      <c r="C132" s="933"/>
      <c r="D132" s="933"/>
      <c r="E132" s="933"/>
      <c r="F132" s="317">
        <f>SUM(F126:F131)</f>
        <v>7.3000000000000001E-3</v>
      </c>
      <c r="G132" s="322">
        <f>SUM(G126:G131)</f>
        <v>25.24</v>
      </c>
      <c r="H132" s="79"/>
      <c r="I132" s="937" t="s">
        <v>159</v>
      </c>
      <c r="J132" s="938"/>
      <c r="K132" s="938"/>
      <c r="L132" s="938"/>
      <c r="M132" s="939"/>
      <c r="N132" s="317">
        <f>SUM(N126:N131)</f>
        <v>7.3000000000000001E-3</v>
      </c>
      <c r="O132" s="322">
        <f>SUM(O126:O131)</f>
        <v>25.99</v>
      </c>
      <c r="P132" s="79"/>
      <c r="Q132" s="937" t="s">
        <v>159</v>
      </c>
      <c r="R132" s="938"/>
      <c r="S132" s="938"/>
      <c r="T132" s="938"/>
      <c r="U132" s="939"/>
      <c r="V132" s="317">
        <v>7.3000000000000001E-3</v>
      </c>
      <c r="W132" s="322">
        <f>SUM(O126:O131)</f>
        <v>25.99</v>
      </c>
      <c r="X132" s="317">
        <v>7.3000000000000001E-3</v>
      </c>
      <c r="Y132" s="322">
        <f>SUM(O126:O131)</f>
        <v>25.99</v>
      </c>
    </row>
    <row r="133" spans="1:25" s="34" customFormat="1" ht="14.25" hidden="1" customHeight="1" x14ac:dyDescent="0.2">
      <c r="A133" s="71" t="s">
        <v>424</v>
      </c>
      <c r="B133" s="71"/>
      <c r="C133" s="71"/>
      <c r="D133" s="71"/>
      <c r="E133" s="678"/>
      <c r="F133" s="678"/>
      <c r="G133" s="678"/>
      <c r="H133" s="79"/>
      <c r="I133" s="71" t="s">
        <v>424</v>
      </c>
      <c r="J133" s="71"/>
      <c r="K133" s="71"/>
      <c r="L133" s="71"/>
      <c r="M133" s="678"/>
      <c r="N133" s="678"/>
      <c r="O133" s="678"/>
      <c r="P133" s="79"/>
      <c r="Q133" s="71" t="s">
        <v>504</v>
      </c>
      <c r="R133" s="71"/>
      <c r="S133" s="71"/>
      <c r="T133" s="71"/>
      <c r="U133" s="678"/>
      <c r="V133" s="678"/>
      <c r="W133" s="678"/>
      <c r="X133" s="678"/>
    </row>
    <row r="134" spans="1:25" s="34" customFormat="1" hidden="1" x14ac:dyDescent="0.2">
      <c r="A134" s="195" t="s">
        <v>556</v>
      </c>
      <c r="B134" s="678"/>
      <c r="C134" s="678"/>
      <c r="D134" s="678"/>
      <c r="E134" s="678"/>
      <c r="F134" s="678"/>
      <c r="G134" s="678"/>
      <c r="H134" s="79"/>
      <c r="I134" s="195" t="s">
        <v>556</v>
      </c>
      <c r="J134" s="678"/>
      <c r="K134" s="678"/>
      <c r="L134" s="678"/>
      <c r="M134" s="678"/>
      <c r="N134" s="678"/>
      <c r="O134" s="678"/>
      <c r="P134" s="79"/>
      <c r="Q134" s="195" t="s">
        <v>499</v>
      </c>
      <c r="R134" s="678"/>
      <c r="S134" s="678"/>
      <c r="T134" s="678"/>
      <c r="U134" s="678"/>
      <c r="V134" s="678"/>
      <c r="W134" s="678"/>
      <c r="X134" s="678"/>
    </row>
    <row r="135" spans="1:25" s="34" customFormat="1" ht="14.25" hidden="1" customHeight="1" x14ac:dyDescent="0.2">
      <c r="A135" s="678"/>
      <c r="B135" s="678"/>
      <c r="C135" s="678"/>
      <c r="D135" s="678"/>
      <c r="E135" s="678"/>
      <c r="F135" s="678"/>
      <c r="G135" s="678"/>
      <c r="H135" s="79"/>
      <c r="I135" s="678"/>
      <c r="J135" s="678"/>
      <c r="K135" s="678"/>
      <c r="L135" s="678"/>
      <c r="M135" s="678"/>
      <c r="N135" s="678"/>
      <c r="O135" s="678"/>
      <c r="P135" s="79"/>
      <c r="Q135" s="678"/>
      <c r="R135" s="678"/>
      <c r="S135" s="678"/>
      <c r="T135" s="678"/>
      <c r="U135" s="678"/>
      <c r="V135" s="678"/>
      <c r="W135" s="678"/>
      <c r="X135" s="678"/>
    </row>
    <row r="136" spans="1:25" s="34" customFormat="1" ht="14.25" hidden="1" customHeight="1" x14ac:dyDescent="0.2">
      <c r="A136" s="931" t="s">
        <v>267</v>
      </c>
      <c r="B136" s="931"/>
      <c r="C136" s="931"/>
      <c r="D136" s="931"/>
      <c r="E136" s="931"/>
      <c r="F136" s="931"/>
      <c r="G136" s="931"/>
      <c r="H136" s="79"/>
      <c r="I136" s="978" t="s">
        <v>267</v>
      </c>
      <c r="J136" s="979"/>
      <c r="K136" s="979"/>
      <c r="L136" s="979"/>
      <c r="M136" s="979"/>
      <c r="N136" s="979"/>
      <c r="O136" s="980"/>
      <c r="P136" s="79"/>
      <c r="Q136" s="978" t="s">
        <v>267</v>
      </c>
      <c r="R136" s="979"/>
      <c r="S136" s="979"/>
      <c r="T136" s="979"/>
      <c r="U136" s="979"/>
      <c r="V136" s="979"/>
      <c r="W136" s="980"/>
      <c r="X136" s="110"/>
    </row>
    <row r="137" spans="1:25" s="34" customFormat="1" ht="14.25" hidden="1" customHeight="1" x14ac:dyDescent="0.2">
      <c r="A137" s="728" t="s">
        <v>47</v>
      </c>
      <c r="B137" s="940" t="s">
        <v>425</v>
      </c>
      <c r="C137" s="941"/>
      <c r="D137" s="941"/>
      <c r="E137" s="941"/>
      <c r="F137" s="942"/>
      <c r="G137" s="729" t="s">
        <v>107</v>
      </c>
      <c r="H137" s="79"/>
      <c r="I137" s="728" t="s">
        <v>47</v>
      </c>
      <c r="J137" s="940" t="s">
        <v>425</v>
      </c>
      <c r="K137" s="941"/>
      <c r="L137" s="941"/>
      <c r="M137" s="941"/>
      <c r="N137" s="942"/>
      <c r="O137" s="729" t="s">
        <v>107</v>
      </c>
      <c r="P137" s="79"/>
      <c r="Q137" s="728" t="s">
        <v>47</v>
      </c>
      <c r="R137" s="940" t="s">
        <v>425</v>
      </c>
      <c r="S137" s="941"/>
      <c r="T137" s="941"/>
      <c r="U137" s="941"/>
      <c r="V137" s="942"/>
      <c r="W137" s="729" t="s">
        <v>107</v>
      </c>
      <c r="X137" s="110"/>
    </row>
    <row r="138" spans="1:25" s="34" customFormat="1" ht="14.25" hidden="1" customHeight="1" x14ac:dyDescent="0.2">
      <c r="A138" s="685" t="s">
        <v>1</v>
      </c>
      <c r="B138" s="984" t="s">
        <v>268</v>
      </c>
      <c r="C138" s="984"/>
      <c r="D138" s="984"/>
      <c r="E138" s="984"/>
      <c r="F138" s="984"/>
      <c r="G138" s="704">
        <f>ROUND(IF(G40=0,H138,0),2)</f>
        <v>0</v>
      </c>
      <c r="H138" s="79"/>
      <c r="I138" s="685" t="s">
        <v>1</v>
      </c>
      <c r="J138" s="952" t="s">
        <v>268</v>
      </c>
      <c r="K138" s="953"/>
      <c r="L138" s="953"/>
      <c r="M138" s="953"/>
      <c r="N138" s="954"/>
      <c r="O138" s="704">
        <f>ROUND(IF(O40=0,P138,0),2)</f>
        <v>0</v>
      </c>
      <c r="P138" s="79"/>
      <c r="Q138" s="685" t="s">
        <v>1</v>
      </c>
      <c r="R138" s="952" t="s">
        <v>268</v>
      </c>
      <c r="S138" s="953"/>
      <c r="T138" s="953"/>
      <c r="U138" s="953"/>
      <c r="V138" s="954"/>
      <c r="W138" s="704">
        <v>0</v>
      </c>
      <c r="X138" s="78"/>
    </row>
    <row r="139" spans="1:25" s="34" customFormat="1" ht="15.75" hidden="1" customHeight="1" x14ac:dyDescent="0.2">
      <c r="A139" s="933" t="s">
        <v>159</v>
      </c>
      <c r="B139" s="933"/>
      <c r="C139" s="933"/>
      <c r="D139" s="933"/>
      <c r="E139" s="933"/>
      <c r="F139" s="933"/>
      <c r="G139" s="308">
        <f>SUM(G133:G138)</f>
        <v>0</v>
      </c>
      <c r="H139" s="79"/>
      <c r="I139" s="937" t="s">
        <v>159</v>
      </c>
      <c r="J139" s="938"/>
      <c r="K139" s="938"/>
      <c r="L139" s="938"/>
      <c r="M139" s="938"/>
      <c r="N139" s="939"/>
      <c r="O139" s="308">
        <f>SUM(O133:O138)</f>
        <v>0</v>
      </c>
      <c r="P139" s="79"/>
      <c r="Q139" s="937" t="s">
        <v>159</v>
      </c>
      <c r="R139" s="938"/>
      <c r="S139" s="938"/>
      <c r="T139" s="938"/>
      <c r="U139" s="938"/>
      <c r="V139" s="939"/>
      <c r="W139" s="308">
        <v>0</v>
      </c>
      <c r="X139" s="730"/>
    </row>
    <row r="140" spans="1:25" s="34" customFormat="1" ht="14.25" hidden="1" customHeight="1" x14ac:dyDescent="0.2">
      <c r="A140" s="924" t="s">
        <v>229</v>
      </c>
      <c r="B140" s="924"/>
      <c r="C140" s="924"/>
      <c r="D140" s="924"/>
      <c r="E140" s="924"/>
      <c r="F140" s="924"/>
      <c r="G140" s="924"/>
      <c r="H140" s="79"/>
      <c r="I140" s="948" t="s">
        <v>229</v>
      </c>
      <c r="J140" s="948"/>
      <c r="K140" s="948"/>
      <c r="L140" s="948"/>
      <c r="M140" s="948"/>
      <c r="N140" s="948"/>
      <c r="O140" s="948"/>
      <c r="P140" s="79"/>
      <c r="Q140" s="948" t="s">
        <v>505</v>
      </c>
      <c r="R140" s="948"/>
      <c r="S140" s="948"/>
      <c r="T140" s="948"/>
      <c r="U140" s="948"/>
      <c r="V140" s="948"/>
      <c r="W140" s="948"/>
      <c r="X140" s="678"/>
    </row>
    <row r="141" spans="1:25" s="34" customFormat="1" ht="14.25" hidden="1" customHeight="1" x14ac:dyDescent="0.2">
      <c r="A141" s="924"/>
      <c r="B141" s="924"/>
      <c r="C141" s="924"/>
      <c r="D141" s="924"/>
      <c r="E141" s="924"/>
      <c r="F141" s="924"/>
      <c r="G141" s="924"/>
      <c r="H141" s="79"/>
      <c r="I141" s="924"/>
      <c r="J141" s="924"/>
      <c r="K141" s="924"/>
      <c r="L141" s="924"/>
      <c r="M141" s="924"/>
      <c r="N141" s="924"/>
      <c r="O141" s="924"/>
      <c r="P141" s="79"/>
      <c r="Q141" s="924"/>
      <c r="R141" s="924"/>
      <c r="S141" s="924"/>
      <c r="T141" s="924"/>
      <c r="U141" s="924"/>
      <c r="V141" s="924"/>
      <c r="W141" s="924"/>
      <c r="X141" s="678"/>
    </row>
    <row r="142" spans="1:25" s="34" customFormat="1" hidden="1" x14ac:dyDescent="0.2">
      <c r="A142" s="71"/>
      <c r="B142" s="71"/>
      <c r="C142" s="71"/>
      <c r="D142" s="71"/>
      <c r="E142" s="71"/>
      <c r="F142" s="196"/>
      <c r="G142" s="197"/>
      <c r="H142" s="79"/>
      <c r="I142" s="71"/>
      <c r="J142" s="71"/>
      <c r="K142" s="71"/>
      <c r="L142" s="71"/>
      <c r="M142" s="71"/>
      <c r="N142" s="196"/>
      <c r="O142" s="197"/>
      <c r="P142" s="79"/>
      <c r="Q142" s="71"/>
      <c r="R142" s="71"/>
      <c r="S142" s="71"/>
      <c r="T142" s="71"/>
      <c r="U142" s="71"/>
      <c r="V142" s="196"/>
      <c r="W142" s="197"/>
      <c r="X142" s="197"/>
    </row>
    <row r="143" spans="1:25" s="34" customFormat="1" x14ac:dyDescent="0.2">
      <c r="A143" s="931" t="s">
        <v>231</v>
      </c>
      <c r="B143" s="931"/>
      <c r="C143" s="931"/>
      <c r="D143" s="931"/>
      <c r="E143" s="931"/>
      <c r="F143" s="931"/>
      <c r="G143" s="931"/>
      <c r="H143" s="931"/>
      <c r="I143" s="931"/>
      <c r="J143" s="931"/>
      <c r="K143" s="931"/>
      <c r="L143" s="931"/>
      <c r="M143" s="931"/>
      <c r="N143" s="931"/>
      <c r="O143" s="931"/>
      <c r="P143" s="931"/>
      <c r="Q143" s="931"/>
      <c r="R143" s="931"/>
      <c r="S143" s="931"/>
      <c r="T143" s="931"/>
      <c r="U143" s="931"/>
      <c r="V143" s="931"/>
      <c r="W143" s="931"/>
      <c r="X143" s="931"/>
      <c r="Y143" s="931"/>
    </row>
    <row r="144" spans="1:25" s="34" customFormat="1" ht="69.75" customHeight="1" x14ac:dyDescent="0.2">
      <c r="A144" s="723">
        <v>4</v>
      </c>
      <c r="B144" s="944" t="s">
        <v>230</v>
      </c>
      <c r="C144" s="944"/>
      <c r="D144" s="944"/>
      <c r="E144" s="944"/>
      <c r="F144" s="944"/>
      <c r="G144" s="727" t="s">
        <v>107</v>
      </c>
      <c r="H144" s="606"/>
      <c r="I144" s="723">
        <v>4</v>
      </c>
      <c r="J144" s="944" t="s">
        <v>230</v>
      </c>
      <c r="K144" s="944"/>
      <c r="L144" s="944"/>
      <c r="M144" s="944"/>
      <c r="N144" s="944"/>
      <c r="O144" s="727" t="s">
        <v>107</v>
      </c>
      <c r="P144" s="606"/>
      <c r="Q144" s="723">
        <v>4</v>
      </c>
      <c r="R144" s="944" t="s">
        <v>230</v>
      </c>
      <c r="S144" s="944"/>
      <c r="T144" s="944"/>
      <c r="U144" s="944"/>
      <c r="V144" s="944"/>
      <c r="W144" s="727" t="s">
        <v>107</v>
      </c>
      <c r="X144" s="723" t="s">
        <v>230</v>
      </c>
      <c r="Y144" s="727" t="s">
        <v>107</v>
      </c>
    </row>
    <row r="145" spans="1:25" s="34" customFormat="1" x14ac:dyDescent="0.2">
      <c r="A145" s="601" t="s">
        <v>42</v>
      </c>
      <c r="B145" s="602" t="str">
        <f>B125</f>
        <v>Substituto nas Ausências Legais</v>
      </c>
      <c r="C145" s="603"/>
      <c r="D145" s="603"/>
      <c r="E145" s="603"/>
      <c r="F145" s="604"/>
      <c r="G145" s="605">
        <f>G132</f>
        <v>25.24</v>
      </c>
      <c r="H145" s="79"/>
      <c r="I145" s="601" t="s">
        <v>42</v>
      </c>
      <c r="J145" s="602" t="str">
        <f>J125</f>
        <v>Substituto nas Ausências Legais</v>
      </c>
      <c r="K145" s="603"/>
      <c r="L145" s="603"/>
      <c r="M145" s="603"/>
      <c r="N145" s="604"/>
      <c r="O145" s="605">
        <f>O132</f>
        <v>25.99</v>
      </c>
      <c r="P145" s="79"/>
      <c r="Q145" s="601" t="s">
        <v>42</v>
      </c>
      <c r="R145" s="602" t="s">
        <v>269</v>
      </c>
      <c r="S145" s="603"/>
      <c r="T145" s="603"/>
      <c r="U145" s="603"/>
      <c r="V145" s="604"/>
      <c r="W145" s="605">
        <f>O132</f>
        <v>25.99</v>
      </c>
      <c r="X145" s="605"/>
      <c r="Y145" s="605">
        <f>O132</f>
        <v>25.99</v>
      </c>
    </row>
    <row r="146" spans="1:25" s="34" customFormat="1" ht="14.25" hidden="1" customHeight="1" x14ac:dyDescent="0.2">
      <c r="A146" s="301" t="s">
        <v>47</v>
      </c>
      <c r="B146" s="680" t="str">
        <f>B137</f>
        <v>Substituto na Intrajornada</v>
      </c>
      <c r="C146" s="342"/>
      <c r="D146" s="342"/>
      <c r="E146" s="342"/>
      <c r="F146" s="709"/>
      <c r="G146" s="701">
        <f>G139</f>
        <v>0</v>
      </c>
      <c r="H146" s="79"/>
      <c r="I146" s="301" t="s">
        <v>47</v>
      </c>
      <c r="J146" s="680" t="str">
        <f>J137</f>
        <v>Substituto na Intrajornada</v>
      </c>
      <c r="K146" s="342"/>
      <c r="L146" s="342"/>
      <c r="M146" s="342"/>
      <c r="N146" s="709"/>
      <c r="O146" s="701">
        <f>O139</f>
        <v>0</v>
      </c>
      <c r="P146" s="79"/>
      <c r="Q146" s="301" t="s">
        <v>47</v>
      </c>
      <c r="R146" s="680" t="s">
        <v>425</v>
      </c>
      <c r="S146" s="342"/>
      <c r="T146" s="342"/>
      <c r="U146" s="342"/>
      <c r="V146" s="709"/>
      <c r="W146" s="701">
        <v>0</v>
      </c>
      <c r="X146" s="624"/>
    </row>
    <row r="147" spans="1:25" s="34" customFormat="1" x14ac:dyDescent="0.2">
      <c r="A147" s="933" t="s">
        <v>159</v>
      </c>
      <c r="B147" s="933"/>
      <c r="C147" s="933"/>
      <c r="D147" s="933"/>
      <c r="E147" s="933"/>
      <c r="F147" s="933"/>
      <c r="G147" s="322">
        <f>SUM(G145:G146)</f>
        <v>25.24</v>
      </c>
      <c r="H147" s="79"/>
      <c r="I147" s="937" t="s">
        <v>159</v>
      </c>
      <c r="J147" s="938"/>
      <c r="K147" s="938"/>
      <c r="L147" s="938"/>
      <c r="M147" s="938"/>
      <c r="N147" s="939"/>
      <c r="O147" s="322">
        <f>SUM(O145:O146)</f>
        <v>25.99</v>
      </c>
      <c r="P147" s="79"/>
      <c r="Q147" s="937" t="s">
        <v>159</v>
      </c>
      <c r="R147" s="938"/>
      <c r="S147" s="938"/>
      <c r="T147" s="938"/>
      <c r="U147" s="938"/>
      <c r="V147" s="939"/>
      <c r="W147" s="322">
        <f>SUM(O145:O146)</f>
        <v>25.99</v>
      </c>
      <c r="X147" s="322" t="s">
        <v>159</v>
      </c>
      <c r="Y147" s="322">
        <f>SUM(O145:O146)</f>
        <v>25.99</v>
      </c>
    </row>
    <row r="148" spans="1:25" s="34" customFormat="1" hidden="1" x14ac:dyDescent="0.2">
      <c r="A148" s="71"/>
      <c r="B148" s="71"/>
      <c r="C148" s="71"/>
      <c r="D148" s="71"/>
      <c r="E148" s="71"/>
      <c r="F148" s="196"/>
      <c r="G148" s="197"/>
      <c r="H148" s="79"/>
      <c r="I148" s="71"/>
      <c r="J148" s="71"/>
      <c r="K148" s="71"/>
      <c r="L148" s="71"/>
      <c r="M148" s="71"/>
      <c r="N148" s="196"/>
      <c r="O148" s="197"/>
      <c r="P148" s="79"/>
      <c r="Q148" s="71"/>
      <c r="R148" s="71"/>
      <c r="S148" s="71"/>
      <c r="T148" s="71"/>
      <c r="U148" s="71"/>
      <c r="V148" s="196"/>
      <c r="W148" s="197"/>
      <c r="X148" s="197"/>
    </row>
    <row r="149" spans="1:25" ht="15" customHeight="1" x14ac:dyDescent="0.2">
      <c r="A149" s="931" t="s">
        <v>233</v>
      </c>
      <c r="B149" s="931"/>
      <c r="C149" s="931"/>
      <c r="D149" s="931"/>
      <c r="E149" s="931"/>
      <c r="F149" s="931"/>
      <c r="G149" s="931"/>
      <c r="H149" s="931"/>
      <c r="I149" s="931"/>
      <c r="J149" s="931"/>
      <c r="K149" s="931"/>
      <c r="L149" s="931"/>
      <c r="M149" s="931"/>
      <c r="N149" s="931"/>
      <c r="O149" s="931"/>
      <c r="P149" s="931"/>
      <c r="Q149" s="931"/>
      <c r="R149" s="931"/>
      <c r="S149" s="931"/>
      <c r="T149" s="931"/>
      <c r="U149" s="931"/>
      <c r="V149" s="931"/>
      <c r="W149" s="931"/>
      <c r="X149" s="931"/>
      <c r="Y149" s="931"/>
    </row>
    <row r="150" spans="1:25" ht="14.25" customHeight="1" x14ac:dyDescent="0.2">
      <c r="A150" s="723">
        <v>5</v>
      </c>
      <c r="B150" s="944" t="s">
        <v>79</v>
      </c>
      <c r="C150" s="944"/>
      <c r="D150" s="944"/>
      <c r="E150" s="944"/>
      <c r="F150" s="944"/>
      <c r="G150" s="727" t="s">
        <v>107</v>
      </c>
      <c r="H150" s="606"/>
      <c r="I150" s="723">
        <v>5</v>
      </c>
      <c r="J150" s="944" t="s">
        <v>79</v>
      </c>
      <c r="K150" s="944"/>
      <c r="L150" s="944"/>
      <c r="M150" s="944"/>
      <c r="N150" s="944"/>
      <c r="O150" s="727" t="s">
        <v>107</v>
      </c>
      <c r="P150" s="606"/>
      <c r="Q150" s="723">
        <v>5</v>
      </c>
      <c r="R150" s="944" t="s">
        <v>79</v>
      </c>
      <c r="S150" s="944"/>
      <c r="T150" s="944"/>
      <c r="U150" s="944"/>
      <c r="V150" s="944"/>
      <c r="W150" s="727" t="s">
        <v>107</v>
      </c>
      <c r="X150" s="727" t="s">
        <v>79</v>
      </c>
      <c r="Y150" s="727" t="s">
        <v>107</v>
      </c>
    </row>
    <row r="151" spans="1:25" x14ac:dyDescent="0.2">
      <c r="A151" s="601" t="s">
        <v>1</v>
      </c>
      <c r="B151" s="618" t="str">
        <f>Dados!A60</f>
        <v>Uniformes</v>
      </c>
      <c r="C151" s="603"/>
      <c r="D151" s="603"/>
      <c r="E151" s="603"/>
      <c r="F151" s="739">
        <f>Dados!J60</f>
        <v>42.33</v>
      </c>
      <c r="G151" s="605">
        <f>F151*$F$13</f>
        <v>42.33</v>
      </c>
      <c r="H151" s="79"/>
      <c r="I151" s="601" t="s">
        <v>1</v>
      </c>
      <c r="J151" s="618" t="str">
        <f>Dados!A60</f>
        <v>Uniformes</v>
      </c>
      <c r="K151" s="603"/>
      <c r="L151" s="603"/>
      <c r="M151" s="603"/>
      <c r="N151" s="739">
        <f>Dados!R60</f>
        <v>0</v>
      </c>
      <c r="O151" s="605">
        <f>F151*$F$13</f>
        <v>42.33</v>
      </c>
      <c r="P151" s="79"/>
      <c r="Q151" s="601" t="s">
        <v>1</v>
      </c>
      <c r="R151" s="618" t="s">
        <v>87</v>
      </c>
      <c r="S151" s="603"/>
      <c r="T151" s="603"/>
      <c r="U151" s="603"/>
      <c r="V151" s="739">
        <v>0</v>
      </c>
      <c r="W151" s="605">
        <f>F151*$F$13</f>
        <v>42.33</v>
      </c>
      <c r="X151" s="605"/>
      <c r="Y151" s="605">
        <f>'Uniformes II TA'!J25</f>
        <v>50.8</v>
      </c>
    </row>
    <row r="152" spans="1:25" x14ac:dyDescent="0.2">
      <c r="A152" s="301" t="s">
        <v>2</v>
      </c>
      <c r="B152" s="343" t="str">
        <f>Dados!A62</f>
        <v>Materiais e Equipamentos</v>
      </c>
      <c r="C152" s="342"/>
      <c r="D152" s="342"/>
      <c r="E152" s="342"/>
      <c r="F152" s="740">
        <f>Dados!J62+Dados!J63</f>
        <v>43.27</v>
      </c>
      <c r="G152" s="701">
        <f t="shared" ref="G152" si="11">F152*$F$13</f>
        <v>43.27</v>
      </c>
      <c r="H152" s="79"/>
      <c r="I152" s="301" t="s">
        <v>2</v>
      </c>
      <c r="J152" s="343" t="str">
        <f>Dados!A62</f>
        <v>Materiais e Equipamentos</v>
      </c>
      <c r="K152" s="342"/>
      <c r="L152" s="342"/>
      <c r="M152" s="342"/>
      <c r="N152" s="740">
        <f>Dados!R62+Dados!R63</f>
        <v>0</v>
      </c>
      <c r="O152" s="701">
        <f>F152*$F$13</f>
        <v>43.27</v>
      </c>
      <c r="P152" s="79"/>
      <c r="Q152" s="301" t="s">
        <v>2</v>
      </c>
      <c r="R152" s="343" t="s">
        <v>381</v>
      </c>
      <c r="S152" s="342"/>
      <c r="T152" s="342"/>
      <c r="U152" s="342"/>
      <c r="V152" s="740">
        <v>266504.8</v>
      </c>
      <c r="W152" s="701">
        <f>F152*$F$13</f>
        <v>43.27</v>
      </c>
      <c r="X152" s="701"/>
      <c r="Y152" s="701">
        <f>'Mat. e Equip. II TA'!M26</f>
        <v>47.23</v>
      </c>
    </row>
    <row r="153" spans="1:25" x14ac:dyDescent="0.2">
      <c r="A153" s="301" t="s">
        <v>4</v>
      </c>
      <c r="B153" s="680" t="str">
        <f>Dados!A64</f>
        <v>Depreciação e manutenção dos equipamentos</v>
      </c>
      <c r="C153" s="342"/>
      <c r="D153" s="342"/>
      <c r="E153" s="342"/>
      <c r="F153" s="709">
        <f>Dados!I64</f>
        <v>0.1</v>
      </c>
      <c r="G153" s="701">
        <f>G152*F153</f>
        <v>4.33</v>
      </c>
      <c r="H153" s="79"/>
      <c r="I153" s="301" t="s">
        <v>4</v>
      </c>
      <c r="J153" s="680" t="str">
        <f>Dados!A64</f>
        <v>Depreciação e manutenção dos equipamentos</v>
      </c>
      <c r="K153" s="342"/>
      <c r="L153" s="342"/>
      <c r="M153" s="342"/>
      <c r="N153" s="709">
        <f>Dados!Q64</f>
        <v>0</v>
      </c>
      <c r="O153" s="701">
        <f>G152*F153</f>
        <v>4.33</v>
      </c>
      <c r="P153" s="79"/>
      <c r="Q153" s="301" t="s">
        <v>4</v>
      </c>
      <c r="R153" s="680" t="s">
        <v>83</v>
      </c>
      <c r="S153" s="342"/>
      <c r="T153" s="342"/>
      <c r="U153" s="342"/>
      <c r="V153" s="709">
        <v>10</v>
      </c>
      <c r="W153" s="701">
        <f>G152*F153</f>
        <v>4.33</v>
      </c>
      <c r="X153" s="701"/>
      <c r="Y153" s="701">
        <f>Y152*10%</f>
        <v>4.72</v>
      </c>
    </row>
    <row r="154" spans="1:25" x14ac:dyDescent="0.2">
      <c r="A154" s="301" t="s">
        <v>5</v>
      </c>
      <c r="B154" s="309" t="s">
        <v>51</v>
      </c>
      <c r="C154" s="312"/>
      <c r="D154" s="312"/>
      <c r="E154" s="122"/>
      <c r="F154" s="709"/>
      <c r="G154" s="702"/>
      <c r="H154" s="79"/>
      <c r="I154" s="301" t="s">
        <v>5</v>
      </c>
      <c r="J154" s="309" t="s">
        <v>51</v>
      </c>
      <c r="K154" s="312"/>
      <c r="L154" s="312"/>
      <c r="M154" s="122"/>
      <c r="N154" s="709"/>
      <c r="O154" s="702"/>
      <c r="P154" s="79"/>
      <c r="Q154" s="301" t="s">
        <v>5</v>
      </c>
      <c r="R154" s="309" t="s">
        <v>51</v>
      </c>
      <c r="S154" s="312"/>
      <c r="T154" s="312"/>
      <c r="U154" s="122"/>
      <c r="V154" s="709"/>
      <c r="W154" s="702"/>
      <c r="X154" s="702"/>
      <c r="Y154" s="702"/>
    </row>
    <row r="155" spans="1:25" x14ac:dyDescent="0.2">
      <c r="A155" s="933" t="s">
        <v>159</v>
      </c>
      <c r="B155" s="933"/>
      <c r="C155" s="933"/>
      <c r="D155" s="933"/>
      <c r="E155" s="933"/>
      <c r="F155" s="933"/>
      <c r="G155" s="322">
        <f>SUM(G151:G154)</f>
        <v>89.93</v>
      </c>
      <c r="H155" s="79"/>
      <c r="I155" s="937" t="s">
        <v>159</v>
      </c>
      <c r="J155" s="938"/>
      <c r="K155" s="938"/>
      <c r="L155" s="938"/>
      <c r="M155" s="938"/>
      <c r="N155" s="939"/>
      <c r="O155" s="322">
        <f>SUM(O151:O154)</f>
        <v>89.93</v>
      </c>
      <c r="P155" s="79"/>
      <c r="Q155" s="937" t="s">
        <v>159</v>
      </c>
      <c r="R155" s="938"/>
      <c r="S155" s="938"/>
      <c r="T155" s="938"/>
      <c r="U155" s="938"/>
      <c r="V155" s="939"/>
      <c r="W155" s="322">
        <f>SUM(O151:O154)</f>
        <v>89.93</v>
      </c>
      <c r="X155" s="322" t="s">
        <v>159</v>
      </c>
      <c r="Y155" s="322">
        <f>SUM(Y151:Y154)</f>
        <v>102.75</v>
      </c>
    </row>
    <row r="156" spans="1:25" s="34" customFormat="1" hidden="1" x14ac:dyDescent="0.2">
      <c r="A156" s="71" t="s">
        <v>234</v>
      </c>
      <c r="B156" s="68"/>
      <c r="C156" s="68"/>
      <c r="D156" s="68"/>
      <c r="E156" s="68"/>
      <c r="F156" s="77"/>
      <c r="G156" s="78" t="s">
        <v>0</v>
      </c>
      <c r="H156" s="79"/>
      <c r="I156" s="71" t="s">
        <v>234</v>
      </c>
      <c r="J156" s="68"/>
      <c r="K156" s="68"/>
      <c r="L156" s="68"/>
      <c r="M156" s="68"/>
      <c r="N156" s="77"/>
      <c r="O156" s="78" t="s">
        <v>0</v>
      </c>
      <c r="P156" s="79"/>
      <c r="Q156" s="71" t="s">
        <v>506</v>
      </c>
      <c r="R156" s="68"/>
      <c r="S156" s="68"/>
      <c r="T156" s="68"/>
      <c r="U156" s="68"/>
      <c r="V156" s="77"/>
      <c r="W156" s="78" t="s">
        <v>0</v>
      </c>
      <c r="X156" s="78"/>
    </row>
    <row r="157" spans="1:25" s="34" customFormat="1" hidden="1" x14ac:dyDescent="0.2">
      <c r="A157" s="698"/>
      <c r="B157" s="68"/>
      <c r="C157" s="68"/>
      <c r="D157" s="68"/>
      <c r="E157" s="68"/>
      <c r="F157" s="77"/>
      <c r="G157" s="78"/>
      <c r="H157" s="79"/>
      <c r="I157" s="698"/>
      <c r="J157" s="68"/>
      <c r="K157" s="68"/>
      <c r="L157" s="68"/>
      <c r="M157" s="68"/>
      <c r="N157" s="77"/>
      <c r="O157" s="78"/>
      <c r="P157" s="79"/>
      <c r="Q157" s="698"/>
      <c r="R157" s="68"/>
      <c r="S157" s="68"/>
      <c r="T157" s="68"/>
      <c r="U157" s="68"/>
      <c r="V157" s="77"/>
      <c r="W157" s="78"/>
      <c r="X157" s="78"/>
    </row>
    <row r="158" spans="1:25" ht="15" customHeight="1" x14ac:dyDescent="0.2">
      <c r="A158" s="931" t="s">
        <v>237</v>
      </c>
      <c r="B158" s="931"/>
      <c r="C158" s="931"/>
      <c r="D158" s="931"/>
      <c r="E158" s="931"/>
      <c r="F158" s="931"/>
      <c r="G158" s="931"/>
      <c r="H158" s="931"/>
      <c r="I158" s="931"/>
      <c r="J158" s="931"/>
      <c r="K158" s="931"/>
      <c r="L158" s="931"/>
      <c r="M158" s="931"/>
      <c r="N158" s="931"/>
      <c r="O158" s="931"/>
      <c r="P158" s="931"/>
      <c r="Q158" s="931"/>
      <c r="R158" s="931"/>
      <c r="S158" s="931"/>
      <c r="T158" s="931"/>
      <c r="U158" s="931"/>
      <c r="V158" s="931"/>
      <c r="W158" s="931"/>
      <c r="X158" s="931"/>
      <c r="Y158" s="931"/>
    </row>
    <row r="159" spans="1:25" ht="15.75" customHeight="1" x14ac:dyDescent="0.2">
      <c r="A159" s="723">
        <v>6</v>
      </c>
      <c r="B159" s="944" t="s">
        <v>23</v>
      </c>
      <c r="C159" s="944"/>
      <c r="D159" s="944"/>
      <c r="E159" s="944"/>
      <c r="F159" s="723" t="s">
        <v>222</v>
      </c>
      <c r="G159" s="727" t="s">
        <v>107</v>
      </c>
      <c r="H159" s="606"/>
      <c r="I159" s="723">
        <v>6</v>
      </c>
      <c r="J159" s="944" t="s">
        <v>23</v>
      </c>
      <c r="K159" s="944"/>
      <c r="L159" s="944"/>
      <c r="M159" s="944"/>
      <c r="N159" s="723" t="s">
        <v>222</v>
      </c>
      <c r="O159" s="727" t="s">
        <v>107</v>
      </c>
      <c r="P159" s="606"/>
      <c r="Q159" s="723">
        <v>6</v>
      </c>
      <c r="R159" s="944" t="s">
        <v>23</v>
      </c>
      <c r="S159" s="944"/>
      <c r="T159" s="944"/>
      <c r="U159" s="944"/>
      <c r="V159" s="723" t="s">
        <v>222</v>
      </c>
      <c r="W159" s="727" t="s">
        <v>107</v>
      </c>
      <c r="X159" s="723" t="s">
        <v>222</v>
      </c>
      <c r="Y159" s="727" t="s">
        <v>107</v>
      </c>
    </row>
    <row r="160" spans="1:25" ht="14.25" customHeight="1" x14ac:dyDescent="0.2">
      <c r="A160" s="692" t="s">
        <v>1</v>
      </c>
      <c r="B160" s="619" t="s">
        <v>24</v>
      </c>
      <c r="C160" s="611"/>
      <c r="D160" s="611"/>
      <c r="E160" s="612"/>
      <c r="F160" s="613">
        <f>Dados!J67</f>
        <v>0.01</v>
      </c>
      <c r="G160" s="620">
        <f>$G$180*F160</f>
        <v>58</v>
      </c>
      <c r="H160" s="79"/>
      <c r="I160" s="692" t="s">
        <v>1</v>
      </c>
      <c r="J160" s="619" t="s">
        <v>24</v>
      </c>
      <c r="K160" s="611"/>
      <c r="L160" s="611"/>
      <c r="M160" s="612"/>
      <c r="N160" s="613">
        <f>Dados!J67</f>
        <v>0.01</v>
      </c>
      <c r="O160" s="620">
        <f>$O$180*N160</f>
        <v>59.74</v>
      </c>
      <c r="P160" s="79"/>
      <c r="Q160" s="692" t="s">
        <v>1</v>
      </c>
      <c r="R160" s="619" t="s">
        <v>24</v>
      </c>
      <c r="S160" s="611"/>
      <c r="T160" s="611"/>
      <c r="U160" s="612"/>
      <c r="V160" s="613">
        <f>Dados!J67</f>
        <v>0.01</v>
      </c>
      <c r="W160" s="620">
        <f>$W$180*V160</f>
        <v>58.89</v>
      </c>
      <c r="X160" s="613">
        <f>Dados!J67</f>
        <v>0.01</v>
      </c>
      <c r="Y160" s="620">
        <f>$Y$180*V160</f>
        <v>59.02</v>
      </c>
    </row>
    <row r="161" spans="1:27" ht="14.25" customHeight="1" x14ac:dyDescent="0.2">
      <c r="A161" s="685" t="s">
        <v>2</v>
      </c>
      <c r="B161" s="318" t="s">
        <v>18</v>
      </c>
      <c r="C161" s="321"/>
      <c r="D161" s="321"/>
      <c r="E161" s="310"/>
      <c r="F161" s="314">
        <f>Dados!J68</f>
        <v>0.01</v>
      </c>
      <c r="G161" s="703">
        <f>($G$180+$G$160)*F161</f>
        <v>58.58</v>
      </c>
      <c r="H161" s="79"/>
      <c r="I161" s="685" t="s">
        <v>2</v>
      </c>
      <c r="J161" s="318" t="s">
        <v>18</v>
      </c>
      <c r="K161" s="321"/>
      <c r="L161" s="321"/>
      <c r="M161" s="310"/>
      <c r="N161" s="314">
        <f>Dados!J68</f>
        <v>0.01</v>
      </c>
      <c r="O161" s="703">
        <f>($O$180+$O$160)*N161</f>
        <v>60.34</v>
      </c>
      <c r="P161" s="79"/>
      <c r="Q161" s="685" t="s">
        <v>2</v>
      </c>
      <c r="R161" s="318" t="s">
        <v>18</v>
      </c>
      <c r="S161" s="321"/>
      <c r="T161" s="321"/>
      <c r="U161" s="310"/>
      <c r="V161" s="314">
        <f>Dados!J68</f>
        <v>0.01</v>
      </c>
      <c r="W161" s="703">
        <f>($W$180+$W$160)*V161</f>
        <v>59.48</v>
      </c>
      <c r="X161" s="314">
        <f>Dados!J68</f>
        <v>0.01</v>
      </c>
      <c r="Y161" s="703">
        <f>($Y$180+$Y$160)*X161</f>
        <v>59.61</v>
      </c>
      <c r="AA161" s="667"/>
    </row>
    <row r="162" spans="1:27" ht="14.25" customHeight="1" x14ac:dyDescent="0.2">
      <c r="A162" s="685" t="s">
        <v>4</v>
      </c>
      <c r="B162" s="318" t="s">
        <v>426</v>
      </c>
      <c r="C162" s="321"/>
      <c r="D162" s="321"/>
      <c r="E162" s="310"/>
      <c r="F162" s="314"/>
      <c r="G162" s="703">
        <f>SUM(G160:G161)</f>
        <v>116.58</v>
      </c>
      <c r="H162" s="79"/>
      <c r="I162" s="685" t="s">
        <v>4</v>
      </c>
      <c r="J162" s="318" t="s">
        <v>426</v>
      </c>
      <c r="K162" s="321"/>
      <c r="L162" s="321"/>
      <c r="M162" s="310"/>
      <c r="N162" s="314"/>
      <c r="O162" s="703">
        <f>SUM(O160:O161)</f>
        <v>120.08</v>
      </c>
      <c r="P162" s="79"/>
      <c r="Q162" s="685" t="s">
        <v>4</v>
      </c>
      <c r="R162" s="318" t="s">
        <v>426</v>
      </c>
      <c r="S162" s="321"/>
      <c r="T162" s="321"/>
      <c r="U162" s="310"/>
      <c r="V162" s="314"/>
      <c r="W162" s="703"/>
      <c r="X162" s="314"/>
      <c r="Y162" s="703"/>
    </row>
    <row r="163" spans="1:27" ht="14.25" customHeight="1" x14ac:dyDescent="0.2">
      <c r="A163" s="685" t="s">
        <v>271</v>
      </c>
      <c r="B163" s="319" t="s">
        <v>427</v>
      </c>
      <c r="C163" s="122"/>
      <c r="D163" s="321"/>
      <c r="E163" s="320"/>
      <c r="F163" s="315">
        <f>Dados!F72</f>
        <v>6.4999999999999997E-3</v>
      </c>
      <c r="G163" s="316">
        <f>(($G$180+$G$160+$G$161)/Dados!$H$72)*F163</f>
        <v>42.1</v>
      </c>
      <c r="H163" s="79"/>
      <c r="I163" s="685" t="s">
        <v>271</v>
      </c>
      <c r="J163" s="319" t="s">
        <v>427</v>
      </c>
      <c r="K163" s="122"/>
      <c r="L163" s="321"/>
      <c r="M163" s="320"/>
      <c r="N163" s="315">
        <f>Dados!F72</f>
        <v>6.4999999999999997E-3</v>
      </c>
      <c r="O163" s="316">
        <f>(($O$180+$O$160+$O$161)/Dados!$H$72)*N163</f>
        <v>43.36</v>
      </c>
      <c r="P163" s="79"/>
      <c r="Q163" s="685" t="s">
        <v>271</v>
      </c>
      <c r="R163" s="319" t="s">
        <v>427</v>
      </c>
      <c r="S163" s="122"/>
      <c r="T163" s="321"/>
      <c r="U163" s="320"/>
      <c r="V163" s="315">
        <f>Dados!F72</f>
        <v>6.4999999999999997E-3</v>
      </c>
      <c r="W163" s="316">
        <f>(($W$180+$W$160+$W$161)/Dados!$H$72)*V163</f>
        <v>42.74</v>
      </c>
      <c r="X163" s="315">
        <f>Dados!F72</f>
        <v>6.4999999999999997E-3</v>
      </c>
      <c r="Y163" s="316">
        <f>(($Y$180+$Y$160+$Y$161)/Dados!$H$72)*X163</f>
        <v>42.84</v>
      </c>
    </row>
    <row r="164" spans="1:27" ht="14.25" customHeight="1" x14ac:dyDescent="0.2">
      <c r="A164" s="685" t="s">
        <v>272</v>
      </c>
      <c r="B164" s="319" t="s">
        <v>484</v>
      </c>
      <c r="C164" s="122"/>
      <c r="D164" s="321"/>
      <c r="E164" s="310"/>
      <c r="F164" s="315">
        <f>Dados!E72</f>
        <v>0.03</v>
      </c>
      <c r="G164" s="316">
        <f>(($G$180+$G$160+$G$161)/Dados!$H$72)*F164</f>
        <v>194.29</v>
      </c>
      <c r="H164" s="79"/>
      <c r="I164" s="685" t="s">
        <v>272</v>
      </c>
      <c r="J164" s="319" t="s">
        <v>484</v>
      </c>
      <c r="K164" s="122"/>
      <c r="L164" s="321"/>
      <c r="M164" s="310"/>
      <c r="N164" s="315">
        <f>Dados!E72</f>
        <v>0.03</v>
      </c>
      <c r="O164" s="316">
        <f>(($O$180+$O$160+$O$161)/Dados!$H$72)*N164</f>
        <v>200.13</v>
      </c>
      <c r="P164" s="79"/>
      <c r="Q164" s="685" t="s">
        <v>272</v>
      </c>
      <c r="R164" s="319" t="s">
        <v>484</v>
      </c>
      <c r="S164" s="122"/>
      <c r="T164" s="321"/>
      <c r="U164" s="310"/>
      <c r="V164" s="315">
        <f>Dados!E72</f>
        <v>0.03</v>
      </c>
      <c r="W164" s="316">
        <f>(($W$180+$W$160+$W$161)/Dados!$H$72)*V164</f>
        <v>197.28</v>
      </c>
      <c r="X164" s="315">
        <f>Dados!E72</f>
        <v>0.03</v>
      </c>
      <c r="Y164" s="316">
        <f>(($Y$180+$Y$160+$Y$161)/Dados!$H$72)*X164</f>
        <v>197.71</v>
      </c>
    </row>
    <row r="165" spans="1:27" ht="14.25" customHeight="1" x14ac:dyDescent="0.2">
      <c r="A165" s="685" t="s">
        <v>428</v>
      </c>
      <c r="B165" s="319" t="s">
        <v>486</v>
      </c>
      <c r="C165" s="122"/>
      <c r="D165" s="321"/>
      <c r="E165" s="310"/>
      <c r="F165" s="315">
        <f>Dados!C72</f>
        <v>0.05</v>
      </c>
      <c r="G165" s="316">
        <f>(($G$180+$G$160+$G$161)/Dados!$H$72)*F165</f>
        <v>323.82</v>
      </c>
      <c r="H165" s="79"/>
      <c r="I165" s="685" t="s">
        <v>428</v>
      </c>
      <c r="J165" s="319" t="s">
        <v>486</v>
      </c>
      <c r="K165" s="122"/>
      <c r="L165" s="321"/>
      <c r="M165" s="310"/>
      <c r="N165" s="315">
        <f>Dados!C72</f>
        <v>0.05</v>
      </c>
      <c r="O165" s="316">
        <f>(($O$180+$O$160+$O$161)/Dados!$H$72)*N165</f>
        <v>333.56</v>
      </c>
      <c r="P165" s="79"/>
      <c r="Q165" s="685" t="s">
        <v>428</v>
      </c>
      <c r="R165" s="319" t="s">
        <v>486</v>
      </c>
      <c r="S165" s="122"/>
      <c r="T165" s="321"/>
      <c r="U165" s="310"/>
      <c r="V165" s="315">
        <f>Dados!C72</f>
        <v>0.05</v>
      </c>
      <c r="W165" s="316">
        <f>(($W$180+$W$160+$W$161)/Dados!$H$72)*V165</f>
        <v>328.8</v>
      </c>
      <c r="X165" s="315">
        <f>Dados!C72</f>
        <v>0.05</v>
      </c>
      <c r="Y165" s="316">
        <f>(($Y$180+$Y$160+$Y$161)/Dados!$H$72)*X165</f>
        <v>329.51</v>
      </c>
    </row>
    <row r="166" spans="1:27" ht="14.25" customHeight="1" x14ac:dyDescent="0.2">
      <c r="A166" s="685" t="s">
        <v>5</v>
      </c>
      <c r="B166" s="319" t="s">
        <v>429</v>
      </c>
      <c r="C166" s="122"/>
      <c r="D166" s="321"/>
      <c r="E166" s="310"/>
      <c r="F166" s="315">
        <v>0</v>
      </c>
      <c r="G166" s="316">
        <v>0</v>
      </c>
      <c r="H166" s="79"/>
      <c r="I166" s="685" t="s">
        <v>5</v>
      </c>
      <c r="J166" s="319" t="s">
        <v>429</v>
      </c>
      <c r="K166" s="122"/>
      <c r="L166" s="321"/>
      <c r="M166" s="310"/>
      <c r="N166" s="315">
        <v>0</v>
      </c>
      <c r="O166" s="316">
        <v>0</v>
      </c>
      <c r="P166" s="79"/>
      <c r="Q166" s="685" t="s">
        <v>5</v>
      </c>
      <c r="R166" s="319" t="s">
        <v>429</v>
      </c>
      <c r="S166" s="122"/>
      <c r="T166" s="321"/>
      <c r="U166" s="310"/>
      <c r="V166" s="315">
        <v>0</v>
      </c>
      <c r="W166" s="316">
        <v>0</v>
      </c>
      <c r="X166" s="315">
        <v>0</v>
      </c>
      <c r="Y166" s="316">
        <v>0</v>
      </c>
    </row>
    <row r="167" spans="1:27" ht="18" customHeight="1" x14ac:dyDescent="0.2">
      <c r="A167" s="933" t="s">
        <v>159</v>
      </c>
      <c r="B167" s="933"/>
      <c r="C167" s="933"/>
      <c r="D167" s="933"/>
      <c r="E167" s="933"/>
      <c r="F167" s="317">
        <f>SUM(F160:F165)</f>
        <v>0.1065</v>
      </c>
      <c r="G167" s="705">
        <f>G160+G163+G164+G165+G161</f>
        <v>676.79</v>
      </c>
      <c r="H167" s="79"/>
      <c r="I167" s="937" t="s">
        <v>159</v>
      </c>
      <c r="J167" s="938"/>
      <c r="K167" s="938"/>
      <c r="L167" s="938"/>
      <c r="M167" s="939"/>
      <c r="N167" s="317">
        <f>SUM(N160:N165)</f>
        <v>0.1065</v>
      </c>
      <c r="O167" s="705">
        <f>O160+O163+O164+O165+O161</f>
        <v>697.13</v>
      </c>
      <c r="P167" s="79"/>
      <c r="Q167" s="937" t="s">
        <v>159</v>
      </c>
      <c r="R167" s="938"/>
      <c r="S167" s="938"/>
      <c r="T167" s="938"/>
      <c r="U167" s="939"/>
      <c r="V167" s="317">
        <f>SUM(V160:V165)</f>
        <v>0.1065</v>
      </c>
      <c r="W167" s="705">
        <f>W160+W163+W164+W165+W161</f>
        <v>687.19</v>
      </c>
      <c r="X167" s="317">
        <f>SUM(X160:X165)</f>
        <v>0.1065</v>
      </c>
      <c r="Y167" s="705">
        <f>Y160+Y163+Y164+Y165+Y161</f>
        <v>688.69</v>
      </c>
      <c r="AA167" s="668"/>
    </row>
    <row r="168" spans="1:27" hidden="1" x14ac:dyDescent="0.2">
      <c r="A168" s="195" t="s">
        <v>236</v>
      </c>
      <c r="B168" s="683"/>
      <c r="C168" s="683"/>
      <c r="D168" s="683"/>
      <c r="E168" s="683"/>
      <c r="F168" s="683"/>
      <c r="G168" s="82"/>
      <c r="H168" s="79"/>
      <c r="I168" s="195" t="s">
        <v>236</v>
      </c>
      <c r="J168" s="683"/>
      <c r="K168" s="683"/>
      <c r="L168" s="683"/>
      <c r="M168" s="683"/>
      <c r="N168" s="683"/>
      <c r="O168" s="82"/>
      <c r="P168" s="79"/>
      <c r="Q168" s="195" t="s">
        <v>507</v>
      </c>
      <c r="R168" s="683"/>
      <c r="S168" s="683"/>
      <c r="T168" s="683"/>
      <c r="U168" s="683"/>
      <c r="V168" s="683"/>
      <c r="W168" s="82"/>
      <c r="X168" s="82"/>
      <c r="Y168" s="34"/>
    </row>
    <row r="169" spans="1:27" hidden="1" x14ac:dyDescent="0.2">
      <c r="A169" s="195" t="s">
        <v>235</v>
      </c>
      <c r="B169" s="683"/>
      <c r="C169" s="683"/>
      <c r="D169" s="683"/>
      <c r="E169" s="683"/>
      <c r="F169" s="683"/>
      <c r="G169" s="82"/>
      <c r="H169" s="79"/>
      <c r="I169" s="195" t="s">
        <v>235</v>
      </c>
      <c r="J169" s="683"/>
      <c r="K169" s="683"/>
      <c r="L169" s="683"/>
      <c r="M169" s="683"/>
      <c r="N169" s="683"/>
      <c r="O169" s="82"/>
      <c r="P169" s="79"/>
      <c r="Q169" s="195" t="s">
        <v>508</v>
      </c>
      <c r="R169" s="683"/>
      <c r="S169" s="683"/>
      <c r="T169" s="683"/>
      <c r="U169" s="683"/>
      <c r="V169" s="683"/>
      <c r="W169" s="82"/>
      <c r="X169" s="82"/>
      <c r="Y169" s="34"/>
    </row>
    <row r="170" spans="1:27" ht="14.25" hidden="1" customHeight="1" x14ac:dyDescent="0.2">
      <c r="A170" s="955" t="s">
        <v>433</v>
      </c>
      <c r="B170" s="955"/>
      <c r="C170" s="955"/>
      <c r="D170" s="955"/>
      <c r="E170" s="955"/>
      <c r="F170" s="955"/>
      <c r="G170" s="955"/>
      <c r="H170" s="79"/>
      <c r="I170" s="955"/>
      <c r="J170" s="955"/>
      <c r="K170" s="955"/>
      <c r="L170" s="955"/>
      <c r="M170" s="955"/>
      <c r="N170" s="955"/>
      <c r="O170" s="955"/>
      <c r="P170" s="79"/>
      <c r="Q170" s="955"/>
      <c r="R170" s="955"/>
      <c r="S170" s="955"/>
      <c r="T170" s="955"/>
      <c r="U170" s="955"/>
      <c r="V170" s="955"/>
      <c r="W170" s="955"/>
      <c r="X170" s="683"/>
      <c r="Y170" s="34"/>
    </row>
    <row r="171" spans="1:27" hidden="1" x14ac:dyDescent="0.2">
      <c r="A171" s="955"/>
      <c r="B171" s="955"/>
      <c r="C171" s="955"/>
      <c r="D171" s="955"/>
      <c r="E171" s="955"/>
      <c r="F171" s="955"/>
      <c r="G171" s="955"/>
      <c r="H171" s="79"/>
      <c r="I171" s="955"/>
      <c r="J171" s="955"/>
      <c r="K171" s="955"/>
      <c r="L171" s="955"/>
      <c r="M171" s="955"/>
      <c r="N171" s="955"/>
      <c r="O171" s="955"/>
      <c r="P171" s="79"/>
      <c r="Q171" s="955"/>
      <c r="R171" s="955"/>
      <c r="S171" s="955"/>
      <c r="T171" s="955"/>
      <c r="U171" s="955"/>
      <c r="V171" s="955"/>
      <c r="W171" s="955"/>
      <c r="X171" s="683"/>
      <c r="Y171" s="34"/>
    </row>
    <row r="172" spans="1:27" hidden="1" x14ac:dyDescent="0.2">
      <c r="A172" s="195"/>
      <c r="B172" s="683"/>
      <c r="C172" s="683"/>
      <c r="D172" s="683"/>
      <c r="E172" s="683"/>
      <c r="F172" s="683"/>
      <c r="G172" s="82"/>
      <c r="H172" s="79"/>
      <c r="I172" s="195"/>
      <c r="J172" s="683"/>
      <c r="K172" s="683"/>
      <c r="L172" s="683"/>
      <c r="M172" s="683"/>
      <c r="N172" s="683"/>
      <c r="O172" s="82"/>
      <c r="P172" s="79"/>
      <c r="Q172" s="195"/>
      <c r="R172" s="683"/>
      <c r="S172" s="683"/>
      <c r="T172" s="683"/>
      <c r="U172" s="683"/>
      <c r="V172" s="683"/>
      <c r="W172" s="82"/>
      <c r="X172" s="82"/>
      <c r="Y172" s="34"/>
    </row>
    <row r="173" spans="1:27" x14ac:dyDescent="0.2">
      <c r="A173" s="931" t="s">
        <v>434</v>
      </c>
      <c r="B173" s="931"/>
      <c r="C173" s="931"/>
      <c r="D173" s="931"/>
      <c r="E173" s="931"/>
      <c r="F173" s="931"/>
      <c r="G173" s="931"/>
      <c r="H173" s="931"/>
      <c r="I173" s="931"/>
      <c r="J173" s="931"/>
      <c r="K173" s="931"/>
      <c r="L173" s="931"/>
      <c r="M173" s="931"/>
      <c r="N173" s="931"/>
      <c r="O173" s="931"/>
      <c r="P173" s="931"/>
      <c r="Q173" s="931"/>
      <c r="R173" s="931"/>
      <c r="S173" s="931"/>
      <c r="T173" s="931"/>
      <c r="U173" s="931"/>
      <c r="V173" s="931"/>
      <c r="W173" s="931"/>
      <c r="X173" s="931"/>
      <c r="Y173" s="931"/>
    </row>
    <row r="174" spans="1:27" ht="96" customHeight="1" x14ac:dyDescent="0.2">
      <c r="A174" s="931" t="s">
        <v>201</v>
      </c>
      <c r="B174" s="931"/>
      <c r="C174" s="931"/>
      <c r="D174" s="931"/>
      <c r="E174" s="931"/>
      <c r="F174" s="931"/>
      <c r="G174" s="727" t="s">
        <v>523</v>
      </c>
      <c r="H174" s="606"/>
      <c r="I174" s="944" t="s">
        <v>201</v>
      </c>
      <c r="J174" s="944"/>
      <c r="K174" s="944"/>
      <c r="L174" s="944"/>
      <c r="M174" s="944"/>
      <c r="N174" s="944"/>
      <c r="O174" s="723" t="s">
        <v>521</v>
      </c>
      <c r="P174" s="607"/>
      <c r="Q174" s="940" t="s">
        <v>201</v>
      </c>
      <c r="R174" s="941"/>
      <c r="S174" s="941"/>
      <c r="T174" s="941"/>
      <c r="U174" s="941"/>
      <c r="V174" s="942"/>
      <c r="W174" s="723" t="s">
        <v>522</v>
      </c>
      <c r="X174" s="723" t="s">
        <v>201</v>
      </c>
      <c r="Y174" s="725" t="s">
        <v>542</v>
      </c>
    </row>
    <row r="175" spans="1:27" ht="14.25" customHeight="1" x14ac:dyDescent="0.2">
      <c r="A175" s="692" t="s">
        <v>1</v>
      </c>
      <c r="B175" s="602" t="str">
        <f>A33</f>
        <v>Módulo 1 - Composição da Remuneração</v>
      </c>
      <c r="C175" s="615"/>
      <c r="D175" s="616"/>
      <c r="E175" s="616"/>
      <c r="F175" s="621"/>
      <c r="G175" s="622">
        <f>G41</f>
        <v>2850.45</v>
      </c>
      <c r="H175" s="79"/>
      <c r="I175" s="692" t="s">
        <v>1</v>
      </c>
      <c r="J175" s="602">
        <f>I33</f>
        <v>0</v>
      </c>
      <c r="K175" s="615"/>
      <c r="L175" s="616"/>
      <c r="M175" s="616"/>
      <c r="N175" s="621"/>
      <c r="O175" s="622">
        <f>O41</f>
        <v>2935.96</v>
      </c>
      <c r="P175" s="34"/>
      <c r="Q175" s="692" t="s">
        <v>1</v>
      </c>
      <c r="R175" s="602" t="s">
        <v>25</v>
      </c>
      <c r="S175" s="615"/>
      <c r="T175" s="616"/>
      <c r="U175" s="616"/>
      <c r="V175" s="621"/>
      <c r="W175" s="622">
        <v>2935.96</v>
      </c>
      <c r="X175" s="622"/>
      <c r="Y175" s="622">
        <v>2935.96</v>
      </c>
    </row>
    <row r="176" spans="1:27" ht="14.25" customHeight="1" x14ac:dyDescent="0.2">
      <c r="A176" s="685" t="s">
        <v>2</v>
      </c>
      <c r="B176" s="680" t="str">
        <f>A46</f>
        <v>Módulo 2 - Encargos e Benefícios Anuais, Mensais e Diários</v>
      </c>
      <c r="C176" s="681"/>
      <c r="D176" s="694"/>
      <c r="E176" s="694"/>
      <c r="F176" s="323"/>
      <c r="G176" s="702">
        <f>G105</f>
        <v>2612.5100000000002</v>
      </c>
      <c r="H176" s="79"/>
      <c r="I176" s="685" t="s">
        <v>2</v>
      </c>
      <c r="J176" s="680">
        <f>I46</f>
        <v>0</v>
      </c>
      <c r="K176" s="681"/>
      <c r="L176" s="694"/>
      <c r="M176" s="694"/>
      <c r="N176" s="323"/>
      <c r="O176" s="702">
        <f>O105</f>
        <v>2693.61</v>
      </c>
      <c r="P176" s="34"/>
      <c r="Q176" s="685" t="s">
        <v>2</v>
      </c>
      <c r="R176" s="680" t="s">
        <v>209</v>
      </c>
      <c r="S176" s="681"/>
      <c r="T176" s="694"/>
      <c r="U176" s="694"/>
      <c r="V176" s="323"/>
      <c r="W176" s="702">
        <v>2693.61</v>
      </c>
      <c r="X176" s="702"/>
      <c r="Y176" s="702">
        <v>2693.61</v>
      </c>
    </row>
    <row r="177" spans="1:25" ht="14.25" customHeight="1" x14ac:dyDescent="0.2">
      <c r="A177" s="685" t="s">
        <v>4</v>
      </c>
      <c r="B177" s="680" t="str">
        <f>A107</f>
        <v>Módulo 3 - Provisão para Rescisão</v>
      </c>
      <c r="C177" s="681"/>
      <c r="D177" s="694"/>
      <c r="E177" s="694"/>
      <c r="F177" s="323"/>
      <c r="G177" s="702">
        <f>G116</f>
        <v>221.48</v>
      </c>
      <c r="H177" s="79"/>
      <c r="I177" s="685" t="s">
        <v>4</v>
      </c>
      <c r="J177" s="680">
        <f>I107</f>
        <v>0</v>
      </c>
      <c r="K177" s="681"/>
      <c r="L177" s="694"/>
      <c r="M177" s="694"/>
      <c r="N177" s="323"/>
      <c r="O177" s="702">
        <f>O116</f>
        <v>228.48</v>
      </c>
      <c r="P177" s="34"/>
      <c r="Q177" s="685" t="s">
        <v>4</v>
      </c>
      <c r="R177" s="680" t="s">
        <v>227</v>
      </c>
      <c r="S177" s="681"/>
      <c r="T177" s="694"/>
      <c r="U177" s="694"/>
      <c r="V177" s="323"/>
      <c r="W177" s="702">
        <f>W116</f>
        <v>143.22999999999999</v>
      </c>
      <c r="X177" s="702"/>
      <c r="Y177" s="702">
        <f>Y116</f>
        <v>143.22999999999999</v>
      </c>
    </row>
    <row r="178" spans="1:25" ht="14.25" customHeight="1" x14ac:dyDescent="0.2">
      <c r="A178" s="685" t="s">
        <v>5</v>
      </c>
      <c r="B178" s="680" t="str">
        <f>A121</f>
        <v>Módulo 4 - Custo de Reposição do Profissional</v>
      </c>
      <c r="C178" s="681"/>
      <c r="D178" s="694"/>
      <c r="E178" s="694"/>
      <c r="F178" s="323"/>
      <c r="G178" s="702">
        <f>G147</f>
        <v>25.24</v>
      </c>
      <c r="H178" s="79"/>
      <c r="I178" s="685" t="s">
        <v>5</v>
      </c>
      <c r="J178" s="680">
        <f>I121</f>
        <v>0</v>
      </c>
      <c r="K178" s="681"/>
      <c r="L178" s="694"/>
      <c r="M178" s="694"/>
      <c r="N178" s="323"/>
      <c r="O178" s="702">
        <f>O147</f>
        <v>25.99</v>
      </c>
      <c r="P178" s="34"/>
      <c r="Q178" s="685" t="s">
        <v>5</v>
      </c>
      <c r="R178" s="680" t="s">
        <v>228</v>
      </c>
      <c r="S178" s="681"/>
      <c r="T178" s="694"/>
      <c r="U178" s="694"/>
      <c r="V178" s="323"/>
      <c r="W178" s="702">
        <v>25.99</v>
      </c>
      <c r="X178" s="702"/>
      <c r="Y178" s="702">
        <v>25.99</v>
      </c>
    </row>
    <row r="179" spans="1:25" x14ac:dyDescent="0.2">
      <c r="A179" s="301" t="s">
        <v>6</v>
      </c>
      <c r="B179" s="680" t="str">
        <f>A149</f>
        <v>Módulo 5 - Insumos Diversos</v>
      </c>
      <c r="C179" s="325"/>
      <c r="D179" s="325"/>
      <c r="E179" s="325"/>
      <c r="F179" s="324"/>
      <c r="G179" s="731">
        <f>G155</f>
        <v>89.93</v>
      </c>
      <c r="H179" s="34"/>
      <c r="I179" s="301" t="s">
        <v>6</v>
      </c>
      <c r="J179" s="680">
        <f>I149</f>
        <v>0</v>
      </c>
      <c r="K179" s="325"/>
      <c r="L179" s="325"/>
      <c r="M179" s="325"/>
      <c r="N179" s="324"/>
      <c r="O179" s="731">
        <f>O155</f>
        <v>89.93</v>
      </c>
      <c r="P179" s="34"/>
      <c r="Q179" s="301" t="s">
        <v>6</v>
      </c>
      <c r="R179" s="680" t="s">
        <v>233</v>
      </c>
      <c r="S179" s="325"/>
      <c r="T179" s="325"/>
      <c r="U179" s="325"/>
      <c r="V179" s="324"/>
      <c r="W179" s="731">
        <v>89.93</v>
      </c>
      <c r="X179" s="731"/>
      <c r="Y179" s="731">
        <f>Y155</f>
        <v>102.75</v>
      </c>
    </row>
    <row r="180" spans="1:25" ht="31.5" customHeight="1" x14ac:dyDescent="0.2">
      <c r="A180" s="933" t="s">
        <v>238</v>
      </c>
      <c r="B180" s="933"/>
      <c r="C180" s="933"/>
      <c r="D180" s="933"/>
      <c r="E180" s="933"/>
      <c r="F180" s="933"/>
      <c r="G180" s="322">
        <f>SUM(G175:G179)</f>
        <v>5799.61</v>
      </c>
      <c r="H180" s="34"/>
      <c r="I180" s="937" t="s">
        <v>238</v>
      </c>
      <c r="J180" s="938"/>
      <c r="K180" s="938"/>
      <c r="L180" s="938"/>
      <c r="M180" s="938"/>
      <c r="N180" s="939"/>
      <c r="O180" s="322">
        <f>SUM(O175:O179)</f>
        <v>5973.97</v>
      </c>
      <c r="P180" s="34"/>
      <c r="Q180" s="937" t="s">
        <v>238</v>
      </c>
      <c r="R180" s="938"/>
      <c r="S180" s="938"/>
      <c r="T180" s="938"/>
      <c r="U180" s="938"/>
      <c r="V180" s="939"/>
      <c r="W180" s="322">
        <f>SUM(W175:W179)</f>
        <v>5888.72</v>
      </c>
      <c r="X180" s="308" t="s">
        <v>238</v>
      </c>
      <c r="Y180" s="322">
        <f>SUM(Y175:Y179)</f>
        <v>5901.54</v>
      </c>
    </row>
    <row r="181" spans="1:25" ht="14.25" customHeight="1" x14ac:dyDescent="0.2">
      <c r="A181" s="685" t="s">
        <v>7</v>
      </c>
      <c r="B181" s="680" t="str">
        <f>A158</f>
        <v>Módulo 6 - Custos Indiretos, Tributos e Lucro</v>
      </c>
      <c r="C181" s="681"/>
      <c r="D181" s="694"/>
      <c r="E181" s="694"/>
      <c r="F181" s="323"/>
      <c r="G181" s="702">
        <f>G167</f>
        <v>676.79</v>
      </c>
      <c r="H181" s="34"/>
      <c r="I181" s="685" t="s">
        <v>7</v>
      </c>
      <c r="J181" s="680">
        <f>I158</f>
        <v>0</v>
      </c>
      <c r="K181" s="681"/>
      <c r="L181" s="694"/>
      <c r="M181" s="694"/>
      <c r="N181" s="323"/>
      <c r="O181" s="702">
        <f>O167</f>
        <v>697.13</v>
      </c>
      <c r="P181" s="34"/>
      <c r="Q181" s="685" t="s">
        <v>7</v>
      </c>
      <c r="R181" s="680" t="s">
        <v>237</v>
      </c>
      <c r="S181" s="681"/>
      <c r="T181" s="694"/>
      <c r="U181" s="694"/>
      <c r="V181" s="323"/>
      <c r="W181" s="702">
        <f>W167</f>
        <v>687.19</v>
      </c>
      <c r="X181" s="702"/>
      <c r="Y181" s="702">
        <f>Y167</f>
        <v>688.69</v>
      </c>
    </row>
    <row r="182" spans="1:25" ht="45.75" customHeight="1" x14ac:dyDescent="0.2">
      <c r="A182" s="933" t="s">
        <v>179</v>
      </c>
      <c r="B182" s="933"/>
      <c r="C182" s="933"/>
      <c r="D182" s="933"/>
      <c r="E182" s="933"/>
      <c r="F182" s="933"/>
      <c r="G182" s="322">
        <f>SUM(G180:G181)</f>
        <v>6476.4</v>
      </c>
      <c r="H182" s="34"/>
      <c r="I182" s="937" t="s">
        <v>179</v>
      </c>
      <c r="J182" s="938"/>
      <c r="K182" s="938"/>
      <c r="L182" s="938"/>
      <c r="M182" s="938"/>
      <c r="N182" s="939"/>
      <c r="O182" s="322">
        <f>SUM(O180:O181)</f>
        <v>6671.1</v>
      </c>
      <c r="P182" s="34"/>
      <c r="Q182" s="937" t="s">
        <v>179</v>
      </c>
      <c r="R182" s="938"/>
      <c r="S182" s="938"/>
      <c r="T182" s="938"/>
      <c r="U182" s="938"/>
      <c r="V182" s="939"/>
      <c r="W182" s="322">
        <f>SUM(W180:W181)</f>
        <v>6575.91</v>
      </c>
      <c r="X182" s="308" t="s">
        <v>179</v>
      </c>
      <c r="Y182" s="322">
        <f>SUM(Y180:Y181)</f>
        <v>6590.23</v>
      </c>
    </row>
    <row r="183" spans="1:25" hidden="1" x14ac:dyDescent="0.2">
      <c r="A183" s="951" t="s">
        <v>436</v>
      </c>
      <c r="B183" s="951"/>
      <c r="C183" s="951"/>
      <c r="D183" s="951"/>
      <c r="E183" s="951"/>
      <c r="F183" s="951"/>
      <c r="G183" s="332"/>
    </row>
    <row r="184" spans="1:25" ht="0.75" customHeight="1" x14ac:dyDescent="0.2">
      <c r="A184" s="951" t="s">
        <v>179</v>
      </c>
      <c r="B184" s="951"/>
      <c r="C184" s="951"/>
      <c r="D184" s="951"/>
      <c r="E184" s="951"/>
      <c r="F184" s="951"/>
      <c r="G184" s="332">
        <f>SUM(G182:G183)</f>
        <v>6476.4</v>
      </c>
    </row>
  </sheetData>
  <mergeCells count="221">
    <mergeCell ref="Q180:V180"/>
    <mergeCell ref="I167:M167"/>
    <mergeCell ref="I170:O171"/>
    <mergeCell ref="I174:N174"/>
    <mergeCell ref="I180:N180"/>
    <mergeCell ref="J150:N150"/>
    <mergeCell ref="I155:N155"/>
    <mergeCell ref="N26:O26"/>
    <mergeCell ref="N27:O27"/>
    <mergeCell ref="N28:O28"/>
    <mergeCell ref="N29:O29"/>
    <mergeCell ref="N30:O30"/>
    <mergeCell ref="N31:O31"/>
    <mergeCell ref="V26:W26"/>
    <mergeCell ref="V27:W27"/>
    <mergeCell ref="V28:W28"/>
    <mergeCell ref="V29:W29"/>
    <mergeCell ref="V30:W30"/>
    <mergeCell ref="V31:W31"/>
    <mergeCell ref="Q122:W123"/>
    <mergeCell ref="R125:U125"/>
    <mergeCell ref="Q132:U132"/>
    <mergeCell ref="Q136:W136"/>
    <mergeCell ref="R108:U108"/>
    <mergeCell ref="I132:M132"/>
    <mergeCell ref="A140:G141"/>
    <mergeCell ref="B144:F144"/>
    <mergeCell ref="A147:F147"/>
    <mergeCell ref="J125:M125"/>
    <mergeCell ref="B101:F101"/>
    <mergeCell ref="A105:F105"/>
    <mergeCell ref="A96:F96"/>
    <mergeCell ref="A107:Y107"/>
    <mergeCell ref="J108:M108"/>
    <mergeCell ref="Q116:U116"/>
    <mergeCell ref="B137:F137"/>
    <mergeCell ref="A122:G123"/>
    <mergeCell ref="A121:Y121"/>
    <mergeCell ref="A116:E116"/>
    <mergeCell ref="I116:M116"/>
    <mergeCell ref="I122:O123"/>
    <mergeCell ref="Q105:V105"/>
    <mergeCell ref="I105:N105"/>
    <mergeCell ref="B108:E108"/>
    <mergeCell ref="R101:V101"/>
    <mergeCell ref="I98:O98"/>
    <mergeCell ref="J101:N101"/>
    <mergeCell ref="B159:E159"/>
    <mergeCell ref="B150:F150"/>
    <mergeCell ref="A155:F155"/>
    <mergeCell ref="B138:F138"/>
    <mergeCell ref="A139:F139"/>
    <mergeCell ref="A136:G136"/>
    <mergeCell ref="R159:U159"/>
    <mergeCell ref="R144:V144"/>
    <mergeCell ref="Q147:V147"/>
    <mergeCell ref="R150:V150"/>
    <mergeCell ref="Q155:V155"/>
    <mergeCell ref="I139:N139"/>
    <mergeCell ref="I140:O141"/>
    <mergeCell ref="J144:N144"/>
    <mergeCell ref="I147:N147"/>
    <mergeCell ref="I136:O136"/>
    <mergeCell ref="J137:N137"/>
    <mergeCell ref="J138:N138"/>
    <mergeCell ref="A100:Y100"/>
    <mergeCell ref="A84:A85"/>
    <mergeCell ref="B83:E83"/>
    <mergeCell ref="A86:A87"/>
    <mergeCell ref="Q23:R23"/>
    <mergeCell ref="A75:G75"/>
    <mergeCell ref="A74:E74"/>
    <mergeCell ref="A76:G76"/>
    <mergeCell ref="A98:G98"/>
    <mergeCell ref="B48:E48"/>
    <mergeCell ref="B50:E50"/>
    <mergeCell ref="I51:M51"/>
    <mergeCell ref="I52:O53"/>
    <mergeCell ref="I74:M74"/>
    <mergeCell ref="I75:O75"/>
    <mergeCell ref="J65:M65"/>
    <mergeCell ref="I76:O76"/>
    <mergeCell ref="F29:G29"/>
    <mergeCell ref="B34:E34"/>
    <mergeCell ref="B65:E65"/>
    <mergeCell ref="Q96:V96"/>
    <mergeCell ref="Q98:W98"/>
    <mergeCell ref="Q7:W7"/>
    <mergeCell ref="Q8:W8"/>
    <mergeCell ref="Q9:W9"/>
    <mergeCell ref="S10:U10"/>
    <mergeCell ref="Q12:R12"/>
    <mergeCell ref="S12:T12"/>
    <mergeCell ref="Q21:W21"/>
    <mergeCell ref="A46:Y46"/>
    <mergeCell ref="A47:Y47"/>
    <mergeCell ref="A82:Y82"/>
    <mergeCell ref="R83:U83"/>
    <mergeCell ref="Q84:Q85"/>
    <mergeCell ref="R48:U48"/>
    <mergeCell ref="R50:U50"/>
    <mergeCell ref="J48:M48"/>
    <mergeCell ref="J50:M50"/>
    <mergeCell ref="J83:M83"/>
    <mergeCell ref="I84:I85"/>
    <mergeCell ref="I86:I87"/>
    <mergeCell ref="I96:N96"/>
    <mergeCell ref="Q22:R22"/>
    <mergeCell ref="I7:O7"/>
    <mergeCell ref="I8:O8"/>
    <mergeCell ref="I9:O9"/>
    <mergeCell ref="I12:J12"/>
    <mergeCell ref="K12:L12"/>
    <mergeCell ref="S13:T13"/>
    <mergeCell ref="Q16:W16"/>
    <mergeCell ref="V17:W17"/>
    <mergeCell ref="V18:W18"/>
    <mergeCell ref="V19:W19"/>
    <mergeCell ref="N19:O19"/>
    <mergeCell ref="I13:J13"/>
    <mergeCell ref="K13:L13"/>
    <mergeCell ref="I16:O16"/>
    <mergeCell ref="N17:O17"/>
    <mergeCell ref="N18:O18"/>
    <mergeCell ref="Q13:R13"/>
    <mergeCell ref="J28:M28"/>
    <mergeCell ref="A5:G5"/>
    <mergeCell ref="A6:G6"/>
    <mergeCell ref="A23:B23"/>
    <mergeCell ref="B27:E27"/>
    <mergeCell ref="F27:G27"/>
    <mergeCell ref="B26:E26"/>
    <mergeCell ref="A22:B22"/>
    <mergeCell ref="A7:G7"/>
    <mergeCell ref="A8:G8"/>
    <mergeCell ref="A12:B12"/>
    <mergeCell ref="C12:D12"/>
    <mergeCell ref="C13:D13"/>
    <mergeCell ref="F18:G18"/>
    <mergeCell ref="A25:Y25"/>
    <mergeCell ref="A9:G9"/>
    <mergeCell ref="F19:G19"/>
    <mergeCell ref="A21:G21"/>
    <mergeCell ref="X26:Y26"/>
    <mergeCell ref="X27:Y27"/>
    <mergeCell ref="F26:G26"/>
    <mergeCell ref="J27:M27"/>
    <mergeCell ref="A13:B13"/>
    <mergeCell ref="K10:M10"/>
    <mergeCell ref="A16:G16"/>
    <mergeCell ref="F17:G17"/>
    <mergeCell ref="A183:F183"/>
    <mergeCell ref="A184:F184"/>
    <mergeCell ref="A182:F182"/>
    <mergeCell ref="A174:F174"/>
    <mergeCell ref="A180:F180"/>
    <mergeCell ref="A132:E132"/>
    <mergeCell ref="B125:E125"/>
    <mergeCell ref="A124:Y124"/>
    <mergeCell ref="A143:Y143"/>
    <mergeCell ref="A149:Y149"/>
    <mergeCell ref="A158:Y158"/>
    <mergeCell ref="A173:Y173"/>
    <mergeCell ref="J159:M159"/>
    <mergeCell ref="Q139:V139"/>
    <mergeCell ref="R137:V137"/>
    <mergeCell ref="R138:V138"/>
    <mergeCell ref="Q140:W141"/>
    <mergeCell ref="Q182:V182"/>
    <mergeCell ref="Q167:U167"/>
    <mergeCell ref="Q170:W171"/>
    <mergeCell ref="I182:N182"/>
    <mergeCell ref="A170:G171"/>
    <mergeCell ref="A167:E167"/>
    <mergeCell ref="Q174:V174"/>
    <mergeCell ref="Q43:W44"/>
    <mergeCell ref="I56:O57"/>
    <mergeCell ref="F30:G30"/>
    <mergeCell ref="A51:E51"/>
    <mergeCell ref="A62:F62"/>
    <mergeCell ref="A59:F59"/>
    <mergeCell ref="A56:G57"/>
    <mergeCell ref="Q56:W57"/>
    <mergeCell ref="Q59:V59"/>
    <mergeCell ref="Q62:V62"/>
    <mergeCell ref="I59:N59"/>
    <mergeCell ref="I62:N62"/>
    <mergeCell ref="A54:G55"/>
    <mergeCell ref="Q51:U51"/>
    <mergeCell ref="Q52:W53"/>
    <mergeCell ref="Q54:W55"/>
    <mergeCell ref="A52:G53"/>
    <mergeCell ref="R65:U65"/>
    <mergeCell ref="Q74:U74"/>
    <mergeCell ref="Q75:W75"/>
    <mergeCell ref="Q76:W76"/>
    <mergeCell ref="Q86:Q87"/>
    <mergeCell ref="B28:E28"/>
    <mergeCell ref="F28:G28"/>
    <mergeCell ref="J30:M30"/>
    <mergeCell ref="I77:O77"/>
    <mergeCell ref="Q77:W77"/>
    <mergeCell ref="A77:G77"/>
    <mergeCell ref="X28:Y28"/>
    <mergeCell ref="X29:Y29"/>
    <mergeCell ref="X30:Y30"/>
    <mergeCell ref="X31:Y31"/>
    <mergeCell ref="A64:Y64"/>
    <mergeCell ref="B30:E30"/>
    <mergeCell ref="F31:G31"/>
    <mergeCell ref="B31:E31"/>
    <mergeCell ref="A43:G44"/>
    <mergeCell ref="A33:Y33"/>
    <mergeCell ref="A41:F41"/>
    <mergeCell ref="J34:M34"/>
    <mergeCell ref="I54:O55"/>
    <mergeCell ref="I41:N41"/>
    <mergeCell ref="I43:O44"/>
    <mergeCell ref="J31:M31"/>
    <mergeCell ref="R34:U34"/>
    <mergeCell ref="Q41:V41"/>
  </mergeCells>
  <dataValidations count="2">
    <dataValidation allowBlank="1" showInputMessage="1" showErrorMessage="1" errorTitle="Atenção" error="Não esquecer de buscar os valores e alterar na coluna F - das linhas 50 a 60, em caso de mais de um Sindicato." promptTitle="Benefícios" prompt="- Em caso de mais de um Sindicato em &quot;Dados&quot;, não esquecer de buscar os valores e alterar na coluna F - das linhas 50 a 60." sqref="F84:F95 N84:N95" xr:uid="{00000000-0002-0000-0200-000000000000}"/>
    <dataValidation allowBlank="1" showInputMessage="1" showErrorMessage="1" errorTitle="Atenção" error="Os dias só poderão ser alterados nos Dados." promptTitle="Jornada de Trabalho" prompt="- Alterando a carga horária, automaticamente será alterado os dias trabalhados._x000a_" sqref="C23 K23" xr:uid="{00000000-0002-0000-0200-000001000000}"/>
  </dataValidations>
  <printOptions horizontalCentered="1"/>
  <pageMargins left="0.55118110236220474" right="0.55118110236220474" top="1.3779527559055118" bottom="0.43307086614173229" header="0.15748031496062992" footer="0.23622047244094491"/>
  <pageSetup paperSize="9" scale="46" fitToHeight="0" orientation="portrait" r:id="rId1"/>
  <headerFooter alignWithMargins="0">
    <oddHeader>&amp;L&amp;"+,Negrito"&amp;8PROPOSTA Nº 053/2020 - CJF</oddHeader>
  </headerFooter>
  <rowBreaks count="2" manualBreakCount="2">
    <brk id="62" max="25" man="1"/>
    <brk id="134" max="25" man="1"/>
  </rowBreaks>
  <ignoredErrors>
    <ignoredError sqref="D20:E20 D31:E31 D30:E30 D28:E28 D18:E18 D21:E21 G95 G153:G154 G12:G13 A17 D17:E17 D19:E19 F20:G20 F21:G21 D26:E26 G39 G36:G37 B26 B21 A18:B18 A20:B20 G84 E23:G23 C12:D12 B95 G19 G17 G18 F19 F18 F17 C13:D13 G102:G104 G145:G146 G151:G152 G86 G28 G27 G29 G30 G31 G2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20"/>
  <dimension ref="A1:S186"/>
  <sheetViews>
    <sheetView topLeftCell="A158" zoomScaleNormal="100" zoomScaleSheetLayoutView="100" workbookViewId="0">
      <selection activeCell="C87" sqref="C87"/>
    </sheetView>
  </sheetViews>
  <sheetFormatPr defaultRowHeight="14.25" x14ac:dyDescent="0.2"/>
  <cols>
    <col min="1" max="1" width="13.28515625" style="34" customWidth="1"/>
    <col min="2" max="2" width="25.5703125" style="34" customWidth="1"/>
    <col min="3" max="3" width="19.7109375" style="34" customWidth="1"/>
    <col min="4" max="4" width="10.140625" style="34" customWidth="1"/>
    <col min="5" max="5" width="19.28515625" style="34" customWidth="1"/>
    <col min="6" max="6" width="15.42578125" style="34" hidden="1" customWidth="1"/>
    <col min="7" max="7" width="18" style="66" hidden="1" customWidth="1"/>
    <col min="8" max="8" width="15.140625" style="35" hidden="1" customWidth="1"/>
    <col min="9" max="9" width="20" style="35" hidden="1" customWidth="1"/>
    <col min="10" max="10" width="18.140625" style="35" hidden="1" customWidth="1"/>
    <col min="11" max="11" width="3.85546875" style="35" hidden="1" customWidth="1"/>
    <col min="12" max="12" width="24.140625" style="35" hidden="1" customWidth="1"/>
    <col min="13" max="13" width="20.85546875" style="35" hidden="1" customWidth="1"/>
    <col min="14" max="14" width="6.140625" style="35" hidden="1" customWidth="1"/>
    <col min="15" max="15" width="13.28515625" style="35" customWidth="1"/>
    <col min="16" max="16" width="10.28515625" style="35" customWidth="1"/>
    <col min="17" max="17" width="9.140625" style="35"/>
    <col min="18" max="18" width="18" style="35" customWidth="1"/>
    <col min="19" max="16384" width="9.140625" style="35"/>
  </cols>
  <sheetData>
    <row r="1" spans="1:18" x14ac:dyDescent="0.2">
      <c r="A1" s="65" t="str">
        <f>Proposta!C55</f>
        <v>Razão Social: BRASFORT EMPRESA DE SEGURANÇA LTDA</v>
      </c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x14ac:dyDescent="0.2">
      <c r="A2" s="65" t="str">
        <f>Proposta!C56</f>
        <v>CNPJ: 03.497.401/0001-97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x14ac:dyDescent="0.2">
      <c r="A3" s="66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x14ac:dyDescent="0.2">
      <c r="A4" s="66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ht="14.25" hidden="1" customHeight="1" x14ac:dyDescent="0.2">
      <c r="A5" s="956" t="str">
        <f>Dados!H2</f>
        <v xml:space="preserve">REPACTUAÇÃO CONTRATUAL 20___ - </v>
      </c>
      <c r="B5" s="956"/>
      <c r="C5" s="956"/>
      <c r="D5" s="956"/>
      <c r="E5" s="956"/>
      <c r="F5" s="956"/>
      <c r="G5" s="956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18" ht="14.25" hidden="1" customHeight="1" x14ac:dyDescent="0.2">
      <c r="A6" s="1016" t="str">
        <f>Dados!A10</f>
        <v>CONTRATO Nº __________/201__ - CONTRATANTE - PRESTAÇÃO DE SERVIÇOS --------</v>
      </c>
      <c r="B6" s="1016"/>
      <c r="C6" s="1016"/>
      <c r="D6" s="1016"/>
      <c r="E6" s="1016"/>
      <c r="F6" s="1016"/>
      <c r="G6" s="1016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x14ac:dyDescent="0.2">
      <c r="A7" s="1017" t="s">
        <v>475</v>
      </c>
      <c r="B7" s="1018"/>
      <c r="C7" s="1018"/>
      <c r="D7" s="1018"/>
      <c r="E7" s="1018"/>
      <c r="F7" s="1018"/>
      <c r="G7" s="1019"/>
      <c r="H7" s="607"/>
      <c r="I7" s="80"/>
      <c r="J7" s="34"/>
      <c r="K7" s="34"/>
      <c r="L7" s="34"/>
      <c r="M7" s="34"/>
      <c r="N7" s="34"/>
      <c r="O7" s="34"/>
      <c r="P7" s="34"/>
      <c r="Q7" s="34"/>
      <c r="R7" s="34"/>
    </row>
    <row r="8" spans="1:18" ht="14.25" customHeight="1" x14ac:dyDescent="0.2">
      <c r="A8" s="1017" t="str">
        <f>Dados!A11</f>
        <v>PLANILHA DE CUSTOS E FORMAÇÃO DE PREÇOS - CJF</v>
      </c>
      <c r="B8" s="1018"/>
      <c r="C8" s="1018"/>
      <c r="D8" s="1018"/>
      <c r="E8" s="1018"/>
      <c r="F8" s="1018"/>
      <c r="G8" s="1019"/>
      <c r="H8" s="607"/>
      <c r="I8" s="80"/>
      <c r="J8" s="34"/>
      <c r="K8" s="34"/>
      <c r="L8" s="34"/>
      <c r="M8" s="34"/>
      <c r="N8" s="34"/>
      <c r="O8" s="34"/>
      <c r="P8" s="34"/>
      <c r="Q8" s="34"/>
      <c r="R8" s="34"/>
    </row>
    <row r="9" spans="1:18" ht="14.25" hidden="1" customHeight="1" x14ac:dyDescent="0.2">
      <c r="A9" s="1017" t="s">
        <v>256</v>
      </c>
      <c r="B9" s="1018"/>
      <c r="C9" s="1018"/>
      <c r="D9" s="1018"/>
      <c r="E9" s="1018"/>
      <c r="F9" s="1018"/>
      <c r="G9" s="1019"/>
      <c r="H9" s="607"/>
      <c r="I9" s="80"/>
      <c r="J9" s="34"/>
      <c r="K9" s="34"/>
      <c r="L9" s="34"/>
      <c r="M9" s="34"/>
      <c r="N9" s="34"/>
      <c r="O9" s="34"/>
      <c r="P9" s="34"/>
      <c r="Q9" s="34"/>
      <c r="R9" s="34"/>
    </row>
    <row r="10" spans="1:18" ht="15" customHeight="1" x14ac:dyDescent="0.2">
      <c r="A10" s="685"/>
      <c r="B10" s="685"/>
      <c r="C10" s="685"/>
      <c r="D10" s="685"/>
      <c r="E10" s="685"/>
      <c r="F10" s="685"/>
      <c r="G10" s="685"/>
      <c r="H10" s="607"/>
      <c r="I10" s="80"/>
      <c r="J10" s="34"/>
      <c r="K10" s="34"/>
      <c r="L10" s="34"/>
      <c r="M10" s="34"/>
      <c r="N10" s="34"/>
      <c r="O10" s="34"/>
      <c r="P10" s="34"/>
      <c r="Q10" s="34"/>
      <c r="R10" s="34"/>
    </row>
    <row r="11" spans="1:18" ht="9.75" customHeight="1" x14ac:dyDescent="0.2">
      <c r="A11" s="608"/>
      <c r="B11" s="608"/>
      <c r="C11" s="608"/>
      <c r="D11" s="608"/>
      <c r="E11" s="608"/>
      <c r="F11" s="608"/>
      <c r="G11" s="608"/>
      <c r="H11" s="607"/>
      <c r="I11" s="80"/>
      <c r="J11" s="34"/>
      <c r="K11" s="34"/>
      <c r="L11" s="34"/>
      <c r="M11" s="34"/>
      <c r="N11" s="34"/>
      <c r="O11" s="34"/>
      <c r="P11" s="34"/>
      <c r="Q11" s="34"/>
      <c r="R11" s="34"/>
    </row>
    <row r="12" spans="1:18" ht="15.75" customHeight="1" x14ac:dyDescent="0.2">
      <c r="A12" s="961" t="s">
        <v>104</v>
      </c>
      <c r="B12" s="962"/>
      <c r="C12" s="963" t="str">
        <f>Dados!G14</f>
        <v>0000793-29.2020.4.90.8000</v>
      </c>
      <c r="D12" s="964"/>
      <c r="E12" s="609"/>
      <c r="F12" s="607"/>
      <c r="G12" s="609"/>
      <c r="H12" s="607"/>
      <c r="I12" s="80"/>
      <c r="J12" s="34"/>
      <c r="K12" s="34"/>
      <c r="L12" s="34"/>
      <c r="M12" s="34"/>
      <c r="N12" s="34"/>
      <c r="O12" s="34"/>
      <c r="P12" s="34"/>
      <c r="Q12" s="34"/>
      <c r="R12" s="34"/>
    </row>
    <row r="13" spans="1:18" ht="15.75" customHeight="1" x14ac:dyDescent="0.2">
      <c r="A13" s="961" t="s">
        <v>103</v>
      </c>
      <c r="B13" s="962"/>
      <c r="C13" s="965" t="str">
        <f>"Pregão Eletrônico nº:" &amp; " " &amp; Dados!G22</f>
        <v>Pregão Eletrônico nº: 09/2020</v>
      </c>
      <c r="D13" s="966"/>
      <c r="E13" s="609"/>
      <c r="F13" s="742">
        <v>1</v>
      </c>
      <c r="G13" s="609"/>
      <c r="H13" s="607"/>
      <c r="I13" s="80"/>
      <c r="J13" s="34"/>
      <c r="K13" s="34"/>
      <c r="L13" s="34"/>
      <c r="M13" s="34"/>
      <c r="N13" s="34"/>
      <c r="O13" s="34"/>
      <c r="P13" s="34"/>
      <c r="Q13" s="34"/>
      <c r="R13" s="34"/>
    </row>
    <row r="14" spans="1:18" ht="15.75" customHeight="1" x14ac:dyDescent="0.2">
      <c r="A14" s="700" t="str">
        <f>"Dia:" &amp; " " &amp; TEXT(Dados!G15,"dd/mm/aaaa") &amp; " " &amp; "às" &amp; " " &amp; TEXT(Dados!G18,"hh:mm") &amp; " " &amp; "horas"</f>
        <v>Dia: 22/06/2020 às 10:00 horas</v>
      </c>
      <c r="B14" s="700"/>
      <c r="C14" s="700"/>
      <c r="D14" s="608"/>
      <c r="E14" s="609"/>
      <c r="F14" s="685"/>
      <c r="G14" s="610"/>
      <c r="H14" s="607"/>
      <c r="I14" s="80"/>
      <c r="J14" s="34"/>
      <c r="K14" s="34"/>
      <c r="L14" s="34"/>
      <c r="M14" s="34"/>
      <c r="N14" s="34"/>
      <c r="O14" s="34"/>
      <c r="P14" s="34"/>
      <c r="Q14" s="34"/>
      <c r="R14" s="34"/>
    </row>
    <row r="15" spans="1:18" ht="8.25" customHeight="1" x14ac:dyDescent="0.2">
      <c r="A15" s="700"/>
      <c r="B15" s="700"/>
      <c r="C15" s="700"/>
      <c r="D15" s="608"/>
      <c r="E15" s="609"/>
      <c r="F15" s="679"/>
      <c r="G15" s="610"/>
      <c r="H15" s="607"/>
      <c r="I15" s="80"/>
      <c r="J15" s="34"/>
      <c r="K15" s="34"/>
      <c r="L15" s="34"/>
      <c r="M15" s="34"/>
      <c r="N15" s="34"/>
      <c r="O15" s="34"/>
      <c r="P15" s="34"/>
      <c r="Q15" s="34"/>
      <c r="R15" s="34"/>
    </row>
    <row r="16" spans="1:18" ht="18" customHeight="1" x14ac:dyDescent="0.2">
      <c r="A16" s="940" t="s">
        <v>205</v>
      </c>
      <c r="B16" s="941"/>
      <c r="C16" s="941"/>
      <c r="D16" s="941"/>
      <c r="E16" s="941"/>
      <c r="F16" s="941"/>
      <c r="G16" s="942"/>
      <c r="H16" s="607"/>
      <c r="I16" s="80"/>
      <c r="J16" s="34"/>
      <c r="K16" s="34"/>
      <c r="L16" s="34"/>
      <c r="M16" s="34"/>
      <c r="N16" s="34"/>
      <c r="O16" s="34"/>
      <c r="P16" s="34"/>
      <c r="Q16" s="34"/>
      <c r="R16" s="34"/>
    </row>
    <row r="17" spans="1:19" ht="16.5" customHeight="1" x14ac:dyDescent="0.2">
      <c r="A17" s="685" t="s">
        <v>1</v>
      </c>
      <c r="B17" s="700" t="s">
        <v>105</v>
      </c>
      <c r="C17" s="700"/>
      <c r="D17" s="691"/>
      <c r="E17" s="609"/>
      <c r="F17" s="929">
        <f>Dados!G16</f>
        <v>44012</v>
      </c>
      <c r="G17" s="930"/>
      <c r="H17" s="607"/>
      <c r="I17" s="80"/>
      <c r="J17" s="34"/>
      <c r="K17" s="34"/>
      <c r="L17" s="34"/>
      <c r="M17" s="34"/>
      <c r="N17" s="34"/>
      <c r="O17" s="34"/>
      <c r="P17" s="34"/>
      <c r="Q17" s="34"/>
      <c r="R17" s="34"/>
    </row>
    <row r="18" spans="1:19" ht="16.5" customHeight="1" x14ac:dyDescent="0.2">
      <c r="A18" s="685" t="s">
        <v>2</v>
      </c>
      <c r="B18" s="691" t="s">
        <v>3</v>
      </c>
      <c r="C18" s="691"/>
      <c r="D18" s="691"/>
      <c r="E18" s="609"/>
      <c r="F18" s="929" t="str">
        <f>Dados!G19</f>
        <v>Brasília - DF</v>
      </c>
      <c r="G18" s="930"/>
      <c r="H18" s="607"/>
      <c r="I18" s="80"/>
      <c r="J18" s="34"/>
      <c r="K18" s="34"/>
      <c r="L18" s="34"/>
      <c r="M18" s="34"/>
      <c r="N18" s="34"/>
      <c r="O18" s="34"/>
      <c r="P18" s="34"/>
      <c r="Q18" s="34"/>
      <c r="R18" s="34"/>
    </row>
    <row r="19" spans="1:19" ht="16.5" customHeight="1" x14ac:dyDescent="0.2">
      <c r="A19" s="685" t="s">
        <v>4</v>
      </c>
      <c r="B19" s="700" t="s">
        <v>106</v>
      </c>
      <c r="C19" s="700"/>
      <c r="D19" s="691"/>
      <c r="E19" s="609"/>
      <c r="F19" s="927">
        <f>Dados!G26</f>
        <v>20</v>
      </c>
      <c r="G19" s="928"/>
      <c r="H19" s="607"/>
      <c r="I19" s="80"/>
      <c r="J19" s="34"/>
      <c r="K19" s="34"/>
      <c r="L19" s="34"/>
      <c r="M19" s="34"/>
      <c r="N19" s="34"/>
      <c r="O19" s="34"/>
      <c r="P19" s="34"/>
      <c r="Q19" s="34"/>
      <c r="R19" s="34"/>
    </row>
    <row r="20" spans="1:19" ht="9" customHeight="1" x14ac:dyDescent="0.2">
      <c r="A20" s="685"/>
      <c r="B20" s="608"/>
      <c r="C20" s="608"/>
      <c r="D20" s="608"/>
      <c r="E20" s="608"/>
      <c r="F20" s="608"/>
      <c r="G20" s="685"/>
      <c r="H20" s="607"/>
      <c r="I20" s="80"/>
      <c r="J20" s="34"/>
      <c r="K20" s="34"/>
      <c r="L20" s="34"/>
      <c r="M20" s="34"/>
      <c r="N20" s="34"/>
      <c r="O20" s="34"/>
      <c r="P20" s="34"/>
      <c r="Q20" s="34"/>
      <c r="R20" s="34"/>
    </row>
    <row r="21" spans="1:19" ht="16.5" customHeight="1" x14ac:dyDescent="0.2">
      <c r="A21" s="941" t="s">
        <v>204</v>
      </c>
      <c r="B21" s="941"/>
      <c r="C21" s="941"/>
      <c r="D21" s="941"/>
      <c r="E21" s="941"/>
      <c r="F21" s="941"/>
      <c r="G21" s="941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1:19" ht="51" customHeight="1" x14ac:dyDescent="0.2">
      <c r="A22" s="940" t="s">
        <v>76</v>
      </c>
      <c r="B22" s="942"/>
      <c r="C22" s="723" t="s">
        <v>148</v>
      </c>
      <c r="D22" s="723" t="s">
        <v>102</v>
      </c>
      <c r="E22" s="723" t="s">
        <v>64</v>
      </c>
      <c r="F22" s="723" t="s">
        <v>149</v>
      </c>
      <c r="G22" s="940" t="s">
        <v>74</v>
      </c>
      <c r="H22" s="942"/>
      <c r="I22" s="687"/>
      <c r="J22" s="34"/>
      <c r="K22" s="34"/>
      <c r="L22" s="34"/>
      <c r="M22" s="34"/>
      <c r="N22" s="34"/>
      <c r="O22" s="34"/>
      <c r="P22" s="34"/>
      <c r="Q22" s="34"/>
      <c r="R22" s="34"/>
    </row>
    <row r="23" spans="1:19" ht="33.75" customHeight="1" x14ac:dyDescent="0.2">
      <c r="A23" s="961" t="str">
        <f>Dados!N74</f>
        <v>Vigilância Diurna 5x2</v>
      </c>
      <c r="B23" s="962"/>
      <c r="C23" s="685" t="str">
        <f>Dados!J31</f>
        <v>44 horas semanais - 5x2</v>
      </c>
      <c r="D23" s="685" t="str">
        <f>Dados!G25</f>
        <v>Postos de Serviços</v>
      </c>
      <c r="E23" s="331">
        <f>Dados!R74</f>
        <v>6</v>
      </c>
      <c r="F23" s="331">
        <f>Dados!S74</f>
        <v>1</v>
      </c>
      <c r="G23" s="1014">
        <f>E23*F23</f>
        <v>6</v>
      </c>
      <c r="H23" s="1015"/>
      <c r="I23" s="382"/>
      <c r="J23" s="34"/>
      <c r="K23" s="34"/>
      <c r="L23" s="34"/>
      <c r="M23" s="34"/>
      <c r="N23" s="34"/>
      <c r="O23" s="34"/>
      <c r="P23" s="34"/>
      <c r="Q23" s="34"/>
      <c r="R23" s="34"/>
    </row>
    <row r="24" spans="1:19" ht="14.25" customHeight="1" x14ac:dyDescent="0.2">
      <c r="A24" s="71"/>
      <c r="B24" s="71"/>
      <c r="C24" s="71"/>
      <c r="D24" s="71"/>
      <c r="E24" s="71"/>
      <c r="F24" s="195"/>
      <c r="G24" s="195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1:19" ht="64.5" customHeight="1" x14ac:dyDescent="0.2">
      <c r="A25" s="970" t="s">
        <v>415</v>
      </c>
      <c r="B25" s="967"/>
      <c r="C25" s="967"/>
      <c r="D25" s="967"/>
      <c r="E25" s="967"/>
      <c r="F25" s="967"/>
      <c r="G25" s="967"/>
      <c r="H25" s="967"/>
      <c r="I25" s="967"/>
      <c r="J25" s="967"/>
      <c r="K25" s="967"/>
      <c r="L25" s="967"/>
      <c r="M25" s="967"/>
      <c r="N25" s="967"/>
      <c r="O25" s="967"/>
      <c r="P25" s="967"/>
      <c r="Q25" s="967"/>
      <c r="R25" s="967"/>
    </row>
    <row r="26" spans="1:19" ht="88.5" customHeight="1" x14ac:dyDescent="0.2">
      <c r="A26" s="685">
        <v>1</v>
      </c>
      <c r="B26" s="922" t="s">
        <v>76</v>
      </c>
      <c r="C26" s="922"/>
      <c r="D26" s="922"/>
      <c r="E26" s="922"/>
      <c r="F26" s="950" t="str">
        <f>Dados!P74</f>
        <v>Vigilante Desarmado Diurno, 44 horas semanais, sendo 8h48 trabalhadas de 2ª a 6ª feira, entre das 07h e 21h</v>
      </c>
      <c r="G26" s="950"/>
      <c r="H26" s="950"/>
      <c r="I26" s="927" t="s">
        <v>360</v>
      </c>
      <c r="J26" s="1023"/>
      <c r="K26" s="928"/>
      <c r="L26" s="927" t="s">
        <v>360</v>
      </c>
      <c r="M26" s="1023"/>
      <c r="N26" s="1023"/>
      <c r="O26" s="950" t="s">
        <v>360</v>
      </c>
      <c r="P26" s="950"/>
      <c r="Q26" s="950"/>
      <c r="R26" s="950"/>
      <c r="S26" s="662"/>
    </row>
    <row r="27" spans="1:19" ht="14.25" customHeight="1" x14ac:dyDescent="0.2">
      <c r="A27" s="685">
        <v>2</v>
      </c>
      <c r="B27" s="922" t="s">
        <v>202</v>
      </c>
      <c r="C27" s="922"/>
      <c r="D27" s="922"/>
      <c r="E27" s="922"/>
      <c r="F27" s="957" t="str">
        <f>Dados!O74</f>
        <v>5173-30</v>
      </c>
      <c r="G27" s="957"/>
      <c r="H27" s="957"/>
      <c r="I27" s="961" t="s">
        <v>350</v>
      </c>
      <c r="J27" s="1022"/>
      <c r="K27" s="962"/>
      <c r="L27" s="961" t="s">
        <v>350</v>
      </c>
      <c r="M27" s="1022"/>
      <c r="N27" s="1022"/>
      <c r="O27" s="957" t="s">
        <v>350</v>
      </c>
      <c r="P27" s="957"/>
      <c r="Q27" s="957"/>
      <c r="R27" s="957"/>
      <c r="S27" s="68"/>
    </row>
    <row r="28" spans="1:19" ht="15.75" customHeight="1" x14ac:dyDescent="0.2">
      <c r="A28" s="685">
        <v>3</v>
      </c>
      <c r="B28" s="922" t="s">
        <v>416</v>
      </c>
      <c r="C28" s="922"/>
      <c r="D28" s="922"/>
      <c r="E28" s="922"/>
      <c r="F28" s="923">
        <f>Dados!U74</f>
        <v>2192.65</v>
      </c>
      <c r="G28" s="923"/>
      <c r="H28" s="923"/>
      <c r="I28" s="1024">
        <v>2258.4299999999998</v>
      </c>
      <c r="J28" s="1025"/>
      <c r="K28" s="1026"/>
      <c r="L28" s="1024">
        <v>2258.4299999999998</v>
      </c>
      <c r="M28" s="1025"/>
      <c r="N28" s="1025"/>
      <c r="O28" s="923">
        <v>2258.4299999999998</v>
      </c>
      <c r="P28" s="923"/>
      <c r="Q28" s="923"/>
      <c r="R28" s="923"/>
      <c r="S28" s="663"/>
    </row>
    <row r="29" spans="1:19" ht="33" customHeight="1" x14ac:dyDescent="0.2">
      <c r="A29" s="685" t="s">
        <v>4</v>
      </c>
      <c r="B29" s="700" t="s">
        <v>417</v>
      </c>
      <c r="C29" s="623"/>
      <c r="D29" s="623"/>
      <c r="E29" s="623"/>
      <c r="F29" s="950" t="str">
        <f>Dados!N82</f>
        <v>SINDESV/SINDESP-DF</v>
      </c>
      <c r="G29" s="950"/>
      <c r="H29" s="950"/>
      <c r="I29" s="927" t="s">
        <v>242</v>
      </c>
      <c r="J29" s="1023"/>
      <c r="K29" s="928"/>
      <c r="L29" s="927" t="s">
        <v>242</v>
      </c>
      <c r="M29" s="1023"/>
      <c r="N29" s="1023"/>
      <c r="O29" s="950" t="s">
        <v>242</v>
      </c>
      <c r="P29" s="950"/>
      <c r="Q29" s="950"/>
      <c r="R29" s="950"/>
      <c r="S29" s="69"/>
    </row>
    <row r="30" spans="1:19" ht="14.25" customHeight="1" x14ac:dyDescent="0.2">
      <c r="A30" s="685">
        <v>4</v>
      </c>
      <c r="B30" s="922" t="s">
        <v>10</v>
      </c>
      <c r="C30" s="922"/>
      <c r="D30" s="922"/>
      <c r="E30" s="922"/>
      <c r="F30" s="932">
        <f>Dados!T82</f>
        <v>43831</v>
      </c>
      <c r="G30" s="932"/>
      <c r="H30" s="932"/>
      <c r="I30" s="929">
        <v>43831</v>
      </c>
      <c r="J30" s="1021"/>
      <c r="K30" s="930"/>
      <c r="L30" s="929">
        <v>43831</v>
      </c>
      <c r="M30" s="1021"/>
      <c r="N30" s="1021"/>
      <c r="O30" s="932">
        <v>43831</v>
      </c>
      <c r="P30" s="932"/>
      <c r="Q30" s="932"/>
      <c r="R30" s="932"/>
      <c r="S30" s="664"/>
    </row>
    <row r="31" spans="1:19" ht="14.25" customHeight="1" x14ac:dyDescent="0.2">
      <c r="A31" s="685">
        <v>5</v>
      </c>
      <c r="B31" s="922" t="s">
        <v>418</v>
      </c>
      <c r="C31" s="922"/>
      <c r="D31" s="922"/>
      <c r="E31" s="922"/>
      <c r="F31" s="932" t="str">
        <f>Dados!L82</f>
        <v>DF000040/2020</v>
      </c>
      <c r="G31" s="932"/>
      <c r="H31" s="932"/>
      <c r="I31" s="929" t="s">
        <v>492</v>
      </c>
      <c r="J31" s="1021"/>
      <c r="K31" s="930"/>
      <c r="L31" s="929" t="s">
        <v>492</v>
      </c>
      <c r="M31" s="1021"/>
      <c r="N31" s="1021"/>
      <c r="O31" s="932" t="s">
        <v>492</v>
      </c>
      <c r="P31" s="932"/>
      <c r="Q31" s="932"/>
      <c r="R31" s="932"/>
      <c r="S31" s="664"/>
    </row>
    <row r="32" spans="1:19" ht="14.25" customHeight="1" x14ac:dyDescent="0.2">
      <c r="A32" s="685"/>
      <c r="B32" s="961"/>
      <c r="C32" s="1022"/>
      <c r="D32" s="1022"/>
      <c r="E32" s="962"/>
      <c r="F32" s="929"/>
      <c r="G32" s="1021"/>
      <c r="H32" s="930"/>
      <c r="I32" s="993"/>
      <c r="J32" s="1020"/>
      <c r="K32" s="994"/>
      <c r="L32" s="319"/>
      <c r="M32" s="122"/>
      <c r="N32" s="320"/>
      <c r="O32" s="319"/>
      <c r="P32" s="122"/>
      <c r="Q32" s="122"/>
      <c r="R32" s="320"/>
      <c r="S32" s="384"/>
    </row>
    <row r="33" spans="1:18" s="198" customFormat="1" x14ac:dyDescent="0.2">
      <c r="A33" s="978" t="s">
        <v>25</v>
      </c>
      <c r="B33" s="979"/>
      <c r="C33" s="979"/>
      <c r="D33" s="979"/>
      <c r="E33" s="979"/>
      <c r="F33" s="979"/>
      <c r="G33" s="979"/>
      <c r="H33" s="979"/>
      <c r="I33" s="979"/>
      <c r="J33" s="979"/>
      <c r="K33" s="979"/>
      <c r="L33" s="979"/>
      <c r="M33" s="979"/>
      <c r="N33" s="979"/>
      <c r="O33" s="979"/>
      <c r="P33" s="979"/>
      <c r="Q33" s="979"/>
      <c r="R33" s="979"/>
    </row>
    <row r="34" spans="1:18" ht="89.25" customHeight="1" x14ac:dyDescent="0.2">
      <c r="A34" s="727">
        <v>1</v>
      </c>
      <c r="B34" s="931" t="s">
        <v>77</v>
      </c>
      <c r="C34" s="931"/>
      <c r="D34" s="931"/>
      <c r="E34" s="931"/>
      <c r="F34" s="723" t="s">
        <v>222</v>
      </c>
      <c r="G34" s="931" t="s">
        <v>520</v>
      </c>
      <c r="H34" s="931"/>
      <c r="I34" s="723" t="s">
        <v>222</v>
      </c>
      <c r="J34" s="944" t="s">
        <v>521</v>
      </c>
      <c r="K34" s="944"/>
      <c r="L34" s="723" t="s">
        <v>222</v>
      </c>
      <c r="M34" s="944" t="s">
        <v>522</v>
      </c>
      <c r="N34" s="944"/>
      <c r="O34" s="940" t="s">
        <v>222</v>
      </c>
      <c r="P34" s="942"/>
      <c r="Q34" s="940" t="s">
        <v>542</v>
      </c>
      <c r="R34" s="942"/>
    </row>
    <row r="35" spans="1:18" x14ac:dyDescent="0.2">
      <c r="A35" s="301" t="s">
        <v>1</v>
      </c>
      <c r="B35" s="700" t="s">
        <v>178</v>
      </c>
      <c r="C35" s="700"/>
      <c r="D35" s="700"/>
      <c r="E35" s="700"/>
      <c r="F35" s="302"/>
      <c r="G35" s="995">
        <f>$F$28*F13</f>
        <v>2192.65</v>
      </c>
      <c r="H35" s="995"/>
      <c r="I35" s="706"/>
      <c r="J35" s="995">
        <f>$F$28*F13*1.03</f>
        <v>2258.4299999999998</v>
      </c>
      <c r="K35" s="995"/>
      <c r="L35" s="706"/>
      <c r="M35" s="995">
        <f>$F$28*F13*1.03</f>
        <v>2258.4299999999998</v>
      </c>
      <c r="N35" s="995"/>
      <c r="O35" s="1029"/>
      <c r="P35" s="1030"/>
      <c r="Q35" s="995">
        <f>$F$28*F13*1.03</f>
        <v>2258.4299999999998</v>
      </c>
      <c r="R35" s="995"/>
    </row>
    <row r="36" spans="1:18" x14ac:dyDescent="0.2">
      <c r="A36" s="301" t="s">
        <v>2</v>
      </c>
      <c r="B36" s="700" t="str">
        <f>Dados!A36 &amp; " " &amp; "- Salário base x 30%"</f>
        <v>Adicional de Periculosidade  - Salário base x 30%</v>
      </c>
      <c r="C36" s="700"/>
      <c r="D36" s="700"/>
      <c r="E36" s="700"/>
      <c r="F36" s="302">
        <f>Dados!G36</f>
        <v>0.3</v>
      </c>
      <c r="G36" s="989">
        <f>G35*F36</f>
        <v>657.8</v>
      </c>
      <c r="H36" s="989"/>
      <c r="I36" s="302">
        <v>0.3</v>
      </c>
      <c r="J36" s="996">
        <f>J35*I36</f>
        <v>677.53</v>
      </c>
      <c r="K36" s="997"/>
      <c r="L36" s="302">
        <v>0.3</v>
      </c>
      <c r="M36" s="996">
        <f>M35*L36</f>
        <v>677.53</v>
      </c>
      <c r="N36" s="997"/>
      <c r="O36" s="1027">
        <v>0.3</v>
      </c>
      <c r="P36" s="1028"/>
      <c r="Q36" s="996">
        <f>M35*L36</f>
        <v>677.53</v>
      </c>
      <c r="R36" s="997"/>
    </row>
    <row r="37" spans="1:18" x14ac:dyDescent="0.2">
      <c r="A37" s="301" t="s">
        <v>4</v>
      </c>
      <c r="B37" s="700" t="s">
        <v>255</v>
      </c>
      <c r="C37" s="700"/>
      <c r="D37" s="700"/>
      <c r="E37" s="700"/>
      <c r="F37" s="302"/>
      <c r="G37" s="647"/>
      <c r="H37" s="647"/>
      <c r="I37" s="647"/>
      <c r="J37" s="993"/>
      <c r="K37" s="994"/>
      <c r="L37" s="647"/>
      <c r="M37" s="993"/>
      <c r="N37" s="994"/>
      <c r="O37" s="996"/>
      <c r="P37" s="997"/>
      <c r="Q37" s="993"/>
      <c r="R37" s="994"/>
    </row>
    <row r="38" spans="1:18" ht="15" x14ac:dyDescent="0.2">
      <c r="A38" s="301" t="s">
        <v>5</v>
      </c>
      <c r="B38" s="700" t="s">
        <v>437</v>
      </c>
      <c r="C38" s="700"/>
      <c r="D38" s="700"/>
      <c r="E38" s="700"/>
      <c r="F38" s="302">
        <f>Dados!G39</f>
        <v>0.2</v>
      </c>
      <c r="G38" s="989"/>
      <c r="H38" s="989"/>
      <c r="I38" s="701"/>
      <c r="J38" s="993"/>
      <c r="K38" s="994"/>
      <c r="L38" s="701"/>
      <c r="M38" s="993"/>
      <c r="N38" s="994"/>
      <c r="O38" s="996"/>
      <c r="P38" s="997"/>
      <c r="Q38" s="993"/>
      <c r="R38" s="994"/>
    </row>
    <row r="39" spans="1:18" x14ac:dyDescent="0.2">
      <c r="A39" s="301" t="s">
        <v>6</v>
      </c>
      <c r="B39" s="700" t="s">
        <v>206</v>
      </c>
      <c r="C39" s="700"/>
      <c r="D39" s="700"/>
      <c r="E39" s="700"/>
      <c r="F39" s="302"/>
      <c r="G39" s="989"/>
      <c r="H39" s="989"/>
      <c r="I39" s="701"/>
      <c r="J39" s="993"/>
      <c r="K39" s="994"/>
      <c r="L39" s="701"/>
      <c r="M39" s="993"/>
      <c r="N39" s="994"/>
      <c r="O39" s="996"/>
      <c r="P39" s="997"/>
      <c r="Q39" s="993"/>
      <c r="R39" s="994"/>
    </row>
    <row r="40" spans="1:18" x14ac:dyDescent="0.2">
      <c r="A40" s="301" t="s">
        <v>7</v>
      </c>
      <c r="B40" s="700" t="s">
        <v>51</v>
      </c>
      <c r="C40" s="700"/>
      <c r="D40" s="700"/>
      <c r="E40" s="700"/>
      <c r="F40" s="302"/>
      <c r="G40" s="989"/>
      <c r="H40" s="989"/>
      <c r="I40" s="701"/>
      <c r="J40" s="993"/>
      <c r="K40" s="994"/>
      <c r="L40" s="701"/>
      <c r="M40" s="993"/>
      <c r="N40" s="994"/>
      <c r="O40" s="996"/>
      <c r="P40" s="997"/>
      <c r="Q40" s="993"/>
      <c r="R40" s="994"/>
    </row>
    <row r="41" spans="1:18" ht="16.5" customHeight="1" x14ac:dyDescent="0.2">
      <c r="A41" s="933" t="s">
        <v>159</v>
      </c>
      <c r="B41" s="933"/>
      <c r="C41" s="933"/>
      <c r="D41" s="933"/>
      <c r="E41" s="933"/>
      <c r="F41" s="933"/>
      <c r="G41" s="987">
        <f>SUM(G35:G40)</f>
        <v>2850.45</v>
      </c>
      <c r="H41" s="987"/>
      <c r="I41" s="322" t="s">
        <v>159</v>
      </c>
      <c r="J41" s="998">
        <f>SUM(J35:J40)</f>
        <v>2935.96</v>
      </c>
      <c r="K41" s="999"/>
      <c r="L41" s="322" t="s">
        <v>159</v>
      </c>
      <c r="M41" s="987">
        <f>SUM(M35:N36)</f>
        <v>2935.96</v>
      </c>
      <c r="N41" s="987"/>
      <c r="O41" s="998" t="s">
        <v>159</v>
      </c>
      <c r="P41" s="999"/>
      <c r="Q41" s="987">
        <f>SUM(Q35:R36)</f>
        <v>2935.96</v>
      </c>
      <c r="R41" s="987"/>
    </row>
    <row r="42" spans="1:18" s="34" customFormat="1" hidden="1" x14ac:dyDescent="0.2">
      <c r="A42" s="700" t="s">
        <v>207</v>
      </c>
      <c r="B42" s="700"/>
      <c r="C42" s="700"/>
      <c r="D42" s="700"/>
      <c r="E42" s="700"/>
      <c r="F42" s="632"/>
      <c r="G42" s="633"/>
      <c r="H42" s="606"/>
      <c r="I42" s="653"/>
    </row>
    <row r="43" spans="1:18" s="34" customFormat="1" ht="14.25" hidden="1" customHeight="1" x14ac:dyDescent="0.2">
      <c r="A43" s="981" t="s">
        <v>208</v>
      </c>
      <c r="B43" s="981"/>
      <c r="C43" s="981"/>
      <c r="D43" s="981"/>
      <c r="E43" s="981"/>
      <c r="F43" s="981"/>
      <c r="G43" s="981"/>
      <c r="H43" s="606"/>
      <c r="I43" s="653"/>
    </row>
    <row r="44" spans="1:18" s="34" customFormat="1" ht="14.25" hidden="1" customHeight="1" x14ac:dyDescent="0.2">
      <c r="A44" s="981"/>
      <c r="B44" s="981"/>
      <c r="C44" s="981"/>
      <c r="D44" s="981"/>
      <c r="E44" s="981"/>
      <c r="F44" s="981"/>
      <c r="G44" s="981"/>
      <c r="H44" s="606"/>
      <c r="I44" s="653"/>
    </row>
    <row r="45" spans="1:18" s="34" customFormat="1" hidden="1" x14ac:dyDescent="0.2">
      <c r="A45" s="654"/>
      <c r="B45" s="654"/>
      <c r="C45" s="654"/>
      <c r="D45" s="654"/>
      <c r="E45" s="654"/>
      <c r="F45" s="655"/>
      <c r="G45" s="656"/>
      <c r="H45" s="644"/>
      <c r="I45" s="653"/>
    </row>
    <row r="46" spans="1:18" s="34" customFormat="1" ht="14.25" customHeight="1" x14ac:dyDescent="0.2">
      <c r="A46" s="931" t="s">
        <v>209</v>
      </c>
      <c r="B46" s="931"/>
      <c r="C46" s="931"/>
      <c r="D46" s="931"/>
      <c r="E46" s="931"/>
      <c r="F46" s="931"/>
      <c r="G46" s="931"/>
      <c r="H46" s="931"/>
      <c r="I46" s="931"/>
      <c r="J46" s="931"/>
      <c r="K46" s="931"/>
      <c r="L46" s="931"/>
      <c r="M46" s="931"/>
      <c r="N46" s="931"/>
      <c r="O46" s="931"/>
      <c r="P46" s="931"/>
      <c r="Q46" s="931"/>
      <c r="R46" s="931"/>
    </row>
    <row r="47" spans="1:18" s="34" customFormat="1" x14ac:dyDescent="0.2">
      <c r="A47" s="931" t="s">
        <v>216</v>
      </c>
      <c r="B47" s="931"/>
      <c r="C47" s="931"/>
      <c r="D47" s="931"/>
      <c r="E47" s="931"/>
      <c r="F47" s="931"/>
      <c r="G47" s="931"/>
      <c r="H47" s="931"/>
      <c r="I47" s="931"/>
      <c r="J47" s="931"/>
      <c r="K47" s="931"/>
      <c r="L47" s="931"/>
      <c r="M47" s="931"/>
      <c r="N47" s="931"/>
      <c r="O47" s="931"/>
      <c r="P47" s="931"/>
      <c r="Q47" s="931"/>
      <c r="R47" s="931"/>
    </row>
    <row r="48" spans="1:18" s="34" customFormat="1" ht="28.5" customHeight="1" x14ac:dyDescent="0.2">
      <c r="A48" s="723" t="s">
        <v>211</v>
      </c>
      <c r="B48" s="944" t="s">
        <v>223</v>
      </c>
      <c r="C48" s="944"/>
      <c r="D48" s="944"/>
      <c r="E48" s="944"/>
      <c r="F48" s="723" t="s">
        <v>222</v>
      </c>
      <c r="G48" s="931" t="s">
        <v>107</v>
      </c>
      <c r="H48" s="931"/>
      <c r="I48" s="723" t="s">
        <v>222</v>
      </c>
      <c r="J48" s="931" t="s">
        <v>107</v>
      </c>
      <c r="K48" s="931"/>
      <c r="L48" s="723" t="s">
        <v>222</v>
      </c>
      <c r="M48" s="931" t="s">
        <v>107</v>
      </c>
      <c r="N48" s="931"/>
      <c r="O48" s="931" t="s">
        <v>107</v>
      </c>
      <c r="P48" s="931"/>
      <c r="Q48" s="931" t="s">
        <v>107</v>
      </c>
      <c r="R48" s="931"/>
    </row>
    <row r="49" spans="1:18" s="34" customFormat="1" x14ac:dyDescent="0.2">
      <c r="A49" s="685" t="s">
        <v>1</v>
      </c>
      <c r="B49" s="607" t="str">
        <f>Dados!B76</f>
        <v xml:space="preserve">13º (décimo terceiro) salário  </v>
      </c>
      <c r="C49" s="607"/>
      <c r="D49" s="608"/>
      <c r="E49" s="608"/>
      <c r="F49" s="314">
        <f>Dados!G76</f>
        <v>9.0899999999999995E-2</v>
      </c>
      <c r="G49" s="986">
        <f>F49*$G$41</f>
        <v>259.11</v>
      </c>
      <c r="H49" s="986"/>
      <c r="I49" s="314">
        <f>Dados!G76</f>
        <v>9.0899999999999995E-2</v>
      </c>
      <c r="J49" s="986">
        <f>I49*J41</f>
        <v>266.88</v>
      </c>
      <c r="K49" s="986"/>
      <c r="L49" s="314">
        <f>Dados!G76</f>
        <v>9.0899999999999995E-2</v>
      </c>
      <c r="M49" s="986">
        <f>L49*J41</f>
        <v>266.88</v>
      </c>
      <c r="N49" s="986"/>
      <c r="O49" s="1031">
        <f>Dados!G76</f>
        <v>9.0899999999999995E-2</v>
      </c>
      <c r="P49" s="1032"/>
      <c r="Q49" s="986">
        <f>L49*J41</f>
        <v>266.88</v>
      </c>
      <c r="R49" s="986"/>
    </row>
    <row r="50" spans="1:18" s="34" customFormat="1" ht="14.25" customHeight="1" x14ac:dyDescent="0.2">
      <c r="A50" s="685" t="s">
        <v>2</v>
      </c>
      <c r="B50" s="981" t="str">
        <f>Dados!B77</f>
        <v>Férias e Adicional de Férias</v>
      </c>
      <c r="C50" s="981"/>
      <c r="D50" s="981"/>
      <c r="E50" s="981"/>
      <c r="F50" s="314">
        <f>Dados!G77</f>
        <v>0.1212</v>
      </c>
      <c r="G50" s="986">
        <f>F50*$G$41</f>
        <v>345.47</v>
      </c>
      <c r="H50" s="986"/>
      <c r="I50" s="314">
        <f>Dados!G77</f>
        <v>0.1212</v>
      </c>
      <c r="J50" s="986">
        <f>I50*J41</f>
        <v>355.84</v>
      </c>
      <c r="K50" s="986"/>
      <c r="L50" s="314">
        <f>Dados!G77</f>
        <v>0.1212</v>
      </c>
      <c r="M50" s="986">
        <f>L50*J41</f>
        <v>355.84</v>
      </c>
      <c r="N50" s="986"/>
      <c r="O50" s="1031">
        <f>Dados!G77</f>
        <v>0.1212</v>
      </c>
      <c r="P50" s="1032"/>
      <c r="Q50" s="986">
        <f>L50*J41</f>
        <v>355.84</v>
      </c>
      <c r="R50" s="986"/>
    </row>
    <row r="51" spans="1:18" s="34" customFormat="1" ht="18.75" customHeight="1" x14ac:dyDescent="0.2">
      <c r="A51" s="933" t="s">
        <v>159</v>
      </c>
      <c r="B51" s="933"/>
      <c r="C51" s="933"/>
      <c r="D51" s="933"/>
      <c r="E51" s="933"/>
      <c r="F51" s="317">
        <f>SUM(F49:F50)</f>
        <v>0.21210000000000001</v>
      </c>
      <c r="G51" s="987">
        <f>SUM(G49:G50)</f>
        <v>604.58000000000004</v>
      </c>
      <c r="H51" s="987"/>
      <c r="I51" s="317">
        <f>SUM(I49:I50)</f>
        <v>0.21210000000000001</v>
      </c>
      <c r="J51" s="987">
        <f>SUM(J49:J50)</f>
        <v>622.72</v>
      </c>
      <c r="K51" s="987"/>
      <c r="L51" s="317">
        <f>SUM(L49:L50)</f>
        <v>0.21210000000000001</v>
      </c>
      <c r="M51" s="987">
        <f>SUM(M49:M50)</f>
        <v>622.72</v>
      </c>
      <c r="N51" s="987"/>
      <c r="O51" s="1000">
        <f t="shared" ref="O51" si="0">SUM(O49:O50)</f>
        <v>0.21210000000000001</v>
      </c>
      <c r="P51" s="1001"/>
      <c r="Q51" s="987">
        <f>SUM(Q49:Q50)</f>
        <v>622.72</v>
      </c>
      <c r="R51" s="987"/>
    </row>
    <row r="52" spans="1:18" s="34" customFormat="1" ht="14.25" hidden="1" customHeight="1" x14ac:dyDescent="0.2">
      <c r="A52" s="981" t="s">
        <v>215</v>
      </c>
      <c r="B52" s="981"/>
      <c r="C52" s="981"/>
      <c r="D52" s="981"/>
      <c r="E52" s="981"/>
      <c r="F52" s="981"/>
      <c r="G52" s="981"/>
      <c r="H52" s="606"/>
      <c r="I52" s="653"/>
      <c r="L52" s="653"/>
    </row>
    <row r="53" spans="1:18" s="34" customFormat="1" ht="14.25" hidden="1" customHeight="1" x14ac:dyDescent="0.2">
      <c r="A53" s="981"/>
      <c r="B53" s="981"/>
      <c r="C53" s="981"/>
      <c r="D53" s="981"/>
      <c r="E53" s="981"/>
      <c r="F53" s="981"/>
      <c r="G53" s="981"/>
      <c r="H53" s="606"/>
      <c r="I53" s="653"/>
      <c r="L53" s="653"/>
    </row>
    <row r="54" spans="1:18" s="34" customFormat="1" ht="14.25" hidden="1" customHeight="1" x14ac:dyDescent="0.2">
      <c r="A54" s="1007" t="s">
        <v>478</v>
      </c>
      <c r="B54" s="1007"/>
      <c r="C54" s="1007"/>
      <c r="D54" s="1007"/>
      <c r="E54" s="1007"/>
      <c r="F54" s="1007"/>
      <c r="G54" s="1007"/>
      <c r="H54" s="606"/>
      <c r="I54" s="653"/>
      <c r="L54" s="653"/>
    </row>
    <row r="55" spans="1:18" s="34" customFormat="1" ht="14.25" hidden="1" customHeight="1" x14ac:dyDescent="0.2">
      <c r="A55" s="1007"/>
      <c r="B55" s="1007"/>
      <c r="C55" s="1007"/>
      <c r="D55" s="1007"/>
      <c r="E55" s="1007"/>
      <c r="F55" s="1007"/>
      <c r="G55" s="1007"/>
      <c r="H55" s="606"/>
      <c r="I55" s="653"/>
      <c r="L55" s="653"/>
    </row>
    <row r="56" spans="1:18" s="34" customFormat="1" ht="14.25" hidden="1" customHeight="1" x14ac:dyDescent="0.2">
      <c r="A56" s="981" t="s">
        <v>419</v>
      </c>
      <c r="B56" s="981"/>
      <c r="C56" s="981"/>
      <c r="D56" s="981"/>
      <c r="E56" s="981"/>
      <c r="F56" s="981"/>
      <c r="G56" s="981"/>
      <c r="H56" s="606"/>
      <c r="I56" s="653"/>
      <c r="L56" s="653"/>
    </row>
    <row r="57" spans="1:18" s="34" customFormat="1" ht="14.25" hidden="1" customHeight="1" x14ac:dyDescent="0.2">
      <c r="A57" s="981"/>
      <c r="B57" s="981"/>
      <c r="C57" s="981"/>
      <c r="D57" s="981"/>
      <c r="E57" s="981"/>
      <c r="F57" s="981"/>
      <c r="G57" s="981"/>
      <c r="H57" s="606"/>
      <c r="I57" s="653"/>
      <c r="L57" s="653"/>
    </row>
    <row r="58" spans="1:18" s="34" customFormat="1" ht="14.25" hidden="1" customHeight="1" x14ac:dyDescent="0.2">
      <c r="A58" s="691"/>
      <c r="B58" s="691"/>
      <c r="C58" s="691"/>
      <c r="D58" s="691"/>
      <c r="E58" s="691"/>
      <c r="F58" s="691"/>
      <c r="G58" s="691"/>
      <c r="H58" s="606"/>
      <c r="I58" s="653"/>
      <c r="L58" s="653"/>
    </row>
    <row r="59" spans="1:18" s="34" customFormat="1" ht="64.5" customHeight="1" x14ac:dyDescent="0.2">
      <c r="A59" s="944" t="s">
        <v>420</v>
      </c>
      <c r="B59" s="944"/>
      <c r="C59" s="944"/>
      <c r="D59" s="944"/>
      <c r="E59" s="944"/>
      <c r="F59" s="944"/>
      <c r="G59" s="931" t="s">
        <v>107</v>
      </c>
      <c r="H59" s="931"/>
      <c r="I59" s="723" t="s">
        <v>420</v>
      </c>
      <c r="J59" s="931" t="s">
        <v>107</v>
      </c>
      <c r="K59" s="931"/>
      <c r="L59" s="723" t="s">
        <v>420</v>
      </c>
      <c r="M59" s="931" t="s">
        <v>107</v>
      </c>
      <c r="N59" s="931"/>
      <c r="O59" s="940" t="s">
        <v>420</v>
      </c>
      <c r="P59" s="942"/>
      <c r="Q59" s="931" t="s">
        <v>107</v>
      </c>
      <c r="R59" s="931"/>
    </row>
    <row r="60" spans="1:18" s="34" customFormat="1" x14ac:dyDescent="0.2">
      <c r="A60" s="685">
        <v>1</v>
      </c>
      <c r="B60" s="607" t="str">
        <f>A33</f>
        <v>Módulo 1 - Composição da Remuneração</v>
      </c>
      <c r="C60" s="607"/>
      <c r="D60" s="608"/>
      <c r="E60" s="608"/>
      <c r="F60" s="314"/>
      <c r="G60" s="986">
        <f>G41</f>
        <v>2850.45</v>
      </c>
      <c r="H60" s="986"/>
      <c r="I60" s="704"/>
      <c r="J60" s="986">
        <f>J41</f>
        <v>2935.96</v>
      </c>
      <c r="K60" s="986"/>
      <c r="L60" s="704"/>
      <c r="M60" s="986">
        <f>J41</f>
        <v>2935.96</v>
      </c>
      <c r="N60" s="986"/>
      <c r="O60" s="1046"/>
      <c r="P60" s="1047"/>
      <c r="Q60" s="986">
        <f>J41</f>
        <v>2935.96</v>
      </c>
      <c r="R60" s="986"/>
    </row>
    <row r="61" spans="1:18" s="34" customFormat="1" x14ac:dyDescent="0.2">
      <c r="A61" s="685" t="s">
        <v>211</v>
      </c>
      <c r="B61" s="607" t="str">
        <f>A47</f>
        <v>Submódulo 2.1 - 13º (décimo terceiro) Salário, Férias e Adicional de Férias</v>
      </c>
      <c r="C61" s="607"/>
      <c r="D61" s="608"/>
      <c r="E61" s="608"/>
      <c r="F61" s="314"/>
      <c r="G61" s="986">
        <f>G51</f>
        <v>604.58000000000004</v>
      </c>
      <c r="H61" s="986"/>
      <c r="I61" s="704"/>
      <c r="J61" s="986">
        <f>J51</f>
        <v>622.72</v>
      </c>
      <c r="K61" s="986"/>
      <c r="L61" s="704"/>
      <c r="M61" s="986">
        <f>M51</f>
        <v>622.72</v>
      </c>
      <c r="N61" s="986"/>
      <c r="O61" s="1046"/>
      <c r="P61" s="1047"/>
      <c r="Q61" s="986">
        <f>Q51</f>
        <v>622.72</v>
      </c>
      <c r="R61" s="986"/>
    </row>
    <row r="62" spans="1:18" s="34" customFormat="1" x14ac:dyDescent="0.2">
      <c r="A62" s="943" t="s">
        <v>241</v>
      </c>
      <c r="B62" s="943"/>
      <c r="C62" s="943"/>
      <c r="D62" s="943"/>
      <c r="E62" s="943"/>
      <c r="F62" s="943"/>
      <c r="G62" s="987">
        <f>SUM(G60:G61)</f>
        <v>3455.03</v>
      </c>
      <c r="H62" s="987"/>
      <c r="I62" s="322" t="s">
        <v>159</v>
      </c>
      <c r="J62" s="987">
        <f>SUM(J60:J61)</f>
        <v>3558.68</v>
      </c>
      <c r="K62" s="987"/>
      <c r="L62" s="322" t="s">
        <v>159</v>
      </c>
      <c r="M62" s="987">
        <f>SUM(M60:M61)</f>
        <v>3558.68</v>
      </c>
      <c r="N62" s="987"/>
      <c r="O62" s="998" t="s">
        <v>159</v>
      </c>
      <c r="P62" s="999"/>
      <c r="Q62" s="987">
        <f>SUM(Q60:Q61)</f>
        <v>3558.68</v>
      </c>
      <c r="R62" s="987"/>
    </row>
    <row r="63" spans="1:18" s="34" customFormat="1" hidden="1" x14ac:dyDescent="0.2">
      <c r="A63" s="643"/>
      <c r="B63" s="643"/>
      <c r="C63" s="643"/>
      <c r="D63" s="643"/>
      <c r="E63" s="643"/>
      <c r="F63" s="643"/>
      <c r="G63" s="643"/>
      <c r="H63" s="644"/>
      <c r="I63" s="653"/>
      <c r="L63" s="653"/>
    </row>
    <row r="64" spans="1:18" x14ac:dyDescent="0.2">
      <c r="A64" s="931" t="s">
        <v>217</v>
      </c>
      <c r="B64" s="931"/>
      <c r="C64" s="931"/>
      <c r="D64" s="931"/>
      <c r="E64" s="931"/>
      <c r="F64" s="931"/>
      <c r="G64" s="931"/>
      <c r="H64" s="931"/>
      <c r="I64" s="931"/>
      <c r="J64" s="931"/>
      <c r="K64" s="931"/>
      <c r="L64" s="931"/>
      <c r="M64" s="931"/>
      <c r="N64" s="931"/>
      <c r="O64" s="931"/>
      <c r="P64" s="931"/>
      <c r="Q64" s="931"/>
      <c r="R64" s="931"/>
    </row>
    <row r="65" spans="1:18" ht="28.5" customHeight="1" x14ac:dyDescent="0.2">
      <c r="A65" s="723" t="s">
        <v>210</v>
      </c>
      <c r="B65" s="944" t="s">
        <v>221</v>
      </c>
      <c r="C65" s="944"/>
      <c r="D65" s="944"/>
      <c r="E65" s="944"/>
      <c r="F65" s="723" t="s">
        <v>222</v>
      </c>
      <c r="G65" s="931" t="s">
        <v>107</v>
      </c>
      <c r="H65" s="931"/>
      <c r="I65" s="723" t="s">
        <v>222</v>
      </c>
      <c r="J65" s="931" t="s">
        <v>107</v>
      </c>
      <c r="K65" s="931"/>
      <c r="L65" s="723" t="s">
        <v>222</v>
      </c>
      <c r="M65" s="931" t="s">
        <v>107</v>
      </c>
      <c r="N65" s="931"/>
      <c r="O65" s="940" t="s">
        <v>222</v>
      </c>
      <c r="P65" s="942"/>
      <c r="Q65" s="931" t="s">
        <v>107</v>
      </c>
      <c r="R65" s="931"/>
    </row>
    <row r="66" spans="1:18" x14ac:dyDescent="0.2">
      <c r="A66" s="685" t="s">
        <v>1</v>
      </c>
      <c r="B66" s="607" t="str">
        <f>Dados!B80</f>
        <v>INSS</v>
      </c>
      <c r="C66" s="607"/>
      <c r="D66" s="608"/>
      <c r="E66" s="608"/>
      <c r="F66" s="314">
        <f>Dados!G80</f>
        <v>0.2</v>
      </c>
      <c r="G66" s="986">
        <f>$G$62*F66</f>
        <v>691.01</v>
      </c>
      <c r="H66" s="986"/>
      <c r="I66" s="314">
        <f>Dados!G80</f>
        <v>0.2</v>
      </c>
      <c r="J66" s="986">
        <f>$J$62*F66</f>
        <v>711.74</v>
      </c>
      <c r="K66" s="986"/>
      <c r="L66" s="314">
        <f>Dados!G80</f>
        <v>0.2</v>
      </c>
      <c r="M66" s="986">
        <f>$J$62*I66</f>
        <v>711.74</v>
      </c>
      <c r="N66" s="986"/>
      <c r="O66" s="1031">
        <f>Dados!G80</f>
        <v>0.2</v>
      </c>
      <c r="P66" s="1032"/>
      <c r="Q66" s="986">
        <f t="shared" ref="Q66:Q73" si="1">$J$62*L66</f>
        <v>711.74</v>
      </c>
      <c r="R66" s="986"/>
    </row>
    <row r="67" spans="1:18" x14ac:dyDescent="0.2">
      <c r="A67" s="685" t="s">
        <v>2</v>
      </c>
      <c r="B67" s="607" t="str">
        <f>Dados!B81</f>
        <v>Salário Educação</v>
      </c>
      <c r="C67" s="607"/>
      <c r="D67" s="608"/>
      <c r="E67" s="608"/>
      <c r="F67" s="314">
        <f>Dados!G81</f>
        <v>2.5000000000000001E-2</v>
      </c>
      <c r="G67" s="986">
        <f t="shared" ref="G67:G73" si="2">$G$62*F67</f>
        <v>86.38</v>
      </c>
      <c r="H67" s="986"/>
      <c r="I67" s="314">
        <f>Dados!G81</f>
        <v>2.5000000000000001E-2</v>
      </c>
      <c r="J67" s="986">
        <f>$J$62*F67</f>
        <v>88.97</v>
      </c>
      <c r="K67" s="986"/>
      <c r="L67" s="314">
        <f>Dados!G81</f>
        <v>2.5000000000000001E-2</v>
      </c>
      <c r="M67" s="986">
        <f>$J$62*I67</f>
        <v>88.97</v>
      </c>
      <c r="N67" s="986"/>
      <c r="O67" s="1031">
        <f>Dados!G81</f>
        <v>2.5000000000000001E-2</v>
      </c>
      <c r="P67" s="1032"/>
      <c r="Q67" s="986">
        <f t="shared" si="1"/>
        <v>88.97</v>
      </c>
      <c r="R67" s="986"/>
    </row>
    <row r="68" spans="1:18" x14ac:dyDescent="0.2">
      <c r="A68" s="685" t="s">
        <v>4</v>
      </c>
      <c r="B68" s="607" t="str">
        <f>Dados!B82</f>
        <v>Seguro Acidente do Trabalho - SAT = RAT x FAP</v>
      </c>
      <c r="C68" s="607"/>
      <c r="D68" s="608"/>
      <c r="E68" s="608"/>
      <c r="F68" s="314">
        <f>Dados!G82</f>
        <v>2.4899999999999999E-2</v>
      </c>
      <c r="G68" s="986">
        <f t="shared" si="2"/>
        <v>86.03</v>
      </c>
      <c r="H68" s="986"/>
      <c r="I68" s="314">
        <v>2.5700000000000001E-2</v>
      </c>
      <c r="J68" s="986">
        <f>$J$62*I68</f>
        <v>91.46</v>
      </c>
      <c r="K68" s="986"/>
      <c r="L68" s="314">
        <v>2.5700000000000001E-2</v>
      </c>
      <c r="M68" s="986">
        <f>$J$62*L68</f>
        <v>91.46</v>
      </c>
      <c r="N68" s="986"/>
      <c r="O68" s="1031">
        <v>2.5700000000000001E-2</v>
      </c>
      <c r="P68" s="1032"/>
      <c r="Q68" s="986">
        <f t="shared" si="1"/>
        <v>91.46</v>
      </c>
      <c r="R68" s="986"/>
    </row>
    <row r="69" spans="1:18" x14ac:dyDescent="0.2">
      <c r="A69" s="685" t="s">
        <v>5</v>
      </c>
      <c r="B69" s="607" t="str">
        <f>Dados!B83</f>
        <v>SESI ou SESC</v>
      </c>
      <c r="C69" s="607"/>
      <c r="D69" s="608"/>
      <c r="E69" s="608"/>
      <c r="F69" s="314">
        <f>Dados!G83</f>
        <v>1.4999999999999999E-2</v>
      </c>
      <c r="G69" s="986">
        <f t="shared" si="2"/>
        <v>51.83</v>
      </c>
      <c r="H69" s="986"/>
      <c r="I69" s="314">
        <f>Dados!G83</f>
        <v>1.4999999999999999E-2</v>
      </c>
      <c r="J69" s="986">
        <f>$J$62*F69</f>
        <v>53.38</v>
      </c>
      <c r="K69" s="986"/>
      <c r="L69" s="314">
        <f>Dados!G83</f>
        <v>1.4999999999999999E-2</v>
      </c>
      <c r="M69" s="986">
        <f>$J$62*I69</f>
        <v>53.38</v>
      </c>
      <c r="N69" s="986"/>
      <c r="O69" s="1031">
        <f>Dados!G83</f>
        <v>1.4999999999999999E-2</v>
      </c>
      <c r="P69" s="1032"/>
      <c r="Q69" s="986">
        <f t="shared" si="1"/>
        <v>53.38</v>
      </c>
      <c r="R69" s="986"/>
    </row>
    <row r="70" spans="1:18" x14ac:dyDescent="0.2">
      <c r="A70" s="685" t="s">
        <v>6</v>
      </c>
      <c r="B70" s="607" t="str">
        <f>Dados!B84</f>
        <v>SENAI ou SENAC</v>
      </c>
      <c r="C70" s="607"/>
      <c r="D70" s="608"/>
      <c r="E70" s="608"/>
      <c r="F70" s="314">
        <f>Dados!G84</f>
        <v>0.01</v>
      </c>
      <c r="G70" s="986">
        <f t="shared" si="2"/>
        <v>34.549999999999997</v>
      </c>
      <c r="H70" s="986"/>
      <c r="I70" s="314">
        <f>Dados!G84</f>
        <v>0.01</v>
      </c>
      <c r="J70" s="986">
        <f>$J$62*F70</f>
        <v>35.590000000000003</v>
      </c>
      <c r="K70" s="986"/>
      <c r="L70" s="314">
        <f>Dados!G84</f>
        <v>0.01</v>
      </c>
      <c r="M70" s="986">
        <f>$J$62*I70</f>
        <v>35.590000000000003</v>
      </c>
      <c r="N70" s="986"/>
      <c r="O70" s="1031">
        <f>Dados!G84</f>
        <v>0.01</v>
      </c>
      <c r="P70" s="1032"/>
      <c r="Q70" s="986">
        <f t="shared" si="1"/>
        <v>35.590000000000003</v>
      </c>
      <c r="R70" s="986"/>
    </row>
    <row r="71" spans="1:18" x14ac:dyDescent="0.2">
      <c r="A71" s="685" t="s">
        <v>7</v>
      </c>
      <c r="B71" s="607" t="str">
        <f>Dados!B85</f>
        <v>SEBRAE</v>
      </c>
      <c r="C71" s="607"/>
      <c r="D71" s="608"/>
      <c r="E71" s="608"/>
      <c r="F71" s="314">
        <f>Dados!G85</f>
        <v>6.0000000000000001E-3</v>
      </c>
      <c r="G71" s="986">
        <f t="shared" si="2"/>
        <v>20.73</v>
      </c>
      <c r="H71" s="986"/>
      <c r="I71" s="314">
        <f>Dados!G85</f>
        <v>6.0000000000000001E-3</v>
      </c>
      <c r="J71" s="986">
        <f>$J$62*F71</f>
        <v>21.35</v>
      </c>
      <c r="K71" s="986"/>
      <c r="L71" s="314">
        <f>Dados!G85</f>
        <v>6.0000000000000001E-3</v>
      </c>
      <c r="M71" s="986">
        <f>$J$62*I71</f>
        <v>21.35</v>
      </c>
      <c r="N71" s="986"/>
      <c r="O71" s="1031">
        <f>Dados!G85</f>
        <v>6.0000000000000001E-3</v>
      </c>
      <c r="P71" s="1032"/>
      <c r="Q71" s="986">
        <f t="shared" si="1"/>
        <v>21.35</v>
      </c>
      <c r="R71" s="986"/>
    </row>
    <row r="72" spans="1:18" x14ac:dyDescent="0.2">
      <c r="A72" s="685" t="s">
        <v>8</v>
      </c>
      <c r="B72" s="607" t="str">
        <f>Dados!B86</f>
        <v>INCRA</v>
      </c>
      <c r="C72" s="607"/>
      <c r="D72" s="608"/>
      <c r="E72" s="608"/>
      <c r="F72" s="314">
        <f>Dados!G86</f>
        <v>2E-3</v>
      </c>
      <c r="G72" s="986">
        <f t="shared" si="2"/>
        <v>6.91</v>
      </c>
      <c r="H72" s="986"/>
      <c r="I72" s="314">
        <f>Dados!G86</f>
        <v>2E-3</v>
      </c>
      <c r="J72" s="986">
        <f>$J$62*F72</f>
        <v>7.12</v>
      </c>
      <c r="K72" s="986"/>
      <c r="L72" s="314">
        <f>Dados!G86</f>
        <v>2E-3</v>
      </c>
      <c r="M72" s="986">
        <f>$J$62*I72</f>
        <v>7.12</v>
      </c>
      <c r="N72" s="986"/>
      <c r="O72" s="1031">
        <f>Dados!G86</f>
        <v>2E-3</v>
      </c>
      <c r="P72" s="1032"/>
      <c r="Q72" s="986">
        <f t="shared" si="1"/>
        <v>7.12</v>
      </c>
      <c r="R72" s="986"/>
    </row>
    <row r="73" spans="1:18" x14ac:dyDescent="0.2">
      <c r="A73" s="685" t="s">
        <v>9</v>
      </c>
      <c r="B73" s="607" t="str">
        <f>Dados!B87</f>
        <v>FGTS</v>
      </c>
      <c r="C73" s="607"/>
      <c r="D73" s="608"/>
      <c r="E73" s="608"/>
      <c r="F73" s="314">
        <f>Dados!G87</f>
        <v>0.08</v>
      </c>
      <c r="G73" s="986">
        <f t="shared" si="2"/>
        <v>276.39999999999998</v>
      </c>
      <c r="H73" s="986"/>
      <c r="I73" s="314">
        <f>Dados!G87</f>
        <v>0.08</v>
      </c>
      <c r="J73" s="986">
        <f>$J$62*F73</f>
        <v>284.69</v>
      </c>
      <c r="K73" s="986"/>
      <c r="L73" s="314">
        <f>Dados!G87</f>
        <v>0.08</v>
      </c>
      <c r="M73" s="986">
        <f>$J$62*I73</f>
        <v>284.69</v>
      </c>
      <c r="N73" s="986"/>
      <c r="O73" s="1031">
        <f>Dados!G87</f>
        <v>0.08</v>
      </c>
      <c r="P73" s="1032"/>
      <c r="Q73" s="986">
        <f t="shared" si="1"/>
        <v>284.69</v>
      </c>
      <c r="R73" s="986"/>
    </row>
    <row r="74" spans="1:18" ht="15.75" customHeight="1" x14ac:dyDescent="0.2">
      <c r="A74" s="933" t="s">
        <v>159</v>
      </c>
      <c r="B74" s="933"/>
      <c r="C74" s="933"/>
      <c r="D74" s="933"/>
      <c r="E74" s="933"/>
      <c r="F74" s="317">
        <f>SUM(F66:F73)</f>
        <v>0.3629</v>
      </c>
      <c r="G74" s="987">
        <f>SUM(G66:G73)</f>
        <v>1253.8399999999999</v>
      </c>
      <c r="H74" s="987"/>
      <c r="I74" s="317">
        <f>SUM(I66:I73)</f>
        <v>0.36370000000000002</v>
      </c>
      <c r="J74" s="987">
        <f>SUM(J66:J73)</f>
        <v>1294.3</v>
      </c>
      <c r="K74" s="987"/>
      <c r="L74" s="317">
        <f>SUM(L66:L73)</f>
        <v>0.36370000000000002</v>
      </c>
      <c r="M74" s="987">
        <f>SUM(M66:M73)</f>
        <v>1294.3</v>
      </c>
      <c r="N74" s="987"/>
      <c r="O74" s="1000">
        <f t="shared" ref="O74" si="3">SUM(O66:O73)</f>
        <v>0.36370000000000002</v>
      </c>
      <c r="P74" s="1001"/>
      <c r="Q74" s="987">
        <f>SUM(Q66:Q73)</f>
        <v>1294.3</v>
      </c>
      <c r="R74" s="987"/>
    </row>
    <row r="75" spans="1:18" ht="14.25" hidden="1" customHeight="1" x14ac:dyDescent="0.2">
      <c r="A75" s="981" t="s">
        <v>432</v>
      </c>
      <c r="B75" s="981"/>
      <c r="C75" s="981"/>
      <c r="D75" s="981"/>
      <c r="E75" s="981"/>
      <c r="F75" s="981"/>
      <c r="G75" s="981"/>
      <c r="H75" s="606"/>
      <c r="I75" s="653"/>
      <c r="J75" s="34"/>
      <c r="K75" s="34"/>
      <c r="L75" s="34"/>
      <c r="M75" s="34"/>
      <c r="N75" s="34"/>
      <c r="O75" s="34"/>
      <c r="P75" s="34"/>
      <c r="Q75" s="34"/>
      <c r="R75" s="34"/>
    </row>
    <row r="76" spans="1:18" ht="14.25" hidden="1" customHeight="1" x14ac:dyDescent="0.2">
      <c r="A76" s="981" t="s">
        <v>430</v>
      </c>
      <c r="B76" s="981"/>
      <c r="C76" s="981"/>
      <c r="D76" s="981"/>
      <c r="E76" s="981"/>
      <c r="F76" s="981"/>
      <c r="G76" s="981"/>
      <c r="H76" s="606"/>
      <c r="I76" s="653"/>
      <c r="J76" s="34"/>
      <c r="K76" s="34"/>
      <c r="L76" s="34"/>
      <c r="M76" s="34"/>
      <c r="N76" s="34"/>
      <c r="O76" s="34"/>
      <c r="P76" s="34"/>
      <c r="Q76" s="34"/>
      <c r="R76" s="34"/>
    </row>
    <row r="77" spans="1:18" ht="30.75" hidden="1" customHeight="1" x14ac:dyDescent="0.2">
      <c r="A77" s="1007" t="s">
        <v>480</v>
      </c>
      <c r="B77" s="1007"/>
      <c r="C77" s="1007"/>
      <c r="D77" s="1007"/>
      <c r="E77" s="1007"/>
      <c r="F77" s="1007"/>
      <c r="G77" s="1007"/>
      <c r="H77" s="606"/>
      <c r="I77" s="653"/>
      <c r="J77" s="34"/>
      <c r="K77" s="34"/>
      <c r="L77" s="34"/>
      <c r="M77" s="34"/>
      <c r="N77" s="34"/>
      <c r="O77" s="34"/>
      <c r="P77" s="34"/>
      <c r="Q77" s="34"/>
      <c r="R77" s="34"/>
    </row>
    <row r="78" spans="1:18" hidden="1" x14ac:dyDescent="0.2">
      <c r="A78" s="648" t="s">
        <v>557</v>
      </c>
      <c r="B78" s="648"/>
      <c r="C78" s="648"/>
      <c r="D78" s="648"/>
      <c r="E78" s="648"/>
      <c r="F78" s="648"/>
      <c r="G78" s="648"/>
      <c r="H78" s="606"/>
      <c r="I78" s="653"/>
      <c r="J78" s="34"/>
      <c r="K78" s="34"/>
      <c r="L78" s="34"/>
      <c r="M78" s="34"/>
      <c r="N78" s="34"/>
      <c r="O78" s="34"/>
      <c r="P78" s="34"/>
      <c r="Q78" s="34"/>
      <c r="R78" s="34"/>
    </row>
    <row r="79" spans="1:18" hidden="1" x14ac:dyDescent="0.2">
      <c r="A79" s="700" t="s">
        <v>431</v>
      </c>
      <c r="B79" s="648"/>
      <c r="C79" s="648"/>
      <c r="D79" s="648"/>
      <c r="E79" s="648"/>
      <c r="F79" s="648"/>
      <c r="G79" s="648"/>
      <c r="H79" s="606"/>
      <c r="I79" s="653"/>
      <c r="J79" s="34"/>
      <c r="K79" s="34"/>
      <c r="L79" s="34"/>
      <c r="M79" s="34"/>
      <c r="N79" s="34"/>
      <c r="O79" s="34"/>
      <c r="P79" s="34"/>
      <c r="Q79" s="34"/>
      <c r="R79" s="34"/>
    </row>
    <row r="80" spans="1:18" hidden="1" x14ac:dyDescent="0.2">
      <c r="A80" s="700" t="s">
        <v>556</v>
      </c>
      <c r="B80" s="648"/>
      <c r="C80" s="648"/>
      <c r="D80" s="648"/>
      <c r="E80" s="648"/>
      <c r="F80" s="648"/>
      <c r="G80" s="648"/>
      <c r="H80" s="606"/>
      <c r="I80" s="653"/>
      <c r="J80" s="34"/>
      <c r="K80" s="34"/>
      <c r="L80" s="34"/>
      <c r="M80" s="34"/>
      <c r="N80" s="34"/>
      <c r="O80" s="34"/>
      <c r="P80" s="34"/>
      <c r="Q80" s="34"/>
      <c r="R80" s="34"/>
    </row>
    <row r="81" spans="1:18" ht="15" hidden="1" x14ac:dyDescent="0.2">
      <c r="A81" s="743"/>
      <c r="B81" s="661"/>
      <c r="C81" s="661"/>
      <c r="D81" s="661"/>
      <c r="E81" s="661"/>
      <c r="F81" s="661"/>
      <c r="G81" s="661"/>
      <c r="H81" s="644"/>
      <c r="I81" s="653"/>
      <c r="J81" s="34"/>
      <c r="K81" s="34"/>
      <c r="L81" s="34"/>
      <c r="M81" s="34"/>
      <c r="N81" s="34"/>
      <c r="O81" s="34"/>
      <c r="P81" s="34"/>
      <c r="Q81" s="34"/>
      <c r="R81" s="34"/>
    </row>
    <row r="82" spans="1:18" x14ac:dyDescent="0.2">
      <c r="A82" s="931" t="s">
        <v>218</v>
      </c>
      <c r="B82" s="931"/>
      <c r="C82" s="931"/>
      <c r="D82" s="931"/>
      <c r="E82" s="931"/>
      <c r="F82" s="931"/>
      <c r="G82" s="931"/>
      <c r="H82" s="931"/>
      <c r="I82" s="931"/>
      <c r="J82" s="931"/>
      <c r="K82" s="931"/>
      <c r="L82" s="931"/>
      <c r="M82" s="931"/>
      <c r="N82" s="931"/>
      <c r="O82" s="931"/>
      <c r="P82" s="931"/>
      <c r="Q82" s="931"/>
      <c r="R82" s="931"/>
    </row>
    <row r="83" spans="1:18" ht="28.5" customHeight="1" x14ac:dyDescent="0.2">
      <c r="A83" s="723" t="s">
        <v>219</v>
      </c>
      <c r="B83" s="944" t="s">
        <v>22</v>
      </c>
      <c r="C83" s="944"/>
      <c r="D83" s="944"/>
      <c r="E83" s="944"/>
      <c r="F83" s="723" t="s">
        <v>222</v>
      </c>
      <c r="G83" s="931" t="s">
        <v>107</v>
      </c>
      <c r="H83" s="931"/>
      <c r="I83" s="723" t="s">
        <v>222</v>
      </c>
      <c r="J83" s="931" t="s">
        <v>107</v>
      </c>
      <c r="K83" s="931"/>
      <c r="L83" s="723" t="s">
        <v>222</v>
      </c>
      <c r="M83" s="931" t="s">
        <v>107</v>
      </c>
      <c r="N83" s="931"/>
      <c r="O83" s="940" t="s">
        <v>222</v>
      </c>
      <c r="P83" s="942"/>
      <c r="Q83" s="931" t="s">
        <v>107</v>
      </c>
      <c r="R83" s="931"/>
    </row>
    <row r="84" spans="1:18" x14ac:dyDescent="0.2">
      <c r="A84" s="957" t="s">
        <v>1</v>
      </c>
      <c r="B84" s="700" t="s">
        <v>532</v>
      </c>
      <c r="C84" s="700"/>
      <c r="D84" s="691"/>
      <c r="E84" s="685">
        <f>INDEX(Dados!$J$27:$M$32,MATCH($C$23,Dados!$J$27:$J$32,0),4)</f>
        <v>22</v>
      </c>
      <c r="F84" s="703">
        <f>Dados!J45</f>
        <v>11</v>
      </c>
      <c r="G84" s="989">
        <f>$E$84*F84*$F$13</f>
        <v>242</v>
      </c>
      <c r="H84" s="989"/>
      <c r="I84" s="703">
        <f>Dados!M45</f>
        <v>0</v>
      </c>
      <c r="J84" s="989">
        <f>$E$84*F84*$F$13</f>
        <v>242</v>
      </c>
      <c r="K84" s="989"/>
      <c r="L84" s="703">
        <f>Dados!P45</f>
        <v>0</v>
      </c>
      <c r="M84" s="989">
        <f>$E$84*F84*$F$13</f>
        <v>242</v>
      </c>
      <c r="N84" s="989"/>
      <c r="O84" s="1042">
        <f>Dados!S45</f>
        <v>0</v>
      </c>
      <c r="P84" s="1043"/>
      <c r="Q84" s="989">
        <f>$E$84*F84*$F$13</f>
        <v>242</v>
      </c>
      <c r="R84" s="989"/>
    </row>
    <row r="85" spans="1:18" x14ac:dyDescent="0.2">
      <c r="A85" s="957"/>
      <c r="B85" s="700" t="str">
        <f>Dados!A46</f>
        <v>Desconto Legal sobre o salário</v>
      </c>
      <c r="C85" s="700"/>
      <c r="D85" s="691"/>
      <c r="E85" s="691"/>
      <c r="F85" s="306">
        <f>Dados!J46</f>
        <v>0.06</v>
      </c>
      <c r="G85" s="990">
        <f>-MIN(G84,(F85*G35))</f>
        <v>-131.56</v>
      </c>
      <c r="H85" s="990"/>
      <c r="I85" s="306">
        <f>Dados!J46</f>
        <v>0.06</v>
      </c>
      <c r="J85" s="990">
        <f>-MIN(J84,(I85*J35))</f>
        <v>-135.51</v>
      </c>
      <c r="K85" s="990"/>
      <c r="L85" s="306">
        <f>Dados!J46</f>
        <v>0.06</v>
      </c>
      <c r="M85" s="990">
        <f>-MIN(M84,(L85*M35))</f>
        <v>-135.51</v>
      </c>
      <c r="N85" s="990"/>
      <c r="O85" s="1044">
        <f>Dados!M46</f>
        <v>0</v>
      </c>
      <c r="P85" s="1045"/>
      <c r="Q85" s="990">
        <f>-MIN(M84,(L85*M35))</f>
        <v>-135.51</v>
      </c>
      <c r="R85" s="990"/>
    </row>
    <row r="86" spans="1:18" x14ac:dyDescent="0.2">
      <c r="A86" s="957" t="s">
        <v>2</v>
      </c>
      <c r="B86" s="700" t="s">
        <v>533</v>
      </c>
      <c r="C86" s="700"/>
      <c r="D86" s="691"/>
      <c r="E86" s="685">
        <f>INDEX(Dados!$J$27:$M$32,MATCH($C$23,Dados!$J$27:$J$32,0),4)</f>
        <v>22</v>
      </c>
      <c r="F86" s="703">
        <f>Dados!J48</f>
        <v>37.5</v>
      </c>
      <c r="G86" s="989">
        <f>(E86*F86)*$F$13</f>
        <v>825</v>
      </c>
      <c r="H86" s="989"/>
      <c r="I86" s="703">
        <f>Dados!M48</f>
        <v>0</v>
      </c>
      <c r="J86" s="989">
        <v>864.38</v>
      </c>
      <c r="K86" s="989"/>
      <c r="L86" s="703">
        <f>Dados!P48</f>
        <v>0</v>
      </c>
      <c r="M86" s="989">
        <v>864.38</v>
      </c>
      <c r="N86" s="989"/>
      <c r="O86" s="1042">
        <f>Dados!S48</f>
        <v>0</v>
      </c>
      <c r="P86" s="1043"/>
      <c r="Q86" s="989">
        <v>864.38</v>
      </c>
      <c r="R86" s="989"/>
    </row>
    <row r="87" spans="1:18" x14ac:dyDescent="0.2">
      <c r="A87" s="957"/>
      <c r="B87" s="700" t="s">
        <v>531</v>
      </c>
      <c r="C87" s="649"/>
      <c r="D87" s="609"/>
      <c r="E87" s="608"/>
      <c r="F87" s="703">
        <f>Dados!J49</f>
        <v>0.75</v>
      </c>
      <c r="G87" s="988">
        <f>-F87*E86</f>
        <v>-16.5</v>
      </c>
      <c r="H87" s="988"/>
      <c r="I87" s="703">
        <f>Dados!M49</f>
        <v>0</v>
      </c>
      <c r="J87" s="988">
        <v>-17.38</v>
      </c>
      <c r="K87" s="988"/>
      <c r="L87" s="703">
        <f>Dados!P49</f>
        <v>0</v>
      </c>
      <c r="M87" s="988">
        <v>-17.38</v>
      </c>
      <c r="N87" s="988"/>
      <c r="O87" s="1042">
        <f>Dados!S49</f>
        <v>0</v>
      </c>
      <c r="P87" s="1043"/>
      <c r="Q87" s="988">
        <v>-17.38</v>
      </c>
      <c r="R87" s="988"/>
    </row>
    <row r="88" spans="1:18" x14ac:dyDescent="0.2">
      <c r="A88" s="685" t="s">
        <v>4</v>
      </c>
      <c r="B88" s="700" t="s">
        <v>534</v>
      </c>
      <c r="C88" s="649"/>
      <c r="D88" s="609"/>
      <c r="E88" s="608"/>
      <c r="F88" s="703">
        <f>Dados!J50</f>
        <v>140</v>
      </c>
      <c r="G88" s="988">
        <v>140</v>
      </c>
      <c r="H88" s="988"/>
      <c r="I88" s="703">
        <f>Dados!M50</f>
        <v>0</v>
      </c>
      <c r="J88" s="988">
        <v>140</v>
      </c>
      <c r="K88" s="988"/>
      <c r="L88" s="703">
        <f>Dados!P50</f>
        <v>0</v>
      </c>
      <c r="M88" s="988">
        <v>140</v>
      </c>
      <c r="N88" s="988"/>
      <c r="O88" s="1042">
        <f>Dados!S50</f>
        <v>0</v>
      </c>
      <c r="P88" s="1043"/>
      <c r="Q88" s="988">
        <v>140</v>
      </c>
      <c r="R88" s="988"/>
    </row>
    <row r="89" spans="1:18" x14ac:dyDescent="0.2">
      <c r="A89" s="685" t="s">
        <v>5</v>
      </c>
      <c r="B89" s="700" t="s">
        <v>535</v>
      </c>
      <c r="C89" s="649"/>
      <c r="D89" s="609"/>
      <c r="E89" s="608"/>
      <c r="F89" s="703">
        <f>Dados!J51</f>
        <v>14</v>
      </c>
      <c r="G89" s="988">
        <f t="shared" ref="G89:G94" si="4">F89*$F$13</f>
        <v>14</v>
      </c>
      <c r="H89" s="988"/>
      <c r="I89" s="703">
        <f>Dados!M51</f>
        <v>0</v>
      </c>
      <c r="J89" s="988">
        <f>F89*$F$13</f>
        <v>14</v>
      </c>
      <c r="K89" s="988"/>
      <c r="L89" s="703">
        <f>Dados!P51</f>
        <v>0</v>
      </c>
      <c r="M89" s="988">
        <f>F89*$F$13</f>
        <v>14</v>
      </c>
      <c r="N89" s="988"/>
      <c r="O89" s="1042">
        <f>Dados!S51</f>
        <v>0</v>
      </c>
      <c r="P89" s="1043"/>
      <c r="Q89" s="988">
        <f>F89*$F$13</f>
        <v>14</v>
      </c>
      <c r="R89" s="988"/>
    </row>
    <row r="90" spans="1:18" x14ac:dyDescent="0.2">
      <c r="A90" s="685" t="s">
        <v>6</v>
      </c>
      <c r="B90" s="700" t="s">
        <v>536</v>
      </c>
      <c r="C90" s="649"/>
      <c r="D90" s="609"/>
      <c r="E90" s="608"/>
      <c r="F90" s="703">
        <f>Dados!J52</f>
        <v>6.4</v>
      </c>
      <c r="G90" s="988">
        <f t="shared" si="4"/>
        <v>6.4</v>
      </c>
      <c r="H90" s="988"/>
      <c r="I90" s="703">
        <f>Dados!M52</f>
        <v>0</v>
      </c>
      <c r="J90" s="990">
        <v>6.6</v>
      </c>
      <c r="K90" s="990"/>
      <c r="L90" s="703">
        <f>Dados!P52</f>
        <v>0</v>
      </c>
      <c r="M90" s="990">
        <v>6.6</v>
      </c>
      <c r="N90" s="990"/>
      <c r="O90" s="1042">
        <f>Dados!S52</f>
        <v>0</v>
      </c>
      <c r="P90" s="1043"/>
      <c r="Q90" s="990">
        <v>6.6</v>
      </c>
      <c r="R90" s="990"/>
    </row>
    <row r="91" spans="1:18" x14ac:dyDescent="0.2">
      <c r="A91" s="685" t="s">
        <v>7</v>
      </c>
      <c r="B91" s="700" t="s">
        <v>537</v>
      </c>
      <c r="C91" s="649"/>
      <c r="D91" s="609"/>
      <c r="E91" s="608"/>
      <c r="F91" s="703">
        <f>Dados!J53</f>
        <v>9</v>
      </c>
      <c r="G91" s="988">
        <f t="shared" si="4"/>
        <v>9</v>
      </c>
      <c r="H91" s="988"/>
      <c r="I91" s="703">
        <f>Dados!M53</f>
        <v>0</v>
      </c>
      <c r="J91" s="988">
        <f>F91*$F$13</f>
        <v>9</v>
      </c>
      <c r="K91" s="988"/>
      <c r="L91" s="703">
        <f>Dados!P53</f>
        <v>0</v>
      </c>
      <c r="M91" s="988">
        <f>F91*$F$13</f>
        <v>9</v>
      </c>
      <c r="N91" s="988"/>
      <c r="O91" s="1042">
        <f>Dados!S53</f>
        <v>0</v>
      </c>
      <c r="P91" s="1043"/>
      <c r="Q91" s="988">
        <f>F91*$F$13</f>
        <v>9</v>
      </c>
      <c r="R91" s="988"/>
    </row>
    <row r="92" spans="1:18" ht="14.25" hidden="1" customHeight="1" x14ac:dyDescent="0.2">
      <c r="A92" s="685" t="s">
        <v>9</v>
      </c>
      <c r="B92" s="700" t="e">
        <f>HLOOKUP($F$29,#REF!,9,FALSE)</f>
        <v>#REF!</v>
      </c>
      <c r="C92" s="649"/>
      <c r="D92" s="609"/>
      <c r="E92" s="608"/>
      <c r="F92" s="703">
        <f>Dados!J54</f>
        <v>0</v>
      </c>
      <c r="G92" s="702">
        <f t="shared" si="4"/>
        <v>0</v>
      </c>
      <c r="H92" s="606"/>
      <c r="I92" s="703">
        <f>Dados!M54</f>
        <v>0</v>
      </c>
      <c r="J92" s="34"/>
      <c r="K92" s="34"/>
      <c r="L92" s="703">
        <f>Dados!P54</f>
        <v>0</v>
      </c>
      <c r="M92" s="34"/>
      <c r="N92" s="34"/>
      <c r="O92" s="703">
        <f>Dados!S54</f>
        <v>0</v>
      </c>
      <c r="P92" s="703"/>
      <c r="Q92" s="34"/>
      <c r="R92" s="34"/>
    </row>
    <row r="93" spans="1:18" ht="14.25" hidden="1" customHeight="1" x14ac:dyDescent="0.2">
      <c r="A93" s="685" t="s">
        <v>127</v>
      </c>
      <c r="B93" s="700" t="e">
        <f>HLOOKUP($F$29,#REF!,10,FALSE)</f>
        <v>#REF!</v>
      </c>
      <c r="C93" s="649"/>
      <c r="D93" s="609"/>
      <c r="E93" s="608"/>
      <c r="F93" s="703">
        <f>Dados!J55</f>
        <v>0</v>
      </c>
      <c r="G93" s="702">
        <f t="shared" si="4"/>
        <v>0</v>
      </c>
      <c r="H93" s="606"/>
      <c r="I93" s="703">
        <f>Dados!M55</f>
        <v>0</v>
      </c>
      <c r="J93" s="34"/>
      <c r="K93" s="34"/>
      <c r="L93" s="703">
        <f>Dados!P55</f>
        <v>0</v>
      </c>
      <c r="M93" s="34"/>
      <c r="N93" s="34"/>
      <c r="O93" s="703">
        <f>Dados!S55</f>
        <v>0</v>
      </c>
      <c r="P93" s="703"/>
      <c r="Q93" s="34"/>
      <c r="R93" s="34"/>
    </row>
    <row r="94" spans="1:18" ht="14.25" hidden="1" customHeight="1" x14ac:dyDescent="0.2">
      <c r="A94" s="685" t="s">
        <v>282</v>
      </c>
      <c r="B94" s="700" t="e">
        <f>HLOOKUP($F$29,#REF!,11,FALSE)</f>
        <v>#REF!</v>
      </c>
      <c r="C94" s="665"/>
      <c r="D94" s="666"/>
      <c r="E94" s="660"/>
      <c r="F94" s="744">
        <f>Dados!J56</f>
        <v>0</v>
      </c>
      <c r="G94" s="659">
        <f t="shared" si="4"/>
        <v>0</v>
      </c>
      <c r="H94" s="644"/>
      <c r="I94" s="744">
        <f>Dados!M56</f>
        <v>0</v>
      </c>
      <c r="J94" s="34"/>
      <c r="K94" s="34"/>
      <c r="L94" s="744">
        <f>Dados!P56</f>
        <v>0</v>
      </c>
      <c r="M94" s="34"/>
      <c r="N94" s="34"/>
      <c r="O94" s="744">
        <f>Dados!S56</f>
        <v>0</v>
      </c>
      <c r="P94" s="744"/>
      <c r="Q94" s="34"/>
      <c r="R94" s="34"/>
    </row>
    <row r="95" spans="1:18" x14ac:dyDescent="0.2">
      <c r="A95" s="685" t="s">
        <v>8</v>
      </c>
      <c r="B95" s="649" t="s">
        <v>51</v>
      </c>
      <c r="C95" s="649"/>
      <c r="D95" s="609"/>
      <c r="E95" s="608"/>
      <c r="F95" s="703"/>
      <c r="G95" s="986"/>
      <c r="H95" s="986"/>
      <c r="I95" s="703"/>
      <c r="J95" s="992"/>
      <c r="K95" s="992"/>
      <c r="L95" s="703"/>
      <c r="M95" s="992"/>
      <c r="N95" s="992"/>
      <c r="O95" s="1042"/>
      <c r="P95" s="1043"/>
      <c r="Q95" s="607"/>
      <c r="R95" s="607"/>
    </row>
    <row r="96" spans="1:18" ht="18" customHeight="1" x14ac:dyDescent="0.2">
      <c r="A96" s="943" t="s">
        <v>159</v>
      </c>
      <c r="B96" s="943"/>
      <c r="C96" s="943"/>
      <c r="D96" s="943"/>
      <c r="E96" s="943"/>
      <c r="F96" s="943"/>
      <c r="G96" s="991">
        <f>SUM(G84:G95)</f>
        <v>1088.3399999999999</v>
      </c>
      <c r="H96" s="991"/>
      <c r="I96" s="308" t="s">
        <v>159</v>
      </c>
      <c r="J96" s="991">
        <f>SUM(J84:J95)</f>
        <v>1123.0899999999999</v>
      </c>
      <c r="K96" s="991"/>
      <c r="L96" s="308" t="s">
        <v>159</v>
      </c>
      <c r="M96" s="991">
        <f>SUM(M84:M95)</f>
        <v>1123.0899999999999</v>
      </c>
      <c r="N96" s="991"/>
      <c r="O96" s="1038" t="s">
        <v>159</v>
      </c>
      <c r="P96" s="1039"/>
      <c r="Q96" s="991">
        <f>SUM(Q84:Q95)</f>
        <v>1123.0899999999999</v>
      </c>
      <c r="R96" s="991"/>
    </row>
    <row r="97" spans="1:18" s="34" customFormat="1" ht="15" hidden="1" customHeight="1" x14ac:dyDescent="0.2">
      <c r="A97" s="700" t="s">
        <v>220</v>
      </c>
      <c r="B97" s="608"/>
      <c r="C97" s="608"/>
      <c r="D97" s="608"/>
      <c r="E97" s="608"/>
      <c r="F97" s="650"/>
      <c r="G97" s="704"/>
      <c r="H97" s="606"/>
      <c r="I97" s="653"/>
    </row>
    <row r="98" spans="1:18" s="34" customFormat="1" ht="14.25" hidden="1" customHeight="1" x14ac:dyDescent="0.2">
      <c r="A98" s="1007" t="s">
        <v>482</v>
      </c>
      <c r="B98" s="1007"/>
      <c r="C98" s="1007"/>
      <c r="D98" s="1007"/>
      <c r="E98" s="1007"/>
      <c r="F98" s="1007"/>
      <c r="G98" s="1007"/>
      <c r="H98" s="606"/>
      <c r="I98" s="653"/>
    </row>
    <row r="99" spans="1:18" s="34" customFormat="1" hidden="1" x14ac:dyDescent="0.2">
      <c r="A99" s="699"/>
      <c r="B99" s="660"/>
      <c r="C99" s="660"/>
      <c r="D99" s="660"/>
      <c r="E99" s="660"/>
      <c r="F99" s="658"/>
      <c r="G99" s="334"/>
      <c r="H99" s="644"/>
      <c r="I99" s="653"/>
    </row>
    <row r="100" spans="1:18" s="34" customFormat="1" x14ac:dyDescent="0.2">
      <c r="A100" s="931" t="s">
        <v>225</v>
      </c>
      <c r="B100" s="931"/>
      <c r="C100" s="931"/>
      <c r="D100" s="931"/>
      <c r="E100" s="931"/>
      <c r="F100" s="931"/>
      <c r="G100" s="931"/>
      <c r="H100" s="931"/>
      <c r="I100" s="931"/>
      <c r="J100" s="931"/>
      <c r="K100" s="931"/>
      <c r="L100" s="931"/>
      <c r="M100" s="931"/>
      <c r="N100" s="931"/>
      <c r="O100" s="931"/>
      <c r="P100" s="931"/>
      <c r="Q100" s="931"/>
      <c r="R100" s="931"/>
    </row>
    <row r="101" spans="1:18" s="34" customFormat="1" ht="57" customHeight="1" x14ac:dyDescent="0.2">
      <c r="A101" s="727">
        <v>2</v>
      </c>
      <c r="B101" s="931" t="s">
        <v>226</v>
      </c>
      <c r="C101" s="931"/>
      <c r="D101" s="931"/>
      <c r="E101" s="931"/>
      <c r="F101" s="931"/>
      <c r="G101" s="931" t="s">
        <v>107</v>
      </c>
      <c r="H101" s="931"/>
      <c r="I101" s="723" t="s">
        <v>226</v>
      </c>
      <c r="J101" s="931" t="s">
        <v>107</v>
      </c>
      <c r="K101" s="931"/>
      <c r="L101" s="723" t="s">
        <v>226</v>
      </c>
      <c r="M101" s="931" t="s">
        <v>107</v>
      </c>
      <c r="N101" s="931"/>
      <c r="O101" s="940" t="s">
        <v>226</v>
      </c>
      <c r="P101" s="942"/>
      <c r="Q101" s="931" t="s">
        <v>107</v>
      </c>
      <c r="R101" s="931"/>
    </row>
    <row r="102" spans="1:18" s="34" customFormat="1" x14ac:dyDescent="0.2">
      <c r="A102" s="301" t="s">
        <v>211</v>
      </c>
      <c r="B102" s="700" t="str">
        <f>B48</f>
        <v>13º (décimo terceiro) Salário, Férias e Adicional de Férias</v>
      </c>
      <c r="C102" s="606"/>
      <c r="D102" s="606"/>
      <c r="E102" s="606"/>
      <c r="F102" s="302"/>
      <c r="G102" s="989">
        <f>G51</f>
        <v>604.58000000000004</v>
      </c>
      <c r="H102" s="989"/>
      <c r="I102" s="701"/>
      <c r="J102" s="989">
        <f>J51</f>
        <v>622.72</v>
      </c>
      <c r="K102" s="989"/>
      <c r="L102" s="701"/>
      <c r="M102" s="989">
        <f>M51</f>
        <v>622.72</v>
      </c>
      <c r="N102" s="989"/>
      <c r="O102" s="996"/>
      <c r="P102" s="997"/>
      <c r="Q102" s="989">
        <f>Q51</f>
        <v>622.72</v>
      </c>
      <c r="R102" s="989"/>
    </row>
    <row r="103" spans="1:18" s="34" customFormat="1" x14ac:dyDescent="0.2">
      <c r="A103" s="301" t="s">
        <v>210</v>
      </c>
      <c r="B103" s="700" t="str">
        <f>B65</f>
        <v>GPS, FGTS e outras contribuições</v>
      </c>
      <c r="C103" s="606"/>
      <c r="D103" s="606"/>
      <c r="E103" s="606"/>
      <c r="F103" s="302"/>
      <c r="G103" s="989">
        <f>G74</f>
        <v>1253.8399999999999</v>
      </c>
      <c r="H103" s="989"/>
      <c r="I103" s="701"/>
      <c r="J103" s="989">
        <f>J74</f>
        <v>1294.3</v>
      </c>
      <c r="K103" s="989"/>
      <c r="L103" s="701"/>
      <c r="M103" s="989">
        <f>M74</f>
        <v>1294.3</v>
      </c>
      <c r="N103" s="989"/>
      <c r="O103" s="996"/>
      <c r="P103" s="997"/>
      <c r="Q103" s="989">
        <f>Q74</f>
        <v>1294.3</v>
      </c>
      <c r="R103" s="989"/>
    </row>
    <row r="104" spans="1:18" s="34" customFormat="1" x14ac:dyDescent="0.2">
      <c r="A104" s="301" t="s">
        <v>219</v>
      </c>
      <c r="B104" s="700" t="str">
        <f>B83</f>
        <v>Benefícios Mensais e Diários</v>
      </c>
      <c r="C104" s="606"/>
      <c r="D104" s="606"/>
      <c r="E104" s="606"/>
      <c r="F104" s="302"/>
      <c r="G104" s="989">
        <f>G96</f>
        <v>1088.3399999999999</v>
      </c>
      <c r="H104" s="989"/>
      <c r="I104" s="701"/>
      <c r="J104" s="989">
        <f>J96</f>
        <v>1123.0899999999999</v>
      </c>
      <c r="K104" s="989"/>
      <c r="L104" s="701"/>
      <c r="M104" s="989">
        <f>M96</f>
        <v>1123.0899999999999</v>
      </c>
      <c r="N104" s="989"/>
      <c r="O104" s="996"/>
      <c r="P104" s="997"/>
      <c r="Q104" s="989">
        <f>Q96</f>
        <v>1123.0899999999999</v>
      </c>
      <c r="R104" s="989"/>
    </row>
    <row r="105" spans="1:18" s="34" customFormat="1" x14ac:dyDescent="0.2">
      <c r="A105" s="933" t="s">
        <v>159</v>
      </c>
      <c r="B105" s="933"/>
      <c r="C105" s="933"/>
      <c r="D105" s="933"/>
      <c r="E105" s="933"/>
      <c r="F105" s="933"/>
      <c r="G105" s="987">
        <f>SUM(G102:G104)</f>
        <v>2946.76</v>
      </c>
      <c r="H105" s="987"/>
      <c r="I105" s="322" t="s">
        <v>159</v>
      </c>
      <c r="J105" s="987">
        <f>SUM(J102:J104)</f>
        <v>3040.11</v>
      </c>
      <c r="K105" s="987"/>
      <c r="L105" s="322" t="s">
        <v>159</v>
      </c>
      <c r="M105" s="987">
        <f>SUM(M102:M104)</f>
        <v>3040.11</v>
      </c>
      <c r="N105" s="987"/>
      <c r="O105" s="998" t="s">
        <v>159</v>
      </c>
      <c r="P105" s="999"/>
      <c r="Q105" s="987">
        <f>SUM(Q102:Q104)</f>
        <v>3040.11</v>
      </c>
      <c r="R105" s="987"/>
    </row>
    <row r="106" spans="1:18" s="34" customFormat="1" hidden="1" x14ac:dyDescent="0.2">
      <c r="A106" s="654"/>
      <c r="B106" s="654"/>
      <c r="C106" s="654"/>
      <c r="D106" s="654"/>
      <c r="E106" s="654"/>
      <c r="F106" s="655"/>
      <c r="G106" s="656"/>
      <c r="H106" s="644"/>
      <c r="I106" s="653"/>
      <c r="L106" s="653"/>
    </row>
    <row r="107" spans="1:18" s="34" customFormat="1" ht="15" customHeight="1" x14ac:dyDescent="0.2">
      <c r="A107" s="978" t="s">
        <v>227</v>
      </c>
      <c r="B107" s="979"/>
      <c r="C107" s="979"/>
      <c r="D107" s="979"/>
      <c r="E107" s="979"/>
      <c r="F107" s="979"/>
      <c r="G107" s="979"/>
      <c r="H107" s="979"/>
      <c r="I107" s="979"/>
      <c r="J107" s="979"/>
      <c r="K107" s="979"/>
      <c r="L107" s="979"/>
      <c r="M107" s="979"/>
      <c r="N107" s="979"/>
      <c r="O107" s="979"/>
      <c r="P107" s="979"/>
      <c r="Q107" s="979"/>
      <c r="R107" s="980"/>
    </row>
    <row r="108" spans="1:18" s="34" customFormat="1" ht="28.5" customHeight="1" x14ac:dyDescent="0.2">
      <c r="A108" s="723">
        <v>3</v>
      </c>
      <c r="B108" s="944" t="s">
        <v>84</v>
      </c>
      <c r="C108" s="944"/>
      <c r="D108" s="944"/>
      <c r="E108" s="944"/>
      <c r="F108" s="723" t="s">
        <v>222</v>
      </c>
      <c r="G108" s="931" t="s">
        <v>107</v>
      </c>
      <c r="H108" s="931"/>
      <c r="I108" s="723" t="s">
        <v>222</v>
      </c>
      <c r="J108" s="931" t="s">
        <v>107</v>
      </c>
      <c r="K108" s="931"/>
      <c r="L108" s="723" t="s">
        <v>222</v>
      </c>
      <c r="M108" s="931" t="s">
        <v>107</v>
      </c>
      <c r="N108" s="931"/>
      <c r="O108" s="940" t="s">
        <v>222</v>
      </c>
      <c r="P108" s="942"/>
      <c r="Q108" s="931" t="s">
        <v>107</v>
      </c>
      <c r="R108" s="931"/>
    </row>
    <row r="109" spans="1:18" s="34" customFormat="1" x14ac:dyDescent="0.2">
      <c r="A109" s="685" t="s">
        <v>1</v>
      </c>
      <c r="B109" s="607" t="str">
        <f>Dados!B90</f>
        <v>Aviso Prévio Indenizado </v>
      </c>
      <c r="C109" s="607"/>
      <c r="D109" s="608"/>
      <c r="E109" s="608"/>
      <c r="F109" s="314">
        <f>Dados!G90</f>
        <v>2.5000000000000001E-3</v>
      </c>
      <c r="G109" s="986">
        <f>F109*$G$62</f>
        <v>8.64</v>
      </c>
      <c r="H109" s="986"/>
      <c r="I109" s="314">
        <f>Dados!G90</f>
        <v>2.5000000000000001E-3</v>
      </c>
      <c r="J109" s="986">
        <f>I109*J62</f>
        <v>8.9</v>
      </c>
      <c r="K109" s="986"/>
      <c r="L109" s="650">
        <v>2.5000000000000001E-3</v>
      </c>
      <c r="M109" s="986">
        <f>L109*M62</f>
        <v>8.9</v>
      </c>
      <c r="N109" s="986"/>
      <c r="O109" s="1002">
        <v>2.5000000000000001E-3</v>
      </c>
      <c r="P109" s="1003"/>
      <c r="Q109" s="986">
        <f>L109*M62</f>
        <v>8.9</v>
      </c>
      <c r="R109" s="986"/>
    </row>
    <row r="110" spans="1:18" s="34" customFormat="1" x14ac:dyDescent="0.2">
      <c r="A110" s="685" t="s">
        <v>2</v>
      </c>
      <c r="B110" s="607" t="str">
        <f>Dados!B91</f>
        <v>Incidência do FGTS sobre aviso prévio indenizado</v>
      </c>
      <c r="C110" s="607"/>
      <c r="D110" s="608"/>
      <c r="E110" s="608"/>
      <c r="F110" s="314">
        <f>Dados!G91</f>
        <v>2.0000000000000001E-4</v>
      </c>
      <c r="G110" s="986">
        <f t="shared" ref="G110:G115" si="5">F110*$G$62</f>
        <v>0.69</v>
      </c>
      <c r="H110" s="986"/>
      <c r="I110" s="314">
        <f>Dados!G91</f>
        <v>2.0000000000000001E-4</v>
      </c>
      <c r="J110" s="986">
        <f>F110*$J$62</f>
        <v>0.71</v>
      </c>
      <c r="K110" s="986"/>
      <c r="L110" s="650">
        <v>2.0000000000000001E-4</v>
      </c>
      <c r="M110" s="986">
        <f>I110*$J$62</f>
        <v>0.71</v>
      </c>
      <c r="N110" s="986"/>
      <c r="O110" s="1002">
        <v>2.0000000000000001E-4</v>
      </c>
      <c r="P110" s="1003"/>
      <c r="Q110" s="986">
        <f>L110*$J$62</f>
        <v>0.71</v>
      </c>
      <c r="R110" s="986"/>
    </row>
    <row r="111" spans="1:18" s="34" customFormat="1" x14ac:dyDescent="0.2">
      <c r="A111" s="685" t="s">
        <v>4</v>
      </c>
      <c r="B111" s="607" t="str">
        <f>Dados!B92</f>
        <v xml:space="preserve">Multa sobre FGTS sobre o aviso prévio indenizado </v>
      </c>
      <c r="C111" s="607"/>
      <c r="D111" s="608"/>
      <c r="E111" s="608"/>
      <c r="F111" s="360">
        <f>Dados!G92</f>
        <v>9.9999999999999995E-7</v>
      </c>
      <c r="G111" s="986">
        <f t="shared" si="5"/>
        <v>0</v>
      </c>
      <c r="H111" s="986"/>
      <c r="I111" s="360">
        <f>Dados!G92</f>
        <v>9.9999999999999995E-7</v>
      </c>
      <c r="J111" s="986">
        <f>F111*$J$62</f>
        <v>0</v>
      </c>
      <c r="K111" s="986"/>
      <c r="L111" s="741">
        <v>9.9999999999999995E-7</v>
      </c>
      <c r="M111" s="986">
        <f>I111*$J$62</f>
        <v>0</v>
      </c>
      <c r="N111" s="986"/>
      <c r="O111" s="1004">
        <v>9.9999999999999995E-7</v>
      </c>
      <c r="P111" s="1005"/>
      <c r="Q111" s="986">
        <f>L111*$J$62</f>
        <v>0</v>
      </c>
      <c r="R111" s="986"/>
    </row>
    <row r="112" spans="1:18" s="34" customFormat="1" x14ac:dyDescent="0.2">
      <c r="A112" s="685" t="s">
        <v>5</v>
      </c>
      <c r="B112" s="607" t="str">
        <f>Dados!B93</f>
        <v>Aviso Prévio Trabalhado</v>
      </c>
      <c r="C112" s="607"/>
      <c r="D112" s="608"/>
      <c r="E112" s="608"/>
      <c r="F112" s="314">
        <f>Dados!G93</f>
        <v>1.9400000000000001E-2</v>
      </c>
      <c r="G112" s="986">
        <f t="shared" si="5"/>
        <v>67.03</v>
      </c>
      <c r="H112" s="986"/>
      <c r="I112" s="314">
        <f>Dados!G93</f>
        <v>1.9400000000000001E-2</v>
      </c>
      <c r="J112" s="986">
        <f>F112*$J$62</f>
        <v>69.040000000000006</v>
      </c>
      <c r="K112" s="986"/>
      <c r="L112" s="745">
        <v>1.9400000000000001E-3</v>
      </c>
      <c r="M112" s="986">
        <f>L112*M62</f>
        <v>6.9</v>
      </c>
      <c r="N112" s="986"/>
      <c r="O112" s="1040">
        <v>1.9400000000000001E-3</v>
      </c>
      <c r="P112" s="1041"/>
      <c r="Q112" s="986">
        <f>L112*M62</f>
        <v>6.9</v>
      </c>
      <c r="R112" s="986"/>
    </row>
    <row r="113" spans="1:18" s="34" customFormat="1" x14ac:dyDescent="0.2">
      <c r="A113" s="685" t="s">
        <v>6</v>
      </c>
      <c r="B113" s="607" t="str">
        <f>Dados!B94</f>
        <v>Incidência de GPS, FGTS e outras contribuições sobre o aviso prévio trabalhado</v>
      </c>
      <c r="C113" s="607"/>
      <c r="D113" s="608"/>
      <c r="E113" s="608"/>
      <c r="F113" s="314">
        <f>Dados!G94</f>
        <v>7.0000000000000001E-3</v>
      </c>
      <c r="G113" s="986">
        <f t="shared" si="5"/>
        <v>24.19</v>
      </c>
      <c r="H113" s="986"/>
      <c r="I113" s="314">
        <v>7.1000000000000004E-3</v>
      </c>
      <c r="J113" s="986">
        <f>I113*$J$62</f>
        <v>25.27</v>
      </c>
      <c r="K113" s="986"/>
      <c r="L113" s="650">
        <v>6.9999999999999999E-4</v>
      </c>
      <c r="M113" s="986">
        <f>L113*M62</f>
        <v>2.4900000000000002</v>
      </c>
      <c r="N113" s="986"/>
      <c r="O113" s="1002">
        <v>6.9999999999999999E-4</v>
      </c>
      <c r="P113" s="1003"/>
      <c r="Q113" s="986">
        <f>L113*M62</f>
        <v>2.4900000000000002</v>
      </c>
      <c r="R113" s="986"/>
    </row>
    <row r="114" spans="1:18" s="34" customFormat="1" x14ac:dyDescent="0.2">
      <c r="A114" s="685" t="s">
        <v>7</v>
      </c>
      <c r="B114" s="607" t="str">
        <f>Dados!B95</f>
        <v xml:space="preserve">Multa sobre FGTS sobre o aviso prévio trabalhado </v>
      </c>
      <c r="C114" s="607"/>
      <c r="D114" s="608"/>
      <c r="E114" s="608"/>
      <c r="F114" s="314">
        <f>Dados!G95</f>
        <v>1E-4</v>
      </c>
      <c r="G114" s="986">
        <f t="shared" si="5"/>
        <v>0.35</v>
      </c>
      <c r="H114" s="986"/>
      <c r="I114" s="314">
        <f>Dados!G95</f>
        <v>1E-4</v>
      </c>
      <c r="J114" s="986">
        <f>F114*$J$62</f>
        <v>0.36</v>
      </c>
      <c r="K114" s="986"/>
      <c r="L114" s="741">
        <v>7.9999999999999996E-6</v>
      </c>
      <c r="M114" s="986">
        <f>L114*M62</f>
        <v>0.03</v>
      </c>
      <c r="N114" s="986"/>
      <c r="O114" s="1004">
        <v>7.9999999999999996E-6</v>
      </c>
      <c r="P114" s="1005"/>
      <c r="Q114" s="986">
        <f>L114*M62</f>
        <v>0.03</v>
      </c>
      <c r="R114" s="986"/>
    </row>
    <row r="115" spans="1:18" s="34" customFormat="1" x14ac:dyDescent="0.2">
      <c r="A115" s="685" t="s">
        <v>7</v>
      </c>
      <c r="B115" s="607" t="str">
        <f>Dados!B96</f>
        <v>Multa FGTS - rescisão sem justa causa</v>
      </c>
      <c r="C115" s="607"/>
      <c r="D115" s="608"/>
      <c r="E115" s="608"/>
      <c r="F115" s="314">
        <f>Dados!G96</f>
        <v>3.49E-2</v>
      </c>
      <c r="G115" s="986">
        <f t="shared" si="5"/>
        <v>120.58</v>
      </c>
      <c r="H115" s="986"/>
      <c r="I115" s="314">
        <f>Dados!G96</f>
        <v>3.49E-2</v>
      </c>
      <c r="J115" s="986">
        <f>F115*$J$62</f>
        <v>124.2</v>
      </c>
      <c r="K115" s="986"/>
      <c r="L115" s="650">
        <v>3.49E-2</v>
      </c>
      <c r="M115" s="986">
        <f>I115*$J$62</f>
        <v>124.2</v>
      </c>
      <c r="N115" s="986"/>
      <c r="O115" s="1002">
        <v>3.49E-2</v>
      </c>
      <c r="P115" s="1003"/>
      <c r="Q115" s="986">
        <f>L115*$J$62</f>
        <v>124.2</v>
      </c>
      <c r="R115" s="986"/>
    </row>
    <row r="116" spans="1:18" s="34" customFormat="1" x14ac:dyDescent="0.2">
      <c r="A116" s="933" t="s">
        <v>159</v>
      </c>
      <c r="B116" s="933"/>
      <c r="C116" s="933"/>
      <c r="D116" s="933"/>
      <c r="E116" s="933"/>
      <c r="F116" s="317">
        <f>SUM(F109:F115)</f>
        <v>6.4100000000000004E-2</v>
      </c>
      <c r="G116" s="987">
        <f>SUM(G109:G115)</f>
        <v>221.48</v>
      </c>
      <c r="H116" s="987"/>
      <c r="I116" s="317">
        <f>SUM(I109:I115)</f>
        <v>6.4199999999999993E-2</v>
      </c>
      <c r="J116" s="987">
        <f>SUM(J109:J115)</f>
        <v>228.48</v>
      </c>
      <c r="K116" s="987"/>
      <c r="L116" s="317">
        <f>SUM(L109:L115)</f>
        <v>4.02E-2</v>
      </c>
      <c r="M116" s="987">
        <f>SUM(M109:M115)</f>
        <v>143.22999999999999</v>
      </c>
      <c r="N116" s="987"/>
      <c r="O116" s="1000">
        <f t="shared" ref="O116" si="6">SUM(O109:O115)</f>
        <v>4.02E-2</v>
      </c>
      <c r="P116" s="1001"/>
      <c r="Q116" s="987">
        <f>SUM(Q109:Q115)</f>
        <v>143.22999999999999</v>
      </c>
      <c r="R116" s="987"/>
    </row>
    <row r="117" spans="1:18" s="34" customFormat="1" ht="14.25" hidden="1" customHeight="1" x14ac:dyDescent="0.2">
      <c r="A117" s="700" t="s">
        <v>422</v>
      </c>
      <c r="B117" s="700"/>
      <c r="C117" s="700"/>
      <c r="D117" s="700"/>
      <c r="E117" s="684"/>
      <c r="F117" s="317"/>
      <c r="G117" s="322"/>
      <c r="H117" s="606"/>
      <c r="I117" s="653"/>
    </row>
    <row r="118" spans="1:18" s="34" customFormat="1" ht="14.25" hidden="1" customHeight="1" x14ac:dyDescent="0.2">
      <c r="A118" s="700" t="s">
        <v>423</v>
      </c>
      <c r="B118" s="700"/>
      <c r="C118" s="700"/>
      <c r="D118" s="700"/>
      <c r="E118" s="684"/>
      <c r="F118" s="317"/>
      <c r="G118" s="322"/>
      <c r="H118" s="606"/>
      <c r="I118" s="653"/>
    </row>
    <row r="119" spans="1:18" s="34" customFormat="1" hidden="1" x14ac:dyDescent="0.2">
      <c r="A119" s="700" t="s">
        <v>556</v>
      </c>
      <c r="B119" s="684"/>
      <c r="C119" s="684"/>
      <c r="D119" s="684"/>
      <c r="E119" s="684"/>
      <c r="F119" s="317"/>
      <c r="G119" s="322"/>
      <c r="H119" s="606"/>
      <c r="I119" s="653"/>
    </row>
    <row r="120" spans="1:18" s="34" customFormat="1" hidden="1" x14ac:dyDescent="0.2">
      <c r="A120" s="657"/>
      <c r="B120" s="657"/>
      <c r="C120" s="657"/>
      <c r="D120" s="657"/>
      <c r="E120" s="657"/>
      <c r="F120" s="658"/>
      <c r="G120" s="659"/>
      <c r="H120" s="644"/>
      <c r="I120" s="653"/>
    </row>
    <row r="121" spans="1:18" s="34" customFormat="1" ht="14.25" customHeight="1" x14ac:dyDescent="0.2">
      <c r="A121" s="931" t="s">
        <v>228</v>
      </c>
      <c r="B121" s="931"/>
      <c r="C121" s="931"/>
      <c r="D121" s="931"/>
      <c r="E121" s="931"/>
      <c r="F121" s="931"/>
      <c r="G121" s="931"/>
      <c r="H121" s="931"/>
      <c r="I121" s="931"/>
      <c r="J121" s="931"/>
      <c r="K121" s="931"/>
      <c r="L121" s="931"/>
      <c r="M121" s="931"/>
      <c r="N121" s="931"/>
      <c r="O121" s="931"/>
      <c r="P121" s="931"/>
      <c r="Q121" s="931"/>
      <c r="R121" s="931"/>
    </row>
    <row r="122" spans="1:18" s="34" customFormat="1" ht="14.25" hidden="1" customHeight="1" x14ac:dyDescent="0.2">
      <c r="A122" s="957" t="s">
        <v>258</v>
      </c>
      <c r="B122" s="957"/>
      <c r="C122" s="957"/>
      <c r="D122" s="957"/>
      <c r="E122" s="957"/>
      <c r="F122" s="957"/>
      <c r="G122" s="957"/>
      <c r="H122" s="957"/>
      <c r="I122" s="685"/>
      <c r="J122" s="607"/>
      <c r="K122" s="607"/>
      <c r="L122" s="607"/>
      <c r="M122" s="607"/>
      <c r="N122" s="607"/>
      <c r="O122" s="607"/>
      <c r="P122" s="607"/>
      <c r="Q122" s="607"/>
      <c r="R122" s="607"/>
    </row>
    <row r="123" spans="1:18" s="34" customFormat="1" ht="14.25" hidden="1" customHeight="1" x14ac:dyDescent="0.2">
      <c r="A123" s="957"/>
      <c r="B123" s="957"/>
      <c r="C123" s="957"/>
      <c r="D123" s="957"/>
      <c r="E123" s="957"/>
      <c r="F123" s="957"/>
      <c r="G123" s="957"/>
      <c r="H123" s="957"/>
      <c r="I123" s="685"/>
      <c r="J123" s="607"/>
      <c r="K123" s="607"/>
      <c r="L123" s="607"/>
      <c r="M123" s="607"/>
      <c r="N123" s="607"/>
      <c r="O123" s="607"/>
      <c r="P123" s="607"/>
      <c r="Q123" s="607"/>
      <c r="R123" s="607"/>
    </row>
    <row r="124" spans="1:18" s="34" customFormat="1" ht="39" customHeight="1" x14ac:dyDescent="0.2">
      <c r="A124" s="931" t="s">
        <v>259</v>
      </c>
      <c r="B124" s="931"/>
      <c r="C124" s="931"/>
      <c r="D124" s="931"/>
      <c r="E124" s="931"/>
      <c r="F124" s="931"/>
      <c r="G124" s="931"/>
      <c r="H124" s="931"/>
      <c r="I124" s="931"/>
      <c r="J124" s="931"/>
      <c r="K124" s="931"/>
      <c r="L124" s="931"/>
      <c r="M124" s="931"/>
      <c r="N124" s="931"/>
      <c r="O124" s="931"/>
      <c r="P124" s="931"/>
      <c r="Q124" s="931"/>
      <c r="R124" s="931"/>
    </row>
    <row r="125" spans="1:18" s="34" customFormat="1" ht="15.75" customHeight="1" x14ac:dyDescent="0.2">
      <c r="A125" s="723" t="s">
        <v>42</v>
      </c>
      <c r="B125" s="944" t="s">
        <v>269</v>
      </c>
      <c r="C125" s="944"/>
      <c r="D125" s="944"/>
      <c r="E125" s="944"/>
      <c r="F125" s="723" t="s">
        <v>254</v>
      </c>
      <c r="G125" s="931" t="s">
        <v>107</v>
      </c>
      <c r="H125" s="931"/>
      <c r="I125" s="723" t="s">
        <v>254</v>
      </c>
      <c r="J125" s="931" t="s">
        <v>107</v>
      </c>
      <c r="K125" s="931"/>
      <c r="L125" s="723" t="s">
        <v>254</v>
      </c>
      <c r="M125" s="931" t="s">
        <v>107</v>
      </c>
      <c r="N125" s="931"/>
      <c r="O125" s="940" t="s">
        <v>254</v>
      </c>
      <c r="P125" s="942"/>
      <c r="Q125" s="931" t="s">
        <v>107</v>
      </c>
      <c r="R125" s="931"/>
    </row>
    <row r="126" spans="1:18" s="34" customFormat="1" x14ac:dyDescent="0.2">
      <c r="A126" s="685" t="s">
        <v>1</v>
      </c>
      <c r="B126" s="607" t="str">
        <f>Dados!B99</f>
        <v>Substituto na cobertura de Férias</v>
      </c>
      <c r="C126" s="607"/>
      <c r="D126" s="608"/>
      <c r="E126" s="607"/>
      <c r="F126" s="314">
        <f>Dados!G99</f>
        <v>6.8999999999999999E-3</v>
      </c>
      <c r="G126" s="986">
        <f>$G$62*F126</f>
        <v>23.84</v>
      </c>
      <c r="H126" s="986"/>
      <c r="I126" s="314">
        <f>Dados!G99</f>
        <v>6.8999999999999999E-3</v>
      </c>
      <c r="J126" s="986">
        <f>I126*J62</f>
        <v>24.55</v>
      </c>
      <c r="K126" s="986"/>
      <c r="L126" s="314">
        <f>Dados!G99</f>
        <v>6.8999999999999999E-3</v>
      </c>
      <c r="M126" s="986">
        <f>L126*M62</f>
        <v>24.55</v>
      </c>
      <c r="N126" s="986"/>
      <c r="O126" s="1031">
        <f>Dados!G99</f>
        <v>6.8999999999999999E-3</v>
      </c>
      <c r="P126" s="1032"/>
      <c r="Q126" s="986">
        <f>L126*M62</f>
        <v>24.55</v>
      </c>
      <c r="R126" s="986"/>
    </row>
    <row r="127" spans="1:18" s="34" customFormat="1" x14ac:dyDescent="0.2">
      <c r="A127" s="685" t="s">
        <v>2</v>
      </c>
      <c r="B127" s="607" t="str">
        <f>Dados!B100</f>
        <v>Substituto na cobertura de Ausências Legais</v>
      </c>
      <c r="C127" s="607"/>
      <c r="D127" s="608"/>
      <c r="E127" s="607"/>
      <c r="F127" s="314">
        <f>Dados!G100</f>
        <v>1E-4</v>
      </c>
      <c r="G127" s="986">
        <f t="shared" ref="G127:G131" si="7">$G$62*F127</f>
        <v>0.35</v>
      </c>
      <c r="H127" s="986"/>
      <c r="I127" s="314">
        <f>Dados!G100</f>
        <v>1E-4</v>
      </c>
      <c r="J127" s="986">
        <f>I127*J62</f>
        <v>0.36</v>
      </c>
      <c r="K127" s="986"/>
      <c r="L127" s="314">
        <f>Dados!G100</f>
        <v>1E-4</v>
      </c>
      <c r="M127" s="986">
        <f>L127*M62</f>
        <v>0.36</v>
      </c>
      <c r="N127" s="986"/>
      <c r="O127" s="1031">
        <f>Dados!G100</f>
        <v>1E-4</v>
      </c>
      <c r="P127" s="1032"/>
      <c r="Q127" s="986">
        <f>L127*M62</f>
        <v>0.36</v>
      </c>
      <c r="R127" s="986"/>
    </row>
    <row r="128" spans="1:18" s="34" customFormat="1" x14ac:dyDescent="0.2">
      <c r="A128" s="685" t="s">
        <v>4</v>
      </c>
      <c r="B128" s="607" t="str">
        <f>Dados!B101</f>
        <v>Substituto na cobertura de Licença-Paternidade</v>
      </c>
      <c r="C128" s="607"/>
      <c r="D128" s="608"/>
      <c r="E128" s="607"/>
      <c r="F128" s="314">
        <f>Dados!G101</f>
        <v>1E-4</v>
      </c>
      <c r="G128" s="986">
        <f t="shared" si="7"/>
        <v>0.35</v>
      </c>
      <c r="H128" s="986"/>
      <c r="I128" s="314">
        <f>Dados!G101</f>
        <v>1E-4</v>
      </c>
      <c r="J128" s="986">
        <f>I128*J62</f>
        <v>0.36</v>
      </c>
      <c r="K128" s="986"/>
      <c r="L128" s="314">
        <f>Dados!G101</f>
        <v>1E-4</v>
      </c>
      <c r="M128" s="986">
        <f>L128*M62</f>
        <v>0.36</v>
      </c>
      <c r="N128" s="986"/>
      <c r="O128" s="1031">
        <f>Dados!G101</f>
        <v>1E-4</v>
      </c>
      <c r="P128" s="1032"/>
      <c r="Q128" s="986">
        <f>L128*M62</f>
        <v>0.36</v>
      </c>
      <c r="R128" s="986"/>
    </row>
    <row r="129" spans="1:18" s="34" customFormat="1" x14ac:dyDescent="0.2">
      <c r="A129" s="685" t="s">
        <v>5</v>
      </c>
      <c r="B129" s="607" t="str">
        <f>Dados!B102</f>
        <v>Substituto na cobertura de Ausência por acidente de trabalho</v>
      </c>
      <c r="C129" s="607"/>
      <c r="D129" s="608"/>
      <c r="E129" s="607"/>
      <c r="F129" s="314">
        <f>Dados!G102</f>
        <v>1E-4</v>
      </c>
      <c r="G129" s="986">
        <f t="shared" si="7"/>
        <v>0.35</v>
      </c>
      <c r="H129" s="986"/>
      <c r="I129" s="314">
        <f>Dados!G102</f>
        <v>1E-4</v>
      </c>
      <c r="J129" s="986">
        <f>I129*J62</f>
        <v>0.36</v>
      </c>
      <c r="K129" s="986"/>
      <c r="L129" s="314">
        <f>Dados!G102</f>
        <v>1E-4</v>
      </c>
      <c r="M129" s="986">
        <f>L129*M62</f>
        <v>0.36</v>
      </c>
      <c r="N129" s="986"/>
      <c r="O129" s="1031">
        <f>Dados!G102</f>
        <v>1E-4</v>
      </c>
      <c r="P129" s="1032"/>
      <c r="Q129" s="986">
        <f>L129*M62</f>
        <v>0.36</v>
      </c>
      <c r="R129" s="986"/>
    </row>
    <row r="130" spans="1:18" s="34" customFormat="1" x14ac:dyDescent="0.2">
      <c r="A130" s="685" t="s">
        <v>6</v>
      </c>
      <c r="B130" s="607" t="str">
        <f>Dados!B103</f>
        <v>Substituto na cobertura de Afastamento Maternidade</v>
      </c>
      <c r="C130" s="607"/>
      <c r="D130" s="608"/>
      <c r="E130" s="607"/>
      <c r="F130" s="314">
        <f>Dados!G103</f>
        <v>1E-4</v>
      </c>
      <c r="G130" s="986">
        <f t="shared" si="7"/>
        <v>0.35</v>
      </c>
      <c r="H130" s="986"/>
      <c r="I130" s="314">
        <f>Dados!G103</f>
        <v>1E-4</v>
      </c>
      <c r="J130" s="986">
        <f>I130*J62</f>
        <v>0.36</v>
      </c>
      <c r="K130" s="986"/>
      <c r="L130" s="314">
        <f>Dados!G103</f>
        <v>1E-4</v>
      </c>
      <c r="M130" s="986">
        <f>L130*M62</f>
        <v>0.36</v>
      </c>
      <c r="N130" s="986"/>
      <c r="O130" s="1031">
        <f>Dados!G103</f>
        <v>1E-4</v>
      </c>
      <c r="P130" s="1032"/>
      <c r="Q130" s="986">
        <f>L130*M62</f>
        <v>0.36</v>
      </c>
      <c r="R130" s="986"/>
    </row>
    <row r="131" spans="1:18" s="34" customFormat="1" x14ac:dyDescent="0.2">
      <c r="A131" s="685" t="s">
        <v>7</v>
      </c>
      <c r="B131" s="607" t="str">
        <f>Dados!B104</f>
        <v>Substituto na cobertura de Outras ausências (especificar)</v>
      </c>
      <c r="C131" s="607"/>
      <c r="D131" s="608"/>
      <c r="E131" s="607"/>
      <c r="F131" s="314">
        <f>Dados!G104</f>
        <v>0</v>
      </c>
      <c r="G131" s="986">
        <f t="shared" si="7"/>
        <v>0</v>
      </c>
      <c r="H131" s="986"/>
      <c r="I131" s="314">
        <f>Dados!G104</f>
        <v>0</v>
      </c>
      <c r="J131" s="986">
        <f>I131*J62</f>
        <v>0</v>
      </c>
      <c r="K131" s="986"/>
      <c r="L131" s="314">
        <f>Dados!G104</f>
        <v>0</v>
      </c>
      <c r="M131" s="986">
        <f>L131*M62</f>
        <v>0</v>
      </c>
      <c r="N131" s="986"/>
      <c r="O131" s="1031">
        <f>Dados!G104</f>
        <v>0</v>
      </c>
      <c r="P131" s="1032"/>
      <c r="Q131" s="986">
        <f>N131*Q62</f>
        <v>0</v>
      </c>
      <c r="R131" s="986"/>
    </row>
    <row r="132" spans="1:18" s="34" customFormat="1" ht="14.25" customHeight="1" x14ac:dyDescent="0.2">
      <c r="A132" s="933" t="s">
        <v>159</v>
      </c>
      <c r="B132" s="933"/>
      <c r="C132" s="933"/>
      <c r="D132" s="933"/>
      <c r="E132" s="933"/>
      <c r="F132" s="317">
        <f>SUM(F126:F131)</f>
        <v>7.3000000000000001E-3</v>
      </c>
      <c r="G132" s="987">
        <f>SUM(G126:G131)</f>
        <v>25.24</v>
      </c>
      <c r="H132" s="987"/>
      <c r="I132" s="317">
        <f>SUM(I126:I131)</f>
        <v>7.3000000000000001E-3</v>
      </c>
      <c r="J132" s="987">
        <f>SUM(J126:J131)</f>
        <v>25.99</v>
      </c>
      <c r="K132" s="987"/>
      <c r="L132" s="317">
        <f>SUM(L126:L131)</f>
        <v>7.3000000000000001E-3</v>
      </c>
      <c r="M132" s="987">
        <f>SUM(M126:M131)</f>
        <v>25.99</v>
      </c>
      <c r="N132" s="987"/>
      <c r="O132" s="1000">
        <f t="shared" ref="O132" si="8">SUM(O126:O131)</f>
        <v>7.3000000000000001E-3</v>
      </c>
      <c r="P132" s="1001"/>
      <c r="Q132" s="987">
        <f>SUM(Q126:Q131)</f>
        <v>25.99</v>
      </c>
      <c r="R132" s="987"/>
    </row>
    <row r="133" spans="1:18" s="34" customFormat="1" ht="14.25" hidden="1" customHeight="1" x14ac:dyDescent="0.2">
      <c r="A133" s="700" t="s">
        <v>424</v>
      </c>
      <c r="B133" s="700"/>
      <c r="C133" s="700"/>
      <c r="D133" s="700"/>
      <c r="E133" s="691"/>
      <c r="F133" s="691"/>
      <c r="G133" s="691"/>
      <c r="H133" s="606"/>
      <c r="I133" s="653"/>
    </row>
    <row r="134" spans="1:18" s="34" customFormat="1" hidden="1" x14ac:dyDescent="0.2">
      <c r="A134" s="700" t="s">
        <v>556</v>
      </c>
      <c r="B134" s="691"/>
      <c r="C134" s="691"/>
      <c r="D134" s="691"/>
      <c r="E134" s="691"/>
      <c r="F134" s="691"/>
      <c r="G134" s="691"/>
      <c r="H134" s="606"/>
      <c r="I134" s="653"/>
    </row>
    <row r="135" spans="1:18" s="34" customFormat="1" hidden="1" x14ac:dyDescent="0.2">
      <c r="A135" s="691"/>
      <c r="B135" s="691"/>
      <c r="C135" s="691"/>
      <c r="D135" s="691"/>
      <c r="E135" s="691"/>
      <c r="F135" s="691"/>
      <c r="G135" s="691"/>
      <c r="H135" s="606"/>
      <c r="I135" s="653"/>
    </row>
    <row r="136" spans="1:18" s="34" customFormat="1" ht="14.25" hidden="1" customHeight="1" x14ac:dyDescent="0.2">
      <c r="A136" s="931" t="s">
        <v>267</v>
      </c>
      <c r="B136" s="931"/>
      <c r="C136" s="931"/>
      <c r="D136" s="931"/>
      <c r="E136" s="931"/>
      <c r="F136" s="931"/>
      <c r="G136" s="931"/>
      <c r="H136" s="606"/>
      <c r="I136" s="653"/>
    </row>
    <row r="137" spans="1:18" s="34" customFormat="1" ht="14.25" hidden="1" customHeight="1" x14ac:dyDescent="0.2">
      <c r="A137" s="723" t="s">
        <v>47</v>
      </c>
      <c r="B137" s="944" t="s">
        <v>425</v>
      </c>
      <c r="C137" s="944"/>
      <c r="D137" s="944"/>
      <c r="E137" s="944"/>
      <c r="F137" s="944"/>
      <c r="G137" s="727" t="s">
        <v>107</v>
      </c>
      <c r="H137" s="606"/>
      <c r="I137" s="653"/>
    </row>
    <row r="138" spans="1:18" s="34" customFormat="1" ht="14.25" hidden="1" customHeight="1" x14ac:dyDescent="0.2">
      <c r="A138" s="685" t="s">
        <v>1</v>
      </c>
      <c r="B138" s="984" t="s">
        <v>268</v>
      </c>
      <c r="C138" s="984"/>
      <c r="D138" s="984"/>
      <c r="E138" s="984"/>
      <c r="F138" s="984"/>
      <c r="G138" s="704">
        <f>ROUND(IF(G40=0,H138,0),2)</f>
        <v>0</v>
      </c>
      <c r="H138" s="606"/>
      <c r="I138" s="653"/>
    </row>
    <row r="139" spans="1:18" s="34" customFormat="1" ht="15.75" hidden="1" customHeight="1" x14ac:dyDescent="0.2">
      <c r="A139" s="933" t="s">
        <v>159</v>
      </c>
      <c r="B139" s="933"/>
      <c r="C139" s="933"/>
      <c r="D139" s="933"/>
      <c r="E139" s="933"/>
      <c r="F139" s="933"/>
      <c r="G139" s="308">
        <f>SUM(G133:G138)</f>
        <v>0</v>
      </c>
      <c r="H139" s="606"/>
      <c r="I139" s="653"/>
    </row>
    <row r="140" spans="1:18" s="34" customFormat="1" ht="14.25" hidden="1" customHeight="1" x14ac:dyDescent="0.2">
      <c r="A140" s="981" t="s">
        <v>229</v>
      </c>
      <c r="B140" s="981"/>
      <c r="C140" s="981"/>
      <c r="D140" s="981"/>
      <c r="E140" s="981"/>
      <c r="F140" s="981"/>
      <c r="G140" s="981"/>
      <c r="H140" s="606"/>
      <c r="I140" s="653"/>
    </row>
    <row r="141" spans="1:18" s="34" customFormat="1" ht="14.25" hidden="1" customHeight="1" x14ac:dyDescent="0.2">
      <c r="A141" s="981"/>
      <c r="B141" s="981"/>
      <c r="C141" s="981"/>
      <c r="D141" s="981"/>
      <c r="E141" s="981"/>
      <c r="F141" s="981"/>
      <c r="G141" s="981"/>
      <c r="H141" s="606"/>
      <c r="I141" s="653"/>
    </row>
    <row r="142" spans="1:18" s="34" customFormat="1" hidden="1" x14ac:dyDescent="0.2">
      <c r="A142" s="654"/>
      <c r="B142" s="654"/>
      <c r="C142" s="654"/>
      <c r="D142" s="654"/>
      <c r="E142" s="654"/>
      <c r="F142" s="655"/>
      <c r="G142" s="656"/>
      <c r="H142" s="644"/>
      <c r="I142" s="653"/>
    </row>
    <row r="143" spans="1:18" s="34" customFormat="1" ht="23.25" customHeight="1" x14ac:dyDescent="0.2">
      <c r="A143" s="931" t="s">
        <v>231</v>
      </c>
      <c r="B143" s="931"/>
      <c r="C143" s="931"/>
      <c r="D143" s="931"/>
      <c r="E143" s="931"/>
      <c r="F143" s="931"/>
      <c r="G143" s="931"/>
      <c r="H143" s="931"/>
      <c r="I143" s="931"/>
      <c r="J143" s="931"/>
      <c r="K143" s="931"/>
      <c r="L143" s="931"/>
      <c r="M143" s="931"/>
      <c r="N143" s="931"/>
      <c r="O143" s="931"/>
      <c r="P143" s="931"/>
      <c r="Q143" s="931"/>
      <c r="R143" s="931"/>
    </row>
    <row r="144" spans="1:18" s="34" customFormat="1" ht="80.25" customHeight="1" x14ac:dyDescent="0.2">
      <c r="A144" s="723">
        <v>4</v>
      </c>
      <c r="B144" s="944" t="s">
        <v>230</v>
      </c>
      <c r="C144" s="944"/>
      <c r="D144" s="944"/>
      <c r="E144" s="944"/>
      <c r="F144" s="944"/>
      <c r="G144" s="931" t="s">
        <v>107</v>
      </c>
      <c r="H144" s="931"/>
      <c r="I144" s="723" t="s">
        <v>230</v>
      </c>
      <c r="J144" s="931" t="s">
        <v>107</v>
      </c>
      <c r="K144" s="931"/>
      <c r="L144" s="723" t="s">
        <v>230</v>
      </c>
      <c r="M144" s="931" t="s">
        <v>107</v>
      </c>
      <c r="N144" s="931"/>
      <c r="O144" s="940" t="s">
        <v>230</v>
      </c>
      <c r="P144" s="942"/>
      <c r="Q144" s="931" t="s">
        <v>107</v>
      </c>
      <c r="R144" s="931"/>
    </row>
    <row r="145" spans="1:18" s="34" customFormat="1" x14ac:dyDescent="0.2">
      <c r="A145" s="301" t="s">
        <v>42</v>
      </c>
      <c r="B145" s="700" t="str">
        <f>B125</f>
        <v>Substituto nas Ausências Legais</v>
      </c>
      <c r="C145" s="606"/>
      <c r="D145" s="606"/>
      <c r="E145" s="606"/>
      <c r="F145" s="302"/>
      <c r="G145" s="989">
        <f>G132</f>
        <v>25.24</v>
      </c>
      <c r="H145" s="989"/>
      <c r="I145" s="701"/>
      <c r="J145" s="989">
        <f>J132</f>
        <v>25.99</v>
      </c>
      <c r="K145" s="989"/>
      <c r="L145" s="701"/>
      <c r="M145" s="989">
        <f>M132</f>
        <v>25.99</v>
      </c>
      <c r="N145" s="989"/>
      <c r="O145" s="996"/>
      <c r="P145" s="997"/>
      <c r="Q145" s="989">
        <f>Q132</f>
        <v>25.99</v>
      </c>
      <c r="R145" s="989"/>
    </row>
    <row r="146" spans="1:18" s="34" customFormat="1" ht="14.25" hidden="1" customHeight="1" x14ac:dyDescent="0.2">
      <c r="A146" s="301" t="s">
        <v>47</v>
      </c>
      <c r="B146" s="700" t="str">
        <f>B137</f>
        <v>Substituto na Intrajornada</v>
      </c>
      <c r="C146" s="606"/>
      <c r="D146" s="606"/>
      <c r="E146" s="606"/>
      <c r="F146" s="302"/>
      <c r="G146" s="701">
        <f>G139</f>
        <v>0</v>
      </c>
      <c r="H146" s="606"/>
      <c r="I146" s="606"/>
      <c r="J146" s="701">
        <f>J139</f>
        <v>0</v>
      </c>
      <c r="K146" s="606"/>
      <c r="L146" s="606"/>
    </row>
    <row r="147" spans="1:18" s="34" customFormat="1" x14ac:dyDescent="0.2">
      <c r="A147" s="933" t="s">
        <v>159</v>
      </c>
      <c r="B147" s="933"/>
      <c r="C147" s="933"/>
      <c r="D147" s="933"/>
      <c r="E147" s="933"/>
      <c r="F147" s="933"/>
      <c r="G147" s="987">
        <f>SUM(G145:G146)</f>
        <v>25.24</v>
      </c>
      <c r="H147" s="987"/>
      <c r="I147" s="322"/>
      <c r="J147" s="987">
        <f>SUM(J145:J146)</f>
        <v>25.99</v>
      </c>
      <c r="K147" s="987"/>
      <c r="L147" s="322"/>
      <c r="M147" s="987">
        <f>SUM(M145:M146)</f>
        <v>25.99</v>
      </c>
      <c r="N147" s="987"/>
      <c r="O147" s="998"/>
      <c r="P147" s="999"/>
      <c r="Q147" s="987">
        <f>SUM(Q145:Q146)</f>
        <v>25.99</v>
      </c>
      <c r="R147" s="987"/>
    </row>
    <row r="148" spans="1:18" s="34" customFormat="1" hidden="1" x14ac:dyDescent="0.2">
      <c r="A148" s="700"/>
      <c r="B148" s="700"/>
      <c r="C148" s="700"/>
      <c r="D148" s="700"/>
      <c r="E148" s="700"/>
      <c r="F148" s="632"/>
      <c r="G148" s="633"/>
      <c r="H148" s="606"/>
      <c r="I148" s="653"/>
      <c r="L148" s="653"/>
    </row>
    <row r="149" spans="1:18" ht="15" customHeight="1" x14ac:dyDescent="0.2">
      <c r="A149" s="934" t="s">
        <v>233</v>
      </c>
      <c r="B149" s="935"/>
      <c r="C149" s="935"/>
      <c r="D149" s="935"/>
      <c r="E149" s="935"/>
      <c r="F149" s="935"/>
      <c r="G149" s="935"/>
      <c r="H149" s="935"/>
      <c r="I149" s="935"/>
      <c r="J149" s="935"/>
      <c r="K149" s="935"/>
      <c r="L149" s="935"/>
      <c r="M149" s="935"/>
      <c r="N149" s="935"/>
      <c r="O149" s="935"/>
      <c r="P149" s="935"/>
      <c r="Q149" s="935"/>
      <c r="R149" s="935"/>
    </row>
    <row r="150" spans="1:18" ht="14.25" customHeight="1" x14ac:dyDescent="0.2">
      <c r="A150" s="723">
        <v>5</v>
      </c>
      <c r="B150" s="944" t="s">
        <v>79</v>
      </c>
      <c r="C150" s="944"/>
      <c r="D150" s="944"/>
      <c r="E150" s="944"/>
      <c r="F150" s="944"/>
      <c r="G150" s="931" t="s">
        <v>107</v>
      </c>
      <c r="H150" s="931"/>
      <c r="I150" s="727" t="s">
        <v>79</v>
      </c>
      <c r="J150" s="931" t="s">
        <v>107</v>
      </c>
      <c r="K150" s="931"/>
      <c r="L150" s="727" t="s">
        <v>79</v>
      </c>
      <c r="M150" s="931" t="s">
        <v>107</v>
      </c>
      <c r="N150" s="931"/>
      <c r="O150" s="978" t="s">
        <v>79</v>
      </c>
      <c r="P150" s="980"/>
      <c r="Q150" s="931" t="s">
        <v>107</v>
      </c>
      <c r="R150" s="931"/>
    </row>
    <row r="151" spans="1:18" x14ac:dyDescent="0.2">
      <c r="A151" s="301" t="s">
        <v>1</v>
      </c>
      <c r="B151" s="606" t="str">
        <f>Dados!A60</f>
        <v>Uniformes</v>
      </c>
      <c r="C151" s="606"/>
      <c r="D151" s="606"/>
      <c r="E151" s="606"/>
      <c r="F151" s="703">
        <f>Dados!J61</f>
        <v>62.41</v>
      </c>
      <c r="G151" s="989">
        <f>F151*$F$13</f>
        <v>62.41</v>
      </c>
      <c r="H151" s="989"/>
      <c r="I151" s="701"/>
      <c r="J151" s="989">
        <f>F151*$F$13</f>
        <v>62.41</v>
      </c>
      <c r="K151" s="989"/>
      <c r="L151" s="701"/>
      <c r="M151" s="989">
        <f>F151*$F$13</f>
        <v>62.41</v>
      </c>
      <c r="N151" s="989"/>
      <c r="O151" s="996"/>
      <c r="P151" s="997"/>
      <c r="Q151" s="989">
        <f>'Uniformes II TA'!J52</f>
        <v>74.89</v>
      </c>
      <c r="R151" s="989"/>
    </row>
    <row r="152" spans="1:18" x14ac:dyDescent="0.2">
      <c r="A152" s="301" t="s">
        <v>2</v>
      </c>
      <c r="B152" s="606" t="str">
        <f>Dados!A62</f>
        <v>Materiais e Equipamentos</v>
      </c>
      <c r="C152" s="606"/>
      <c r="D152" s="606"/>
      <c r="E152" s="606"/>
      <c r="F152" s="703">
        <f>Dados!J63</f>
        <v>24.36</v>
      </c>
      <c r="G152" s="989">
        <f>F152*$F$13</f>
        <v>24.36</v>
      </c>
      <c r="H152" s="989"/>
      <c r="I152" s="701"/>
      <c r="J152" s="989">
        <f>F152*$F$13</f>
        <v>24.36</v>
      </c>
      <c r="K152" s="989"/>
      <c r="L152" s="701"/>
      <c r="M152" s="989">
        <f>F152*$F$13</f>
        <v>24.36</v>
      </c>
      <c r="N152" s="989"/>
      <c r="O152" s="996"/>
      <c r="P152" s="997"/>
      <c r="Q152" s="989">
        <f>'Mat. e Equip. II TA'!I30</f>
        <v>26.38</v>
      </c>
      <c r="R152" s="989"/>
    </row>
    <row r="153" spans="1:18" x14ac:dyDescent="0.2">
      <c r="A153" s="301" t="s">
        <v>4</v>
      </c>
      <c r="B153" s="700" t="str">
        <f>Dados!A64</f>
        <v>Depreciação e manutenção dos equipamentos</v>
      </c>
      <c r="C153" s="606"/>
      <c r="D153" s="606"/>
      <c r="E153" s="606"/>
      <c r="F153" s="302">
        <f>Dados!I64</f>
        <v>0.1</v>
      </c>
      <c r="G153" s="989">
        <f>G152*F153</f>
        <v>2.44</v>
      </c>
      <c r="H153" s="989"/>
      <c r="I153" s="701"/>
      <c r="J153" s="989">
        <f>G152*F153</f>
        <v>2.44</v>
      </c>
      <c r="K153" s="989"/>
      <c r="L153" s="701"/>
      <c r="M153" s="989">
        <f>G152*F153</f>
        <v>2.44</v>
      </c>
      <c r="N153" s="989"/>
      <c r="O153" s="996"/>
      <c r="P153" s="997"/>
      <c r="Q153" s="989">
        <f>Q152*10%</f>
        <v>2.64</v>
      </c>
      <c r="R153" s="989"/>
    </row>
    <row r="154" spans="1:18" x14ac:dyDescent="0.2">
      <c r="A154" s="301" t="s">
        <v>5</v>
      </c>
      <c r="B154" s="649" t="s">
        <v>51</v>
      </c>
      <c r="C154" s="649"/>
      <c r="D154" s="649"/>
      <c r="E154" s="607"/>
      <c r="F154" s="302"/>
      <c r="G154" s="988"/>
      <c r="H154" s="988"/>
      <c r="I154" s="702"/>
      <c r="J154" s="988"/>
      <c r="K154" s="988"/>
      <c r="L154" s="702"/>
      <c r="M154" s="988"/>
      <c r="N154" s="988"/>
      <c r="O154" s="1033"/>
      <c r="P154" s="1034"/>
      <c r="Q154" s="988"/>
      <c r="R154" s="988"/>
    </row>
    <row r="155" spans="1:18" x14ac:dyDescent="0.2">
      <c r="A155" s="933" t="s">
        <v>159</v>
      </c>
      <c r="B155" s="933"/>
      <c r="C155" s="933"/>
      <c r="D155" s="933"/>
      <c r="E155" s="933"/>
      <c r="F155" s="933"/>
      <c r="G155" s="987">
        <f>SUM(G151:G154)</f>
        <v>89.21</v>
      </c>
      <c r="H155" s="987"/>
      <c r="I155" s="322" t="s">
        <v>159</v>
      </c>
      <c r="J155" s="987">
        <f>SUM(J151:J154)</f>
        <v>89.21</v>
      </c>
      <c r="K155" s="987"/>
      <c r="L155" s="322" t="s">
        <v>159</v>
      </c>
      <c r="M155" s="987">
        <f>SUM(M151:M154)</f>
        <v>89.21</v>
      </c>
      <c r="N155" s="987"/>
      <c r="O155" s="998" t="s">
        <v>159</v>
      </c>
      <c r="P155" s="999"/>
      <c r="Q155" s="987">
        <f>SUM(Q151:Q154)</f>
        <v>103.91</v>
      </c>
      <c r="R155" s="987"/>
    </row>
    <row r="156" spans="1:18" s="34" customFormat="1" hidden="1" x14ac:dyDescent="0.2">
      <c r="A156" s="700" t="s">
        <v>234</v>
      </c>
      <c r="B156" s="608"/>
      <c r="C156" s="608"/>
      <c r="D156" s="608"/>
      <c r="E156" s="608"/>
      <c r="F156" s="650"/>
      <c r="G156" s="704" t="s">
        <v>0</v>
      </c>
      <c r="H156" s="606"/>
      <c r="I156" s="653"/>
      <c r="L156" s="653"/>
    </row>
    <row r="157" spans="1:18" s="34" customFormat="1" hidden="1" x14ac:dyDescent="0.2">
      <c r="A157" s="699"/>
      <c r="B157" s="660"/>
      <c r="C157" s="660"/>
      <c r="D157" s="660"/>
      <c r="E157" s="660"/>
      <c r="F157" s="658"/>
      <c r="G157" s="334"/>
      <c r="H157" s="644"/>
      <c r="I157" s="653"/>
      <c r="L157" s="653"/>
    </row>
    <row r="158" spans="1:18" ht="15" customHeight="1" x14ac:dyDescent="0.2">
      <c r="A158" s="931" t="s">
        <v>237</v>
      </c>
      <c r="B158" s="931"/>
      <c r="C158" s="931"/>
      <c r="D158" s="931"/>
      <c r="E158" s="931"/>
      <c r="F158" s="931"/>
      <c r="G158" s="931"/>
      <c r="H158" s="931"/>
      <c r="I158" s="931"/>
      <c r="J158" s="931"/>
      <c r="K158" s="931"/>
      <c r="L158" s="931"/>
      <c r="M158" s="931"/>
      <c r="N158" s="931"/>
      <c r="O158" s="931"/>
      <c r="P158" s="931"/>
      <c r="Q158" s="931"/>
      <c r="R158" s="931"/>
    </row>
    <row r="159" spans="1:18" ht="28.5" customHeight="1" x14ac:dyDescent="0.2">
      <c r="A159" s="723">
        <v>6</v>
      </c>
      <c r="B159" s="944" t="s">
        <v>23</v>
      </c>
      <c r="C159" s="944"/>
      <c r="D159" s="944"/>
      <c r="E159" s="944"/>
      <c r="F159" s="723" t="s">
        <v>222</v>
      </c>
      <c r="G159" s="931" t="s">
        <v>107</v>
      </c>
      <c r="H159" s="931"/>
      <c r="I159" s="723" t="s">
        <v>222</v>
      </c>
      <c r="J159" s="931" t="s">
        <v>107</v>
      </c>
      <c r="K159" s="931"/>
      <c r="L159" s="723" t="s">
        <v>222</v>
      </c>
      <c r="M159" s="931" t="s">
        <v>107</v>
      </c>
      <c r="N159" s="931"/>
      <c r="O159" s="940" t="s">
        <v>222</v>
      </c>
      <c r="P159" s="942"/>
      <c r="Q159" s="931" t="s">
        <v>107</v>
      </c>
      <c r="R159" s="931"/>
    </row>
    <row r="160" spans="1:18" ht="14.25" customHeight="1" x14ac:dyDescent="0.2">
      <c r="A160" s="685" t="s">
        <v>1</v>
      </c>
      <c r="B160" s="608" t="s">
        <v>24</v>
      </c>
      <c r="C160" s="608"/>
      <c r="D160" s="608"/>
      <c r="E160" s="608"/>
      <c r="F160" s="314">
        <f>Dados!J67</f>
        <v>0.01</v>
      </c>
      <c r="G160" s="990">
        <f>$G$180*F160</f>
        <v>61.33</v>
      </c>
      <c r="H160" s="990"/>
      <c r="I160" s="314">
        <f>Dados!J67</f>
        <v>0.01</v>
      </c>
      <c r="J160" s="990">
        <f>I160*J180</f>
        <v>63.2</v>
      </c>
      <c r="K160" s="990"/>
      <c r="L160" s="314">
        <f>Dados!J67</f>
        <v>0.01</v>
      </c>
      <c r="M160" s="990">
        <f>L160*M180</f>
        <v>62.35</v>
      </c>
      <c r="N160" s="990"/>
      <c r="O160" s="1031">
        <f>Dados!J67</f>
        <v>0.01</v>
      </c>
      <c r="P160" s="1032"/>
      <c r="Q160" s="1035">
        <f>O160*Q180</f>
        <v>62.49</v>
      </c>
      <c r="R160" s="990"/>
    </row>
    <row r="161" spans="1:18" ht="14.25" customHeight="1" x14ac:dyDescent="0.2">
      <c r="A161" s="685" t="s">
        <v>2</v>
      </c>
      <c r="B161" s="608" t="s">
        <v>18</v>
      </c>
      <c r="C161" s="608"/>
      <c r="D161" s="608"/>
      <c r="E161" s="608"/>
      <c r="F161" s="314">
        <f>Dados!J68</f>
        <v>0.01</v>
      </c>
      <c r="G161" s="990">
        <f>($G$180+$G$160)*F161</f>
        <v>61.94</v>
      </c>
      <c r="H161" s="990"/>
      <c r="I161" s="314">
        <f>Dados!J68</f>
        <v>0.01</v>
      </c>
      <c r="J161" s="990">
        <f>($J$180+$J$160)*I161</f>
        <v>63.83</v>
      </c>
      <c r="K161" s="990"/>
      <c r="L161" s="314">
        <f>Dados!J68</f>
        <v>0.01</v>
      </c>
      <c r="M161" s="990">
        <f>($M$180+$M$160)*L161</f>
        <v>62.97</v>
      </c>
      <c r="N161" s="990"/>
      <c r="O161" s="1031">
        <f>Dados!J68</f>
        <v>0.01</v>
      </c>
      <c r="P161" s="1032"/>
      <c r="Q161" s="990">
        <f>($Q$180+$Q$160)*O161</f>
        <v>63.12</v>
      </c>
      <c r="R161" s="990"/>
    </row>
    <row r="162" spans="1:18" ht="14.25" customHeight="1" x14ac:dyDescent="0.2">
      <c r="A162" s="685" t="s">
        <v>4</v>
      </c>
      <c r="B162" s="608" t="s">
        <v>426</v>
      </c>
      <c r="C162" s="608"/>
      <c r="D162" s="608"/>
      <c r="E162" s="608"/>
      <c r="F162" s="314"/>
      <c r="G162" s="990">
        <f>SUM(G160:G161)</f>
        <v>123.27</v>
      </c>
      <c r="H162" s="990"/>
      <c r="I162" s="314"/>
      <c r="J162" s="990">
        <f>SUM(J160:J161)</f>
        <v>127.03</v>
      </c>
      <c r="K162" s="990"/>
      <c r="L162" s="314"/>
      <c r="M162" s="990">
        <f>SUM(M160:M161)</f>
        <v>125.32</v>
      </c>
      <c r="N162" s="990"/>
      <c r="O162" s="1031"/>
      <c r="P162" s="1032"/>
      <c r="Q162" s="990"/>
      <c r="R162" s="990"/>
    </row>
    <row r="163" spans="1:18" ht="14.25" customHeight="1" x14ac:dyDescent="0.2">
      <c r="A163" s="685" t="s">
        <v>271</v>
      </c>
      <c r="B163" s="607" t="s">
        <v>427</v>
      </c>
      <c r="C163" s="607"/>
      <c r="D163" s="608"/>
      <c r="E163" s="607"/>
      <c r="F163" s="315">
        <f>Dados!F72</f>
        <v>6.4999999999999997E-3</v>
      </c>
      <c r="G163" s="990">
        <f>(($G$180+$G$160+$G$161)/Dados!$H$72)*F163</f>
        <v>44.52</v>
      </c>
      <c r="H163" s="990"/>
      <c r="I163" s="315">
        <f>Dados!F72</f>
        <v>6.4999999999999997E-3</v>
      </c>
      <c r="J163" s="990">
        <f>(($J$180+$J$160+$J$161)/Dados!$H$72)*I163</f>
        <v>45.87</v>
      </c>
      <c r="K163" s="990"/>
      <c r="L163" s="315">
        <f>Dados!F72</f>
        <v>6.4999999999999997E-3</v>
      </c>
      <c r="M163" s="990">
        <f>(($M$180+$M$160+$M$161)/Dados!$H$72)*L163</f>
        <v>45.25</v>
      </c>
      <c r="N163" s="990"/>
      <c r="O163" s="1036">
        <f>Dados!F72</f>
        <v>6.4999999999999997E-3</v>
      </c>
      <c r="P163" s="1037"/>
      <c r="Q163" s="990">
        <f>(($Q$180+$Q$160+$Q$161)/Dados!$H$72)*O163</f>
        <v>45.36</v>
      </c>
      <c r="R163" s="990"/>
    </row>
    <row r="164" spans="1:18" ht="14.25" customHeight="1" x14ac:dyDescent="0.2">
      <c r="A164" s="685" t="s">
        <v>272</v>
      </c>
      <c r="B164" s="607" t="s">
        <v>484</v>
      </c>
      <c r="C164" s="607"/>
      <c r="D164" s="608"/>
      <c r="E164" s="608"/>
      <c r="F164" s="315">
        <f>Dados!E72</f>
        <v>0.03</v>
      </c>
      <c r="G164" s="990">
        <f>(($G$180+$G$160+$G$161)/Dados!$H$72)*F164</f>
        <v>205.47</v>
      </c>
      <c r="H164" s="990"/>
      <c r="I164" s="315">
        <f>Dados!E72</f>
        <v>0.03</v>
      </c>
      <c r="J164" s="990">
        <f>(($J$180+$J$160+$J$161)/Dados!$H$72)*I164</f>
        <v>211.72</v>
      </c>
      <c r="K164" s="990"/>
      <c r="L164" s="315">
        <f>Dados!E72</f>
        <v>0.03</v>
      </c>
      <c r="M164" s="990">
        <f>(($M$180+$M$160+$M$161)/Dados!$H$72)*L164</f>
        <v>208.86</v>
      </c>
      <c r="N164" s="990"/>
      <c r="O164" s="1036">
        <f>Dados!E72</f>
        <v>0.03</v>
      </c>
      <c r="P164" s="1037"/>
      <c r="Q164" s="990">
        <f>(($Q$180+$Q$160+$Q$161)/Dados!$H$72)*O164</f>
        <v>209.35</v>
      </c>
      <c r="R164" s="990"/>
    </row>
    <row r="165" spans="1:18" ht="14.25" customHeight="1" x14ac:dyDescent="0.2">
      <c r="A165" s="685" t="s">
        <v>428</v>
      </c>
      <c r="B165" s="607" t="s">
        <v>486</v>
      </c>
      <c r="C165" s="607"/>
      <c r="D165" s="608"/>
      <c r="E165" s="608"/>
      <c r="F165" s="315">
        <f>Dados!C72</f>
        <v>0.05</v>
      </c>
      <c r="G165" s="990">
        <f>(($G$180+$G$160+$G$161)/Dados!$H$72)*F165</f>
        <v>342.44</v>
      </c>
      <c r="H165" s="990"/>
      <c r="I165" s="315">
        <f>Dados!C72</f>
        <v>0.05</v>
      </c>
      <c r="J165" s="990">
        <f>(($J$180+$J$160+$J$161)/Dados!$H$72)*I165</f>
        <v>352.86</v>
      </c>
      <c r="K165" s="990"/>
      <c r="L165" s="315">
        <f>Dados!C72</f>
        <v>0.05</v>
      </c>
      <c r="M165" s="990">
        <f>(($M$180+$M$160+$M$161)/Dados!$H$72)*L165</f>
        <v>348.1</v>
      </c>
      <c r="N165" s="990"/>
      <c r="O165" s="1036">
        <f>Dados!C72</f>
        <v>0.05</v>
      </c>
      <c r="P165" s="1037"/>
      <c r="Q165" s="990">
        <f>(($Q$180+$Q$160+$Q$161)/Dados!$H$72)*O165</f>
        <v>348.92</v>
      </c>
      <c r="R165" s="990"/>
    </row>
    <row r="166" spans="1:18" ht="14.25" customHeight="1" x14ac:dyDescent="0.2">
      <c r="A166" s="685" t="s">
        <v>5</v>
      </c>
      <c r="B166" s="607" t="s">
        <v>429</v>
      </c>
      <c r="C166" s="607"/>
      <c r="D166" s="608"/>
      <c r="E166" s="608"/>
      <c r="F166" s="315">
        <v>0</v>
      </c>
      <c r="G166" s="990">
        <v>0</v>
      </c>
      <c r="H166" s="990"/>
      <c r="I166" s="315">
        <v>0</v>
      </c>
      <c r="J166" s="990">
        <v>0</v>
      </c>
      <c r="K166" s="990"/>
      <c r="L166" s="315">
        <v>0</v>
      </c>
      <c r="M166" s="990">
        <v>0</v>
      </c>
      <c r="N166" s="990"/>
      <c r="O166" s="1036">
        <v>0</v>
      </c>
      <c r="P166" s="1037"/>
      <c r="Q166" s="990">
        <v>0</v>
      </c>
      <c r="R166" s="990"/>
    </row>
    <row r="167" spans="1:18" ht="18" customHeight="1" x14ac:dyDescent="0.2">
      <c r="A167" s="933" t="s">
        <v>159</v>
      </c>
      <c r="B167" s="933"/>
      <c r="C167" s="933"/>
      <c r="D167" s="933"/>
      <c r="E167" s="933"/>
      <c r="F167" s="317">
        <f>SUM(F160:F165)</f>
        <v>0.1065</v>
      </c>
      <c r="G167" s="1006">
        <f>G160+G163+G164+G165+G161</f>
        <v>715.7</v>
      </c>
      <c r="H167" s="1006"/>
      <c r="I167" s="317">
        <f>SUM(I160:I165)</f>
        <v>0.1065</v>
      </c>
      <c r="J167" s="1006">
        <f>J160+J163+J164+J165+J161</f>
        <v>737.48</v>
      </c>
      <c r="K167" s="1006"/>
      <c r="L167" s="317">
        <f>SUM(L160:L165)</f>
        <v>0.1065</v>
      </c>
      <c r="M167" s="1006">
        <f>M160+M163+M164+M165+M161</f>
        <v>727.53</v>
      </c>
      <c r="N167" s="1006"/>
      <c r="O167" s="1000">
        <f t="shared" ref="O167" si="9">SUM(O160:O165)</f>
        <v>0.1065</v>
      </c>
      <c r="P167" s="1001"/>
      <c r="Q167" s="1006">
        <f>Q160+Q163+Q164+Q165+Q161</f>
        <v>729.24</v>
      </c>
      <c r="R167" s="1006"/>
    </row>
    <row r="168" spans="1:18" ht="14.25" hidden="1" customHeight="1" x14ac:dyDescent="0.2">
      <c r="A168" s="700" t="s">
        <v>236</v>
      </c>
      <c r="B168" s="691"/>
      <c r="C168" s="691"/>
      <c r="D168" s="691"/>
      <c r="E168" s="691"/>
      <c r="F168" s="691"/>
      <c r="G168" s="651"/>
      <c r="H168" s="606"/>
      <c r="I168" s="653"/>
      <c r="J168" s="34"/>
      <c r="K168" s="34"/>
      <c r="L168" s="653"/>
      <c r="M168" s="34"/>
      <c r="N168" s="34"/>
      <c r="O168" s="34"/>
      <c r="P168" s="34"/>
      <c r="Q168" s="34"/>
      <c r="R168" s="34"/>
    </row>
    <row r="169" spans="1:18" ht="14.25" hidden="1" customHeight="1" x14ac:dyDescent="0.2">
      <c r="A169" s="700" t="s">
        <v>235</v>
      </c>
      <c r="B169" s="691"/>
      <c r="C169" s="691"/>
      <c r="D169" s="691"/>
      <c r="E169" s="691"/>
      <c r="F169" s="691"/>
      <c r="G169" s="651"/>
      <c r="H169" s="606"/>
      <c r="I169" s="653"/>
      <c r="J169" s="34"/>
      <c r="K169" s="34"/>
      <c r="L169" s="653"/>
      <c r="M169" s="34"/>
      <c r="N169" s="34"/>
      <c r="O169" s="34"/>
      <c r="P169" s="34"/>
      <c r="Q169" s="34"/>
      <c r="R169" s="34"/>
    </row>
    <row r="170" spans="1:18" ht="14.25" hidden="1" customHeight="1" x14ac:dyDescent="0.2">
      <c r="A170" s="981" t="s">
        <v>433</v>
      </c>
      <c r="B170" s="981"/>
      <c r="C170" s="981"/>
      <c r="D170" s="981"/>
      <c r="E170" s="981"/>
      <c r="F170" s="981"/>
      <c r="G170" s="981"/>
      <c r="H170" s="606"/>
      <c r="I170" s="653"/>
      <c r="J170" s="34"/>
      <c r="K170" s="34"/>
      <c r="L170" s="653"/>
      <c r="M170" s="34"/>
      <c r="N170" s="34"/>
      <c r="O170" s="34"/>
      <c r="P170" s="34"/>
      <c r="Q170" s="34"/>
      <c r="R170" s="34"/>
    </row>
    <row r="171" spans="1:18" ht="14.25" hidden="1" customHeight="1" x14ac:dyDescent="0.2">
      <c r="A171" s="981"/>
      <c r="B171" s="981"/>
      <c r="C171" s="981"/>
      <c r="D171" s="981"/>
      <c r="E171" s="981"/>
      <c r="F171" s="981"/>
      <c r="G171" s="981"/>
      <c r="H171" s="606"/>
      <c r="I171" s="653"/>
      <c r="J171" s="34"/>
      <c r="K171" s="34"/>
      <c r="L171" s="653"/>
      <c r="M171" s="34"/>
      <c r="N171" s="34"/>
      <c r="O171" s="34"/>
      <c r="P171" s="34"/>
      <c r="Q171" s="34"/>
      <c r="R171" s="34"/>
    </row>
    <row r="172" spans="1:18" ht="14.25" hidden="1" customHeight="1" x14ac:dyDescent="0.2">
      <c r="A172" s="700"/>
      <c r="B172" s="691"/>
      <c r="C172" s="691"/>
      <c r="D172" s="691"/>
      <c r="E172" s="691"/>
      <c r="F172" s="691"/>
      <c r="G172" s="651"/>
      <c r="H172" s="606"/>
      <c r="I172" s="653"/>
      <c r="J172" s="34"/>
      <c r="K172" s="34"/>
      <c r="L172" s="653"/>
      <c r="M172" s="34"/>
      <c r="N172" s="34"/>
      <c r="O172" s="34"/>
      <c r="P172" s="34"/>
      <c r="Q172" s="34"/>
      <c r="R172" s="34"/>
    </row>
    <row r="173" spans="1:18" ht="14.25" hidden="1" customHeight="1" x14ac:dyDescent="0.2">
      <c r="A173" s="652" t="s">
        <v>434</v>
      </c>
      <c r="B173" s="931"/>
      <c r="C173" s="931"/>
      <c r="D173" s="931"/>
      <c r="E173" s="931"/>
      <c r="F173" s="931"/>
      <c r="G173" s="931"/>
      <c r="H173" s="931"/>
      <c r="I173" s="110"/>
      <c r="J173" s="34"/>
      <c r="K173" s="34"/>
      <c r="L173" s="110"/>
      <c r="M173" s="34"/>
      <c r="N173" s="34"/>
      <c r="O173" s="34"/>
      <c r="P173" s="34"/>
      <c r="Q173" s="34"/>
      <c r="R173" s="34"/>
    </row>
    <row r="174" spans="1:18" ht="80.25" customHeight="1" x14ac:dyDescent="0.2">
      <c r="A174" s="931" t="s">
        <v>201</v>
      </c>
      <c r="B174" s="931"/>
      <c r="C174" s="931"/>
      <c r="D174" s="931"/>
      <c r="E174" s="931"/>
      <c r="F174" s="931"/>
      <c r="G174" s="931" t="s">
        <v>523</v>
      </c>
      <c r="H174" s="931"/>
      <c r="I174" s="723" t="s">
        <v>201</v>
      </c>
      <c r="J174" s="944" t="s">
        <v>521</v>
      </c>
      <c r="K174" s="944"/>
      <c r="L174" s="723" t="s">
        <v>201</v>
      </c>
      <c r="M174" s="944" t="s">
        <v>522</v>
      </c>
      <c r="N174" s="944"/>
      <c r="O174" s="940" t="s">
        <v>201</v>
      </c>
      <c r="P174" s="942"/>
      <c r="Q174" s="944" t="s">
        <v>542</v>
      </c>
      <c r="R174" s="944"/>
    </row>
    <row r="175" spans="1:18" ht="24" customHeight="1" x14ac:dyDescent="0.2">
      <c r="A175" s="685" t="s">
        <v>1</v>
      </c>
      <c r="B175" s="700" t="str">
        <f>A33</f>
        <v>Módulo 1 - Composição da Remuneração</v>
      </c>
      <c r="C175" s="700"/>
      <c r="D175" s="691"/>
      <c r="E175" s="691"/>
      <c r="F175" s="650"/>
      <c r="G175" s="988">
        <f>G41</f>
        <v>2850.45</v>
      </c>
      <c r="H175" s="988"/>
      <c r="I175" s="702"/>
      <c r="J175" s="988">
        <f>J41</f>
        <v>2935.96</v>
      </c>
      <c r="K175" s="988"/>
      <c r="L175" s="702"/>
      <c r="M175" s="988">
        <f>J41</f>
        <v>2935.96</v>
      </c>
      <c r="N175" s="988"/>
      <c r="O175" s="1033"/>
      <c r="P175" s="1034"/>
      <c r="Q175" s="988">
        <f>J41</f>
        <v>2935.96</v>
      </c>
      <c r="R175" s="988"/>
    </row>
    <row r="176" spans="1:18" ht="14.25" customHeight="1" x14ac:dyDescent="0.2">
      <c r="A176" s="685" t="s">
        <v>2</v>
      </c>
      <c r="B176" s="700" t="str">
        <f>A46</f>
        <v>Módulo 2 - Encargos e Benefícios Anuais, Mensais e Diários</v>
      </c>
      <c r="C176" s="700"/>
      <c r="D176" s="691"/>
      <c r="E176" s="691"/>
      <c r="F176" s="650"/>
      <c r="G176" s="988">
        <f>G105</f>
        <v>2946.76</v>
      </c>
      <c r="H176" s="988"/>
      <c r="I176" s="702"/>
      <c r="J176" s="988">
        <f>J105</f>
        <v>3040.11</v>
      </c>
      <c r="K176" s="988"/>
      <c r="L176" s="702"/>
      <c r="M176" s="988">
        <f>M105</f>
        <v>3040.11</v>
      </c>
      <c r="N176" s="988"/>
      <c r="O176" s="1033"/>
      <c r="P176" s="1034"/>
      <c r="Q176" s="988">
        <f>Q105</f>
        <v>3040.11</v>
      </c>
      <c r="R176" s="988"/>
    </row>
    <row r="177" spans="1:18" ht="14.25" customHeight="1" x14ac:dyDescent="0.2">
      <c r="A177" s="685" t="s">
        <v>4</v>
      </c>
      <c r="B177" s="700" t="str">
        <f>A107</f>
        <v>Módulo 3 - Provisão para Rescisão</v>
      </c>
      <c r="C177" s="700"/>
      <c r="D177" s="691"/>
      <c r="E177" s="691"/>
      <c r="F177" s="650"/>
      <c r="G177" s="988">
        <f>G116</f>
        <v>221.48</v>
      </c>
      <c r="H177" s="988"/>
      <c r="I177" s="702"/>
      <c r="J177" s="988">
        <f>J116</f>
        <v>228.48</v>
      </c>
      <c r="K177" s="988"/>
      <c r="L177" s="702"/>
      <c r="M177" s="988">
        <f>M116</f>
        <v>143.22999999999999</v>
      </c>
      <c r="N177" s="988"/>
      <c r="O177" s="1033"/>
      <c r="P177" s="1034"/>
      <c r="Q177" s="988">
        <f>Q116</f>
        <v>143.22999999999999</v>
      </c>
      <c r="R177" s="988"/>
    </row>
    <row r="178" spans="1:18" ht="14.25" customHeight="1" x14ac:dyDescent="0.2">
      <c r="A178" s="685" t="s">
        <v>5</v>
      </c>
      <c r="B178" s="700" t="str">
        <f>A121</f>
        <v>Módulo 4 - Custo de Reposição do Profissional</v>
      </c>
      <c r="C178" s="700"/>
      <c r="D178" s="691"/>
      <c r="E178" s="691"/>
      <c r="F178" s="650"/>
      <c r="G178" s="988">
        <f>G147</f>
        <v>25.24</v>
      </c>
      <c r="H178" s="988"/>
      <c r="I178" s="702"/>
      <c r="J178" s="988">
        <f>J147</f>
        <v>25.99</v>
      </c>
      <c r="K178" s="988"/>
      <c r="L178" s="702"/>
      <c r="M178" s="988">
        <f>M147</f>
        <v>25.99</v>
      </c>
      <c r="N178" s="988"/>
      <c r="O178" s="1033"/>
      <c r="P178" s="1034"/>
      <c r="Q178" s="988">
        <f>Q147</f>
        <v>25.99</v>
      </c>
      <c r="R178" s="988"/>
    </row>
    <row r="179" spans="1:18" x14ac:dyDescent="0.2">
      <c r="A179" s="301" t="s">
        <v>6</v>
      </c>
      <c r="B179" s="700" t="str">
        <f>A149</f>
        <v>Módulo 5 - Insumos Diversos</v>
      </c>
      <c r="C179" s="652"/>
      <c r="D179" s="652"/>
      <c r="E179" s="652"/>
      <c r="F179" s="652"/>
      <c r="G179" s="988">
        <f>G155</f>
        <v>89.21</v>
      </c>
      <c r="H179" s="988"/>
      <c r="I179" s="702"/>
      <c r="J179" s="988">
        <f>J155</f>
        <v>89.21</v>
      </c>
      <c r="K179" s="988"/>
      <c r="L179" s="702"/>
      <c r="M179" s="988">
        <f>M155</f>
        <v>89.21</v>
      </c>
      <c r="N179" s="988"/>
      <c r="O179" s="1033"/>
      <c r="P179" s="1034"/>
      <c r="Q179" s="988">
        <f>Q155</f>
        <v>103.91</v>
      </c>
      <c r="R179" s="988"/>
    </row>
    <row r="180" spans="1:18" ht="50.25" customHeight="1" x14ac:dyDescent="0.2">
      <c r="A180" s="933" t="s">
        <v>238</v>
      </c>
      <c r="B180" s="933"/>
      <c r="C180" s="933"/>
      <c r="D180" s="933"/>
      <c r="E180" s="933"/>
      <c r="F180" s="933"/>
      <c r="G180" s="987">
        <f>SUM(G175:G179)</f>
        <v>6133.14</v>
      </c>
      <c r="H180" s="987"/>
      <c r="I180" s="308" t="s">
        <v>238</v>
      </c>
      <c r="J180" s="987">
        <f>SUM(J175:J179)</f>
        <v>6319.75</v>
      </c>
      <c r="K180" s="987"/>
      <c r="L180" s="308" t="s">
        <v>238</v>
      </c>
      <c r="M180" s="987">
        <f>SUM(M175:M179)</f>
        <v>6234.5</v>
      </c>
      <c r="N180" s="987"/>
      <c r="O180" s="1038" t="s">
        <v>238</v>
      </c>
      <c r="P180" s="1039"/>
      <c r="Q180" s="987">
        <f>SUM(Q175:Q179)</f>
        <v>6249.2</v>
      </c>
      <c r="R180" s="987"/>
    </row>
    <row r="181" spans="1:18" ht="14.25" customHeight="1" x14ac:dyDescent="0.2">
      <c r="A181" s="685" t="s">
        <v>7</v>
      </c>
      <c r="B181" s="700" t="str">
        <f>A158</f>
        <v>Módulo 6 - Custos Indiretos, Tributos e Lucro</v>
      </c>
      <c r="C181" s="700"/>
      <c r="D181" s="691"/>
      <c r="E181" s="691"/>
      <c r="F181" s="650"/>
      <c r="G181" s="988">
        <f>G167</f>
        <v>715.7</v>
      </c>
      <c r="H181" s="988"/>
      <c r="I181" s="702"/>
      <c r="J181" s="988">
        <f>J167</f>
        <v>737.48</v>
      </c>
      <c r="K181" s="988"/>
      <c r="L181" s="702"/>
      <c r="M181" s="988">
        <f>M167</f>
        <v>727.53</v>
      </c>
      <c r="N181" s="988"/>
      <c r="O181" s="1033"/>
      <c r="P181" s="1034"/>
      <c r="Q181" s="988">
        <f>Q167</f>
        <v>729.24</v>
      </c>
      <c r="R181" s="988"/>
    </row>
    <row r="182" spans="1:18" ht="42.75" customHeight="1" x14ac:dyDescent="0.2">
      <c r="A182" s="933" t="s">
        <v>179</v>
      </c>
      <c r="B182" s="933"/>
      <c r="C182" s="933"/>
      <c r="D182" s="933"/>
      <c r="E182" s="933"/>
      <c r="F182" s="933"/>
      <c r="G182" s="987">
        <f>SUM(G180:G181)</f>
        <v>6848.84</v>
      </c>
      <c r="H182" s="987"/>
      <c r="I182" s="308" t="s">
        <v>179</v>
      </c>
      <c r="J182" s="987">
        <f>SUM(J180:J181)</f>
        <v>7057.23</v>
      </c>
      <c r="K182" s="987"/>
      <c r="L182" s="308" t="s">
        <v>179</v>
      </c>
      <c r="M182" s="987">
        <f>SUM(M180:M181)</f>
        <v>6962.03</v>
      </c>
      <c r="N182" s="987"/>
      <c r="O182" s="1038" t="s">
        <v>179</v>
      </c>
      <c r="P182" s="1039"/>
      <c r="Q182" s="987">
        <f>SUM(Q180:Q181)</f>
        <v>6978.44</v>
      </c>
      <c r="R182" s="987"/>
    </row>
    <row r="183" spans="1:18" ht="14.25" hidden="1" customHeight="1" x14ac:dyDescent="0.2">
      <c r="A183" s="1011" t="s">
        <v>436</v>
      </c>
      <c r="B183" s="1012"/>
      <c r="C183" s="1012"/>
      <c r="D183" s="1012"/>
      <c r="E183" s="1012"/>
      <c r="F183" s="1013"/>
      <c r="G183" s="646"/>
    </row>
    <row r="184" spans="1:18" ht="14.25" hidden="1" customHeight="1" x14ac:dyDescent="0.2">
      <c r="A184" s="1008" t="s">
        <v>179</v>
      </c>
      <c r="B184" s="1009"/>
      <c r="C184" s="1009"/>
      <c r="D184" s="1009"/>
      <c r="E184" s="1009"/>
      <c r="F184" s="1010"/>
      <c r="G184" s="332">
        <f>SUM(G182:G183)</f>
        <v>6848.84</v>
      </c>
    </row>
    <row r="185" spans="1:18" ht="17.25" customHeight="1" x14ac:dyDescent="0.2"/>
    <row r="186" spans="1:18" ht="2.25" hidden="1" customHeight="1" x14ac:dyDescent="0.2">
      <c r="J186" s="667">
        <f>J182</f>
        <v>7057.23</v>
      </c>
      <c r="M186" s="667">
        <f>M182</f>
        <v>6962.03</v>
      </c>
      <c r="R186" s="667">
        <f>Q182</f>
        <v>6978.44</v>
      </c>
    </row>
  </sheetData>
  <mergeCells count="537">
    <mergeCell ref="A25:R25"/>
    <mergeCell ref="O59:P59"/>
    <mergeCell ref="O51:P51"/>
    <mergeCell ref="O50:P50"/>
    <mergeCell ref="O49:P49"/>
    <mergeCell ref="O48:P48"/>
    <mergeCell ref="O41:P41"/>
    <mergeCell ref="O39:P39"/>
    <mergeCell ref="O40:P40"/>
    <mergeCell ref="O38:P38"/>
    <mergeCell ref="A46:R46"/>
    <mergeCell ref="A47:R47"/>
    <mergeCell ref="Q48:R48"/>
    <mergeCell ref="Q49:R49"/>
    <mergeCell ref="Q50:R50"/>
    <mergeCell ref="Q51:R51"/>
    <mergeCell ref="Q59:R59"/>
    <mergeCell ref="Q34:R34"/>
    <mergeCell ref="Q35:R35"/>
    <mergeCell ref="Q36:R36"/>
    <mergeCell ref="Q37:R37"/>
    <mergeCell ref="Q38:R38"/>
    <mergeCell ref="Q39:R39"/>
    <mergeCell ref="Q40:R40"/>
    <mergeCell ref="O70:P70"/>
    <mergeCell ref="O69:P69"/>
    <mergeCell ref="O68:P68"/>
    <mergeCell ref="O67:P67"/>
    <mergeCell ref="O66:P66"/>
    <mergeCell ref="O65:P65"/>
    <mergeCell ref="O62:P62"/>
    <mergeCell ref="O61:P61"/>
    <mergeCell ref="O60:P60"/>
    <mergeCell ref="A64:R64"/>
    <mergeCell ref="Q66:R66"/>
    <mergeCell ref="Q67:R67"/>
    <mergeCell ref="Q68:R68"/>
    <mergeCell ref="Q69:R69"/>
    <mergeCell ref="Q70:R70"/>
    <mergeCell ref="Q60:R60"/>
    <mergeCell ref="Q61:R61"/>
    <mergeCell ref="Q62:R62"/>
    <mergeCell ref="Q65:R65"/>
    <mergeCell ref="M65:N65"/>
    <mergeCell ref="G65:H65"/>
    <mergeCell ref="G62:H62"/>
    <mergeCell ref="G61:H61"/>
    <mergeCell ref="J66:K66"/>
    <mergeCell ref="O87:P87"/>
    <mergeCell ref="O86:P86"/>
    <mergeCell ref="O85:P85"/>
    <mergeCell ref="O84:P84"/>
    <mergeCell ref="O83:P83"/>
    <mergeCell ref="O74:P74"/>
    <mergeCell ref="O73:P73"/>
    <mergeCell ref="O72:P72"/>
    <mergeCell ref="O71:P71"/>
    <mergeCell ref="A82:R82"/>
    <mergeCell ref="Q83:R83"/>
    <mergeCell ref="Q84:R84"/>
    <mergeCell ref="Q85:R85"/>
    <mergeCell ref="Q86:R86"/>
    <mergeCell ref="Q87:R87"/>
    <mergeCell ref="Q71:R71"/>
    <mergeCell ref="Q72:R72"/>
    <mergeCell ref="Q73:R73"/>
    <mergeCell ref="Q74:R74"/>
    <mergeCell ref="M74:N74"/>
    <mergeCell ref="M83:N83"/>
    <mergeCell ref="M84:N84"/>
    <mergeCell ref="M85:N85"/>
    <mergeCell ref="M86:N86"/>
    <mergeCell ref="O104:P104"/>
    <mergeCell ref="O103:P103"/>
    <mergeCell ref="O102:P102"/>
    <mergeCell ref="O101:P101"/>
    <mergeCell ref="O96:P96"/>
    <mergeCell ref="O91:P91"/>
    <mergeCell ref="O90:P90"/>
    <mergeCell ref="O89:P89"/>
    <mergeCell ref="O88:P88"/>
    <mergeCell ref="A100:R100"/>
    <mergeCell ref="O95:P95"/>
    <mergeCell ref="Q88:R88"/>
    <mergeCell ref="Q89:R89"/>
    <mergeCell ref="Q90:R90"/>
    <mergeCell ref="Q91:R91"/>
    <mergeCell ref="M90:N90"/>
    <mergeCell ref="M91:N91"/>
    <mergeCell ref="M95:N95"/>
    <mergeCell ref="M104:N104"/>
    <mergeCell ref="A98:G98"/>
    <mergeCell ref="G104:H104"/>
    <mergeCell ref="G103:H103"/>
    <mergeCell ref="G102:H102"/>
    <mergeCell ref="G101:H101"/>
    <mergeCell ref="Q113:R113"/>
    <mergeCell ref="Q114:R114"/>
    <mergeCell ref="Q115:R115"/>
    <mergeCell ref="Q116:R116"/>
    <mergeCell ref="M105:N105"/>
    <mergeCell ref="B108:E108"/>
    <mergeCell ref="G116:H116"/>
    <mergeCell ref="G115:H115"/>
    <mergeCell ref="G114:H114"/>
    <mergeCell ref="G113:H113"/>
    <mergeCell ref="G112:H112"/>
    <mergeCell ref="O111:P111"/>
    <mergeCell ref="O110:P110"/>
    <mergeCell ref="O109:P109"/>
    <mergeCell ref="O108:P108"/>
    <mergeCell ref="O105:P105"/>
    <mergeCell ref="A107:R107"/>
    <mergeCell ref="O112:P112"/>
    <mergeCell ref="Q111:R111"/>
    <mergeCell ref="Q112:R112"/>
    <mergeCell ref="G111:H111"/>
    <mergeCell ref="A116:E116"/>
    <mergeCell ref="J113:K113"/>
    <mergeCell ref="J114:K114"/>
    <mergeCell ref="O147:P147"/>
    <mergeCell ref="O150:P150"/>
    <mergeCell ref="O145:P145"/>
    <mergeCell ref="O144:P144"/>
    <mergeCell ref="O125:P125"/>
    <mergeCell ref="O126:P126"/>
    <mergeCell ref="O127:P127"/>
    <mergeCell ref="O128:P128"/>
    <mergeCell ref="O129:P129"/>
    <mergeCell ref="O130:P130"/>
    <mergeCell ref="O131:P131"/>
    <mergeCell ref="O132:P132"/>
    <mergeCell ref="A143:R143"/>
    <mergeCell ref="Q125:R125"/>
    <mergeCell ref="Q126:R126"/>
    <mergeCell ref="Q127:R127"/>
    <mergeCell ref="G127:H127"/>
    <mergeCell ref="G126:H126"/>
    <mergeCell ref="G125:H125"/>
    <mergeCell ref="J131:K131"/>
    <mergeCell ref="A136:G136"/>
    <mergeCell ref="J128:K128"/>
    <mergeCell ref="J129:K129"/>
    <mergeCell ref="J130:K130"/>
    <mergeCell ref="O182:P182"/>
    <mergeCell ref="O180:P180"/>
    <mergeCell ref="O179:P179"/>
    <mergeCell ref="O178:P178"/>
    <mergeCell ref="O181:P181"/>
    <mergeCell ref="O177:P177"/>
    <mergeCell ref="O176:P176"/>
    <mergeCell ref="O175:P175"/>
    <mergeCell ref="O167:P167"/>
    <mergeCell ref="O174:P174"/>
    <mergeCell ref="Q174:R174"/>
    <mergeCell ref="Q175:R175"/>
    <mergeCell ref="Q176:R176"/>
    <mergeCell ref="Q177:R177"/>
    <mergeCell ref="Q178:R178"/>
    <mergeCell ref="Q179:R179"/>
    <mergeCell ref="Q180:R180"/>
    <mergeCell ref="Q181:R181"/>
    <mergeCell ref="Q182:R182"/>
    <mergeCell ref="Q163:R163"/>
    <mergeCell ref="Q164:R164"/>
    <mergeCell ref="Q165:R165"/>
    <mergeCell ref="Q166:R166"/>
    <mergeCell ref="Q167:R167"/>
    <mergeCell ref="O166:P166"/>
    <mergeCell ref="O165:P165"/>
    <mergeCell ref="O164:P164"/>
    <mergeCell ref="O163:P163"/>
    <mergeCell ref="O162:P162"/>
    <mergeCell ref="O161:P161"/>
    <mergeCell ref="O160:P160"/>
    <mergeCell ref="O151:P151"/>
    <mergeCell ref="O152:P152"/>
    <mergeCell ref="O153:P153"/>
    <mergeCell ref="O154:P154"/>
    <mergeCell ref="O155:P155"/>
    <mergeCell ref="O159:P159"/>
    <mergeCell ref="A158:R158"/>
    <mergeCell ref="Q151:R151"/>
    <mergeCell ref="Q152:R152"/>
    <mergeCell ref="Q153:R153"/>
    <mergeCell ref="Q154:R154"/>
    <mergeCell ref="Q155:R155"/>
    <mergeCell ref="Q159:R159"/>
    <mergeCell ref="Q160:R160"/>
    <mergeCell ref="Q161:R161"/>
    <mergeCell ref="M96:N96"/>
    <mergeCell ref="M101:N101"/>
    <mergeCell ref="M102:N102"/>
    <mergeCell ref="M103:N103"/>
    <mergeCell ref="Q162:R162"/>
    <mergeCell ref="Q128:R128"/>
    <mergeCell ref="Q129:R129"/>
    <mergeCell ref="Q130:R130"/>
    <mergeCell ref="Q131:R131"/>
    <mergeCell ref="Q132:R132"/>
    <mergeCell ref="Q144:R144"/>
    <mergeCell ref="Q145:R145"/>
    <mergeCell ref="Q147:R147"/>
    <mergeCell ref="Q150:R150"/>
    <mergeCell ref="A149:R149"/>
    <mergeCell ref="M132:N132"/>
    <mergeCell ref="M144:N144"/>
    <mergeCell ref="B137:F137"/>
    <mergeCell ref="G144:H144"/>
    <mergeCell ref="G132:H132"/>
    <mergeCell ref="G131:H131"/>
    <mergeCell ref="G130:H130"/>
    <mergeCell ref="G129:H129"/>
    <mergeCell ref="G128:H128"/>
    <mergeCell ref="Q96:R96"/>
    <mergeCell ref="Q101:R101"/>
    <mergeCell ref="Q102:R102"/>
    <mergeCell ref="Q103:R103"/>
    <mergeCell ref="Q104:R104"/>
    <mergeCell ref="Q105:R105"/>
    <mergeCell ref="Q108:R108"/>
    <mergeCell ref="Q109:R109"/>
    <mergeCell ref="Q110:R110"/>
    <mergeCell ref="Q41:R41"/>
    <mergeCell ref="M37:N37"/>
    <mergeCell ref="M38:N38"/>
    <mergeCell ref="M39:N39"/>
    <mergeCell ref="M40:N40"/>
    <mergeCell ref="O37:P37"/>
    <mergeCell ref="O36:P36"/>
    <mergeCell ref="O35:P35"/>
    <mergeCell ref="O34:P34"/>
    <mergeCell ref="M41:N41"/>
    <mergeCell ref="O26:R26"/>
    <mergeCell ref="O27:R27"/>
    <mergeCell ref="O28:R28"/>
    <mergeCell ref="O29:R29"/>
    <mergeCell ref="O30:R30"/>
    <mergeCell ref="O31:R31"/>
    <mergeCell ref="L26:N26"/>
    <mergeCell ref="L27:N27"/>
    <mergeCell ref="L28:N28"/>
    <mergeCell ref="L29:N29"/>
    <mergeCell ref="L30:N30"/>
    <mergeCell ref="L31:N31"/>
    <mergeCell ref="I26:K26"/>
    <mergeCell ref="I27:K27"/>
    <mergeCell ref="I28:K28"/>
    <mergeCell ref="I29:K29"/>
    <mergeCell ref="I30:K30"/>
    <mergeCell ref="I31:K31"/>
    <mergeCell ref="M174:N174"/>
    <mergeCell ref="M175:N175"/>
    <mergeCell ref="M176:N176"/>
    <mergeCell ref="M145:N145"/>
    <mergeCell ref="M147:N147"/>
    <mergeCell ref="M150:N150"/>
    <mergeCell ref="M151:N151"/>
    <mergeCell ref="M152:N152"/>
    <mergeCell ref="M153:N153"/>
    <mergeCell ref="M154:N154"/>
    <mergeCell ref="M155:N155"/>
    <mergeCell ref="M125:N125"/>
    <mergeCell ref="M126:N126"/>
    <mergeCell ref="M127:N127"/>
    <mergeCell ref="M128:N128"/>
    <mergeCell ref="M129:N129"/>
    <mergeCell ref="M130:N130"/>
    <mergeCell ref="M131:N131"/>
    <mergeCell ref="M177:N177"/>
    <mergeCell ref="M178:N178"/>
    <mergeCell ref="M179:N179"/>
    <mergeCell ref="M180:N180"/>
    <mergeCell ref="M181:N181"/>
    <mergeCell ref="M182:N182"/>
    <mergeCell ref="M159:N159"/>
    <mergeCell ref="M160:N160"/>
    <mergeCell ref="M161:N161"/>
    <mergeCell ref="M162:N162"/>
    <mergeCell ref="M163:N163"/>
    <mergeCell ref="M164:N164"/>
    <mergeCell ref="M165:N165"/>
    <mergeCell ref="M166:N166"/>
    <mergeCell ref="M167:N167"/>
    <mergeCell ref="M87:N87"/>
    <mergeCell ref="M88:N88"/>
    <mergeCell ref="M89:N89"/>
    <mergeCell ref="M62:N62"/>
    <mergeCell ref="M66:N66"/>
    <mergeCell ref="M67:N67"/>
    <mergeCell ref="M68:N68"/>
    <mergeCell ref="M69:N69"/>
    <mergeCell ref="M70:N70"/>
    <mergeCell ref="M71:N71"/>
    <mergeCell ref="M72:N72"/>
    <mergeCell ref="M73:N73"/>
    <mergeCell ref="M48:N48"/>
    <mergeCell ref="M49:N49"/>
    <mergeCell ref="M50:N50"/>
    <mergeCell ref="M51:N51"/>
    <mergeCell ref="M59:N59"/>
    <mergeCell ref="M60:N60"/>
    <mergeCell ref="M61:N61"/>
    <mergeCell ref="M34:N34"/>
    <mergeCell ref="M35:N35"/>
    <mergeCell ref="M36:N36"/>
    <mergeCell ref="A33:R33"/>
    <mergeCell ref="I32:K32"/>
    <mergeCell ref="F32:H32"/>
    <mergeCell ref="B32:E32"/>
    <mergeCell ref="B173:H173"/>
    <mergeCell ref="G155:H155"/>
    <mergeCell ref="G154:H154"/>
    <mergeCell ref="G153:H153"/>
    <mergeCell ref="G152:H152"/>
    <mergeCell ref="G151:H151"/>
    <mergeCell ref="G150:H150"/>
    <mergeCell ref="A84:A85"/>
    <mergeCell ref="A86:A87"/>
    <mergeCell ref="A96:F96"/>
    <mergeCell ref="B50:E50"/>
    <mergeCell ref="A51:E51"/>
    <mergeCell ref="A52:G53"/>
    <mergeCell ref="B65:E65"/>
    <mergeCell ref="A54:G55"/>
    <mergeCell ref="A56:G57"/>
    <mergeCell ref="A59:F59"/>
    <mergeCell ref="A62:F62"/>
    <mergeCell ref="B101:F101"/>
    <mergeCell ref="A105:F105"/>
    <mergeCell ref="F19:G19"/>
    <mergeCell ref="A5:G5"/>
    <mergeCell ref="A6:G6"/>
    <mergeCell ref="A7:G7"/>
    <mergeCell ref="A8:G8"/>
    <mergeCell ref="A9:G9"/>
    <mergeCell ref="A12:B12"/>
    <mergeCell ref="C12:D12"/>
    <mergeCell ref="A13:B13"/>
    <mergeCell ref="C13:D13"/>
    <mergeCell ref="A16:G16"/>
    <mergeCell ref="F17:G17"/>
    <mergeCell ref="F18:G18"/>
    <mergeCell ref="B27:E27"/>
    <mergeCell ref="B28:E28"/>
    <mergeCell ref="B30:E30"/>
    <mergeCell ref="B31:E31"/>
    <mergeCell ref="A21:G21"/>
    <mergeCell ref="A22:B22"/>
    <mergeCell ref="A23:B23"/>
    <mergeCell ref="B26:E26"/>
    <mergeCell ref="B48:E48"/>
    <mergeCell ref="A43:G44"/>
    <mergeCell ref="G40:H40"/>
    <mergeCell ref="G39:H39"/>
    <mergeCell ref="G38:H38"/>
    <mergeCell ref="G36:H36"/>
    <mergeCell ref="G35:H35"/>
    <mergeCell ref="G34:H34"/>
    <mergeCell ref="F30:H30"/>
    <mergeCell ref="F31:H31"/>
    <mergeCell ref="F29:H29"/>
    <mergeCell ref="F28:H28"/>
    <mergeCell ref="F27:H27"/>
    <mergeCell ref="F26:H26"/>
    <mergeCell ref="G22:H22"/>
    <mergeCell ref="G23:H23"/>
    <mergeCell ref="A184:F184"/>
    <mergeCell ref="A170:G171"/>
    <mergeCell ref="A174:F174"/>
    <mergeCell ref="A180:F180"/>
    <mergeCell ref="A182:F182"/>
    <mergeCell ref="A183:F183"/>
    <mergeCell ref="A167:E167"/>
    <mergeCell ref="B138:F138"/>
    <mergeCell ref="A139:F139"/>
    <mergeCell ref="A140:G141"/>
    <mergeCell ref="B144:F144"/>
    <mergeCell ref="A147:F147"/>
    <mergeCell ref="B150:F150"/>
    <mergeCell ref="A155:F155"/>
    <mergeCell ref="B159:E159"/>
    <mergeCell ref="G162:H162"/>
    <mergeCell ref="G161:H161"/>
    <mergeCell ref="G160:H160"/>
    <mergeCell ref="G159:H159"/>
    <mergeCell ref="G182:H182"/>
    <mergeCell ref="G181:H181"/>
    <mergeCell ref="G180:H180"/>
    <mergeCell ref="G147:H147"/>
    <mergeCell ref="G145:H145"/>
    <mergeCell ref="B83:E83"/>
    <mergeCell ref="A41:F41"/>
    <mergeCell ref="G95:H95"/>
    <mergeCell ref="G91:H91"/>
    <mergeCell ref="G90:H90"/>
    <mergeCell ref="G89:H89"/>
    <mergeCell ref="G60:H60"/>
    <mergeCell ref="G59:H59"/>
    <mergeCell ref="G51:H51"/>
    <mergeCell ref="G50:H50"/>
    <mergeCell ref="G49:H49"/>
    <mergeCell ref="G48:H48"/>
    <mergeCell ref="G41:H41"/>
    <mergeCell ref="A74:E74"/>
    <mergeCell ref="A75:G75"/>
    <mergeCell ref="A76:G76"/>
    <mergeCell ref="A77:G77"/>
    <mergeCell ref="G72:H72"/>
    <mergeCell ref="G71:H71"/>
    <mergeCell ref="G70:H70"/>
    <mergeCell ref="G69:H69"/>
    <mergeCell ref="G68:H68"/>
    <mergeCell ref="G67:H67"/>
    <mergeCell ref="G66:H66"/>
    <mergeCell ref="J176:K176"/>
    <mergeCell ref="J177:K177"/>
    <mergeCell ref="J178:K178"/>
    <mergeCell ref="J179:K179"/>
    <mergeCell ref="G167:H167"/>
    <mergeCell ref="G166:H166"/>
    <mergeCell ref="G165:H165"/>
    <mergeCell ref="G164:H164"/>
    <mergeCell ref="G163:H163"/>
    <mergeCell ref="G179:H179"/>
    <mergeCell ref="G178:H178"/>
    <mergeCell ref="G177:H177"/>
    <mergeCell ref="G176:H176"/>
    <mergeCell ref="G175:H175"/>
    <mergeCell ref="G174:H174"/>
    <mergeCell ref="J165:K165"/>
    <mergeCell ref="J166:K166"/>
    <mergeCell ref="J167:K167"/>
    <mergeCell ref="J174:K174"/>
    <mergeCell ref="J175:K175"/>
    <mergeCell ref="A122:H123"/>
    <mergeCell ref="B125:E125"/>
    <mergeCell ref="A132:E132"/>
    <mergeCell ref="G110:H110"/>
    <mergeCell ref="G109:H109"/>
    <mergeCell ref="G108:H108"/>
    <mergeCell ref="G105:H105"/>
    <mergeCell ref="A121:R121"/>
    <mergeCell ref="A124:R124"/>
    <mergeCell ref="M108:N108"/>
    <mergeCell ref="M109:N109"/>
    <mergeCell ref="M110:N110"/>
    <mergeCell ref="M111:N111"/>
    <mergeCell ref="M112:N112"/>
    <mergeCell ref="M113:N113"/>
    <mergeCell ref="M114:N114"/>
    <mergeCell ref="M115:N115"/>
    <mergeCell ref="M116:N116"/>
    <mergeCell ref="O116:P116"/>
    <mergeCell ref="O115:P115"/>
    <mergeCell ref="O114:P114"/>
    <mergeCell ref="O113:P113"/>
    <mergeCell ref="J111:K111"/>
    <mergeCell ref="J112:K112"/>
    <mergeCell ref="G96:H96"/>
    <mergeCell ref="G88:H88"/>
    <mergeCell ref="G87:H87"/>
    <mergeCell ref="G86:H86"/>
    <mergeCell ref="G85:H85"/>
    <mergeCell ref="G84:H84"/>
    <mergeCell ref="G83:H83"/>
    <mergeCell ref="G74:H74"/>
    <mergeCell ref="G73:H73"/>
    <mergeCell ref="B34:E34"/>
    <mergeCell ref="J34:K34"/>
    <mergeCell ref="J35:K35"/>
    <mergeCell ref="J36:K36"/>
    <mergeCell ref="J41:K41"/>
    <mergeCell ref="J48:K48"/>
    <mergeCell ref="J49:K49"/>
    <mergeCell ref="J50:K50"/>
    <mergeCell ref="J51:K51"/>
    <mergeCell ref="J59:K59"/>
    <mergeCell ref="J37:K37"/>
    <mergeCell ref="J38:K38"/>
    <mergeCell ref="J39:K39"/>
    <mergeCell ref="J40:K40"/>
    <mergeCell ref="J60:K60"/>
    <mergeCell ref="J61:K61"/>
    <mergeCell ref="J62:K62"/>
    <mergeCell ref="J65:K65"/>
    <mergeCell ref="J67:K67"/>
    <mergeCell ref="J68:K68"/>
    <mergeCell ref="J69:K69"/>
    <mergeCell ref="J70:K70"/>
    <mergeCell ref="J71:K71"/>
    <mergeCell ref="J72:K72"/>
    <mergeCell ref="J73:K73"/>
    <mergeCell ref="J74:K74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5:K95"/>
    <mergeCell ref="J96:K96"/>
    <mergeCell ref="J101:K101"/>
    <mergeCell ref="J102:K102"/>
    <mergeCell ref="J103:K103"/>
    <mergeCell ref="J104:K104"/>
    <mergeCell ref="J105:K105"/>
    <mergeCell ref="J108:K108"/>
    <mergeCell ref="J109:K109"/>
    <mergeCell ref="J110:K110"/>
    <mergeCell ref="J115:K115"/>
    <mergeCell ref="J116:K116"/>
    <mergeCell ref="J125:K125"/>
    <mergeCell ref="J126:K126"/>
    <mergeCell ref="J127:K127"/>
    <mergeCell ref="J180:K180"/>
    <mergeCell ref="J181:K181"/>
    <mergeCell ref="J182:K182"/>
    <mergeCell ref="J132:K132"/>
    <mergeCell ref="J144:K144"/>
    <mergeCell ref="J145:K145"/>
    <mergeCell ref="J147:K147"/>
    <mergeCell ref="J151:K151"/>
    <mergeCell ref="J152:K152"/>
    <mergeCell ref="J153:K153"/>
    <mergeCell ref="J154:K154"/>
    <mergeCell ref="J155:K155"/>
    <mergeCell ref="J150:K150"/>
    <mergeCell ref="J159:K159"/>
    <mergeCell ref="J160:K160"/>
    <mergeCell ref="J161:K161"/>
    <mergeCell ref="J162:K162"/>
    <mergeCell ref="J163:K163"/>
    <mergeCell ref="J164:K164"/>
  </mergeCells>
  <dataValidations count="2">
    <dataValidation allowBlank="1" showInputMessage="1" showErrorMessage="1" errorTitle="Atenção" error="Os dias só poderão ser alterados nos Dados." promptTitle="Jornada de Trabalho" prompt="- Alterando a carga horária, automaticamente será alterado os dias trabalhados._x000a_" sqref="C23" xr:uid="{00000000-0002-0000-0300-000000000000}"/>
    <dataValidation allowBlank="1" showInputMessage="1" showErrorMessage="1" errorTitle="Atenção" error="Não esquecer de buscar os valores e alterar na coluna F - das linhas 50 a 60, em caso de mais de um Sindicato." promptTitle="Benefícios" prompt="- Em caso de mais de um Sindicato em &quot;Dados&quot;, não esquecer de buscar os valores e alterar na coluna F - das linhas 50 a 60." sqref="F84:F95 I84:I95 L84:L95 O84:O95 P92:P94" xr:uid="{00000000-0002-0000-0300-000001000000}"/>
  </dataValidations>
  <printOptions horizontalCentered="1"/>
  <pageMargins left="0.55118110236220474" right="0.55118110236220474" top="1.3779527559055118" bottom="0.43307086614173229" header="0.15748031496062992" footer="0.23622047244094491"/>
  <pageSetup paperSize="9" scale="69" fitToHeight="0" orientation="portrait" r:id="rId1"/>
  <headerFooter alignWithMargins="0">
    <oddHeader>&amp;L&amp;"+,Negrito"&amp;8PROPOSTA Nº 053/2020 - CJF</oddHeader>
  </headerFooter>
  <rowBreaks count="2" manualBreakCount="2">
    <brk id="62" max="29" man="1"/>
    <brk id="134" max="29" man="1"/>
  </rowBreaks>
  <ignoredErrors>
    <ignoredError sqref="A12:G24 A31:E31 A26:E26 A27:E27 A28:E28 G36 G84:G87 G102:G104 A145:G148 A153:G153 A151:E151 G151 A152:E152 G152 A150:G150 A149 A29:E29 A30:E30 A2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21"/>
  <dimension ref="A1:Y184"/>
  <sheetViews>
    <sheetView topLeftCell="A158" zoomScale="95" zoomScaleNormal="95" zoomScaleSheetLayoutView="100" workbookViewId="0">
      <selection activeCell="AA185" sqref="AA185"/>
    </sheetView>
  </sheetViews>
  <sheetFormatPr defaultRowHeight="14.25" x14ac:dyDescent="0.2"/>
  <cols>
    <col min="1" max="1" width="12.28515625" style="34" customWidth="1"/>
    <col min="2" max="2" width="54.5703125" style="34" customWidth="1"/>
    <col min="3" max="3" width="19.7109375" style="34" customWidth="1"/>
    <col min="4" max="4" width="17.140625" style="34" customWidth="1"/>
    <col min="5" max="5" width="20.140625" style="34" customWidth="1"/>
    <col min="6" max="6" width="15.42578125" style="34" hidden="1" customWidth="1"/>
    <col min="7" max="7" width="18" style="66" hidden="1" customWidth="1"/>
    <col min="8" max="8" width="11" style="35" hidden="1" customWidth="1"/>
    <col min="9" max="9" width="0" style="35" hidden="1" customWidth="1"/>
    <col min="10" max="10" width="27.42578125" style="35" hidden="1" customWidth="1"/>
    <col min="11" max="11" width="18.28515625" style="35" hidden="1" customWidth="1"/>
    <col min="12" max="12" width="18.5703125" style="35" hidden="1" customWidth="1"/>
    <col min="13" max="13" width="18.28515625" style="35" hidden="1" customWidth="1"/>
    <col min="14" max="14" width="20.42578125" style="35" hidden="1" customWidth="1"/>
    <col min="15" max="15" width="17.140625" style="35" hidden="1" customWidth="1"/>
    <col min="16" max="17" width="0" style="35" hidden="1" customWidth="1"/>
    <col min="18" max="18" width="27.5703125" style="35" hidden="1" customWidth="1"/>
    <col min="19" max="20" width="18.28515625" style="35" hidden="1" customWidth="1"/>
    <col min="21" max="21" width="22.42578125" style="35" hidden="1" customWidth="1"/>
    <col min="22" max="22" width="18.140625" style="35" hidden="1" customWidth="1"/>
    <col min="23" max="23" width="16.7109375" style="35" hidden="1" customWidth="1"/>
    <col min="24" max="24" width="21.140625" style="35" customWidth="1"/>
    <col min="25" max="25" width="24" style="35" customWidth="1"/>
    <col min="26" max="16384" width="9.140625" style="35"/>
  </cols>
  <sheetData>
    <row r="1" spans="1:23" x14ac:dyDescent="0.2">
      <c r="A1" s="65" t="str">
        <f>Proposta!C55</f>
        <v>Razão Social: BRASFORT EMPRESA DE SEGURANÇA LTDA</v>
      </c>
      <c r="I1" s="65" t="str">
        <f>Proposta!C55</f>
        <v>Razão Social: BRASFORT EMPRESA DE SEGURANÇA LTDA</v>
      </c>
      <c r="Q1" s="65" t="str">
        <f>Proposta!C55</f>
        <v>Razão Social: BRASFORT EMPRESA DE SEGURANÇA LTDA</v>
      </c>
    </row>
    <row r="2" spans="1:23" x14ac:dyDescent="0.2">
      <c r="A2" s="65" t="str">
        <f>Proposta!C56</f>
        <v>CNPJ: 03.497.401/0001-97</v>
      </c>
      <c r="I2" s="65" t="str">
        <f>Proposta!C56</f>
        <v>CNPJ: 03.497.401/0001-97</v>
      </c>
      <c r="Q2" s="65" t="str">
        <f>Proposta!C56</f>
        <v>CNPJ: 03.497.401/0001-97</v>
      </c>
    </row>
    <row r="3" spans="1:23" x14ac:dyDescent="0.2">
      <c r="A3" s="66"/>
    </row>
    <row r="4" spans="1:23" x14ac:dyDescent="0.2">
      <c r="A4" s="66"/>
    </row>
    <row r="5" spans="1:23" hidden="1" x14ac:dyDescent="0.2">
      <c r="A5" s="1054" t="str">
        <f>Dados!H2</f>
        <v xml:space="preserve">REPACTUAÇÃO CONTRATUAL 20___ - </v>
      </c>
      <c r="B5" s="1054"/>
      <c r="C5" s="1054"/>
      <c r="D5" s="1054"/>
      <c r="E5" s="1054"/>
      <c r="F5" s="1054"/>
      <c r="G5" s="1054"/>
    </row>
    <row r="6" spans="1:23" hidden="1" x14ac:dyDescent="0.2">
      <c r="A6" s="1054" t="str">
        <f>Dados!A10</f>
        <v>CONTRATO Nº __________/201__ - CONTRATANTE - PRESTAÇÃO DE SERVIÇOS --------</v>
      </c>
      <c r="B6" s="1054"/>
      <c r="C6" s="1054"/>
      <c r="D6" s="1054"/>
      <c r="E6" s="1054"/>
      <c r="F6" s="1054"/>
      <c r="G6" s="1054"/>
    </row>
    <row r="7" spans="1:23" x14ac:dyDescent="0.2">
      <c r="A7" s="956" t="s">
        <v>475</v>
      </c>
      <c r="B7" s="956"/>
      <c r="C7" s="956"/>
      <c r="D7" s="956"/>
      <c r="E7" s="956"/>
      <c r="F7" s="956"/>
      <c r="G7" s="956"/>
      <c r="I7" s="956"/>
      <c r="J7" s="956"/>
      <c r="K7" s="956"/>
      <c r="L7" s="956"/>
      <c r="M7" s="956"/>
      <c r="N7" s="956"/>
      <c r="O7" s="956"/>
      <c r="Q7" s="1055"/>
      <c r="R7" s="1055"/>
      <c r="S7" s="1055"/>
      <c r="T7" s="1055"/>
      <c r="U7" s="1055"/>
      <c r="V7" s="1055"/>
      <c r="W7" s="1055"/>
    </row>
    <row r="8" spans="1:23" x14ac:dyDescent="0.2">
      <c r="A8" s="956" t="str">
        <f>Dados!A11</f>
        <v>PLANILHA DE CUSTOS E FORMAÇÃO DE PREÇOS - CJF</v>
      </c>
      <c r="B8" s="956"/>
      <c r="C8" s="956"/>
      <c r="D8" s="956"/>
      <c r="E8" s="956"/>
      <c r="F8" s="956"/>
      <c r="G8" s="956"/>
      <c r="I8" s="956"/>
      <c r="J8" s="956"/>
      <c r="K8" s="956"/>
      <c r="L8" s="956"/>
      <c r="M8" s="956"/>
      <c r="N8" s="956"/>
      <c r="O8" s="956"/>
      <c r="Q8" s="1055"/>
      <c r="R8" s="1055"/>
      <c r="S8" s="1055"/>
      <c r="T8" s="1055"/>
      <c r="U8" s="1055"/>
      <c r="V8" s="1055"/>
      <c r="W8" s="1055"/>
    </row>
    <row r="9" spans="1:23" hidden="1" x14ac:dyDescent="0.2">
      <c r="A9" s="956" t="s">
        <v>256</v>
      </c>
      <c r="B9" s="956"/>
      <c r="C9" s="956"/>
      <c r="D9" s="956"/>
      <c r="E9" s="956"/>
      <c r="F9" s="956"/>
      <c r="G9" s="956"/>
      <c r="I9" s="956" t="s">
        <v>256</v>
      </c>
      <c r="J9" s="956"/>
      <c r="K9" s="956"/>
      <c r="L9" s="956"/>
      <c r="M9" s="956"/>
      <c r="N9" s="956"/>
      <c r="O9" s="956"/>
      <c r="Q9" s="1055"/>
      <c r="R9" s="1055"/>
      <c r="S9" s="1055"/>
      <c r="T9" s="1055"/>
      <c r="U9" s="1055"/>
      <c r="V9" s="1055"/>
      <c r="W9" s="1055"/>
    </row>
    <row r="10" spans="1:23" ht="15.75" customHeight="1" x14ac:dyDescent="0.2">
      <c r="A10" s="67"/>
      <c r="B10" s="67"/>
      <c r="C10" s="67"/>
      <c r="D10" s="67"/>
      <c r="E10" s="67"/>
      <c r="F10" s="67"/>
      <c r="G10" s="67"/>
      <c r="I10" s="370"/>
      <c r="J10" s="370"/>
      <c r="K10" s="1057" t="s">
        <v>488</v>
      </c>
      <c r="L10" s="1057"/>
      <c r="M10" s="1057"/>
      <c r="N10" s="370"/>
      <c r="O10" s="370"/>
      <c r="Q10" s="386"/>
      <c r="R10" s="386"/>
      <c r="S10" s="1056"/>
      <c r="T10" s="1056"/>
      <c r="U10" s="1056"/>
      <c r="V10" s="386"/>
      <c r="W10" s="386"/>
    </row>
    <row r="11" spans="1:23" ht="9.75" customHeight="1" x14ac:dyDescent="0.2">
      <c r="A11" s="68"/>
      <c r="B11" s="68"/>
      <c r="C11" s="68"/>
      <c r="D11" s="68"/>
      <c r="E11" s="68"/>
      <c r="F11" s="68"/>
      <c r="G11" s="68"/>
      <c r="I11" s="68"/>
      <c r="J11" s="68"/>
      <c r="K11" s="68"/>
      <c r="L11" s="68"/>
      <c r="M11" s="68"/>
      <c r="N11" s="68"/>
      <c r="O11" s="68"/>
      <c r="Q11" s="387"/>
      <c r="R11" s="387"/>
      <c r="S11" s="387"/>
      <c r="T11" s="387"/>
      <c r="U11" s="387"/>
      <c r="V11" s="387"/>
      <c r="W11" s="387"/>
    </row>
    <row r="12" spans="1:23" ht="15.75" customHeight="1" x14ac:dyDescent="0.2">
      <c r="A12" s="957" t="s">
        <v>104</v>
      </c>
      <c r="B12" s="957"/>
      <c r="C12" s="958" t="str">
        <f>Dados!G14</f>
        <v>0000793-29.2020.4.90.8000</v>
      </c>
      <c r="D12" s="958"/>
      <c r="E12" s="72"/>
      <c r="F12" s="80"/>
      <c r="G12" s="69"/>
      <c r="I12" s="957" t="s">
        <v>104</v>
      </c>
      <c r="J12" s="957"/>
      <c r="K12" s="958" t="str">
        <f>Dados!G14</f>
        <v>0000793-29.2020.4.90.8000</v>
      </c>
      <c r="L12" s="958"/>
      <c r="M12" s="72"/>
      <c r="N12" s="80"/>
      <c r="O12" s="69"/>
      <c r="Q12" s="1058"/>
      <c r="R12" s="1058"/>
      <c r="S12" s="1059"/>
      <c r="T12" s="1059"/>
      <c r="U12" s="389"/>
      <c r="V12" s="391"/>
      <c r="W12" s="390"/>
    </row>
    <row r="13" spans="1:23" ht="15.75" customHeight="1" x14ac:dyDescent="0.2">
      <c r="A13" s="957" t="s">
        <v>103</v>
      </c>
      <c r="B13" s="957"/>
      <c r="C13" s="959" t="str">
        <f>"Pregão Eletrônico nº:" &amp; " " &amp; Dados!G22</f>
        <v>Pregão Eletrônico nº: 09/2020</v>
      </c>
      <c r="D13" s="959"/>
      <c r="E13" s="72"/>
      <c r="F13" s="151">
        <v>1</v>
      </c>
      <c r="G13" s="69"/>
      <c r="I13" s="957" t="s">
        <v>103</v>
      </c>
      <c r="J13" s="957"/>
      <c r="K13" s="959" t="str">
        <f>"Pregão Eletrônico nº:" &amp; " " &amp; Dados!G22</f>
        <v>Pregão Eletrônico nº: 09/2020</v>
      </c>
      <c r="L13" s="959"/>
      <c r="M13" s="72"/>
      <c r="N13" s="151">
        <v>1</v>
      </c>
      <c r="O13" s="69"/>
      <c r="Q13" s="1058"/>
      <c r="R13" s="1058"/>
      <c r="S13" s="1060"/>
      <c r="T13" s="1060"/>
      <c r="U13" s="389"/>
      <c r="V13" s="392"/>
      <c r="W13" s="390"/>
    </row>
    <row r="14" spans="1:23" ht="15.75" customHeight="1" x14ac:dyDescent="0.2">
      <c r="A14" s="70" t="str">
        <f>"Dia:" &amp; " " &amp; TEXT(Dados!G15,"dd/mm/aaaa") &amp; " " &amp; "às" &amp; " " &amp; TEXT(Dados!G18,"hh:mm") &amp; " " &amp; "horas"</f>
        <v>Dia: 22/06/2020 às 10:00 horas</v>
      </c>
      <c r="B14" s="71"/>
      <c r="C14" s="71"/>
      <c r="D14" s="68"/>
      <c r="E14" s="72"/>
      <c r="F14" s="150"/>
      <c r="G14" s="74"/>
      <c r="I14" s="70" t="str">
        <f>"Dia:" &amp; " " &amp; TEXT(Dados!G15,"dd/mm/aaaa") &amp; " " &amp; "às" &amp; " " &amp; TEXT(Dados!G18,"hh:mm") &amp; " " &amp; "horas"</f>
        <v>Dia: 22/06/2020 às 10:00 horas</v>
      </c>
      <c r="J14" s="71"/>
      <c r="K14" s="71"/>
      <c r="L14" s="68"/>
      <c r="M14" s="72"/>
      <c r="N14" s="150"/>
      <c r="O14" s="74"/>
      <c r="Q14" s="383"/>
      <c r="R14" s="383"/>
      <c r="S14" s="383"/>
      <c r="T14" s="387"/>
      <c r="U14" s="389"/>
      <c r="V14" s="393"/>
      <c r="W14" s="394"/>
    </row>
    <row r="15" spans="1:23" ht="8.25" customHeight="1" x14ac:dyDescent="0.2">
      <c r="A15" s="71"/>
      <c r="B15" s="71"/>
      <c r="C15" s="71"/>
      <c r="D15" s="68"/>
      <c r="E15" s="72"/>
      <c r="F15" s="73"/>
      <c r="G15" s="74"/>
      <c r="I15" s="71"/>
      <c r="J15" s="71"/>
      <c r="K15" s="71"/>
      <c r="L15" s="68"/>
      <c r="M15" s="72"/>
      <c r="N15" s="73"/>
      <c r="O15" s="74"/>
      <c r="Q15" s="383"/>
      <c r="R15" s="383"/>
      <c r="S15" s="383"/>
      <c r="T15" s="387"/>
      <c r="U15" s="389"/>
      <c r="V15" s="395"/>
      <c r="W15" s="394"/>
    </row>
    <row r="16" spans="1:23" ht="18" customHeight="1" x14ac:dyDescent="0.2">
      <c r="A16" s="949" t="s">
        <v>205</v>
      </c>
      <c r="B16" s="949"/>
      <c r="C16" s="949"/>
      <c r="D16" s="949"/>
      <c r="E16" s="949"/>
      <c r="F16" s="949"/>
      <c r="G16" s="949"/>
      <c r="I16" s="949"/>
      <c r="J16" s="949"/>
      <c r="K16" s="949"/>
      <c r="L16" s="949"/>
      <c r="M16" s="949"/>
      <c r="N16" s="949"/>
      <c r="O16" s="949"/>
      <c r="Q16" s="1053"/>
      <c r="R16" s="1053"/>
      <c r="S16" s="1053"/>
      <c r="T16" s="1053"/>
      <c r="U16" s="1053"/>
      <c r="V16" s="1053"/>
      <c r="W16" s="1053"/>
    </row>
    <row r="17" spans="1:25" ht="16.5" customHeight="1" x14ac:dyDescent="0.2">
      <c r="A17" s="307" t="s">
        <v>1</v>
      </c>
      <c r="B17" s="305" t="s">
        <v>105</v>
      </c>
      <c r="C17" s="121"/>
      <c r="D17" s="311"/>
      <c r="E17" s="327"/>
      <c r="F17" s="932">
        <f>Dados!G16</f>
        <v>44012</v>
      </c>
      <c r="G17" s="950"/>
      <c r="I17" s="380"/>
      <c r="J17" s="71"/>
      <c r="K17" s="71"/>
      <c r="L17" s="379"/>
      <c r="M17" s="72"/>
      <c r="N17" s="968"/>
      <c r="O17" s="969"/>
      <c r="Q17" s="386"/>
      <c r="R17" s="383"/>
      <c r="S17" s="383"/>
      <c r="T17" s="388"/>
      <c r="U17" s="389"/>
      <c r="V17" s="1062"/>
      <c r="W17" s="1063"/>
    </row>
    <row r="18" spans="1:25" ht="16.5" customHeight="1" x14ac:dyDescent="0.2">
      <c r="A18" s="307" t="s">
        <v>2</v>
      </c>
      <c r="B18" s="326" t="s">
        <v>3</v>
      </c>
      <c r="C18" s="311"/>
      <c r="D18" s="311"/>
      <c r="E18" s="328"/>
      <c r="F18" s="932" t="str">
        <f>Dados!G19</f>
        <v>Brasília - DF</v>
      </c>
      <c r="G18" s="950"/>
      <c r="I18" s="380"/>
      <c r="J18" s="379"/>
      <c r="K18" s="379"/>
      <c r="L18" s="379"/>
      <c r="M18" s="69"/>
      <c r="N18" s="968"/>
      <c r="O18" s="969"/>
      <c r="Q18" s="386"/>
      <c r="R18" s="388"/>
      <c r="S18" s="388"/>
      <c r="T18" s="388"/>
      <c r="U18" s="390"/>
      <c r="V18" s="1062"/>
      <c r="W18" s="1063"/>
    </row>
    <row r="19" spans="1:25" ht="16.5" customHeight="1" x14ac:dyDescent="0.2">
      <c r="A19" s="307" t="s">
        <v>4</v>
      </c>
      <c r="B19" s="305" t="s">
        <v>106</v>
      </c>
      <c r="C19" s="121"/>
      <c r="D19" s="311"/>
      <c r="E19" s="328"/>
      <c r="F19" s="950">
        <f>Dados!G26</f>
        <v>20</v>
      </c>
      <c r="G19" s="950"/>
      <c r="I19" s="380"/>
      <c r="J19" s="71"/>
      <c r="K19" s="71"/>
      <c r="L19" s="379"/>
      <c r="M19" s="69"/>
      <c r="N19" s="969"/>
      <c r="O19" s="969"/>
      <c r="Q19" s="386"/>
      <c r="R19" s="383"/>
      <c r="S19" s="383"/>
      <c r="T19" s="388"/>
      <c r="U19" s="390"/>
      <c r="V19" s="1063"/>
      <c r="W19" s="1063"/>
    </row>
    <row r="20" spans="1:25" ht="9" customHeight="1" x14ac:dyDescent="0.2">
      <c r="A20" s="67"/>
      <c r="B20" s="68"/>
      <c r="C20" s="68"/>
      <c r="D20" s="68"/>
      <c r="E20" s="68"/>
      <c r="F20" s="75"/>
      <c r="G20" s="76"/>
      <c r="I20" s="380"/>
      <c r="J20" s="68"/>
      <c r="K20" s="68"/>
      <c r="L20" s="68"/>
      <c r="M20" s="68"/>
      <c r="N20" s="68"/>
      <c r="O20" s="380"/>
      <c r="Q20" s="386"/>
      <c r="R20" s="387"/>
      <c r="S20" s="387"/>
      <c r="T20" s="387"/>
      <c r="U20" s="387"/>
      <c r="V20" s="387"/>
      <c r="W20" s="386"/>
    </row>
    <row r="21" spans="1:25" ht="16.5" customHeight="1" x14ac:dyDescent="0.2">
      <c r="A21" s="949" t="s">
        <v>204</v>
      </c>
      <c r="B21" s="949"/>
      <c r="C21" s="949"/>
      <c r="D21" s="949"/>
      <c r="E21" s="949"/>
      <c r="F21" s="949"/>
      <c r="G21" s="949"/>
      <c r="I21" s="949"/>
      <c r="J21" s="949"/>
      <c r="K21" s="949"/>
      <c r="L21" s="949"/>
      <c r="M21" s="949"/>
      <c r="N21" s="949"/>
      <c r="O21" s="949"/>
      <c r="Q21" s="1053"/>
      <c r="R21" s="1053"/>
      <c r="S21" s="1053"/>
      <c r="T21" s="1053"/>
      <c r="U21" s="1053"/>
      <c r="V21" s="1053"/>
      <c r="W21" s="1053"/>
    </row>
    <row r="22" spans="1:25" ht="51" customHeight="1" x14ac:dyDescent="0.2">
      <c r="A22" s="944" t="s">
        <v>76</v>
      </c>
      <c r="B22" s="944"/>
      <c r="C22" s="723" t="s">
        <v>148</v>
      </c>
      <c r="D22" s="723" t="s">
        <v>102</v>
      </c>
      <c r="E22" s="723" t="s">
        <v>64</v>
      </c>
      <c r="F22" s="723" t="s">
        <v>149</v>
      </c>
      <c r="G22" s="723" t="s">
        <v>74</v>
      </c>
      <c r="H22" s="34"/>
      <c r="I22" s="949"/>
      <c r="J22" s="949"/>
      <c r="K22" s="687"/>
      <c r="L22" s="687"/>
      <c r="M22" s="687"/>
      <c r="N22" s="687"/>
      <c r="O22" s="687"/>
      <c r="P22" s="34"/>
      <c r="Q22" s="949"/>
      <c r="R22" s="949"/>
      <c r="S22" s="687"/>
      <c r="T22" s="687"/>
      <c r="U22" s="687"/>
      <c r="V22" s="687"/>
      <c r="W22" s="687"/>
      <c r="X22" s="34"/>
      <c r="Y22" s="34"/>
    </row>
    <row r="23" spans="1:25" ht="33.75" customHeight="1" x14ac:dyDescent="0.2">
      <c r="A23" s="957" t="str">
        <f>Dados!N75</f>
        <v>Vigilância Noturna 12x36</v>
      </c>
      <c r="B23" s="957"/>
      <c r="C23" s="685" t="str">
        <f>Dados!J30</f>
        <v>Escala 12x36 horas</v>
      </c>
      <c r="D23" s="685" t="str">
        <f>Dados!G25</f>
        <v>Postos de Serviços</v>
      </c>
      <c r="E23" s="331">
        <f>Dados!R75</f>
        <v>5</v>
      </c>
      <c r="F23" s="331">
        <f>Dados!S75</f>
        <v>2</v>
      </c>
      <c r="G23" s="331">
        <f>E23*F23</f>
        <v>10</v>
      </c>
      <c r="H23" s="34"/>
      <c r="I23" s="960"/>
      <c r="J23" s="960"/>
      <c r="K23" s="698"/>
      <c r="L23" s="698"/>
      <c r="M23" s="382"/>
      <c r="N23" s="382"/>
      <c r="O23" s="382"/>
      <c r="P23" s="34"/>
      <c r="Q23" s="960"/>
      <c r="R23" s="960"/>
      <c r="S23" s="698"/>
      <c r="T23" s="698"/>
      <c r="U23" s="382"/>
      <c r="V23" s="382"/>
      <c r="W23" s="382"/>
      <c r="X23" s="34"/>
      <c r="Y23" s="34"/>
    </row>
    <row r="24" spans="1:25" ht="14.25" customHeight="1" x14ac:dyDescent="0.2">
      <c r="A24" s="71"/>
      <c r="B24" s="71"/>
      <c r="C24" s="71"/>
      <c r="D24" s="71"/>
      <c r="E24" s="71"/>
      <c r="F24" s="195"/>
      <c r="G24" s="195"/>
      <c r="H24" s="34"/>
      <c r="I24" s="71"/>
      <c r="J24" s="71"/>
      <c r="K24" s="71"/>
      <c r="L24" s="71"/>
      <c r="M24" s="71"/>
      <c r="N24" s="71"/>
      <c r="O24" s="71"/>
      <c r="P24" s="34"/>
      <c r="Q24" s="71"/>
      <c r="R24" s="71"/>
      <c r="S24" s="71"/>
      <c r="T24" s="71"/>
      <c r="U24" s="71"/>
      <c r="V24" s="71"/>
      <c r="W24" s="71"/>
      <c r="X24" s="34"/>
      <c r="Y24" s="34"/>
    </row>
    <row r="25" spans="1:25" ht="44.25" customHeight="1" x14ac:dyDescent="0.2">
      <c r="A25" s="944" t="s">
        <v>415</v>
      </c>
      <c r="B25" s="944"/>
      <c r="C25" s="944"/>
      <c r="D25" s="944"/>
      <c r="E25" s="944"/>
      <c r="F25" s="944"/>
      <c r="G25" s="944"/>
      <c r="H25" s="944"/>
      <c r="I25" s="944"/>
      <c r="J25" s="944"/>
      <c r="K25" s="944"/>
      <c r="L25" s="944"/>
      <c r="M25" s="944"/>
      <c r="N25" s="944"/>
      <c r="O25" s="944"/>
      <c r="P25" s="944"/>
      <c r="Q25" s="944"/>
      <c r="R25" s="944"/>
      <c r="S25" s="944"/>
      <c r="T25" s="944"/>
      <c r="U25" s="944"/>
      <c r="V25" s="944"/>
      <c r="W25" s="944"/>
      <c r="X25" s="944"/>
      <c r="Y25" s="944"/>
    </row>
    <row r="26" spans="1:25" ht="51" customHeight="1" x14ac:dyDescent="0.2">
      <c r="A26" s="692">
        <v>1</v>
      </c>
      <c r="B26" s="1049" t="s">
        <v>76</v>
      </c>
      <c r="C26" s="1049"/>
      <c r="D26" s="1049"/>
      <c r="E26" s="1049"/>
      <c r="F26" s="1061" t="str">
        <f>Dados!P75</f>
        <v>Vigilante Armado, 12 horas noturnas em escala 12x36, das 19h às 07h</v>
      </c>
      <c r="G26" s="1061"/>
      <c r="H26" s="34"/>
      <c r="I26" s="698"/>
      <c r="J26" s="1064"/>
      <c r="K26" s="1064"/>
      <c r="L26" s="1064"/>
      <c r="M26" s="1064"/>
      <c r="N26" s="950" t="str">
        <f>Dados!P75</f>
        <v>Vigilante Armado, 12 horas noturnas em escala 12x36, das 19h às 07h</v>
      </c>
      <c r="O26" s="950"/>
      <c r="P26" s="313"/>
      <c r="Q26" s="313"/>
      <c r="R26" s="313"/>
      <c r="S26" s="313"/>
      <c r="T26" s="313"/>
      <c r="U26" s="313"/>
      <c r="V26" s="950" t="str">
        <f>Dados!P75</f>
        <v>Vigilante Armado, 12 horas noturnas em escala 12x36, das 19h às 07h</v>
      </c>
      <c r="W26" s="950"/>
      <c r="X26" s="950" t="str">
        <f>Dados!P75</f>
        <v>Vigilante Armado, 12 horas noturnas em escala 12x36, das 19h às 07h</v>
      </c>
      <c r="Y26" s="950"/>
    </row>
    <row r="27" spans="1:25" ht="28.5" customHeight="1" x14ac:dyDescent="0.2">
      <c r="A27" s="685">
        <v>2</v>
      </c>
      <c r="B27" s="922" t="s">
        <v>202</v>
      </c>
      <c r="C27" s="922"/>
      <c r="D27" s="922"/>
      <c r="E27" s="922"/>
      <c r="F27" s="957" t="str">
        <f>Dados!O75</f>
        <v>5173-30</v>
      </c>
      <c r="G27" s="957"/>
      <c r="H27" s="34"/>
      <c r="I27" s="698"/>
      <c r="J27" s="1064"/>
      <c r="K27" s="1064"/>
      <c r="L27" s="1064"/>
      <c r="M27" s="1064"/>
      <c r="N27" s="950" t="str">
        <f>Dados!O75</f>
        <v>5173-30</v>
      </c>
      <c r="O27" s="950"/>
      <c r="P27" s="313"/>
      <c r="Q27" s="313"/>
      <c r="R27" s="313"/>
      <c r="S27" s="313"/>
      <c r="T27" s="313"/>
      <c r="U27" s="313"/>
      <c r="V27" s="950" t="str">
        <f>Dados!O75</f>
        <v>5173-30</v>
      </c>
      <c r="W27" s="950"/>
      <c r="X27" s="950" t="str">
        <f>Dados!O75</f>
        <v>5173-30</v>
      </c>
      <c r="Y27" s="950"/>
    </row>
    <row r="28" spans="1:25" ht="15.75" customHeight="1" x14ac:dyDescent="0.2">
      <c r="A28" s="685">
        <v>3</v>
      </c>
      <c r="B28" s="922" t="s">
        <v>416</v>
      </c>
      <c r="C28" s="922"/>
      <c r="D28" s="922"/>
      <c r="E28" s="922"/>
      <c r="F28" s="923">
        <f>Dados!U75</f>
        <v>2192.65</v>
      </c>
      <c r="G28" s="923"/>
      <c r="H28" s="34"/>
      <c r="I28" s="698"/>
      <c r="J28" s="1064"/>
      <c r="K28" s="1064"/>
      <c r="L28" s="1064"/>
      <c r="M28" s="1064"/>
      <c r="N28" s="1048">
        <f>Dados!U75*1.03</f>
        <v>2258.4299999999998</v>
      </c>
      <c r="O28" s="1048"/>
      <c r="P28" s="746"/>
      <c r="Q28" s="746"/>
      <c r="R28" s="746"/>
      <c r="S28" s="746"/>
      <c r="T28" s="746"/>
      <c r="U28" s="746"/>
      <c r="V28" s="1048">
        <f>Dados!U75*1.03</f>
        <v>2258.4299999999998</v>
      </c>
      <c r="W28" s="1048"/>
      <c r="X28" s="1048">
        <f>Dados!U75*1.03</f>
        <v>2258.4299999999998</v>
      </c>
      <c r="Y28" s="1048"/>
    </row>
    <row r="29" spans="1:25" ht="15.75" customHeight="1" x14ac:dyDescent="0.2">
      <c r="A29" s="685" t="s">
        <v>4</v>
      </c>
      <c r="B29" s="680" t="s">
        <v>417</v>
      </c>
      <c r="C29" s="330"/>
      <c r="D29" s="330"/>
      <c r="E29" s="329"/>
      <c r="F29" s="950" t="str">
        <f>Dados!N82</f>
        <v>SINDESV/SINDESP-DF</v>
      </c>
      <c r="G29" s="950"/>
      <c r="H29" s="34"/>
      <c r="I29" s="698"/>
      <c r="J29" s="71"/>
      <c r="K29" s="385"/>
      <c r="L29" s="385"/>
      <c r="M29" s="385"/>
      <c r="N29" s="950" t="str">
        <f>Dados!N82</f>
        <v>SINDESV/SINDESP-DF</v>
      </c>
      <c r="O29" s="950"/>
      <c r="P29" s="328"/>
      <c r="Q29" s="609"/>
      <c r="R29" s="609"/>
      <c r="S29" s="609"/>
      <c r="T29" s="609"/>
      <c r="U29" s="609"/>
      <c r="V29" s="950" t="str">
        <f>Dados!N82</f>
        <v>SINDESV/SINDESP-DF</v>
      </c>
      <c r="W29" s="950"/>
      <c r="X29" s="950" t="str">
        <f>Dados!N82</f>
        <v>SINDESV/SINDESP-DF</v>
      </c>
      <c r="Y29" s="950"/>
    </row>
    <row r="30" spans="1:25" x14ac:dyDescent="0.2">
      <c r="A30" s="685">
        <v>4</v>
      </c>
      <c r="B30" s="922" t="s">
        <v>10</v>
      </c>
      <c r="C30" s="922"/>
      <c r="D30" s="922"/>
      <c r="E30" s="922"/>
      <c r="F30" s="932">
        <f>Dados!T82</f>
        <v>43831</v>
      </c>
      <c r="G30" s="932"/>
      <c r="H30" s="34"/>
      <c r="I30" s="698"/>
      <c r="J30" s="1064"/>
      <c r="K30" s="1064"/>
      <c r="L30" s="1064"/>
      <c r="M30" s="1064"/>
      <c r="N30" s="932">
        <v>44197</v>
      </c>
      <c r="O30" s="932"/>
      <c r="P30" s="747"/>
      <c r="Q30" s="748"/>
      <c r="R30" s="748"/>
      <c r="S30" s="748"/>
      <c r="T30" s="748"/>
      <c r="U30" s="748"/>
      <c r="V30" s="932">
        <v>44197</v>
      </c>
      <c r="W30" s="932"/>
      <c r="X30" s="932">
        <v>44197</v>
      </c>
      <c r="Y30" s="932"/>
    </row>
    <row r="31" spans="1:25" ht="14.25" customHeight="1" x14ac:dyDescent="0.2">
      <c r="A31" s="685">
        <v>5</v>
      </c>
      <c r="B31" s="922" t="s">
        <v>418</v>
      </c>
      <c r="C31" s="922"/>
      <c r="D31" s="922"/>
      <c r="E31" s="922"/>
      <c r="F31" s="932" t="str">
        <f>Dados!L82</f>
        <v>DF000040/2020</v>
      </c>
      <c r="G31" s="932"/>
      <c r="H31" s="34"/>
      <c r="I31" s="698"/>
      <c r="J31" s="1064"/>
      <c r="K31" s="1064"/>
      <c r="L31" s="1064"/>
      <c r="M31" s="1064"/>
      <c r="N31" s="950" t="s">
        <v>492</v>
      </c>
      <c r="O31" s="950"/>
      <c r="P31" s="328"/>
      <c r="Q31" s="609"/>
      <c r="R31" s="609"/>
      <c r="S31" s="609"/>
      <c r="T31" s="609"/>
      <c r="U31" s="609"/>
      <c r="V31" s="950" t="s">
        <v>492</v>
      </c>
      <c r="W31" s="950"/>
      <c r="X31" s="950" t="s">
        <v>492</v>
      </c>
      <c r="Y31" s="950"/>
    </row>
    <row r="32" spans="1:25" ht="14.25" customHeight="1" x14ac:dyDescent="0.2">
      <c r="A32" s="698"/>
      <c r="B32" s="712"/>
      <c r="C32" s="712"/>
      <c r="D32" s="712"/>
      <c r="E32" s="712"/>
      <c r="F32" s="690"/>
      <c r="G32" s="690"/>
      <c r="H32" s="34"/>
      <c r="I32" s="698"/>
      <c r="J32" s="712"/>
      <c r="K32" s="712"/>
      <c r="L32" s="712"/>
      <c r="M32" s="712"/>
      <c r="N32" s="690"/>
      <c r="O32" s="690"/>
      <c r="P32" s="34"/>
      <c r="Q32" s="698"/>
      <c r="R32" s="712"/>
      <c r="S32" s="712"/>
      <c r="T32" s="712"/>
      <c r="U32" s="712"/>
      <c r="V32" s="690"/>
      <c r="W32" s="690"/>
      <c r="X32" s="34"/>
      <c r="Y32" s="34"/>
    </row>
    <row r="33" spans="1:25" s="198" customFormat="1" x14ac:dyDescent="0.2">
      <c r="A33" s="934" t="s">
        <v>25</v>
      </c>
      <c r="B33" s="935"/>
      <c r="C33" s="935"/>
      <c r="D33" s="935"/>
      <c r="E33" s="935"/>
      <c r="F33" s="935"/>
      <c r="G33" s="935"/>
      <c r="H33" s="935"/>
      <c r="I33" s="935"/>
      <c r="J33" s="935"/>
      <c r="K33" s="935"/>
      <c r="L33" s="935"/>
      <c r="M33" s="935"/>
      <c r="N33" s="935"/>
      <c r="O33" s="935"/>
      <c r="P33" s="935"/>
      <c r="Q33" s="935"/>
      <c r="R33" s="935"/>
      <c r="S33" s="935"/>
      <c r="T33" s="935"/>
      <c r="U33" s="935"/>
      <c r="V33" s="935"/>
      <c r="W33" s="935"/>
      <c r="X33" s="935"/>
      <c r="Y33" s="935"/>
    </row>
    <row r="34" spans="1:25" ht="74.25" customHeight="1" x14ac:dyDescent="0.2">
      <c r="A34" s="727">
        <v>1</v>
      </c>
      <c r="B34" s="931" t="s">
        <v>77</v>
      </c>
      <c r="C34" s="931"/>
      <c r="D34" s="931"/>
      <c r="E34" s="931"/>
      <c r="F34" s="723" t="s">
        <v>222</v>
      </c>
      <c r="G34" s="727" t="s">
        <v>107</v>
      </c>
      <c r="H34" s="606"/>
      <c r="I34" s="727">
        <v>1</v>
      </c>
      <c r="J34" s="931" t="s">
        <v>77</v>
      </c>
      <c r="K34" s="931"/>
      <c r="L34" s="931"/>
      <c r="M34" s="931"/>
      <c r="N34" s="723" t="s">
        <v>222</v>
      </c>
      <c r="O34" s="723" t="s">
        <v>521</v>
      </c>
      <c r="P34" s="607"/>
      <c r="Q34" s="727">
        <v>1</v>
      </c>
      <c r="R34" s="931" t="s">
        <v>77</v>
      </c>
      <c r="S34" s="931"/>
      <c r="T34" s="931"/>
      <c r="U34" s="931"/>
      <c r="V34" s="723" t="s">
        <v>222</v>
      </c>
      <c r="W34" s="723" t="s">
        <v>522</v>
      </c>
      <c r="X34" s="723" t="s">
        <v>222</v>
      </c>
      <c r="Y34" s="723" t="s">
        <v>542</v>
      </c>
    </row>
    <row r="35" spans="1:25" x14ac:dyDescent="0.2">
      <c r="A35" s="601" t="s">
        <v>1</v>
      </c>
      <c r="B35" s="602" t="s">
        <v>178</v>
      </c>
      <c r="C35" s="615"/>
      <c r="D35" s="615"/>
      <c r="E35" s="625"/>
      <c r="F35" s="626"/>
      <c r="G35" s="627">
        <f>$F$28*F13</f>
        <v>2192.65</v>
      </c>
      <c r="H35" s="79"/>
      <c r="I35" s="601" t="s">
        <v>1</v>
      </c>
      <c r="J35" s="602" t="s">
        <v>178</v>
      </c>
      <c r="K35" s="615"/>
      <c r="L35" s="615"/>
      <c r="M35" s="625"/>
      <c r="N35" s="626"/>
      <c r="O35" s="627">
        <f>$F$28*N13*1.03</f>
        <v>2258.4299999999998</v>
      </c>
      <c r="P35" s="34"/>
      <c r="Q35" s="601" t="s">
        <v>1</v>
      </c>
      <c r="R35" s="602" t="s">
        <v>178</v>
      </c>
      <c r="S35" s="615"/>
      <c r="T35" s="615"/>
      <c r="U35" s="625"/>
      <c r="V35" s="626"/>
      <c r="W35" s="627">
        <v>2258.4299999999998</v>
      </c>
      <c r="X35" s="607"/>
      <c r="Y35" s="627">
        <v>2258.4299999999998</v>
      </c>
    </row>
    <row r="36" spans="1:25" x14ac:dyDescent="0.2">
      <c r="A36" s="301" t="s">
        <v>2</v>
      </c>
      <c r="B36" s="680" t="str">
        <f>Dados!A36 &amp; " " &amp; "- Salário base x 30%"</f>
        <v>Adicional de Periculosidade  - Salário base x 30%</v>
      </c>
      <c r="C36" s="681"/>
      <c r="D36" s="681"/>
      <c r="E36" s="682"/>
      <c r="F36" s="302">
        <f>Dados!G36</f>
        <v>0.3</v>
      </c>
      <c r="G36" s="304">
        <f>G35*F36</f>
        <v>657.8</v>
      </c>
      <c r="H36" s="79"/>
      <c r="I36" s="301" t="s">
        <v>2</v>
      </c>
      <c r="J36" s="680" t="str">
        <f>Dados!A36 &amp; " " &amp; "- Salário base x 30%"</f>
        <v>Adicional de Periculosidade  - Salário base x 30%</v>
      </c>
      <c r="K36" s="681"/>
      <c r="L36" s="681"/>
      <c r="M36" s="682"/>
      <c r="N36" s="302">
        <f>Dados!G36</f>
        <v>0.3</v>
      </c>
      <c r="O36" s="304">
        <f>O35*N36</f>
        <v>677.53</v>
      </c>
      <c r="P36" s="34"/>
      <c r="Q36" s="301" t="s">
        <v>2</v>
      </c>
      <c r="R36" s="680" t="s">
        <v>493</v>
      </c>
      <c r="S36" s="681"/>
      <c r="T36" s="681"/>
      <c r="U36" s="682"/>
      <c r="V36" s="302">
        <v>0.3</v>
      </c>
      <c r="W36" s="304">
        <v>677.53</v>
      </c>
      <c r="X36" s="302">
        <v>0.3</v>
      </c>
      <c r="Y36" s="304">
        <v>677.53</v>
      </c>
    </row>
    <row r="37" spans="1:25" x14ac:dyDescent="0.2">
      <c r="A37" s="301" t="s">
        <v>4</v>
      </c>
      <c r="B37" s="680" t="s">
        <v>255</v>
      </c>
      <c r="C37" s="681"/>
      <c r="D37" s="681"/>
      <c r="E37" s="682"/>
      <c r="F37" s="302"/>
      <c r="G37" s="304"/>
      <c r="H37" s="79"/>
      <c r="I37" s="301" t="s">
        <v>4</v>
      </c>
      <c r="J37" s="680" t="s">
        <v>255</v>
      </c>
      <c r="K37" s="681"/>
      <c r="L37" s="681"/>
      <c r="M37" s="682"/>
      <c r="N37" s="302"/>
      <c r="O37" s="304"/>
      <c r="P37" s="34"/>
      <c r="Q37" s="301" t="s">
        <v>4</v>
      </c>
      <c r="R37" s="680" t="s">
        <v>255</v>
      </c>
      <c r="S37" s="681"/>
      <c r="T37" s="681"/>
      <c r="U37" s="682"/>
      <c r="V37" s="302"/>
      <c r="W37" s="304"/>
      <c r="X37" s="607"/>
      <c r="Y37" s="304"/>
    </row>
    <row r="38" spans="1:25" ht="15" x14ac:dyDescent="0.2">
      <c r="A38" s="301" t="s">
        <v>5</v>
      </c>
      <c r="B38" s="680" t="s">
        <v>438</v>
      </c>
      <c r="C38" s="681"/>
      <c r="D38" s="681"/>
      <c r="E38" s="682"/>
      <c r="F38" s="302">
        <f>Dados!G39</f>
        <v>0.2</v>
      </c>
      <c r="G38" s="304">
        <f>((((G35+G36)/220)*F38)*(7/52.3*60))*Dados!M30</f>
        <v>312.14999999999998</v>
      </c>
      <c r="H38" s="79"/>
      <c r="I38" s="301" t="s">
        <v>5</v>
      </c>
      <c r="J38" s="680" t="s">
        <v>438</v>
      </c>
      <c r="K38" s="681"/>
      <c r="L38" s="681"/>
      <c r="M38" s="682"/>
      <c r="N38" s="302">
        <f>Dados!G39</f>
        <v>0.2</v>
      </c>
      <c r="O38" s="304">
        <f>((((O35+O36)/220)*N38)*(7/52.3*60))*Dados!M30</f>
        <v>321.51</v>
      </c>
      <c r="P38" s="34"/>
      <c r="Q38" s="301" t="s">
        <v>5</v>
      </c>
      <c r="R38" s="680" t="s">
        <v>509</v>
      </c>
      <c r="S38" s="681"/>
      <c r="T38" s="681"/>
      <c r="U38" s="682"/>
      <c r="V38" s="302">
        <v>0.2</v>
      </c>
      <c r="W38" s="304">
        <v>321.51</v>
      </c>
      <c r="X38" s="302">
        <v>0.2</v>
      </c>
      <c r="Y38" s="304">
        <v>321.51</v>
      </c>
    </row>
    <row r="39" spans="1:25" x14ac:dyDescent="0.2">
      <c r="A39" s="301" t="s">
        <v>6</v>
      </c>
      <c r="B39" s="680" t="s">
        <v>206</v>
      </c>
      <c r="C39" s="681"/>
      <c r="D39" s="681"/>
      <c r="E39" s="682"/>
      <c r="F39" s="302"/>
      <c r="G39" s="304"/>
      <c r="H39" s="79"/>
      <c r="I39" s="301" t="s">
        <v>6</v>
      </c>
      <c r="J39" s="680" t="s">
        <v>206</v>
      </c>
      <c r="K39" s="681"/>
      <c r="L39" s="681"/>
      <c r="M39" s="682"/>
      <c r="N39" s="302"/>
      <c r="O39" s="304"/>
      <c r="P39" s="34"/>
      <c r="Q39" s="301" t="s">
        <v>6</v>
      </c>
      <c r="R39" s="680" t="s">
        <v>206</v>
      </c>
      <c r="S39" s="681"/>
      <c r="T39" s="681"/>
      <c r="U39" s="682"/>
      <c r="V39" s="302"/>
      <c r="W39" s="304"/>
      <c r="X39" s="607"/>
      <c r="Y39" s="304"/>
    </row>
    <row r="40" spans="1:25" x14ac:dyDescent="0.2">
      <c r="A40" s="301" t="s">
        <v>7</v>
      </c>
      <c r="B40" s="680" t="s">
        <v>51</v>
      </c>
      <c r="C40" s="681"/>
      <c r="D40" s="681"/>
      <c r="E40" s="682"/>
      <c r="F40" s="302"/>
      <c r="G40" s="304"/>
      <c r="H40" s="79"/>
      <c r="I40" s="301" t="s">
        <v>7</v>
      </c>
      <c r="J40" s="680" t="s">
        <v>51</v>
      </c>
      <c r="K40" s="681"/>
      <c r="L40" s="681"/>
      <c r="M40" s="682"/>
      <c r="N40" s="302"/>
      <c r="O40" s="304"/>
      <c r="P40" s="34"/>
      <c r="Q40" s="301" t="s">
        <v>7</v>
      </c>
      <c r="R40" s="680" t="s">
        <v>51</v>
      </c>
      <c r="S40" s="681"/>
      <c r="T40" s="681"/>
      <c r="U40" s="682"/>
      <c r="V40" s="302"/>
      <c r="W40" s="304"/>
      <c r="X40" s="607"/>
      <c r="Y40" s="304"/>
    </row>
    <row r="41" spans="1:25" ht="16.5" customHeight="1" x14ac:dyDescent="0.2">
      <c r="A41" s="749" t="s">
        <v>159</v>
      </c>
      <c r="B41" s="749"/>
      <c r="C41" s="749"/>
      <c r="D41" s="749"/>
      <c r="E41" s="749"/>
      <c r="F41" s="749"/>
      <c r="G41" s="726">
        <f>SUM(G35:G40)</f>
        <v>3162.6</v>
      </c>
      <c r="H41" s="79"/>
      <c r="I41" s="749" t="s">
        <v>159</v>
      </c>
      <c r="J41" s="749"/>
      <c r="K41" s="749"/>
      <c r="L41" s="749"/>
      <c r="M41" s="749"/>
      <c r="N41" s="749"/>
      <c r="O41" s="726">
        <f>SUM(O35:O40)</f>
        <v>3257.47</v>
      </c>
      <c r="P41" s="34"/>
      <c r="Q41" s="749" t="s">
        <v>159</v>
      </c>
      <c r="R41" s="749"/>
      <c r="S41" s="749"/>
      <c r="T41" s="749"/>
      <c r="U41" s="749"/>
      <c r="V41" s="749"/>
      <c r="W41" s="726">
        <f>SUM(W35:W40)</f>
        <v>3257.47</v>
      </c>
      <c r="X41" s="652" t="s">
        <v>159</v>
      </c>
      <c r="Y41" s="726">
        <f>SUM(Y35:Y40)</f>
        <v>3257.47</v>
      </c>
    </row>
    <row r="42" spans="1:25" s="34" customFormat="1" ht="14.25" hidden="1" customHeight="1" x14ac:dyDescent="0.2">
      <c r="A42" s="71" t="s">
        <v>207</v>
      </c>
      <c r="B42" s="71"/>
      <c r="C42" s="71"/>
      <c r="D42" s="71"/>
      <c r="E42" s="71"/>
      <c r="F42" s="196"/>
      <c r="G42" s="197"/>
      <c r="H42" s="79"/>
      <c r="I42" s="71" t="s">
        <v>207</v>
      </c>
      <c r="J42" s="71"/>
      <c r="K42" s="71"/>
      <c r="L42" s="71"/>
      <c r="M42" s="71"/>
      <c r="N42" s="196"/>
      <c r="O42" s="197"/>
      <c r="Q42" s="71" t="s">
        <v>495</v>
      </c>
      <c r="R42" s="71"/>
      <c r="S42" s="71"/>
      <c r="T42" s="71"/>
      <c r="U42" s="71"/>
      <c r="V42" s="196"/>
      <c r="W42" s="197"/>
    </row>
    <row r="43" spans="1:25" s="34" customFormat="1" ht="14.25" hidden="1" customHeight="1" x14ac:dyDescent="0.2">
      <c r="A43" s="68" t="s">
        <v>208</v>
      </c>
      <c r="B43" s="68"/>
      <c r="C43" s="68"/>
      <c r="D43" s="68"/>
      <c r="E43" s="68"/>
      <c r="F43" s="68"/>
      <c r="G43" s="68"/>
      <c r="H43" s="79"/>
      <c r="I43" s="68" t="s">
        <v>208</v>
      </c>
      <c r="J43" s="68"/>
      <c r="K43" s="68"/>
      <c r="L43" s="68"/>
      <c r="M43" s="68"/>
      <c r="N43" s="68"/>
      <c r="O43" s="68"/>
      <c r="Q43" s="68" t="s">
        <v>496</v>
      </c>
      <c r="R43" s="68"/>
      <c r="S43" s="68"/>
      <c r="T43" s="68"/>
      <c r="U43" s="68"/>
      <c r="V43" s="68"/>
      <c r="W43" s="68"/>
    </row>
    <row r="44" spans="1:25" s="34" customFormat="1" ht="14.25" hidden="1" customHeight="1" x14ac:dyDescent="0.2">
      <c r="A44" s="68"/>
      <c r="B44" s="68"/>
      <c r="C44" s="68"/>
      <c r="D44" s="68"/>
      <c r="E44" s="68"/>
      <c r="F44" s="68"/>
      <c r="G44" s="68"/>
      <c r="H44" s="79"/>
      <c r="I44" s="68"/>
      <c r="J44" s="68"/>
      <c r="K44" s="68"/>
      <c r="L44" s="68"/>
      <c r="M44" s="68"/>
      <c r="N44" s="68"/>
      <c r="O44" s="68"/>
      <c r="Q44" s="68"/>
      <c r="R44" s="68"/>
      <c r="S44" s="68"/>
      <c r="T44" s="68"/>
      <c r="U44" s="68"/>
      <c r="V44" s="68"/>
      <c r="W44" s="68"/>
    </row>
    <row r="45" spans="1:25" s="34" customFormat="1" ht="14.25" hidden="1" customHeight="1" x14ac:dyDescent="0.2">
      <c r="A45" s="71"/>
      <c r="B45" s="71"/>
      <c r="C45" s="71"/>
      <c r="D45" s="71"/>
      <c r="E45" s="71"/>
      <c r="F45" s="196"/>
      <c r="G45" s="197"/>
      <c r="H45" s="79"/>
      <c r="I45" s="71"/>
      <c r="J45" s="71"/>
      <c r="K45" s="71"/>
      <c r="L45" s="71"/>
      <c r="M45" s="71"/>
      <c r="N45" s="196"/>
      <c r="O45" s="197"/>
      <c r="Q45" s="71"/>
      <c r="R45" s="71"/>
      <c r="S45" s="71"/>
      <c r="T45" s="71"/>
      <c r="U45" s="71"/>
      <c r="V45" s="196"/>
      <c r="W45" s="197"/>
    </row>
    <row r="46" spans="1:25" s="34" customFormat="1" ht="27.75" customHeight="1" x14ac:dyDescent="0.2">
      <c r="A46" s="944" t="s">
        <v>209</v>
      </c>
      <c r="B46" s="944"/>
      <c r="C46" s="944"/>
      <c r="D46" s="944"/>
      <c r="E46" s="944"/>
      <c r="F46" s="944"/>
      <c r="G46" s="944"/>
      <c r="H46" s="944"/>
      <c r="I46" s="944"/>
      <c r="J46" s="944"/>
      <c r="K46" s="944"/>
      <c r="L46" s="944"/>
      <c r="M46" s="944"/>
      <c r="N46" s="944"/>
      <c r="O46" s="944"/>
      <c r="P46" s="944"/>
      <c r="Q46" s="944"/>
      <c r="R46" s="944"/>
      <c r="S46" s="944"/>
      <c r="T46" s="944"/>
      <c r="U46" s="944"/>
      <c r="V46" s="944"/>
      <c r="W46" s="944"/>
      <c r="X46" s="944"/>
      <c r="Y46" s="944"/>
    </row>
    <row r="47" spans="1:25" s="34" customFormat="1" x14ac:dyDescent="0.2">
      <c r="A47" s="931" t="s">
        <v>216</v>
      </c>
      <c r="B47" s="931"/>
      <c r="C47" s="931"/>
      <c r="D47" s="931"/>
      <c r="E47" s="931"/>
      <c r="F47" s="931"/>
      <c r="G47" s="931"/>
      <c r="H47" s="931"/>
      <c r="I47" s="931"/>
      <c r="J47" s="931"/>
      <c r="K47" s="931"/>
      <c r="L47" s="931"/>
      <c r="M47" s="931"/>
      <c r="N47" s="931"/>
      <c r="O47" s="931"/>
      <c r="P47" s="931"/>
      <c r="Q47" s="931"/>
      <c r="R47" s="931"/>
      <c r="S47" s="931"/>
      <c r="T47" s="931"/>
      <c r="U47" s="931"/>
      <c r="V47" s="931"/>
      <c r="W47" s="931"/>
      <c r="X47" s="931"/>
      <c r="Y47" s="931"/>
    </row>
    <row r="48" spans="1:25" s="34" customFormat="1" x14ac:dyDescent="0.2">
      <c r="A48" s="725" t="s">
        <v>211</v>
      </c>
      <c r="B48" s="983" t="s">
        <v>223</v>
      </c>
      <c r="C48" s="983"/>
      <c r="D48" s="983"/>
      <c r="E48" s="983"/>
      <c r="F48" s="725" t="s">
        <v>222</v>
      </c>
      <c r="G48" s="724" t="s">
        <v>107</v>
      </c>
      <c r="H48" s="641"/>
      <c r="I48" s="725" t="s">
        <v>211</v>
      </c>
      <c r="J48" s="983" t="s">
        <v>223</v>
      </c>
      <c r="K48" s="983"/>
      <c r="L48" s="983"/>
      <c r="M48" s="983"/>
      <c r="N48" s="725" t="s">
        <v>222</v>
      </c>
      <c r="O48" s="724" t="s">
        <v>107</v>
      </c>
      <c r="P48" s="642"/>
      <c r="Q48" s="725" t="s">
        <v>211</v>
      </c>
      <c r="R48" s="983" t="s">
        <v>223</v>
      </c>
      <c r="S48" s="983"/>
      <c r="T48" s="983"/>
      <c r="U48" s="983"/>
      <c r="V48" s="725" t="s">
        <v>222</v>
      </c>
      <c r="W48" s="724" t="s">
        <v>107</v>
      </c>
      <c r="X48" s="725" t="s">
        <v>222</v>
      </c>
      <c r="Y48" s="724" t="s">
        <v>107</v>
      </c>
    </row>
    <row r="49" spans="1:25" s="34" customFormat="1" x14ac:dyDescent="0.2">
      <c r="A49" s="692" t="s">
        <v>1</v>
      </c>
      <c r="B49" s="137" t="str">
        <f>Dados!B76</f>
        <v xml:space="preserve">13º (décimo terceiro) salário  </v>
      </c>
      <c r="C49" s="138"/>
      <c r="D49" s="611"/>
      <c r="E49" s="612"/>
      <c r="F49" s="613">
        <f>Dados!G76</f>
        <v>9.0899999999999995E-2</v>
      </c>
      <c r="G49" s="614">
        <f>F49*$G$41</f>
        <v>287.48</v>
      </c>
      <c r="H49" s="79"/>
      <c r="I49" s="692" t="s">
        <v>1</v>
      </c>
      <c r="J49" s="137" t="str">
        <f>Dados!B76</f>
        <v xml:space="preserve">13º (décimo terceiro) salário  </v>
      </c>
      <c r="K49" s="138"/>
      <c r="L49" s="611"/>
      <c r="M49" s="612"/>
      <c r="N49" s="613">
        <f>Dados!G76</f>
        <v>9.0899999999999995E-2</v>
      </c>
      <c r="O49" s="614">
        <f>N49*$O$41</f>
        <v>296.10000000000002</v>
      </c>
      <c r="Q49" s="692" t="s">
        <v>1</v>
      </c>
      <c r="R49" s="137" t="s">
        <v>157</v>
      </c>
      <c r="S49" s="138"/>
      <c r="T49" s="611"/>
      <c r="U49" s="612"/>
      <c r="V49" s="613">
        <v>9.0899999999999995E-2</v>
      </c>
      <c r="W49" s="614">
        <v>296.10000000000002</v>
      </c>
      <c r="X49" s="613">
        <v>9.0899999999999995E-2</v>
      </c>
      <c r="Y49" s="614">
        <v>296.10000000000002</v>
      </c>
    </row>
    <row r="50" spans="1:25" s="34" customFormat="1" x14ac:dyDescent="0.2">
      <c r="A50" s="685" t="s">
        <v>2</v>
      </c>
      <c r="B50" s="981" t="str">
        <f>Dados!B77</f>
        <v>Férias e Adicional de Férias</v>
      </c>
      <c r="C50" s="981"/>
      <c r="D50" s="981"/>
      <c r="E50" s="981"/>
      <c r="F50" s="314">
        <f>Dados!G77</f>
        <v>0.1212</v>
      </c>
      <c r="G50" s="704">
        <f>F50*$G$41</f>
        <v>383.31</v>
      </c>
      <c r="H50" s="79"/>
      <c r="I50" s="685" t="s">
        <v>2</v>
      </c>
      <c r="J50" s="981" t="str">
        <f>Dados!B77</f>
        <v>Férias e Adicional de Férias</v>
      </c>
      <c r="K50" s="981"/>
      <c r="L50" s="981"/>
      <c r="M50" s="981"/>
      <c r="N50" s="314">
        <f>Dados!G77</f>
        <v>0.1212</v>
      </c>
      <c r="O50" s="704">
        <f>N50*$O$41</f>
        <v>394.81</v>
      </c>
      <c r="Q50" s="685" t="s">
        <v>2</v>
      </c>
      <c r="R50" s="981" t="s">
        <v>224</v>
      </c>
      <c r="S50" s="981"/>
      <c r="T50" s="981"/>
      <c r="U50" s="981"/>
      <c r="V50" s="314">
        <v>0.1212</v>
      </c>
      <c r="W50" s="704">
        <v>394.81</v>
      </c>
      <c r="X50" s="314">
        <v>0.1212</v>
      </c>
      <c r="Y50" s="704">
        <v>394.81</v>
      </c>
    </row>
    <row r="51" spans="1:25" s="34" customFormat="1" ht="18.75" customHeight="1" x14ac:dyDescent="0.2">
      <c r="A51" s="933" t="s">
        <v>159</v>
      </c>
      <c r="B51" s="933"/>
      <c r="C51" s="933"/>
      <c r="D51" s="933"/>
      <c r="E51" s="933"/>
      <c r="F51" s="317">
        <f>SUM(F49:F50)</f>
        <v>0.21210000000000001</v>
      </c>
      <c r="G51" s="322">
        <f>SUM(G49:G50)</f>
        <v>670.79</v>
      </c>
      <c r="H51" s="79"/>
      <c r="I51" s="933" t="s">
        <v>159</v>
      </c>
      <c r="J51" s="933"/>
      <c r="K51" s="933"/>
      <c r="L51" s="933"/>
      <c r="M51" s="933"/>
      <c r="N51" s="317">
        <f>SUM(N49:N50)</f>
        <v>0.21210000000000001</v>
      </c>
      <c r="O51" s="322">
        <f>SUM(O49:O50)</f>
        <v>690.91</v>
      </c>
      <c r="Q51" s="933" t="s">
        <v>159</v>
      </c>
      <c r="R51" s="933"/>
      <c r="S51" s="933"/>
      <c r="T51" s="933"/>
      <c r="U51" s="933"/>
      <c r="V51" s="317">
        <f>SUM(V49:V50)</f>
        <v>0.21210000000000001</v>
      </c>
      <c r="W51" s="322">
        <f>SUM(W49:W50)</f>
        <v>690.91</v>
      </c>
      <c r="X51" s="317">
        <f>SUM(X49:X50)</f>
        <v>0.21210000000000001</v>
      </c>
      <c r="Y51" s="322">
        <f>SUM(Y49:Y50)</f>
        <v>690.91</v>
      </c>
    </row>
    <row r="52" spans="1:25" s="34" customFormat="1" hidden="1" x14ac:dyDescent="0.2">
      <c r="A52" s="924" t="s">
        <v>215</v>
      </c>
      <c r="B52" s="924"/>
      <c r="C52" s="924"/>
      <c r="D52" s="924"/>
      <c r="E52" s="924"/>
      <c r="F52" s="924"/>
      <c r="G52" s="924"/>
      <c r="H52" s="79"/>
      <c r="I52" s="924"/>
      <c r="J52" s="924"/>
      <c r="K52" s="924"/>
      <c r="L52" s="924"/>
      <c r="M52" s="924"/>
      <c r="N52" s="924"/>
      <c r="O52" s="924"/>
      <c r="Q52" s="924"/>
      <c r="R52" s="924"/>
      <c r="S52" s="924"/>
      <c r="T52" s="924"/>
      <c r="U52" s="924"/>
      <c r="V52" s="924"/>
      <c r="W52" s="924"/>
    </row>
    <row r="53" spans="1:25" s="34" customFormat="1" hidden="1" x14ac:dyDescent="0.2">
      <c r="A53" s="924"/>
      <c r="B53" s="924"/>
      <c r="C53" s="924"/>
      <c r="D53" s="924"/>
      <c r="E53" s="924"/>
      <c r="F53" s="924"/>
      <c r="G53" s="924"/>
      <c r="H53" s="79"/>
      <c r="I53" s="924"/>
      <c r="J53" s="924"/>
      <c r="K53" s="924"/>
      <c r="L53" s="924"/>
      <c r="M53" s="924"/>
      <c r="N53" s="924"/>
      <c r="O53" s="924"/>
      <c r="Q53" s="924"/>
      <c r="R53" s="924"/>
      <c r="S53" s="924"/>
      <c r="T53" s="924"/>
      <c r="U53" s="924"/>
      <c r="V53" s="924"/>
      <c r="W53" s="924"/>
    </row>
    <row r="54" spans="1:25" s="34" customFormat="1" hidden="1" x14ac:dyDescent="0.2">
      <c r="A54" s="1052" t="s">
        <v>478</v>
      </c>
      <c r="B54" s="924"/>
      <c r="C54" s="924"/>
      <c r="D54" s="924"/>
      <c r="E54" s="924"/>
      <c r="F54" s="924"/>
      <c r="G54" s="924"/>
      <c r="H54" s="79"/>
      <c r="I54" s="1052"/>
      <c r="J54" s="924"/>
      <c r="K54" s="924"/>
      <c r="L54" s="924"/>
      <c r="M54" s="924"/>
      <c r="N54" s="924"/>
      <c r="O54" s="924"/>
      <c r="Q54" s="1052"/>
      <c r="R54" s="924"/>
      <c r="S54" s="924"/>
      <c r="T54" s="924"/>
      <c r="U54" s="924"/>
      <c r="V54" s="924"/>
      <c r="W54" s="924"/>
    </row>
    <row r="55" spans="1:25" s="34" customFormat="1" hidden="1" x14ac:dyDescent="0.2">
      <c r="A55" s="924"/>
      <c r="B55" s="924"/>
      <c r="C55" s="924"/>
      <c r="D55" s="924"/>
      <c r="E55" s="924"/>
      <c r="F55" s="924"/>
      <c r="G55" s="924"/>
      <c r="H55" s="79"/>
      <c r="I55" s="924"/>
      <c r="J55" s="924"/>
      <c r="K55" s="924"/>
      <c r="L55" s="924"/>
      <c r="M55" s="924"/>
      <c r="N55" s="924"/>
      <c r="O55" s="924"/>
      <c r="Q55" s="924"/>
      <c r="R55" s="924"/>
      <c r="S55" s="924"/>
      <c r="T55" s="924"/>
      <c r="U55" s="924"/>
      <c r="V55" s="924"/>
      <c r="W55" s="924"/>
    </row>
    <row r="56" spans="1:25" s="34" customFormat="1" hidden="1" x14ac:dyDescent="0.2">
      <c r="A56" s="924" t="s">
        <v>419</v>
      </c>
      <c r="B56" s="924"/>
      <c r="C56" s="924"/>
      <c r="D56" s="924"/>
      <c r="E56" s="924"/>
      <c r="F56" s="924"/>
      <c r="G56" s="924"/>
      <c r="H56" s="79"/>
      <c r="I56" s="924"/>
      <c r="J56" s="924"/>
      <c r="K56" s="924"/>
      <c r="L56" s="924"/>
      <c r="M56" s="924"/>
      <c r="N56" s="924"/>
      <c r="O56" s="924"/>
      <c r="Q56" s="924"/>
      <c r="R56" s="924"/>
      <c r="S56" s="924"/>
      <c r="T56" s="924"/>
      <c r="U56" s="924"/>
      <c r="V56" s="924"/>
      <c r="W56" s="924"/>
    </row>
    <row r="57" spans="1:25" s="34" customFormat="1" hidden="1" x14ac:dyDescent="0.2">
      <c r="A57" s="924"/>
      <c r="B57" s="924"/>
      <c r="C57" s="924"/>
      <c r="D57" s="924"/>
      <c r="E57" s="924"/>
      <c r="F57" s="924"/>
      <c r="G57" s="924"/>
      <c r="H57" s="79"/>
      <c r="I57" s="924"/>
      <c r="J57" s="924"/>
      <c r="K57" s="924"/>
      <c r="L57" s="924"/>
      <c r="M57" s="924"/>
      <c r="N57" s="924"/>
      <c r="O57" s="924"/>
      <c r="Q57" s="924"/>
      <c r="R57" s="924"/>
      <c r="S57" s="924"/>
      <c r="T57" s="924"/>
      <c r="U57" s="924"/>
      <c r="V57" s="924"/>
      <c r="W57" s="924"/>
    </row>
    <row r="58" spans="1:25" s="34" customFormat="1" hidden="1" x14ac:dyDescent="0.2">
      <c r="A58" s="678"/>
      <c r="B58" s="678"/>
      <c r="C58" s="678"/>
      <c r="D58" s="678"/>
      <c r="E58" s="678"/>
      <c r="F58" s="678"/>
      <c r="G58" s="678"/>
      <c r="H58" s="79"/>
      <c r="I58" s="678"/>
      <c r="J58" s="678"/>
      <c r="K58" s="678"/>
      <c r="L58" s="678"/>
      <c r="M58" s="678"/>
      <c r="N58" s="678"/>
      <c r="O58" s="678"/>
      <c r="Q58" s="678"/>
      <c r="R58" s="678"/>
      <c r="S58" s="678"/>
      <c r="T58" s="678"/>
      <c r="U58" s="678"/>
      <c r="V58" s="678"/>
      <c r="W58" s="678"/>
    </row>
    <row r="59" spans="1:25" s="34" customFormat="1" ht="59.25" customHeight="1" x14ac:dyDescent="0.2">
      <c r="A59" s="944" t="s">
        <v>420</v>
      </c>
      <c r="B59" s="944"/>
      <c r="C59" s="944"/>
      <c r="D59" s="944"/>
      <c r="E59" s="944"/>
      <c r="F59" s="944"/>
      <c r="G59" s="727" t="s">
        <v>107</v>
      </c>
      <c r="H59" s="79"/>
      <c r="I59" s="944" t="s">
        <v>420</v>
      </c>
      <c r="J59" s="944"/>
      <c r="K59" s="944"/>
      <c r="L59" s="944"/>
      <c r="M59" s="944"/>
      <c r="N59" s="944"/>
      <c r="O59" s="727" t="s">
        <v>107</v>
      </c>
      <c r="Q59" s="944" t="s">
        <v>420</v>
      </c>
      <c r="R59" s="944"/>
      <c r="S59" s="944"/>
      <c r="T59" s="944"/>
      <c r="U59" s="944"/>
      <c r="V59" s="944"/>
      <c r="W59" s="727" t="s">
        <v>107</v>
      </c>
      <c r="X59" s="749" t="s">
        <v>420</v>
      </c>
      <c r="Y59" s="727" t="s">
        <v>107</v>
      </c>
    </row>
    <row r="60" spans="1:25" s="34" customFormat="1" x14ac:dyDescent="0.2">
      <c r="A60" s="685">
        <v>1</v>
      </c>
      <c r="B60" s="319" t="str">
        <f>A33</f>
        <v>Módulo 1 - Composição da Remuneração</v>
      </c>
      <c r="C60" s="122"/>
      <c r="D60" s="321"/>
      <c r="E60" s="321"/>
      <c r="F60" s="710"/>
      <c r="G60" s="704">
        <f>G41</f>
        <v>3162.6</v>
      </c>
      <c r="H60" s="79"/>
      <c r="I60" s="685">
        <v>1</v>
      </c>
      <c r="J60" s="319">
        <f>I33</f>
        <v>0</v>
      </c>
      <c r="K60" s="122"/>
      <c r="L60" s="321"/>
      <c r="M60" s="321"/>
      <c r="N60" s="710"/>
      <c r="O60" s="704">
        <f>O41</f>
        <v>3257.47</v>
      </c>
      <c r="Q60" s="685">
        <v>1</v>
      </c>
      <c r="R60" s="319" t="s">
        <v>25</v>
      </c>
      <c r="S60" s="122"/>
      <c r="T60" s="321"/>
      <c r="U60" s="321"/>
      <c r="V60" s="710"/>
      <c r="W60" s="704">
        <v>3257.47</v>
      </c>
      <c r="X60" s="607"/>
      <c r="Y60" s="704">
        <v>3257.47</v>
      </c>
    </row>
    <row r="61" spans="1:25" s="34" customFormat="1" x14ac:dyDescent="0.2">
      <c r="A61" s="699" t="s">
        <v>211</v>
      </c>
      <c r="B61" s="140" t="str">
        <f>A47</f>
        <v>Submódulo 2.1 - 13º (décimo terceiro) Salário, Férias e Adicional de Férias</v>
      </c>
      <c r="C61" s="141"/>
      <c r="D61" s="628"/>
      <c r="E61" s="628"/>
      <c r="F61" s="629"/>
      <c r="G61" s="334">
        <f>G51</f>
        <v>670.79</v>
      </c>
      <c r="H61" s="79"/>
      <c r="I61" s="699" t="s">
        <v>211</v>
      </c>
      <c r="J61" s="140">
        <f>I47</f>
        <v>0</v>
      </c>
      <c r="K61" s="141"/>
      <c r="L61" s="628"/>
      <c r="M61" s="628"/>
      <c r="N61" s="629"/>
      <c r="O61" s="334">
        <f>O51</f>
        <v>690.91</v>
      </c>
      <c r="Q61" s="699" t="s">
        <v>211</v>
      </c>
      <c r="R61" s="140" t="s">
        <v>216</v>
      </c>
      <c r="S61" s="141"/>
      <c r="T61" s="628"/>
      <c r="U61" s="628"/>
      <c r="V61" s="629"/>
      <c r="W61" s="334">
        <v>690.91</v>
      </c>
      <c r="X61" s="630"/>
      <c r="Y61" s="334">
        <v>690.91</v>
      </c>
    </row>
    <row r="62" spans="1:25" s="34" customFormat="1" x14ac:dyDescent="0.2">
      <c r="A62" s="943" t="s">
        <v>241</v>
      </c>
      <c r="B62" s="943"/>
      <c r="C62" s="943"/>
      <c r="D62" s="943"/>
      <c r="E62" s="943"/>
      <c r="F62" s="943"/>
      <c r="G62" s="322">
        <f>SUM(G60:G61)</f>
        <v>3833.39</v>
      </c>
      <c r="H62" s="606"/>
      <c r="I62" s="943" t="s">
        <v>241</v>
      </c>
      <c r="J62" s="943"/>
      <c r="K62" s="943"/>
      <c r="L62" s="943"/>
      <c r="M62" s="943"/>
      <c r="N62" s="943"/>
      <c r="O62" s="322">
        <f>SUM(O60:O61)</f>
        <v>3948.38</v>
      </c>
      <c r="P62" s="607"/>
      <c r="Q62" s="943" t="s">
        <v>241</v>
      </c>
      <c r="R62" s="943"/>
      <c r="S62" s="943"/>
      <c r="T62" s="943"/>
      <c r="U62" s="943"/>
      <c r="V62" s="943"/>
      <c r="W62" s="322">
        <f>SUM(W60:W61)</f>
        <v>3948.38</v>
      </c>
      <c r="X62" s="607" t="s">
        <v>159</v>
      </c>
      <c r="Y62" s="322">
        <f>SUM(Y60:Y61)</f>
        <v>3948.38</v>
      </c>
    </row>
    <row r="63" spans="1:25" s="34" customFormat="1" hidden="1" x14ac:dyDescent="0.2">
      <c r="A63" s="643"/>
      <c r="B63" s="643"/>
      <c r="C63" s="643"/>
      <c r="D63" s="643"/>
      <c r="E63" s="643"/>
      <c r="F63" s="643"/>
      <c r="G63" s="643"/>
      <c r="H63" s="644"/>
      <c r="I63" s="643"/>
      <c r="J63" s="643"/>
      <c r="K63" s="643"/>
      <c r="L63" s="643"/>
      <c r="M63" s="643"/>
      <c r="N63" s="643"/>
      <c r="O63" s="643"/>
      <c r="P63" s="630"/>
      <c r="Q63" s="643"/>
      <c r="R63" s="643"/>
      <c r="S63" s="643"/>
      <c r="T63" s="643"/>
      <c r="U63" s="643"/>
      <c r="V63" s="643"/>
      <c r="W63" s="643"/>
      <c r="X63" s="630"/>
    </row>
    <row r="64" spans="1:25" x14ac:dyDescent="0.2">
      <c r="A64" s="931" t="s">
        <v>217</v>
      </c>
      <c r="B64" s="931"/>
      <c r="C64" s="931"/>
      <c r="D64" s="931"/>
      <c r="E64" s="931"/>
      <c r="F64" s="931"/>
      <c r="G64" s="931"/>
      <c r="H64" s="931"/>
      <c r="I64" s="931"/>
      <c r="J64" s="931"/>
      <c r="K64" s="931"/>
      <c r="L64" s="931"/>
      <c r="M64" s="931"/>
      <c r="N64" s="931"/>
      <c r="O64" s="931"/>
      <c r="P64" s="931"/>
      <c r="Q64" s="931"/>
      <c r="R64" s="931"/>
      <c r="S64" s="931"/>
      <c r="T64" s="931"/>
      <c r="U64" s="931"/>
      <c r="V64" s="931"/>
      <c r="W64" s="931"/>
      <c r="X64" s="931"/>
      <c r="Y64" s="931"/>
    </row>
    <row r="65" spans="1:25" x14ac:dyDescent="0.2">
      <c r="A65" s="723" t="s">
        <v>210</v>
      </c>
      <c r="B65" s="944" t="s">
        <v>221</v>
      </c>
      <c r="C65" s="944"/>
      <c r="D65" s="944"/>
      <c r="E65" s="944"/>
      <c r="F65" s="723" t="s">
        <v>222</v>
      </c>
      <c r="G65" s="727" t="s">
        <v>107</v>
      </c>
      <c r="H65" s="606"/>
      <c r="I65" s="723" t="s">
        <v>210</v>
      </c>
      <c r="J65" s="944" t="s">
        <v>221</v>
      </c>
      <c r="K65" s="944"/>
      <c r="L65" s="944"/>
      <c r="M65" s="944"/>
      <c r="N65" s="723" t="s">
        <v>222</v>
      </c>
      <c r="O65" s="727" t="s">
        <v>107</v>
      </c>
      <c r="P65" s="607"/>
      <c r="Q65" s="723" t="s">
        <v>210</v>
      </c>
      <c r="R65" s="944" t="s">
        <v>221</v>
      </c>
      <c r="S65" s="944"/>
      <c r="T65" s="944"/>
      <c r="U65" s="944"/>
      <c r="V65" s="723" t="s">
        <v>222</v>
      </c>
      <c r="W65" s="727" t="s">
        <v>107</v>
      </c>
      <c r="X65" s="723" t="s">
        <v>222</v>
      </c>
      <c r="Y65" s="727" t="s">
        <v>107</v>
      </c>
    </row>
    <row r="66" spans="1:25" x14ac:dyDescent="0.2">
      <c r="A66" s="692" t="s">
        <v>1</v>
      </c>
      <c r="B66" s="137" t="str">
        <f>Dados!B80</f>
        <v>INSS</v>
      </c>
      <c r="C66" s="138"/>
      <c r="D66" s="611"/>
      <c r="E66" s="612"/>
      <c r="F66" s="613">
        <f>Dados!G80</f>
        <v>0.2</v>
      </c>
      <c r="G66" s="614">
        <f>$G$62*F66</f>
        <v>766.68</v>
      </c>
      <c r="H66" s="79"/>
      <c r="I66" s="692" t="s">
        <v>1</v>
      </c>
      <c r="J66" s="137" t="str">
        <f>Dados!B80</f>
        <v>INSS</v>
      </c>
      <c r="K66" s="138"/>
      <c r="L66" s="611"/>
      <c r="M66" s="612"/>
      <c r="N66" s="613">
        <f>Dados!G80</f>
        <v>0.2</v>
      </c>
      <c r="O66" s="614">
        <f t="shared" ref="O66:O73" si="0">$O$62*N66</f>
        <v>789.68</v>
      </c>
      <c r="P66" s="34"/>
      <c r="Q66" s="692" t="s">
        <v>1</v>
      </c>
      <c r="R66" s="137" t="s">
        <v>12</v>
      </c>
      <c r="S66" s="138"/>
      <c r="T66" s="611"/>
      <c r="U66" s="612"/>
      <c r="V66" s="613">
        <v>0.2</v>
      </c>
      <c r="W66" s="614">
        <v>789.68</v>
      </c>
      <c r="X66" s="613">
        <v>0.2</v>
      </c>
      <c r="Y66" s="614">
        <v>789.68</v>
      </c>
    </row>
    <row r="67" spans="1:25" x14ac:dyDescent="0.2">
      <c r="A67" s="685" t="s">
        <v>2</v>
      </c>
      <c r="B67" s="319" t="str">
        <f>Dados!B81</f>
        <v>Salário Educação</v>
      </c>
      <c r="C67" s="122"/>
      <c r="D67" s="321"/>
      <c r="E67" s="310"/>
      <c r="F67" s="314">
        <f>Dados!G81</f>
        <v>2.5000000000000001E-2</v>
      </c>
      <c r="G67" s="704">
        <f t="shared" ref="G67:G73" si="1">$G$62*F67</f>
        <v>95.83</v>
      </c>
      <c r="H67" s="79"/>
      <c r="I67" s="685" t="s">
        <v>2</v>
      </c>
      <c r="J67" s="319" t="str">
        <f>Dados!B81</f>
        <v>Salário Educação</v>
      </c>
      <c r="K67" s="122"/>
      <c r="L67" s="321"/>
      <c r="M67" s="310"/>
      <c r="N67" s="314">
        <f>Dados!G81</f>
        <v>2.5000000000000001E-2</v>
      </c>
      <c r="O67" s="704">
        <f t="shared" si="0"/>
        <v>98.71</v>
      </c>
      <c r="P67" s="34"/>
      <c r="Q67" s="685" t="s">
        <v>2</v>
      </c>
      <c r="R67" s="319" t="s">
        <v>154</v>
      </c>
      <c r="S67" s="122"/>
      <c r="T67" s="321"/>
      <c r="U67" s="310"/>
      <c r="V67" s="314">
        <v>2.5000000000000001E-2</v>
      </c>
      <c r="W67" s="704">
        <v>98.71</v>
      </c>
      <c r="X67" s="314">
        <v>2.5000000000000001E-2</v>
      </c>
      <c r="Y67" s="704">
        <v>98.71</v>
      </c>
    </row>
    <row r="68" spans="1:25" x14ac:dyDescent="0.2">
      <c r="A68" s="685" t="s">
        <v>4</v>
      </c>
      <c r="B68" s="319" t="str">
        <f>Dados!B82</f>
        <v>Seguro Acidente do Trabalho - SAT = RAT x FAP</v>
      </c>
      <c r="C68" s="122"/>
      <c r="D68" s="321"/>
      <c r="E68" s="310"/>
      <c r="F68" s="314">
        <f>Dados!G82</f>
        <v>2.4899999999999999E-2</v>
      </c>
      <c r="G68" s="704">
        <f t="shared" si="1"/>
        <v>95.45</v>
      </c>
      <c r="H68" s="79"/>
      <c r="I68" s="685" t="s">
        <v>4</v>
      </c>
      <c r="J68" s="319" t="str">
        <f>Dados!B82</f>
        <v>Seguro Acidente do Trabalho - SAT = RAT x FAP</v>
      </c>
      <c r="K68" s="122"/>
      <c r="L68" s="321"/>
      <c r="M68" s="310"/>
      <c r="N68" s="314">
        <v>2.5700000000000001E-2</v>
      </c>
      <c r="O68" s="704">
        <f t="shared" si="0"/>
        <v>101.47</v>
      </c>
      <c r="P68" s="34"/>
      <c r="Q68" s="685" t="s">
        <v>4</v>
      </c>
      <c r="R68" s="319" t="s">
        <v>200</v>
      </c>
      <c r="S68" s="122"/>
      <c r="T68" s="321"/>
      <c r="U68" s="310"/>
      <c r="V68" s="314">
        <v>2.5700000000000001E-2</v>
      </c>
      <c r="W68" s="704">
        <v>101.47</v>
      </c>
      <c r="X68" s="314">
        <v>2.5700000000000001E-2</v>
      </c>
      <c r="Y68" s="704">
        <v>101.47</v>
      </c>
    </row>
    <row r="69" spans="1:25" x14ac:dyDescent="0.2">
      <c r="A69" s="685" t="s">
        <v>5</v>
      </c>
      <c r="B69" s="319" t="str">
        <f>Dados!B83</f>
        <v>SESI ou SESC</v>
      </c>
      <c r="C69" s="122"/>
      <c r="D69" s="321"/>
      <c r="E69" s="310"/>
      <c r="F69" s="314">
        <f>Dados!G83</f>
        <v>1.4999999999999999E-2</v>
      </c>
      <c r="G69" s="704">
        <f t="shared" si="1"/>
        <v>57.5</v>
      </c>
      <c r="H69" s="79"/>
      <c r="I69" s="685" t="s">
        <v>5</v>
      </c>
      <c r="J69" s="319" t="str">
        <f>Dados!B83</f>
        <v>SESI ou SESC</v>
      </c>
      <c r="K69" s="122"/>
      <c r="L69" s="321"/>
      <c r="M69" s="310"/>
      <c r="N69" s="314">
        <f>Dados!G83</f>
        <v>1.4999999999999999E-2</v>
      </c>
      <c r="O69" s="704">
        <f t="shared" si="0"/>
        <v>59.23</v>
      </c>
      <c r="P69" s="34"/>
      <c r="Q69" s="685" t="s">
        <v>5</v>
      </c>
      <c r="R69" s="319" t="s">
        <v>13</v>
      </c>
      <c r="S69" s="122"/>
      <c r="T69" s="321"/>
      <c r="U69" s="310"/>
      <c r="V69" s="314">
        <v>1.4999999999999999E-2</v>
      </c>
      <c r="W69" s="704">
        <v>59.23</v>
      </c>
      <c r="X69" s="314">
        <v>1.4999999999999999E-2</v>
      </c>
      <c r="Y69" s="704">
        <v>59.23</v>
      </c>
    </row>
    <row r="70" spans="1:25" x14ac:dyDescent="0.2">
      <c r="A70" s="685" t="s">
        <v>6</v>
      </c>
      <c r="B70" s="319" t="str">
        <f>Dados!B84</f>
        <v>SENAI ou SENAC</v>
      </c>
      <c r="C70" s="122"/>
      <c r="D70" s="321"/>
      <c r="E70" s="310"/>
      <c r="F70" s="314">
        <f>Dados!G84</f>
        <v>0.01</v>
      </c>
      <c r="G70" s="704">
        <f t="shared" si="1"/>
        <v>38.33</v>
      </c>
      <c r="H70" s="79"/>
      <c r="I70" s="685" t="s">
        <v>6</v>
      </c>
      <c r="J70" s="319" t="str">
        <f>Dados!B84</f>
        <v>SENAI ou SENAC</v>
      </c>
      <c r="K70" s="122"/>
      <c r="L70" s="321"/>
      <c r="M70" s="310"/>
      <c r="N70" s="314">
        <f>Dados!G84</f>
        <v>0.01</v>
      </c>
      <c r="O70" s="704">
        <f t="shared" si="0"/>
        <v>39.479999999999997</v>
      </c>
      <c r="P70" s="34"/>
      <c r="Q70" s="685" t="s">
        <v>6</v>
      </c>
      <c r="R70" s="319" t="s">
        <v>14</v>
      </c>
      <c r="S70" s="122"/>
      <c r="T70" s="321"/>
      <c r="U70" s="310"/>
      <c r="V70" s="314">
        <v>0.01</v>
      </c>
      <c r="W70" s="704">
        <v>39.479999999999997</v>
      </c>
      <c r="X70" s="314">
        <v>0.01</v>
      </c>
      <c r="Y70" s="704">
        <v>39.479999999999997</v>
      </c>
    </row>
    <row r="71" spans="1:25" x14ac:dyDescent="0.2">
      <c r="A71" s="685" t="s">
        <v>7</v>
      </c>
      <c r="B71" s="319" t="str">
        <f>Dados!B85</f>
        <v>SEBRAE</v>
      </c>
      <c r="C71" s="122"/>
      <c r="D71" s="321"/>
      <c r="E71" s="310"/>
      <c r="F71" s="314">
        <f>Dados!G85</f>
        <v>6.0000000000000001E-3</v>
      </c>
      <c r="G71" s="704">
        <f t="shared" si="1"/>
        <v>23</v>
      </c>
      <c r="H71" s="79"/>
      <c r="I71" s="685" t="s">
        <v>7</v>
      </c>
      <c r="J71" s="319" t="str">
        <f>Dados!B85</f>
        <v>SEBRAE</v>
      </c>
      <c r="K71" s="122"/>
      <c r="L71" s="321"/>
      <c r="M71" s="310"/>
      <c r="N71" s="314">
        <f>Dados!G85</f>
        <v>6.0000000000000001E-3</v>
      </c>
      <c r="O71" s="704">
        <f t="shared" si="0"/>
        <v>23.69</v>
      </c>
      <c r="P71" s="34"/>
      <c r="Q71" s="685" t="s">
        <v>7</v>
      </c>
      <c r="R71" s="319" t="s">
        <v>17</v>
      </c>
      <c r="S71" s="122"/>
      <c r="T71" s="321"/>
      <c r="U71" s="310"/>
      <c r="V71" s="314">
        <v>6.0000000000000001E-3</v>
      </c>
      <c r="W71" s="704">
        <v>23.69</v>
      </c>
      <c r="X71" s="314">
        <v>6.0000000000000001E-3</v>
      </c>
      <c r="Y71" s="704">
        <v>23.69</v>
      </c>
    </row>
    <row r="72" spans="1:25" x14ac:dyDescent="0.2">
      <c r="A72" s="685" t="s">
        <v>8</v>
      </c>
      <c r="B72" s="319" t="str">
        <f>Dados!B86</f>
        <v>INCRA</v>
      </c>
      <c r="C72" s="122"/>
      <c r="D72" s="321"/>
      <c r="E72" s="310"/>
      <c r="F72" s="314">
        <f>Dados!G86</f>
        <v>2E-3</v>
      </c>
      <c r="G72" s="704">
        <f t="shared" si="1"/>
        <v>7.67</v>
      </c>
      <c r="H72" s="79"/>
      <c r="I72" s="685" t="s">
        <v>8</v>
      </c>
      <c r="J72" s="319" t="str">
        <f>Dados!B86</f>
        <v>INCRA</v>
      </c>
      <c r="K72" s="122"/>
      <c r="L72" s="321"/>
      <c r="M72" s="310"/>
      <c r="N72" s="314">
        <f>Dados!G86</f>
        <v>2E-3</v>
      </c>
      <c r="O72" s="704">
        <f t="shared" si="0"/>
        <v>7.9</v>
      </c>
      <c r="P72" s="34"/>
      <c r="Q72" s="685" t="s">
        <v>8</v>
      </c>
      <c r="R72" s="319" t="s">
        <v>15</v>
      </c>
      <c r="S72" s="122"/>
      <c r="T72" s="321"/>
      <c r="U72" s="310"/>
      <c r="V72" s="314">
        <v>2E-3</v>
      </c>
      <c r="W72" s="704">
        <v>7.9</v>
      </c>
      <c r="X72" s="314">
        <v>2E-3</v>
      </c>
      <c r="Y72" s="704">
        <v>7.9</v>
      </c>
    </row>
    <row r="73" spans="1:25" x14ac:dyDescent="0.2">
      <c r="A73" s="699" t="s">
        <v>9</v>
      </c>
      <c r="B73" s="140" t="str">
        <f>Dados!B87</f>
        <v>FGTS</v>
      </c>
      <c r="C73" s="122"/>
      <c r="D73" s="321"/>
      <c r="E73" s="337"/>
      <c r="F73" s="333">
        <f>Dados!G87</f>
        <v>0.08</v>
      </c>
      <c r="G73" s="334">
        <f t="shared" si="1"/>
        <v>306.67</v>
      </c>
      <c r="H73" s="79"/>
      <c r="I73" s="699" t="s">
        <v>9</v>
      </c>
      <c r="J73" s="140" t="str">
        <f>Dados!B87</f>
        <v>FGTS</v>
      </c>
      <c r="K73" s="122"/>
      <c r="L73" s="321"/>
      <c r="M73" s="337"/>
      <c r="N73" s="333">
        <f>Dados!G87</f>
        <v>0.08</v>
      </c>
      <c r="O73" s="334">
        <f t="shared" si="0"/>
        <v>315.87</v>
      </c>
      <c r="P73" s="34"/>
      <c r="Q73" s="699" t="s">
        <v>9</v>
      </c>
      <c r="R73" s="140" t="s">
        <v>16</v>
      </c>
      <c r="S73" s="122"/>
      <c r="T73" s="321"/>
      <c r="U73" s="337"/>
      <c r="V73" s="333">
        <v>0.08</v>
      </c>
      <c r="W73" s="334">
        <v>315.87</v>
      </c>
      <c r="X73" s="333">
        <v>0.08</v>
      </c>
      <c r="Y73" s="334">
        <v>315.87</v>
      </c>
    </row>
    <row r="74" spans="1:25" ht="15.75" customHeight="1" x14ac:dyDescent="0.2">
      <c r="A74" s="933" t="s">
        <v>159</v>
      </c>
      <c r="B74" s="933"/>
      <c r="C74" s="933"/>
      <c r="D74" s="933"/>
      <c r="E74" s="933"/>
      <c r="F74" s="317">
        <f>SUM(F66:F73)</f>
        <v>0.3629</v>
      </c>
      <c r="G74" s="322">
        <f>SUM(G66:G73)</f>
        <v>1391.13</v>
      </c>
      <c r="H74" s="79"/>
      <c r="I74" s="933" t="s">
        <v>159</v>
      </c>
      <c r="J74" s="933"/>
      <c r="K74" s="933"/>
      <c r="L74" s="933"/>
      <c r="M74" s="933"/>
      <c r="N74" s="317">
        <f>SUM(N66:N73)</f>
        <v>0.36370000000000002</v>
      </c>
      <c r="O74" s="322">
        <f>SUM(O66:O73)</f>
        <v>1436.03</v>
      </c>
      <c r="P74" s="34"/>
      <c r="Q74" s="933" t="s">
        <v>159</v>
      </c>
      <c r="R74" s="933"/>
      <c r="S74" s="933"/>
      <c r="T74" s="933"/>
      <c r="U74" s="933"/>
      <c r="V74" s="317">
        <f>SUM(V66:V73)</f>
        <v>0.36370000000000002</v>
      </c>
      <c r="W74" s="322">
        <f>SUM(W66:W73)</f>
        <v>1436.03</v>
      </c>
      <c r="X74" s="317">
        <f>SUM(X66:X73)</f>
        <v>0.36370000000000002</v>
      </c>
      <c r="Y74" s="322">
        <f>SUM(Y66:Y73)</f>
        <v>1436.03</v>
      </c>
    </row>
    <row r="75" spans="1:25" hidden="1" x14ac:dyDescent="0.2">
      <c r="A75" s="924" t="s">
        <v>432</v>
      </c>
      <c r="B75" s="924"/>
      <c r="C75" s="924"/>
      <c r="D75" s="924"/>
      <c r="E75" s="924"/>
      <c r="F75" s="924"/>
      <c r="G75" s="924"/>
      <c r="H75" s="79"/>
      <c r="I75" s="924"/>
      <c r="J75" s="924"/>
      <c r="K75" s="924"/>
      <c r="L75" s="924"/>
      <c r="M75" s="924"/>
      <c r="N75" s="924"/>
      <c r="O75" s="924"/>
      <c r="P75" s="34"/>
      <c r="Q75" s="924"/>
      <c r="R75" s="924"/>
      <c r="S75" s="924"/>
      <c r="T75" s="924"/>
      <c r="U75" s="924"/>
      <c r="V75" s="924"/>
      <c r="W75" s="924"/>
      <c r="X75" s="34"/>
      <c r="Y75" s="34"/>
    </row>
    <row r="76" spans="1:25" hidden="1" x14ac:dyDescent="0.2">
      <c r="A76" s="924" t="s">
        <v>430</v>
      </c>
      <c r="B76" s="924"/>
      <c r="C76" s="924"/>
      <c r="D76" s="924"/>
      <c r="E76" s="924"/>
      <c r="F76" s="924"/>
      <c r="G76" s="924"/>
      <c r="H76" s="79"/>
      <c r="I76" s="924"/>
      <c r="J76" s="924"/>
      <c r="K76" s="924"/>
      <c r="L76" s="924"/>
      <c r="M76" s="924"/>
      <c r="N76" s="924"/>
      <c r="O76" s="924"/>
      <c r="P76" s="34"/>
      <c r="Q76" s="924"/>
      <c r="R76" s="924"/>
      <c r="S76" s="924"/>
      <c r="T76" s="924"/>
      <c r="U76" s="924"/>
      <c r="V76" s="924"/>
      <c r="W76" s="924"/>
      <c r="X76" s="34"/>
      <c r="Y76" s="34"/>
    </row>
    <row r="77" spans="1:25" ht="30.75" hidden="1" customHeight="1" x14ac:dyDescent="0.2">
      <c r="A77" s="1052" t="s">
        <v>480</v>
      </c>
      <c r="B77" s="924"/>
      <c r="C77" s="924"/>
      <c r="D77" s="924"/>
      <c r="E77" s="924"/>
      <c r="F77" s="924"/>
      <c r="G77" s="924"/>
      <c r="H77" s="79"/>
      <c r="I77" s="1052"/>
      <c r="J77" s="924"/>
      <c r="K77" s="924"/>
      <c r="L77" s="924"/>
      <c r="M77" s="924"/>
      <c r="N77" s="924"/>
      <c r="O77" s="924"/>
      <c r="P77" s="34"/>
      <c r="Q77" s="1052"/>
      <c r="R77" s="924"/>
      <c r="S77" s="924"/>
      <c r="T77" s="924"/>
      <c r="U77" s="924"/>
      <c r="V77" s="924"/>
      <c r="W77" s="924"/>
      <c r="X77" s="34"/>
      <c r="Y77" s="34"/>
    </row>
    <row r="78" spans="1:25" hidden="1" x14ac:dyDescent="0.2">
      <c r="A78" s="750" t="s">
        <v>557</v>
      </c>
      <c r="B78" s="267"/>
      <c r="C78" s="267"/>
      <c r="D78" s="267"/>
      <c r="E78" s="267"/>
      <c r="F78" s="267"/>
      <c r="G78" s="267"/>
      <c r="H78" s="79"/>
      <c r="I78" s="750" t="s">
        <v>557</v>
      </c>
      <c r="J78" s="267"/>
      <c r="K78" s="267"/>
      <c r="L78" s="267"/>
      <c r="M78" s="267"/>
      <c r="N78" s="267"/>
      <c r="O78" s="267"/>
      <c r="P78" s="34"/>
      <c r="Q78" s="750" t="s">
        <v>497</v>
      </c>
      <c r="R78" s="267"/>
      <c r="S78" s="267"/>
      <c r="T78" s="267"/>
      <c r="U78" s="267"/>
      <c r="V78" s="267"/>
      <c r="W78" s="267"/>
      <c r="X78" s="34"/>
      <c r="Y78" s="34"/>
    </row>
    <row r="79" spans="1:25" hidden="1" x14ac:dyDescent="0.2">
      <c r="A79" s="71" t="s">
        <v>431</v>
      </c>
      <c r="B79" s="267"/>
      <c r="C79" s="267"/>
      <c r="D79" s="267"/>
      <c r="E79" s="267"/>
      <c r="F79" s="267"/>
      <c r="G79" s="267"/>
      <c r="H79" s="79"/>
      <c r="I79" s="71" t="s">
        <v>431</v>
      </c>
      <c r="J79" s="267"/>
      <c r="K79" s="267"/>
      <c r="L79" s="267"/>
      <c r="M79" s="267"/>
      <c r="N79" s="267"/>
      <c r="O79" s="267"/>
      <c r="P79" s="34"/>
      <c r="Q79" s="71" t="s">
        <v>498</v>
      </c>
      <c r="R79" s="267"/>
      <c r="S79" s="267"/>
      <c r="T79" s="267"/>
      <c r="U79" s="267"/>
      <c r="V79" s="267"/>
      <c r="W79" s="267"/>
      <c r="X79" s="34"/>
      <c r="Y79" s="34"/>
    </row>
    <row r="80" spans="1:25" hidden="1" x14ac:dyDescent="0.2">
      <c r="A80" s="195" t="s">
        <v>556</v>
      </c>
      <c r="B80" s="267"/>
      <c r="C80" s="267"/>
      <c r="D80" s="267"/>
      <c r="E80" s="267"/>
      <c r="F80" s="267"/>
      <c r="G80" s="267"/>
      <c r="H80" s="79"/>
      <c r="I80" s="195" t="s">
        <v>556</v>
      </c>
      <c r="J80" s="267"/>
      <c r="K80" s="267"/>
      <c r="L80" s="267"/>
      <c r="M80" s="267"/>
      <c r="N80" s="267"/>
      <c r="O80" s="267"/>
      <c r="P80" s="34"/>
      <c r="Q80" s="195" t="s">
        <v>499</v>
      </c>
      <c r="R80" s="267"/>
      <c r="S80" s="267"/>
      <c r="T80" s="267"/>
      <c r="U80" s="267"/>
      <c r="V80" s="267"/>
      <c r="W80" s="267"/>
      <c r="X80" s="34"/>
      <c r="Y80" s="34"/>
    </row>
    <row r="81" spans="1:25" ht="15" hidden="1" x14ac:dyDescent="0.2">
      <c r="A81" s="735"/>
      <c r="B81" s="267"/>
      <c r="C81" s="267"/>
      <c r="D81" s="267"/>
      <c r="E81" s="267"/>
      <c r="F81" s="267"/>
      <c r="G81" s="267"/>
      <c r="H81" s="79"/>
      <c r="I81" s="735"/>
      <c r="J81" s="267"/>
      <c r="K81" s="267"/>
      <c r="L81" s="267"/>
      <c r="M81" s="267"/>
      <c r="N81" s="267"/>
      <c r="O81" s="267"/>
      <c r="P81" s="34"/>
      <c r="Q81" s="735"/>
      <c r="R81" s="267"/>
      <c r="S81" s="267"/>
      <c r="T81" s="267"/>
      <c r="U81" s="267"/>
      <c r="V81" s="267"/>
      <c r="W81" s="267"/>
      <c r="X81" s="34"/>
      <c r="Y81" s="34"/>
    </row>
    <row r="82" spans="1:25" x14ac:dyDescent="0.2">
      <c r="A82" s="1050" t="s">
        <v>218</v>
      </c>
      <c r="B82" s="1051"/>
      <c r="C82" s="1051"/>
      <c r="D82" s="1051"/>
      <c r="E82" s="1051"/>
      <c r="F82" s="1051"/>
      <c r="G82" s="1051"/>
      <c r="H82" s="1051"/>
      <c r="I82" s="1051"/>
      <c r="J82" s="1051"/>
      <c r="K82" s="1051"/>
      <c r="L82" s="1051"/>
      <c r="M82" s="1051"/>
      <c r="N82" s="1051"/>
      <c r="O82" s="1051"/>
      <c r="P82" s="1051"/>
      <c r="Q82" s="1051"/>
      <c r="R82" s="1051"/>
      <c r="S82" s="1051"/>
      <c r="T82" s="1051"/>
      <c r="U82" s="1051"/>
      <c r="V82" s="1051"/>
      <c r="W82" s="1051"/>
      <c r="X82" s="1051"/>
      <c r="Y82" s="1051"/>
    </row>
    <row r="83" spans="1:25" ht="28.5" customHeight="1" x14ac:dyDescent="0.2">
      <c r="A83" s="723" t="s">
        <v>219</v>
      </c>
      <c r="B83" s="944" t="s">
        <v>22</v>
      </c>
      <c r="C83" s="944"/>
      <c r="D83" s="944"/>
      <c r="E83" s="944"/>
      <c r="F83" s="723" t="s">
        <v>222</v>
      </c>
      <c r="G83" s="727" t="s">
        <v>107</v>
      </c>
      <c r="H83" s="606"/>
      <c r="I83" s="723" t="s">
        <v>219</v>
      </c>
      <c r="J83" s="944" t="s">
        <v>22</v>
      </c>
      <c r="K83" s="944"/>
      <c r="L83" s="944"/>
      <c r="M83" s="944"/>
      <c r="N83" s="723" t="s">
        <v>222</v>
      </c>
      <c r="O83" s="727" t="s">
        <v>107</v>
      </c>
      <c r="P83" s="607"/>
      <c r="Q83" s="723" t="s">
        <v>219</v>
      </c>
      <c r="R83" s="944" t="s">
        <v>22</v>
      </c>
      <c r="S83" s="944"/>
      <c r="T83" s="944"/>
      <c r="U83" s="944"/>
      <c r="V83" s="723" t="s">
        <v>222</v>
      </c>
      <c r="W83" s="727" t="s">
        <v>107</v>
      </c>
      <c r="X83" s="652" t="s">
        <v>222</v>
      </c>
      <c r="Y83" s="727" t="s">
        <v>107</v>
      </c>
    </row>
    <row r="84" spans="1:25" x14ac:dyDescent="0.2">
      <c r="A84" s="973" t="s">
        <v>1</v>
      </c>
      <c r="B84" s="602" t="s">
        <v>532</v>
      </c>
      <c r="C84" s="615"/>
      <c r="D84" s="616"/>
      <c r="E84" s="736">
        <f>INDEX(Dados!$J$27:$M$32,MATCH($C$23,Dados!$J$27:$J$32,0),4)</f>
        <v>15</v>
      </c>
      <c r="F84" s="620">
        <f>Dados!J45</f>
        <v>11</v>
      </c>
      <c r="G84" s="605">
        <f>$E$84*F84*$F$13</f>
        <v>165</v>
      </c>
      <c r="H84" s="79"/>
      <c r="I84" s="973" t="s">
        <v>1</v>
      </c>
      <c r="J84" s="602" t="e">
        <f>HLOOKUP($F$29,#REF!,4,FALSE)</f>
        <v>#REF!</v>
      </c>
      <c r="K84" s="615"/>
      <c r="L84" s="616"/>
      <c r="M84" s="736">
        <f>INDEX(Dados!$J$27:$M$32,MATCH($C$23,Dados!$J$27:$J$32,0),4)</f>
        <v>15</v>
      </c>
      <c r="N84" s="620">
        <f>Dados!R45</f>
        <v>0</v>
      </c>
      <c r="O84" s="605">
        <f>$E$84*F84*$F$13</f>
        <v>165</v>
      </c>
      <c r="P84" s="34"/>
      <c r="Q84" s="973" t="s">
        <v>1</v>
      </c>
      <c r="R84" s="602" t="s">
        <v>292</v>
      </c>
      <c r="S84" s="615"/>
      <c r="T84" s="616"/>
      <c r="U84" s="736">
        <v>15</v>
      </c>
      <c r="V84" s="620">
        <v>0</v>
      </c>
      <c r="W84" s="605">
        <v>165</v>
      </c>
      <c r="X84" s="607"/>
      <c r="Y84" s="605">
        <v>165</v>
      </c>
    </row>
    <row r="85" spans="1:25" x14ac:dyDescent="0.2">
      <c r="A85" s="957"/>
      <c r="B85" s="680" t="str">
        <f>Dados!A46</f>
        <v>Desconto Legal sobre o salário</v>
      </c>
      <c r="C85" s="681"/>
      <c r="D85" s="694"/>
      <c r="E85" s="695"/>
      <c r="F85" s="306">
        <f>Dados!J46</f>
        <v>0.06</v>
      </c>
      <c r="G85" s="703">
        <f>-MIN(G84,(F85*G35))</f>
        <v>-131.56</v>
      </c>
      <c r="H85" s="79"/>
      <c r="I85" s="957"/>
      <c r="J85" s="680" t="str">
        <f>Dados!A46</f>
        <v>Desconto Legal sobre o salário</v>
      </c>
      <c r="K85" s="681"/>
      <c r="L85" s="694"/>
      <c r="M85" s="695"/>
      <c r="N85" s="306">
        <f>Dados!J46</f>
        <v>0.06</v>
      </c>
      <c r="O85" s="703">
        <f>-MIN(O84,(N85*O35))</f>
        <v>-135.51</v>
      </c>
      <c r="P85" s="34"/>
      <c r="Q85" s="957"/>
      <c r="R85" s="680" t="s">
        <v>177</v>
      </c>
      <c r="S85" s="681"/>
      <c r="T85" s="694"/>
      <c r="U85" s="695"/>
      <c r="V85" s="306">
        <v>0.06</v>
      </c>
      <c r="W85" s="703">
        <v>-135.51</v>
      </c>
      <c r="X85" s="306">
        <v>0.06</v>
      </c>
      <c r="Y85" s="703">
        <v>-135.51</v>
      </c>
    </row>
    <row r="86" spans="1:25" x14ac:dyDescent="0.2">
      <c r="A86" s="957" t="s">
        <v>2</v>
      </c>
      <c r="B86" s="680" t="s">
        <v>533</v>
      </c>
      <c r="C86" s="681"/>
      <c r="D86" s="694"/>
      <c r="E86" s="689">
        <f>INDEX(Dados!$J$27:$M$32,MATCH($C$23,Dados!$J$27:$J$32,0),4)</f>
        <v>15</v>
      </c>
      <c r="F86" s="703">
        <f>Dados!J48</f>
        <v>37.5</v>
      </c>
      <c r="G86" s="701">
        <f>(E86*F86)*$F$13</f>
        <v>562.5</v>
      </c>
      <c r="H86" s="79"/>
      <c r="I86" s="957" t="s">
        <v>2</v>
      </c>
      <c r="J86" s="680" t="e">
        <f>HLOOKUP($F$29,#REF!,2,FALSE)</f>
        <v>#REF!</v>
      </c>
      <c r="K86" s="681"/>
      <c r="L86" s="694"/>
      <c r="M86" s="689">
        <f>INDEX(Dados!$J$27:$M$32,MATCH($C$23,Dados!$J$27:$J$32,0),4)</f>
        <v>15</v>
      </c>
      <c r="N86" s="703">
        <f>Dados!R48</f>
        <v>0</v>
      </c>
      <c r="O86" s="701">
        <v>589.35</v>
      </c>
      <c r="P86" s="34"/>
      <c r="Q86" s="957" t="s">
        <v>2</v>
      </c>
      <c r="R86" s="680" t="s">
        <v>290</v>
      </c>
      <c r="S86" s="681"/>
      <c r="T86" s="694"/>
      <c r="U86" s="689">
        <v>15</v>
      </c>
      <c r="V86" s="703">
        <v>0</v>
      </c>
      <c r="W86" s="701">
        <v>589.35</v>
      </c>
      <c r="X86" s="607"/>
      <c r="Y86" s="701">
        <v>589.35</v>
      </c>
    </row>
    <row r="87" spans="1:25" x14ac:dyDescent="0.2">
      <c r="A87" s="957"/>
      <c r="B87" s="680" t="s">
        <v>531</v>
      </c>
      <c r="C87" s="312"/>
      <c r="D87" s="313"/>
      <c r="E87" s="310"/>
      <c r="F87" s="703">
        <f>Dados!J49</f>
        <v>0.75</v>
      </c>
      <c r="G87" s="702">
        <f>-F87*E86</f>
        <v>-11.25</v>
      </c>
      <c r="H87" s="79"/>
      <c r="I87" s="957"/>
      <c r="J87" s="680" t="e">
        <f>HLOOKUP($F$29,#REF!,3,FALSE)</f>
        <v>#REF!</v>
      </c>
      <c r="K87" s="312"/>
      <c r="L87" s="313"/>
      <c r="M87" s="310"/>
      <c r="N87" s="703">
        <f>Dados!R49</f>
        <v>0</v>
      </c>
      <c r="O87" s="702">
        <v>-11.85</v>
      </c>
      <c r="P87" s="34"/>
      <c r="Q87" s="957"/>
      <c r="R87" s="680" t="s">
        <v>291</v>
      </c>
      <c r="S87" s="312"/>
      <c r="T87" s="313"/>
      <c r="U87" s="310"/>
      <c r="V87" s="703">
        <v>0</v>
      </c>
      <c r="W87" s="702">
        <v>-11.85</v>
      </c>
      <c r="X87" s="607"/>
      <c r="Y87" s="702">
        <v>-11.85</v>
      </c>
    </row>
    <row r="88" spans="1:25" x14ac:dyDescent="0.2">
      <c r="A88" s="685" t="s">
        <v>4</v>
      </c>
      <c r="B88" s="680" t="s">
        <v>534</v>
      </c>
      <c r="C88" s="312"/>
      <c r="D88" s="313"/>
      <c r="E88" s="310"/>
      <c r="F88" s="703">
        <f>Dados!J50</f>
        <v>140</v>
      </c>
      <c r="G88" s="702">
        <f t="shared" ref="G88:G94" si="2">F88*$F$13</f>
        <v>140</v>
      </c>
      <c r="H88" s="79"/>
      <c r="I88" s="685" t="s">
        <v>4</v>
      </c>
      <c r="J88" s="680" t="e">
        <f>HLOOKUP($F$29,#REF!,5,FALSE) &amp; " " &amp; "(Pago por ressarcimento)"</f>
        <v>#REF!</v>
      </c>
      <c r="K88" s="312"/>
      <c r="L88" s="313"/>
      <c r="M88" s="310"/>
      <c r="N88" s="703">
        <f>Dados!R50</f>
        <v>0</v>
      </c>
      <c r="O88" s="702">
        <v>140</v>
      </c>
      <c r="P88" s="34"/>
      <c r="Q88" s="685" t="s">
        <v>4</v>
      </c>
      <c r="R88" s="680" t="s">
        <v>500</v>
      </c>
      <c r="S88" s="312"/>
      <c r="T88" s="313"/>
      <c r="U88" s="310"/>
      <c r="V88" s="703">
        <v>0</v>
      </c>
      <c r="W88" s="702">
        <v>140</v>
      </c>
      <c r="X88" s="607"/>
      <c r="Y88" s="702">
        <v>140</v>
      </c>
    </row>
    <row r="89" spans="1:25" x14ac:dyDescent="0.2">
      <c r="A89" s="685" t="s">
        <v>5</v>
      </c>
      <c r="B89" s="680" t="s">
        <v>535</v>
      </c>
      <c r="C89" s="312"/>
      <c r="D89" s="313"/>
      <c r="E89" s="310"/>
      <c r="F89" s="703">
        <f>Dados!J51</f>
        <v>14</v>
      </c>
      <c r="G89" s="702">
        <f t="shared" si="2"/>
        <v>14</v>
      </c>
      <c r="H89" s="79"/>
      <c r="I89" s="685" t="s">
        <v>5</v>
      </c>
      <c r="J89" s="680" t="e">
        <f>HLOOKUP($F$29,#REF!,6,FALSE)</f>
        <v>#REF!</v>
      </c>
      <c r="K89" s="312"/>
      <c r="L89" s="313"/>
      <c r="M89" s="310"/>
      <c r="N89" s="703">
        <f>Dados!R51</f>
        <v>0</v>
      </c>
      <c r="O89" s="702">
        <v>14</v>
      </c>
      <c r="P89" s="34"/>
      <c r="Q89" s="685" t="s">
        <v>5</v>
      </c>
      <c r="R89" s="680" t="s">
        <v>295</v>
      </c>
      <c r="S89" s="312"/>
      <c r="T89" s="313"/>
      <c r="U89" s="310"/>
      <c r="V89" s="703">
        <v>0</v>
      </c>
      <c r="W89" s="702">
        <v>14</v>
      </c>
      <c r="X89" s="607"/>
      <c r="Y89" s="702">
        <v>14</v>
      </c>
    </row>
    <row r="90" spans="1:25" x14ac:dyDescent="0.2">
      <c r="A90" s="685" t="s">
        <v>6</v>
      </c>
      <c r="B90" s="680" t="s">
        <v>536</v>
      </c>
      <c r="C90" s="312"/>
      <c r="D90" s="313"/>
      <c r="E90" s="310"/>
      <c r="F90" s="703">
        <f>Dados!J52</f>
        <v>6.4</v>
      </c>
      <c r="G90" s="702">
        <f t="shared" si="2"/>
        <v>6.4</v>
      </c>
      <c r="H90" s="79"/>
      <c r="I90" s="685" t="s">
        <v>6</v>
      </c>
      <c r="J90" s="680" t="e">
        <f>HLOOKUP($F$29,#REF!,7,FALSE)</f>
        <v>#REF!</v>
      </c>
      <c r="K90" s="312"/>
      <c r="L90" s="313"/>
      <c r="M90" s="310"/>
      <c r="N90" s="703">
        <f>Dados!R52</f>
        <v>0</v>
      </c>
      <c r="O90" s="702">
        <v>6.6</v>
      </c>
      <c r="P90" s="34"/>
      <c r="Q90" s="685" t="s">
        <v>6</v>
      </c>
      <c r="R90" s="680" t="s">
        <v>294</v>
      </c>
      <c r="S90" s="312"/>
      <c r="T90" s="313"/>
      <c r="U90" s="310"/>
      <c r="V90" s="703">
        <v>0</v>
      </c>
      <c r="W90" s="702">
        <v>6.6</v>
      </c>
      <c r="X90" s="607"/>
      <c r="Y90" s="702">
        <v>6.6</v>
      </c>
    </row>
    <row r="91" spans="1:25" x14ac:dyDescent="0.2">
      <c r="A91" s="685" t="s">
        <v>7</v>
      </c>
      <c r="B91" s="680" t="s">
        <v>537</v>
      </c>
      <c r="C91" s="312"/>
      <c r="D91" s="313"/>
      <c r="E91" s="310"/>
      <c r="F91" s="703">
        <f>Dados!J53</f>
        <v>9</v>
      </c>
      <c r="G91" s="702">
        <f t="shared" si="2"/>
        <v>9</v>
      </c>
      <c r="H91" s="79"/>
      <c r="I91" s="685" t="s">
        <v>7</v>
      </c>
      <c r="J91" s="680" t="e">
        <f>HLOOKUP($F$29,#REF!,8,FALSE)</f>
        <v>#REF!</v>
      </c>
      <c r="K91" s="312"/>
      <c r="L91" s="313"/>
      <c r="M91" s="310"/>
      <c r="N91" s="703">
        <f>Dados!R53</f>
        <v>0</v>
      </c>
      <c r="O91" s="702">
        <v>9</v>
      </c>
      <c r="P91" s="34"/>
      <c r="Q91" s="685" t="s">
        <v>7</v>
      </c>
      <c r="R91" s="680" t="s">
        <v>293</v>
      </c>
      <c r="S91" s="312"/>
      <c r="T91" s="313"/>
      <c r="U91" s="310"/>
      <c r="V91" s="703">
        <v>0</v>
      </c>
      <c r="W91" s="702">
        <v>9</v>
      </c>
      <c r="X91" s="607"/>
      <c r="Y91" s="702">
        <v>9</v>
      </c>
    </row>
    <row r="92" spans="1:25" ht="14.25" hidden="1" customHeight="1" x14ac:dyDescent="0.2">
      <c r="A92" s="685" t="s">
        <v>9</v>
      </c>
      <c r="B92" s="680" t="e">
        <f>HLOOKUP($F$29,#REF!,9,FALSE)</f>
        <v>#REF!</v>
      </c>
      <c r="C92" s="312"/>
      <c r="D92" s="313"/>
      <c r="E92" s="310"/>
      <c r="F92" s="703">
        <f>Dados!J54</f>
        <v>0</v>
      </c>
      <c r="G92" s="702">
        <f t="shared" si="2"/>
        <v>0</v>
      </c>
      <c r="H92" s="79"/>
      <c r="I92" s="685" t="s">
        <v>9</v>
      </c>
      <c r="J92" s="680" t="e">
        <f>HLOOKUP($F$29,#REF!,9,FALSE)</f>
        <v>#REF!</v>
      </c>
      <c r="K92" s="312"/>
      <c r="L92" s="313"/>
      <c r="M92" s="310"/>
      <c r="N92" s="703">
        <f>Dados!R54</f>
        <v>0</v>
      </c>
      <c r="O92" s="702">
        <f t="shared" ref="O92:O94" si="3">N92*$F$13</f>
        <v>0</v>
      </c>
      <c r="P92" s="34"/>
      <c r="Q92" s="685" t="s">
        <v>9</v>
      </c>
      <c r="R92" s="680" t="s">
        <v>283</v>
      </c>
      <c r="S92" s="312"/>
      <c r="T92" s="313"/>
      <c r="U92" s="310"/>
      <c r="V92" s="703">
        <v>0</v>
      </c>
      <c r="W92" s="702">
        <v>0</v>
      </c>
      <c r="X92" s="607"/>
      <c r="Y92" s="702">
        <v>0</v>
      </c>
    </row>
    <row r="93" spans="1:25" ht="14.25" hidden="1" customHeight="1" x14ac:dyDescent="0.2">
      <c r="A93" s="685" t="s">
        <v>127</v>
      </c>
      <c r="B93" s="680" t="e">
        <f>HLOOKUP($F$29,#REF!,10,FALSE)</f>
        <v>#REF!</v>
      </c>
      <c r="C93" s="312"/>
      <c r="D93" s="313"/>
      <c r="E93" s="310"/>
      <c r="F93" s="703">
        <f>Dados!J55</f>
        <v>0</v>
      </c>
      <c r="G93" s="702">
        <f t="shared" si="2"/>
        <v>0</v>
      </c>
      <c r="H93" s="79"/>
      <c r="I93" s="685" t="s">
        <v>127</v>
      </c>
      <c r="J93" s="680" t="e">
        <f>HLOOKUP($F$29,#REF!,10,FALSE)</f>
        <v>#REF!</v>
      </c>
      <c r="K93" s="312"/>
      <c r="L93" s="313"/>
      <c r="M93" s="310"/>
      <c r="N93" s="703">
        <f>Dados!R55</f>
        <v>0</v>
      </c>
      <c r="O93" s="702">
        <f t="shared" si="3"/>
        <v>0</v>
      </c>
      <c r="P93" s="34"/>
      <c r="Q93" s="685" t="s">
        <v>127</v>
      </c>
      <c r="R93" s="680" t="s">
        <v>296</v>
      </c>
      <c r="S93" s="312"/>
      <c r="T93" s="313"/>
      <c r="U93" s="310"/>
      <c r="V93" s="703">
        <v>0</v>
      </c>
      <c r="W93" s="702">
        <v>0</v>
      </c>
      <c r="X93" s="607"/>
      <c r="Y93" s="702">
        <v>0</v>
      </c>
    </row>
    <row r="94" spans="1:25" ht="14.25" hidden="1" customHeight="1" x14ac:dyDescent="0.2">
      <c r="A94" s="685" t="s">
        <v>282</v>
      </c>
      <c r="B94" s="680" t="e">
        <f>HLOOKUP($F$29,#REF!,11,FALSE)</f>
        <v>#REF!</v>
      </c>
      <c r="C94" s="312"/>
      <c r="D94" s="313"/>
      <c r="E94" s="310"/>
      <c r="F94" s="703">
        <f>Dados!J56</f>
        <v>0</v>
      </c>
      <c r="G94" s="702">
        <f t="shared" si="2"/>
        <v>0</v>
      </c>
      <c r="H94" s="79"/>
      <c r="I94" s="685" t="s">
        <v>282</v>
      </c>
      <c r="J94" s="680" t="e">
        <f>HLOOKUP($F$29,#REF!,11,FALSE)</f>
        <v>#REF!</v>
      </c>
      <c r="K94" s="312"/>
      <c r="L94" s="313"/>
      <c r="M94" s="310"/>
      <c r="N94" s="703">
        <f>Dados!R56</f>
        <v>0</v>
      </c>
      <c r="O94" s="702">
        <f t="shared" si="3"/>
        <v>0</v>
      </c>
      <c r="P94" s="34"/>
      <c r="Q94" s="685" t="s">
        <v>282</v>
      </c>
      <c r="R94" s="680" t="s">
        <v>297</v>
      </c>
      <c r="S94" s="312"/>
      <c r="T94" s="313"/>
      <c r="U94" s="310"/>
      <c r="V94" s="703">
        <v>0</v>
      </c>
      <c r="W94" s="702">
        <v>0</v>
      </c>
      <c r="X94" s="607"/>
      <c r="Y94" s="702">
        <v>0</v>
      </c>
    </row>
    <row r="95" spans="1:25" x14ac:dyDescent="0.2">
      <c r="A95" s="685" t="s">
        <v>8</v>
      </c>
      <c r="B95" s="309" t="s">
        <v>51</v>
      </c>
      <c r="C95" s="312"/>
      <c r="D95" s="313"/>
      <c r="E95" s="310"/>
      <c r="F95" s="703"/>
      <c r="G95" s="704"/>
      <c r="H95" s="79"/>
      <c r="I95" s="685" t="s">
        <v>8</v>
      </c>
      <c r="J95" s="309" t="s">
        <v>51</v>
      </c>
      <c r="K95" s="312"/>
      <c r="L95" s="313"/>
      <c r="M95" s="310"/>
      <c r="N95" s="703"/>
      <c r="O95" s="704"/>
      <c r="P95" s="34"/>
      <c r="Q95" s="685" t="s">
        <v>8</v>
      </c>
      <c r="R95" s="309" t="s">
        <v>51</v>
      </c>
      <c r="S95" s="312"/>
      <c r="T95" s="313"/>
      <c r="U95" s="310"/>
      <c r="V95" s="703"/>
      <c r="W95" s="704"/>
      <c r="X95" s="607"/>
      <c r="Y95" s="704"/>
    </row>
    <row r="96" spans="1:25" ht="18" customHeight="1" x14ac:dyDescent="0.2">
      <c r="A96" s="943" t="s">
        <v>159</v>
      </c>
      <c r="B96" s="943"/>
      <c r="C96" s="943"/>
      <c r="D96" s="943"/>
      <c r="E96" s="943"/>
      <c r="F96" s="943"/>
      <c r="G96" s="308">
        <f>SUM(G84:G95)</f>
        <v>754.09</v>
      </c>
      <c r="H96" s="79"/>
      <c r="I96" s="943" t="s">
        <v>159</v>
      </c>
      <c r="J96" s="943"/>
      <c r="K96" s="943"/>
      <c r="L96" s="943"/>
      <c r="M96" s="943"/>
      <c r="N96" s="943"/>
      <c r="O96" s="308">
        <f>SUM(O84:O95)</f>
        <v>776.59</v>
      </c>
      <c r="P96" s="34"/>
      <c r="Q96" s="943" t="s">
        <v>159</v>
      </c>
      <c r="R96" s="943"/>
      <c r="S96" s="943"/>
      <c r="T96" s="943"/>
      <c r="U96" s="943"/>
      <c r="V96" s="943"/>
      <c r="W96" s="308">
        <f>SUM(W84:W95)</f>
        <v>776.59</v>
      </c>
      <c r="X96" s="652" t="s">
        <v>159</v>
      </c>
      <c r="Y96" s="308">
        <f>SUM(Y84:Y95)</f>
        <v>776.59</v>
      </c>
    </row>
    <row r="97" spans="1:25" s="34" customFormat="1" ht="15" hidden="1" customHeight="1" x14ac:dyDescent="0.2">
      <c r="A97" s="71" t="s">
        <v>220</v>
      </c>
      <c r="B97" s="68"/>
      <c r="C97" s="68"/>
      <c r="D97" s="68"/>
      <c r="E97" s="68"/>
      <c r="F97" s="77"/>
      <c r="G97" s="78"/>
      <c r="H97" s="79"/>
      <c r="I97" s="71" t="s">
        <v>220</v>
      </c>
      <c r="J97" s="68"/>
      <c r="K97" s="68"/>
      <c r="L97" s="68"/>
      <c r="M97" s="68"/>
      <c r="N97" s="77"/>
      <c r="O97" s="78"/>
      <c r="Q97" s="71" t="s">
        <v>501</v>
      </c>
      <c r="R97" s="68"/>
      <c r="S97" s="68"/>
      <c r="T97" s="68"/>
      <c r="U97" s="68"/>
      <c r="V97" s="77"/>
      <c r="W97" s="78"/>
    </row>
    <row r="98" spans="1:25" s="34" customFormat="1" hidden="1" x14ac:dyDescent="0.2">
      <c r="A98" s="1052" t="s">
        <v>482</v>
      </c>
      <c r="B98" s="924"/>
      <c r="C98" s="924"/>
      <c r="D98" s="924"/>
      <c r="E98" s="924"/>
      <c r="F98" s="924"/>
      <c r="G98" s="924"/>
      <c r="H98" s="79"/>
      <c r="I98" s="1052"/>
      <c r="J98" s="924"/>
      <c r="K98" s="924"/>
      <c r="L98" s="924"/>
      <c r="M98" s="924"/>
      <c r="N98" s="924"/>
      <c r="O98" s="924"/>
      <c r="Q98" s="1052"/>
      <c r="R98" s="924"/>
      <c r="S98" s="924"/>
      <c r="T98" s="924"/>
      <c r="U98" s="924"/>
      <c r="V98" s="924"/>
      <c r="W98" s="924"/>
    </row>
    <row r="99" spans="1:25" s="34" customFormat="1" hidden="1" x14ac:dyDescent="0.2">
      <c r="A99" s="698"/>
      <c r="B99" s="68"/>
      <c r="C99" s="68"/>
      <c r="D99" s="68"/>
      <c r="E99" s="68"/>
      <c r="F99" s="77"/>
      <c r="G99" s="78"/>
      <c r="H99" s="79"/>
      <c r="I99" s="698"/>
      <c r="J99" s="68"/>
      <c r="K99" s="68"/>
      <c r="L99" s="68"/>
      <c r="M99" s="68"/>
      <c r="N99" s="77"/>
      <c r="O99" s="78"/>
      <c r="Q99" s="698"/>
      <c r="R99" s="68"/>
      <c r="S99" s="68"/>
      <c r="T99" s="68"/>
      <c r="U99" s="68"/>
      <c r="V99" s="77"/>
      <c r="W99" s="78"/>
    </row>
    <row r="100" spans="1:25" s="34" customFormat="1" ht="18" customHeight="1" x14ac:dyDescent="0.2">
      <c r="A100" s="1050" t="s">
        <v>225</v>
      </c>
      <c r="B100" s="1051"/>
      <c r="C100" s="1051"/>
      <c r="D100" s="1051"/>
      <c r="E100" s="1051"/>
      <c r="F100" s="1051"/>
      <c r="G100" s="1051"/>
      <c r="H100" s="1051"/>
      <c r="I100" s="1051"/>
      <c r="J100" s="1051"/>
      <c r="K100" s="1051"/>
      <c r="L100" s="1051"/>
      <c r="M100" s="1051"/>
      <c r="N100" s="1051"/>
      <c r="O100" s="1051"/>
      <c r="P100" s="1051"/>
      <c r="Q100" s="1051"/>
      <c r="R100" s="1051"/>
      <c r="S100" s="1051"/>
      <c r="T100" s="1051"/>
      <c r="U100" s="1051"/>
      <c r="V100" s="1051"/>
      <c r="W100" s="1051"/>
      <c r="X100" s="1051"/>
      <c r="Y100" s="1051"/>
    </row>
    <row r="101" spans="1:25" s="34" customFormat="1" ht="40.5" customHeight="1" x14ac:dyDescent="0.2">
      <c r="A101" s="727">
        <v>2</v>
      </c>
      <c r="B101" s="931" t="s">
        <v>226</v>
      </c>
      <c r="C101" s="931"/>
      <c r="D101" s="931"/>
      <c r="E101" s="931"/>
      <c r="F101" s="931"/>
      <c r="G101" s="727" t="s">
        <v>107</v>
      </c>
      <c r="H101" s="606"/>
      <c r="I101" s="727">
        <v>2</v>
      </c>
      <c r="J101" s="944" t="s">
        <v>226</v>
      </c>
      <c r="K101" s="944"/>
      <c r="L101" s="944"/>
      <c r="M101" s="944"/>
      <c r="N101" s="944"/>
      <c r="O101" s="727" t="s">
        <v>107</v>
      </c>
      <c r="P101" s="607"/>
      <c r="Q101" s="727">
        <v>2</v>
      </c>
      <c r="R101" s="944" t="s">
        <v>226</v>
      </c>
      <c r="S101" s="944"/>
      <c r="T101" s="944"/>
      <c r="U101" s="944"/>
      <c r="V101" s="944"/>
      <c r="W101" s="727" t="s">
        <v>107</v>
      </c>
      <c r="X101" s="749" t="s">
        <v>226</v>
      </c>
      <c r="Y101" s="727" t="s">
        <v>107</v>
      </c>
    </row>
    <row r="102" spans="1:25" s="34" customFormat="1" ht="14.25" customHeight="1" x14ac:dyDescent="0.2">
      <c r="A102" s="601" t="s">
        <v>211</v>
      </c>
      <c r="B102" s="602" t="str">
        <f>B48</f>
        <v>13º (décimo terceiro) Salário, Férias e Adicional de Férias</v>
      </c>
      <c r="C102" s="603"/>
      <c r="D102" s="603"/>
      <c r="E102" s="603"/>
      <c r="F102" s="604"/>
      <c r="G102" s="605">
        <f>G51</f>
        <v>670.79</v>
      </c>
      <c r="H102" s="79"/>
      <c r="I102" s="601" t="s">
        <v>211</v>
      </c>
      <c r="J102" s="602" t="str">
        <f>J48</f>
        <v>13º (décimo terceiro) Salário, Férias e Adicional de Férias</v>
      </c>
      <c r="K102" s="603"/>
      <c r="L102" s="603"/>
      <c r="M102" s="603"/>
      <c r="N102" s="604"/>
      <c r="O102" s="605">
        <f>O51</f>
        <v>690.91</v>
      </c>
      <c r="Q102" s="601" t="s">
        <v>211</v>
      </c>
      <c r="R102" s="602" t="s">
        <v>223</v>
      </c>
      <c r="S102" s="603"/>
      <c r="T102" s="603"/>
      <c r="U102" s="603"/>
      <c r="V102" s="604"/>
      <c r="W102" s="605">
        <v>690.91</v>
      </c>
      <c r="X102" s="607"/>
      <c r="Y102" s="605">
        <v>690.91</v>
      </c>
    </row>
    <row r="103" spans="1:25" s="34" customFormat="1" x14ac:dyDescent="0.2">
      <c r="A103" s="301" t="s">
        <v>210</v>
      </c>
      <c r="B103" s="680" t="str">
        <f>B65</f>
        <v>GPS, FGTS e outras contribuições</v>
      </c>
      <c r="C103" s="342"/>
      <c r="D103" s="342"/>
      <c r="E103" s="342"/>
      <c r="F103" s="709"/>
      <c r="G103" s="701">
        <f>G74</f>
        <v>1391.13</v>
      </c>
      <c r="H103" s="79"/>
      <c r="I103" s="301" t="s">
        <v>210</v>
      </c>
      <c r="J103" s="680" t="str">
        <f>J65</f>
        <v>GPS, FGTS e outras contribuições</v>
      </c>
      <c r="K103" s="342"/>
      <c r="L103" s="342"/>
      <c r="M103" s="342"/>
      <c r="N103" s="709"/>
      <c r="O103" s="701">
        <f>O74</f>
        <v>1436.03</v>
      </c>
      <c r="Q103" s="301" t="s">
        <v>210</v>
      </c>
      <c r="R103" s="680" t="s">
        <v>221</v>
      </c>
      <c r="S103" s="342"/>
      <c r="T103" s="342"/>
      <c r="U103" s="342"/>
      <c r="V103" s="709"/>
      <c r="W103" s="701">
        <v>1436.03</v>
      </c>
      <c r="X103" s="607"/>
      <c r="Y103" s="701">
        <v>1436.03</v>
      </c>
    </row>
    <row r="104" spans="1:25" s="34" customFormat="1" x14ac:dyDescent="0.2">
      <c r="A104" s="301" t="s">
        <v>219</v>
      </c>
      <c r="B104" s="680" t="str">
        <f>B83</f>
        <v>Benefícios Mensais e Diários</v>
      </c>
      <c r="C104" s="342"/>
      <c r="D104" s="342"/>
      <c r="E104" s="342"/>
      <c r="F104" s="709"/>
      <c r="G104" s="701">
        <f>G96</f>
        <v>754.09</v>
      </c>
      <c r="H104" s="79"/>
      <c r="I104" s="301" t="s">
        <v>219</v>
      </c>
      <c r="J104" s="680" t="str">
        <f>J83</f>
        <v>Benefícios Mensais e Diários</v>
      </c>
      <c r="K104" s="342"/>
      <c r="L104" s="342"/>
      <c r="M104" s="342"/>
      <c r="N104" s="709"/>
      <c r="O104" s="701">
        <f>O96</f>
        <v>776.59</v>
      </c>
      <c r="Q104" s="301" t="s">
        <v>219</v>
      </c>
      <c r="R104" s="680" t="s">
        <v>22</v>
      </c>
      <c r="S104" s="342"/>
      <c r="T104" s="342"/>
      <c r="U104" s="342"/>
      <c r="V104" s="709"/>
      <c r="W104" s="701">
        <v>776.59</v>
      </c>
      <c r="X104" s="607"/>
      <c r="Y104" s="701">
        <v>776.59</v>
      </c>
    </row>
    <row r="105" spans="1:25" s="34" customFormat="1" ht="14.25" customHeight="1" x14ac:dyDescent="0.2">
      <c r="A105" s="749" t="s">
        <v>159</v>
      </c>
      <c r="B105" s="749"/>
      <c r="C105" s="749"/>
      <c r="D105" s="749"/>
      <c r="E105" s="749"/>
      <c r="F105" s="749"/>
      <c r="G105" s="322">
        <f>SUM(G102:G104)</f>
        <v>2816.01</v>
      </c>
      <c r="H105" s="79"/>
      <c r="I105" s="749" t="s">
        <v>159</v>
      </c>
      <c r="J105" s="749"/>
      <c r="K105" s="749"/>
      <c r="L105" s="749"/>
      <c r="M105" s="749"/>
      <c r="N105" s="749"/>
      <c r="O105" s="322">
        <f>SUM(O102:O104)</f>
        <v>2903.53</v>
      </c>
      <c r="Q105" s="749" t="s">
        <v>159</v>
      </c>
      <c r="R105" s="749"/>
      <c r="S105" s="749"/>
      <c r="T105" s="749"/>
      <c r="U105" s="749"/>
      <c r="V105" s="749"/>
      <c r="W105" s="322">
        <f>SUM(W102:W104)</f>
        <v>2903.53</v>
      </c>
      <c r="X105" s="652" t="s">
        <v>159</v>
      </c>
      <c r="Y105" s="322">
        <f>SUM(Y102:Y104)</f>
        <v>2903.53</v>
      </c>
    </row>
    <row r="106" spans="1:25" s="34" customFormat="1" ht="14.25" hidden="1" customHeight="1" x14ac:dyDescent="0.2">
      <c r="A106" s="71"/>
      <c r="B106" s="71"/>
      <c r="C106" s="71"/>
      <c r="D106" s="71"/>
      <c r="E106" s="71"/>
      <c r="F106" s="196"/>
      <c r="G106" s="197"/>
      <c r="H106" s="79"/>
      <c r="I106" s="71"/>
      <c r="J106" s="71"/>
      <c r="K106" s="71"/>
      <c r="L106" s="71"/>
      <c r="M106" s="71"/>
      <c r="N106" s="196"/>
      <c r="O106" s="197"/>
      <c r="Q106" s="71"/>
      <c r="R106" s="71"/>
      <c r="S106" s="71"/>
      <c r="T106" s="71"/>
      <c r="U106" s="71"/>
      <c r="V106" s="196"/>
      <c r="W106" s="197"/>
    </row>
    <row r="107" spans="1:25" s="34" customFormat="1" ht="15" customHeight="1" x14ac:dyDescent="0.2">
      <c r="A107" s="1050" t="s">
        <v>227</v>
      </c>
      <c r="B107" s="1051"/>
      <c r="C107" s="1051"/>
      <c r="D107" s="1051"/>
      <c r="E107" s="1051"/>
      <c r="F107" s="1051"/>
      <c r="G107" s="1051"/>
      <c r="H107" s="1051"/>
      <c r="I107" s="1051"/>
      <c r="J107" s="1051"/>
      <c r="K107" s="1051"/>
      <c r="L107" s="1051"/>
      <c r="M107" s="1051"/>
      <c r="N107" s="1051"/>
      <c r="O107" s="1051"/>
      <c r="P107" s="1051"/>
      <c r="Q107" s="1051"/>
      <c r="R107" s="1051"/>
      <c r="S107" s="1051"/>
      <c r="T107" s="1051"/>
      <c r="U107" s="1051"/>
      <c r="V107" s="1051"/>
      <c r="W107" s="1051"/>
      <c r="X107" s="1051"/>
      <c r="Y107" s="1051"/>
    </row>
    <row r="108" spans="1:25" s="34" customFormat="1" x14ac:dyDescent="0.2">
      <c r="A108" s="723">
        <v>3</v>
      </c>
      <c r="B108" s="944" t="s">
        <v>84</v>
      </c>
      <c r="C108" s="944"/>
      <c r="D108" s="944"/>
      <c r="E108" s="944"/>
      <c r="F108" s="723" t="s">
        <v>222</v>
      </c>
      <c r="G108" s="727" t="s">
        <v>107</v>
      </c>
      <c r="H108" s="606"/>
      <c r="I108" s="723">
        <v>3</v>
      </c>
      <c r="J108" s="944" t="s">
        <v>84</v>
      </c>
      <c r="K108" s="944"/>
      <c r="L108" s="944"/>
      <c r="M108" s="944"/>
      <c r="N108" s="723" t="s">
        <v>222</v>
      </c>
      <c r="O108" s="727" t="s">
        <v>107</v>
      </c>
      <c r="P108" s="607"/>
      <c r="Q108" s="723">
        <v>3</v>
      </c>
      <c r="R108" s="944" t="s">
        <v>84</v>
      </c>
      <c r="S108" s="944"/>
      <c r="T108" s="944"/>
      <c r="U108" s="944"/>
      <c r="V108" s="723" t="s">
        <v>222</v>
      </c>
      <c r="W108" s="727" t="s">
        <v>107</v>
      </c>
      <c r="X108" s="723" t="s">
        <v>222</v>
      </c>
      <c r="Y108" s="727" t="s">
        <v>107</v>
      </c>
    </row>
    <row r="109" spans="1:25" s="34" customFormat="1" x14ac:dyDescent="0.2">
      <c r="A109" s="692" t="s">
        <v>1</v>
      </c>
      <c r="B109" s="137" t="str">
        <f>Dados!B90</f>
        <v>Aviso Prévio Indenizado </v>
      </c>
      <c r="C109" s="138"/>
      <c r="D109" s="611"/>
      <c r="E109" s="612"/>
      <c r="F109" s="613">
        <f>Dados!G90</f>
        <v>2.5000000000000001E-3</v>
      </c>
      <c r="G109" s="614">
        <f>F109*$G$62</f>
        <v>9.58</v>
      </c>
      <c r="H109" s="79"/>
      <c r="I109" s="692" t="s">
        <v>1</v>
      </c>
      <c r="J109" s="137" t="str">
        <f>Dados!B90</f>
        <v>Aviso Prévio Indenizado </v>
      </c>
      <c r="K109" s="138"/>
      <c r="L109" s="611"/>
      <c r="M109" s="612"/>
      <c r="N109" s="613">
        <f>Dados!G90</f>
        <v>2.5000000000000001E-3</v>
      </c>
      <c r="O109" s="614">
        <f>N109*$O$62</f>
        <v>9.8699999999999992</v>
      </c>
      <c r="Q109" s="692" t="s">
        <v>1</v>
      </c>
      <c r="R109" s="137" t="s">
        <v>50</v>
      </c>
      <c r="S109" s="138"/>
      <c r="T109" s="611"/>
      <c r="U109" s="612"/>
      <c r="V109" s="613">
        <v>2.5000000000000001E-3</v>
      </c>
      <c r="W109" s="614">
        <v>9.8699999999999992</v>
      </c>
      <c r="X109" s="613">
        <v>2.5000000000000001E-3</v>
      </c>
      <c r="Y109" s="614">
        <v>9.8699999999999992</v>
      </c>
    </row>
    <row r="110" spans="1:25" s="34" customFormat="1" x14ac:dyDescent="0.2">
      <c r="A110" s="685" t="s">
        <v>2</v>
      </c>
      <c r="B110" s="319" t="str">
        <f>Dados!B91</f>
        <v>Incidência do FGTS sobre aviso prévio indenizado</v>
      </c>
      <c r="C110" s="122"/>
      <c r="D110" s="321"/>
      <c r="E110" s="310"/>
      <c r="F110" s="314">
        <f>Dados!G91</f>
        <v>2.0000000000000001E-4</v>
      </c>
      <c r="G110" s="704">
        <f t="shared" ref="G110:G115" si="4">F110*$G$62</f>
        <v>0.77</v>
      </c>
      <c r="H110" s="79"/>
      <c r="I110" s="685" t="s">
        <v>2</v>
      </c>
      <c r="J110" s="319" t="str">
        <f>Dados!B91</f>
        <v>Incidência do FGTS sobre aviso prévio indenizado</v>
      </c>
      <c r="K110" s="122"/>
      <c r="L110" s="321"/>
      <c r="M110" s="310"/>
      <c r="N110" s="314">
        <f>Dados!G91</f>
        <v>2.0000000000000001E-4</v>
      </c>
      <c r="O110" s="704">
        <f>N110*$O$62</f>
        <v>0.79</v>
      </c>
      <c r="Q110" s="685" t="s">
        <v>2</v>
      </c>
      <c r="R110" s="319" t="s">
        <v>110</v>
      </c>
      <c r="S110" s="122"/>
      <c r="T110" s="321"/>
      <c r="U110" s="310"/>
      <c r="V110" s="314">
        <v>2.0000000000000001E-4</v>
      </c>
      <c r="W110" s="704">
        <v>0.79</v>
      </c>
      <c r="X110" s="314">
        <v>2.0000000000000001E-4</v>
      </c>
      <c r="Y110" s="704">
        <v>0.79</v>
      </c>
    </row>
    <row r="111" spans="1:25" s="34" customFormat="1" x14ac:dyDescent="0.2">
      <c r="A111" s="685" t="s">
        <v>4</v>
      </c>
      <c r="B111" s="319" t="str">
        <f>Dados!B92</f>
        <v xml:space="preserve">Multa sobre FGTS sobre o aviso prévio indenizado </v>
      </c>
      <c r="C111" s="122"/>
      <c r="D111" s="321"/>
      <c r="E111" s="310"/>
      <c r="F111" s="360">
        <f>Dados!G92</f>
        <v>9.9999999999999995E-7</v>
      </c>
      <c r="G111" s="704">
        <f t="shared" si="4"/>
        <v>0</v>
      </c>
      <c r="H111" s="79"/>
      <c r="I111" s="685" t="s">
        <v>4</v>
      </c>
      <c r="J111" s="319" t="str">
        <f>Dados!B92</f>
        <v xml:space="preserve">Multa sobre FGTS sobre o aviso prévio indenizado </v>
      </c>
      <c r="K111" s="122"/>
      <c r="L111" s="321"/>
      <c r="M111" s="310"/>
      <c r="N111" s="360">
        <f>Dados!G92</f>
        <v>9.9999999999999995E-7</v>
      </c>
      <c r="O111" s="704">
        <f t="shared" ref="O111" si="5">N111*$G$62</f>
        <v>0</v>
      </c>
      <c r="Q111" s="685" t="s">
        <v>4</v>
      </c>
      <c r="R111" s="319" t="s">
        <v>298</v>
      </c>
      <c r="S111" s="122"/>
      <c r="T111" s="321"/>
      <c r="U111" s="310"/>
      <c r="V111" s="360">
        <v>9.9999999999999995E-7</v>
      </c>
      <c r="W111" s="704">
        <v>0</v>
      </c>
      <c r="X111" s="360">
        <v>9.9999999999999995E-7</v>
      </c>
      <c r="Y111" s="704">
        <v>0</v>
      </c>
    </row>
    <row r="112" spans="1:25" s="34" customFormat="1" x14ac:dyDescent="0.2">
      <c r="A112" s="685" t="s">
        <v>5</v>
      </c>
      <c r="B112" s="319" t="str">
        <f>Dados!B93</f>
        <v>Aviso Prévio Trabalhado</v>
      </c>
      <c r="C112" s="122"/>
      <c r="D112" s="321"/>
      <c r="E112" s="310"/>
      <c r="F112" s="314">
        <f>Dados!G93</f>
        <v>1.9400000000000001E-2</v>
      </c>
      <c r="G112" s="704">
        <f t="shared" si="4"/>
        <v>74.37</v>
      </c>
      <c r="H112" s="79"/>
      <c r="I112" s="685" t="s">
        <v>5</v>
      </c>
      <c r="J112" s="319" t="str">
        <f>Dados!B93</f>
        <v>Aviso Prévio Trabalhado</v>
      </c>
      <c r="K112" s="122"/>
      <c r="L112" s="321"/>
      <c r="M112" s="310"/>
      <c r="N112" s="314">
        <f>Dados!G93</f>
        <v>1.9400000000000001E-2</v>
      </c>
      <c r="O112" s="704">
        <f>N112*$O$62</f>
        <v>76.599999999999994</v>
      </c>
      <c r="Q112" s="685" t="s">
        <v>5</v>
      </c>
      <c r="R112" s="319" t="s">
        <v>158</v>
      </c>
      <c r="S112" s="122"/>
      <c r="T112" s="321"/>
      <c r="U112" s="310"/>
      <c r="V112" s="591">
        <v>1.9400000000000001E-3</v>
      </c>
      <c r="W112" s="704">
        <f>V112*$W$62</f>
        <v>7.66</v>
      </c>
      <c r="X112" s="591">
        <v>1.9400000000000001E-3</v>
      </c>
      <c r="Y112" s="704">
        <f>X112*$W$62</f>
        <v>7.66</v>
      </c>
    </row>
    <row r="113" spans="1:25" s="34" customFormat="1" x14ac:dyDescent="0.2">
      <c r="A113" s="685" t="s">
        <v>6</v>
      </c>
      <c r="B113" s="319" t="str">
        <f>Dados!B94</f>
        <v>Incidência de GPS, FGTS e outras contribuições sobre o aviso prévio trabalhado</v>
      </c>
      <c r="C113" s="122"/>
      <c r="D113" s="321"/>
      <c r="E113" s="310"/>
      <c r="F113" s="314">
        <f>Dados!G94</f>
        <v>7.0000000000000001E-3</v>
      </c>
      <c r="G113" s="704">
        <f t="shared" si="4"/>
        <v>26.83</v>
      </c>
      <c r="H113" s="79"/>
      <c r="I113" s="685" t="s">
        <v>6</v>
      </c>
      <c r="J113" s="319" t="str">
        <f>Dados!B94</f>
        <v>Incidência de GPS, FGTS e outras contribuições sobre o aviso prévio trabalhado</v>
      </c>
      <c r="K113" s="122"/>
      <c r="L113" s="321"/>
      <c r="M113" s="310"/>
      <c r="N113" s="314">
        <v>7.1000000000000004E-3</v>
      </c>
      <c r="O113" s="704">
        <f>N113*$O$62</f>
        <v>28.03</v>
      </c>
      <c r="Q113" s="685" t="s">
        <v>6</v>
      </c>
      <c r="R113" s="319" t="s">
        <v>257</v>
      </c>
      <c r="S113" s="122"/>
      <c r="T113" s="321"/>
      <c r="U113" s="310"/>
      <c r="V113" s="314">
        <v>6.9999999999999999E-4</v>
      </c>
      <c r="W113" s="704">
        <f>V113*$W$62</f>
        <v>2.76</v>
      </c>
      <c r="X113" s="314">
        <v>6.9999999999999999E-4</v>
      </c>
      <c r="Y113" s="704">
        <f>X113*$W$62</f>
        <v>2.76</v>
      </c>
    </row>
    <row r="114" spans="1:25" s="34" customFormat="1" x14ac:dyDescent="0.2">
      <c r="A114" s="685" t="s">
        <v>7</v>
      </c>
      <c r="B114" s="319" t="str">
        <f>Dados!B95</f>
        <v xml:space="preserve">Multa sobre FGTS sobre o aviso prévio trabalhado </v>
      </c>
      <c r="C114" s="122"/>
      <c r="D114" s="321"/>
      <c r="E114" s="310"/>
      <c r="F114" s="314">
        <f>Dados!G95</f>
        <v>1E-4</v>
      </c>
      <c r="G114" s="704">
        <f t="shared" si="4"/>
        <v>0.38</v>
      </c>
      <c r="H114" s="79"/>
      <c r="I114" s="685" t="s">
        <v>7</v>
      </c>
      <c r="J114" s="319" t="str">
        <f>Dados!B95</f>
        <v xml:space="preserve">Multa sobre FGTS sobre o aviso prévio trabalhado </v>
      </c>
      <c r="K114" s="122"/>
      <c r="L114" s="321"/>
      <c r="M114" s="310"/>
      <c r="N114" s="314">
        <f>Dados!G95</f>
        <v>1E-4</v>
      </c>
      <c r="O114" s="704">
        <f>N114*$O$62</f>
        <v>0.39</v>
      </c>
      <c r="Q114" s="685" t="s">
        <v>7</v>
      </c>
      <c r="R114" s="319" t="s">
        <v>299</v>
      </c>
      <c r="S114" s="122"/>
      <c r="T114" s="321"/>
      <c r="U114" s="310"/>
      <c r="V114" s="360">
        <v>7.9999999999999996E-6</v>
      </c>
      <c r="W114" s="704">
        <f>V114*$W$62</f>
        <v>0.03</v>
      </c>
      <c r="X114" s="360">
        <v>7.9999999999999996E-6</v>
      </c>
      <c r="Y114" s="704">
        <f>X114*$W$62</f>
        <v>0.03</v>
      </c>
    </row>
    <row r="115" spans="1:25" s="34" customFormat="1" x14ac:dyDescent="0.2">
      <c r="A115" s="685" t="s">
        <v>7</v>
      </c>
      <c r="B115" s="319" t="str">
        <f>Dados!B96</f>
        <v>Multa FGTS - rescisão sem justa causa</v>
      </c>
      <c r="C115" s="122"/>
      <c r="D115" s="321"/>
      <c r="E115" s="310"/>
      <c r="F115" s="314">
        <f>Dados!G96</f>
        <v>3.49E-2</v>
      </c>
      <c r="G115" s="704">
        <f t="shared" si="4"/>
        <v>133.79</v>
      </c>
      <c r="H115" s="79"/>
      <c r="I115" s="685" t="s">
        <v>7</v>
      </c>
      <c r="J115" s="319" t="str">
        <f>Dados!B96</f>
        <v>Multa FGTS - rescisão sem justa causa</v>
      </c>
      <c r="K115" s="122"/>
      <c r="L115" s="321"/>
      <c r="M115" s="310"/>
      <c r="N115" s="314">
        <f>Dados!G96</f>
        <v>3.49E-2</v>
      </c>
      <c r="O115" s="704">
        <f>N115*$O$62</f>
        <v>137.80000000000001</v>
      </c>
      <c r="Q115" s="685" t="s">
        <v>7</v>
      </c>
      <c r="R115" s="319" t="s">
        <v>483</v>
      </c>
      <c r="S115" s="122"/>
      <c r="T115" s="321"/>
      <c r="U115" s="310"/>
      <c r="V115" s="314">
        <v>3.49E-2</v>
      </c>
      <c r="W115" s="704">
        <v>137.80000000000001</v>
      </c>
      <c r="X115" s="314">
        <v>3.49E-2</v>
      </c>
      <c r="Y115" s="704">
        <v>137.80000000000001</v>
      </c>
    </row>
    <row r="116" spans="1:25" s="34" customFormat="1" x14ac:dyDescent="0.2">
      <c r="A116" s="933" t="s">
        <v>159</v>
      </c>
      <c r="B116" s="933"/>
      <c r="C116" s="933"/>
      <c r="D116" s="933"/>
      <c r="E116" s="933"/>
      <c r="F116" s="317">
        <f>SUM(F109:F115)</f>
        <v>6.4100000000000004E-2</v>
      </c>
      <c r="G116" s="322">
        <f>SUM(G109:G115)</f>
        <v>245.72</v>
      </c>
      <c r="H116" s="79"/>
      <c r="I116" s="933" t="s">
        <v>159</v>
      </c>
      <c r="J116" s="933"/>
      <c r="K116" s="933"/>
      <c r="L116" s="933"/>
      <c r="M116" s="933"/>
      <c r="N116" s="317">
        <f>SUM(N109:N115)</f>
        <v>6.4199999999999993E-2</v>
      </c>
      <c r="O116" s="322">
        <f>SUM(O109:O115)</f>
        <v>253.48</v>
      </c>
      <c r="Q116" s="933" t="s">
        <v>159</v>
      </c>
      <c r="R116" s="933"/>
      <c r="S116" s="933"/>
      <c r="T116" s="933"/>
      <c r="U116" s="933"/>
      <c r="V116" s="317">
        <f>SUM(V109:V115)</f>
        <v>4.02E-2</v>
      </c>
      <c r="W116" s="322">
        <f>SUM(W109:W115)</f>
        <v>158.91</v>
      </c>
      <c r="X116" s="317">
        <f>SUM(X109:X115)</f>
        <v>4.02E-2</v>
      </c>
      <c r="Y116" s="322">
        <f>SUM(Y109:Y115)</f>
        <v>158.91</v>
      </c>
    </row>
    <row r="117" spans="1:25" s="34" customFormat="1" ht="14.25" hidden="1" customHeight="1" x14ac:dyDescent="0.2">
      <c r="A117" s="71" t="s">
        <v>422</v>
      </c>
      <c r="B117" s="71"/>
      <c r="C117" s="71"/>
      <c r="D117" s="71"/>
      <c r="E117" s="341"/>
      <c r="F117" s="335"/>
      <c r="G117" s="336"/>
      <c r="H117" s="79"/>
      <c r="I117" s="71" t="s">
        <v>422</v>
      </c>
      <c r="J117" s="71"/>
      <c r="K117" s="71"/>
      <c r="L117" s="71"/>
      <c r="M117" s="341"/>
      <c r="N117" s="335"/>
      <c r="O117" s="336"/>
      <c r="Q117" s="71" t="s">
        <v>502</v>
      </c>
      <c r="R117" s="71"/>
      <c r="S117" s="71"/>
      <c r="T117" s="71"/>
      <c r="U117" s="341"/>
      <c r="V117" s="335"/>
      <c r="W117" s="336"/>
    </row>
    <row r="118" spans="1:25" s="34" customFormat="1" ht="14.25" hidden="1" customHeight="1" x14ac:dyDescent="0.2">
      <c r="A118" s="71" t="s">
        <v>423</v>
      </c>
      <c r="B118" s="71"/>
      <c r="C118" s="71"/>
      <c r="D118" s="71"/>
      <c r="E118" s="341"/>
      <c r="F118" s="335"/>
      <c r="G118" s="336"/>
      <c r="H118" s="79"/>
      <c r="I118" s="71" t="s">
        <v>423</v>
      </c>
      <c r="J118" s="71"/>
      <c r="K118" s="71"/>
      <c r="L118" s="71"/>
      <c r="M118" s="341"/>
      <c r="N118" s="335"/>
      <c r="O118" s="336"/>
      <c r="Q118" s="71" t="s">
        <v>503</v>
      </c>
      <c r="R118" s="71"/>
      <c r="S118" s="71"/>
      <c r="T118" s="71"/>
      <c r="U118" s="341"/>
      <c r="V118" s="335"/>
      <c r="W118" s="336"/>
    </row>
    <row r="119" spans="1:25" s="34" customFormat="1" hidden="1" x14ac:dyDescent="0.2">
      <c r="A119" s="195" t="s">
        <v>556</v>
      </c>
      <c r="B119" s="341"/>
      <c r="C119" s="341"/>
      <c r="D119" s="341"/>
      <c r="E119" s="341"/>
      <c r="F119" s="335"/>
      <c r="G119" s="336"/>
      <c r="H119" s="79"/>
      <c r="I119" s="195" t="s">
        <v>556</v>
      </c>
      <c r="J119" s="341"/>
      <c r="K119" s="341"/>
      <c r="L119" s="341"/>
      <c r="M119" s="341"/>
      <c r="N119" s="335"/>
      <c r="O119" s="336"/>
      <c r="Q119" s="195" t="s">
        <v>499</v>
      </c>
      <c r="R119" s="341"/>
      <c r="S119" s="341"/>
      <c r="T119" s="341"/>
      <c r="U119" s="341"/>
      <c r="V119" s="335"/>
      <c r="W119" s="336"/>
    </row>
    <row r="120" spans="1:25" s="34" customFormat="1" hidden="1" x14ac:dyDescent="0.2">
      <c r="A120" s="712"/>
      <c r="B120" s="712"/>
      <c r="C120" s="712"/>
      <c r="D120" s="712"/>
      <c r="E120" s="712"/>
      <c r="F120" s="77"/>
      <c r="G120" s="81"/>
      <c r="H120" s="79"/>
      <c r="I120" s="712"/>
      <c r="J120" s="712"/>
      <c r="K120" s="712"/>
      <c r="L120" s="712"/>
      <c r="M120" s="712"/>
      <c r="N120" s="77"/>
      <c r="O120" s="81"/>
      <c r="Q120" s="712"/>
      <c r="R120" s="712"/>
      <c r="S120" s="712"/>
      <c r="T120" s="712"/>
      <c r="U120" s="712"/>
      <c r="V120" s="77"/>
      <c r="W120" s="81"/>
    </row>
    <row r="121" spans="1:25" s="34" customFormat="1" ht="14.25" customHeight="1" x14ac:dyDescent="0.2">
      <c r="A121" s="1050" t="s">
        <v>228</v>
      </c>
      <c r="B121" s="1051"/>
      <c r="C121" s="1051"/>
      <c r="D121" s="1051"/>
      <c r="E121" s="1051"/>
      <c r="F121" s="1051"/>
      <c r="G121" s="1051"/>
      <c r="H121" s="1051"/>
      <c r="I121" s="1051"/>
      <c r="J121" s="1051"/>
      <c r="K121" s="1051"/>
      <c r="L121" s="1051"/>
      <c r="M121" s="1051"/>
      <c r="N121" s="1051"/>
      <c r="O121" s="1051"/>
      <c r="P121" s="1051"/>
      <c r="Q121" s="1051"/>
      <c r="R121" s="1051"/>
      <c r="S121" s="1051"/>
      <c r="T121" s="1051"/>
      <c r="U121" s="1051"/>
      <c r="V121" s="1051"/>
      <c r="W121" s="1051"/>
      <c r="X121" s="1051"/>
      <c r="Y121" s="1051"/>
    </row>
    <row r="122" spans="1:25" s="34" customFormat="1" hidden="1" x14ac:dyDescent="0.2">
      <c r="A122" s="981" t="s">
        <v>258</v>
      </c>
      <c r="B122" s="981"/>
      <c r="C122" s="981"/>
      <c r="D122" s="981"/>
      <c r="E122" s="981"/>
      <c r="F122" s="981"/>
      <c r="G122" s="981"/>
      <c r="H122" s="606"/>
      <c r="I122" s="981"/>
      <c r="J122" s="981"/>
      <c r="K122" s="981"/>
      <c r="L122" s="981"/>
      <c r="M122" s="981"/>
      <c r="N122" s="981"/>
      <c r="O122" s="981"/>
      <c r="P122" s="607"/>
      <c r="Q122" s="981"/>
      <c r="R122" s="981"/>
      <c r="S122" s="981"/>
      <c r="T122" s="981"/>
      <c r="U122" s="981"/>
      <c r="V122" s="981"/>
      <c r="W122" s="981"/>
      <c r="X122" s="607"/>
    </row>
    <row r="123" spans="1:25" s="34" customFormat="1" hidden="1" x14ac:dyDescent="0.2">
      <c r="A123" s="981"/>
      <c r="B123" s="981"/>
      <c r="C123" s="981"/>
      <c r="D123" s="981"/>
      <c r="E123" s="981"/>
      <c r="F123" s="981"/>
      <c r="G123" s="981"/>
      <c r="H123" s="606"/>
      <c r="I123" s="981"/>
      <c r="J123" s="981"/>
      <c r="K123" s="981"/>
      <c r="L123" s="981"/>
      <c r="M123" s="981"/>
      <c r="N123" s="981"/>
      <c r="O123" s="981"/>
      <c r="P123" s="607"/>
      <c r="Q123" s="981"/>
      <c r="R123" s="981"/>
      <c r="S123" s="981"/>
      <c r="T123" s="981"/>
      <c r="U123" s="981"/>
      <c r="V123" s="981"/>
      <c r="W123" s="981"/>
      <c r="X123" s="607"/>
    </row>
    <row r="124" spans="1:25" s="34" customFormat="1" x14ac:dyDescent="0.2">
      <c r="A124" s="1050" t="s">
        <v>259</v>
      </c>
      <c r="B124" s="1051"/>
      <c r="C124" s="1051"/>
      <c r="D124" s="1051"/>
      <c r="E124" s="1051"/>
      <c r="F124" s="1051"/>
      <c r="G124" s="1051"/>
      <c r="H124" s="1051"/>
      <c r="I124" s="1051"/>
      <c r="J124" s="1051"/>
      <c r="K124" s="1051"/>
      <c r="L124" s="1051"/>
      <c r="M124" s="1051"/>
      <c r="N124" s="1051"/>
      <c r="O124" s="1051"/>
      <c r="P124" s="1051"/>
      <c r="Q124" s="1051"/>
      <c r="R124" s="1051"/>
      <c r="S124" s="1051"/>
      <c r="T124" s="1051"/>
      <c r="U124" s="1051"/>
      <c r="V124" s="1051"/>
      <c r="W124" s="1051"/>
      <c r="X124" s="1051"/>
      <c r="Y124" s="1051"/>
    </row>
    <row r="125" spans="1:25" s="34" customFormat="1" ht="15.75" customHeight="1" x14ac:dyDescent="0.2">
      <c r="A125" s="723" t="s">
        <v>42</v>
      </c>
      <c r="B125" s="944" t="s">
        <v>269</v>
      </c>
      <c r="C125" s="944"/>
      <c r="D125" s="944"/>
      <c r="E125" s="944"/>
      <c r="F125" s="723" t="s">
        <v>254</v>
      </c>
      <c r="G125" s="727" t="s">
        <v>107</v>
      </c>
      <c r="H125" s="723"/>
      <c r="I125" s="723" t="s">
        <v>42</v>
      </c>
      <c r="J125" s="944" t="s">
        <v>269</v>
      </c>
      <c r="K125" s="944"/>
      <c r="L125" s="944"/>
      <c r="M125" s="944"/>
      <c r="N125" s="723" t="s">
        <v>254</v>
      </c>
      <c r="O125" s="727" t="s">
        <v>107</v>
      </c>
      <c r="P125" s="607"/>
      <c r="Q125" s="723" t="s">
        <v>42</v>
      </c>
      <c r="R125" s="944" t="s">
        <v>269</v>
      </c>
      <c r="S125" s="944"/>
      <c r="T125" s="944"/>
      <c r="U125" s="944"/>
      <c r="V125" s="723" t="s">
        <v>254</v>
      </c>
      <c r="W125" s="727" t="s">
        <v>107</v>
      </c>
      <c r="X125" s="723" t="s">
        <v>254</v>
      </c>
      <c r="Y125" s="727" t="s">
        <v>107</v>
      </c>
    </row>
    <row r="126" spans="1:25" s="34" customFormat="1" x14ac:dyDescent="0.2">
      <c r="A126" s="692" t="s">
        <v>1</v>
      </c>
      <c r="B126" s="137" t="str">
        <f>Dados!B99</f>
        <v>Substituto na cobertura de Férias</v>
      </c>
      <c r="C126" s="138"/>
      <c r="D126" s="611"/>
      <c r="E126" s="617"/>
      <c r="F126" s="613">
        <f>Dados!G99</f>
        <v>6.8999999999999999E-3</v>
      </c>
      <c r="G126" s="614">
        <f>$G$62*F126</f>
        <v>26.45</v>
      </c>
      <c r="H126" s="737"/>
      <c r="I126" s="692" t="s">
        <v>1</v>
      </c>
      <c r="J126" s="137" t="str">
        <f>Dados!B99</f>
        <v>Substituto na cobertura de Férias</v>
      </c>
      <c r="K126" s="138"/>
      <c r="L126" s="611"/>
      <c r="M126" s="617"/>
      <c r="N126" s="613">
        <f>Dados!G99</f>
        <v>6.8999999999999999E-3</v>
      </c>
      <c r="O126" s="614">
        <f>$O$62*N126</f>
        <v>27.24</v>
      </c>
      <c r="Q126" s="692" t="s">
        <v>1</v>
      </c>
      <c r="R126" s="137" t="s">
        <v>260</v>
      </c>
      <c r="S126" s="138"/>
      <c r="T126" s="611"/>
      <c r="U126" s="617"/>
      <c r="V126" s="613">
        <v>6.8999999999999999E-3</v>
      </c>
      <c r="W126" s="614">
        <v>27.24</v>
      </c>
      <c r="X126" s="613">
        <v>6.8999999999999999E-3</v>
      </c>
      <c r="Y126" s="614">
        <v>27.24</v>
      </c>
    </row>
    <row r="127" spans="1:25" s="34" customFormat="1" x14ac:dyDescent="0.2">
      <c r="A127" s="685" t="s">
        <v>2</v>
      </c>
      <c r="B127" s="319" t="str">
        <f>Dados!B100</f>
        <v>Substituto na cobertura de Ausências Legais</v>
      </c>
      <c r="C127" s="122"/>
      <c r="D127" s="321"/>
      <c r="E127" s="320"/>
      <c r="F127" s="314">
        <f>Dados!G100</f>
        <v>1E-4</v>
      </c>
      <c r="G127" s="704">
        <f t="shared" ref="G127:G131" si="6">$G$62*F127</f>
        <v>0.38</v>
      </c>
      <c r="H127" s="738"/>
      <c r="I127" s="685" t="s">
        <v>2</v>
      </c>
      <c r="J127" s="319" t="str">
        <f>Dados!B100</f>
        <v>Substituto na cobertura de Ausências Legais</v>
      </c>
      <c r="K127" s="122"/>
      <c r="L127" s="321"/>
      <c r="M127" s="320"/>
      <c r="N127" s="314">
        <f>Dados!G100</f>
        <v>1E-4</v>
      </c>
      <c r="O127" s="704">
        <f>$O$62*N127</f>
        <v>0.39</v>
      </c>
      <c r="Q127" s="685" t="s">
        <v>2</v>
      </c>
      <c r="R127" s="319" t="s">
        <v>262</v>
      </c>
      <c r="S127" s="122"/>
      <c r="T127" s="321"/>
      <c r="U127" s="320"/>
      <c r="V127" s="314">
        <v>1E-4</v>
      </c>
      <c r="W127" s="704">
        <v>0.39</v>
      </c>
      <c r="X127" s="314">
        <v>1E-4</v>
      </c>
      <c r="Y127" s="704">
        <v>0.39</v>
      </c>
    </row>
    <row r="128" spans="1:25" s="34" customFormat="1" x14ac:dyDescent="0.2">
      <c r="A128" s="685" t="s">
        <v>4</v>
      </c>
      <c r="B128" s="319" t="str">
        <f>Dados!B101</f>
        <v>Substituto na cobertura de Licença-Paternidade</v>
      </c>
      <c r="C128" s="122"/>
      <c r="D128" s="321"/>
      <c r="E128" s="320"/>
      <c r="F128" s="314">
        <f>Dados!G101</f>
        <v>1E-4</v>
      </c>
      <c r="G128" s="704">
        <f t="shared" si="6"/>
        <v>0.38</v>
      </c>
      <c r="H128" s="737"/>
      <c r="I128" s="685" t="s">
        <v>4</v>
      </c>
      <c r="J128" s="319" t="str">
        <f>Dados!B101</f>
        <v>Substituto na cobertura de Licença-Paternidade</v>
      </c>
      <c r="K128" s="122"/>
      <c r="L128" s="321"/>
      <c r="M128" s="320"/>
      <c r="N128" s="314">
        <f>Dados!G101</f>
        <v>1E-4</v>
      </c>
      <c r="O128" s="704">
        <f>$O$62*N128</f>
        <v>0.39</v>
      </c>
      <c r="Q128" s="685" t="s">
        <v>4</v>
      </c>
      <c r="R128" s="319" t="s">
        <v>263</v>
      </c>
      <c r="S128" s="122"/>
      <c r="T128" s="321"/>
      <c r="U128" s="320"/>
      <c r="V128" s="314">
        <v>1E-4</v>
      </c>
      <c r="W128" s="704">
        <v>0.39</v>
      </c>
      <c r="X128" s="314">
        <v>1E-4</v>
      </c>
      <c r="Y128" s="704">
        <v>0.39</v>
      </c>
    </row>
    <row r="129" spans="1:25" s="34" customFormat="1" x14ac:dyDescent="0.2">
      <c r="A129" s="685" t="s">
        <v>5</v>
      </c>
      <c r="B129" s="319" t="str">
        <f>Dados!B102</f>
        <v>Substituto na cobertura de Ausência por acidente de trabalho</v>
      </c>
      <c r="C129" s="122"/>
      <c r="D129" s="321"/>
      <c r="E129" s="320"/>
      <c r="F129" s="314">
        <f>Dados!G102</f>
        <v>1E-4</v>
      </c>
      <c r="G129" s="704">
        <f t="shared" si="6"/>
        <v>0.38</v>
      </c>
      <c r="H129" s="737"/>
      <c r="I129" s="685" t="s">
        <v>5</v>
      </c>
      <c r="J129" s="319" t="str">
        <f>Dados!B102</f>
        <v>Substituto na cobertura de Ausência por acidente de trabalho</v>
      </c>
      <c r="K129" s="122"/>
      <c r="L129" s="321"/>
      <c r="M129" s="320"/>
      <c r="N129" s="314">
        <f>Dados!G102</f>
        <v>1E-4</v>
      </c>
      <c r="O129" s="704">
        <f>$O$62*N129</f>
        <v>0.39</v>
      </c>
      <c r="Q129" s="685" t="s">
        <v>5</v>
      </c>
      <c r="R129" s="319" t="s">
        <v>264</v>
      </c>
      <c r="S129" s="122"/>
      <c r="T129" s="321"/>
      <c r="U129" s="320"/>
      <c r="V129" s="314">
        <v>1E-4</v>
      </c>
      <c r="W129" s="704">
        <v>0.39</v>
      </c>
      <c r="X129" s="314">
        <v>1E-4</v>
      </c>
      <c r="Y129" s="704">
        <v>0.39</v>
      </c>
    </row>
    <row r="130" spans="1:25" s="34" customFormat="1" x14ac:dyDescent="0.2">
      <c r="A130" s="685" t="s">
        <v>6</v>
      </c>
      <c r="B130" s="319" t="str">
        <f>Dados!B103</f>
        <v>Substituto na cobertura de Afastamento Maternidade</v>
      </c>
      <c r="C130" s="122"/>
      <c r="D130" s="321"/>
      <c r="E130" s="320"/>
      <c r="F130" s="314">
        <f>Dados!G103</f>
        <v>1E-4</v>
      </c>
      <c r="G130" s="704">
        <f t="shared" si="6"/>
        <v>0.38</v>
      </c>
      <c r="H130" s="737"/>
      <c r="I130" s="685" t="s">
        <v>6</v>
      </c>
      <c r="J130" s="319" t="str">
        <f>Dados!B103</f>
        <v>Substituto na cobertura de Afastamento Maternidade</v>
      </c>
      <c r="K130" s="122"/>
      <c r="L130" s="321"/>
      <c r="M130" s="320"/>
      <c r="N130" s="314">
        <f>Dados!G103</f>
        <v>1E-4</v>
      </c>
      <c r="O130" s="704">
        <f>$O$62*N130</f>
        <v>0.39</v>
      </c>
      <c r="Q130" s="685" t="s">
        <v>6</v>
      </c>
      <c r="R130" s="319" t="s">
        <v>265</v>
      </c>
      <c r="S130" s="122"/>
      <c r="T130" s="321"/>
      <c r="U130" s="320"/>
      <c r="V130" s="314">
        <v>1E-4</v>
      </c>
      <c r="W130" s="704">
        <v>0.39</v>
      </c>
      <c r="X130" s="314">
        <v>1E-4</v>
      </c>
      <c r="Y130" s="704">
        <v>0.39</v>
      </c>
    </row>
    <row r="131" spans="1:25" s="34" customFormat="1" x14ac:dyDescent="0.2">
      <c r="A131" s="699" t="s">
        <v>7</v>
      </c>
      <c r="B131" s="140" t="str">
        <f>Dados!B104</f>
        <v>Substituto na cobertura de Outras ausências (especificar)</v>
      </c>
      <c r="C131" s="141"/>
      <c r="D131" s="628"/>
      <c r="E131" s="631"/>
      <c r="F131" s="333">
        <f>Dados!G104</f>
        <v>0</v>
      </c>
      <c r="G131" s="334">
        <f t="shared" si="6"/>
        <v>0</v>
      </c>
      <c r="H131" s="737"/>
      <c r="I131" s="699" t="s">
        <v>7</v>
      </c>
      <c r="J131" s="140" t="str">
        <f>Dados!B104</f>
        <v>Substituto na cobertura de Outras ausências (especificar)</v>
      </c>
      <c r="K131" s="141"/>
      <c r="L131" s="628"/>
      <c r="M131" s="631"/>
      <c r="N131" s="333">
        <f>Dados!G104</f>
        <v>0</v>
      </c>
      <c r="O131" s="334">
        <f t="shared" ref="O131" si="7">$G$62*N131</f>
        <v>0</v>
      </c>
      <c r="Q131" s="699" t="s">
        <v>7</v>
      </c>
      <c r="R131" s="140" t="s">
        <v>266</v>
      </c>
      <c r="S131" s="141"/>
      <c r="T131" s="628"/>
      <c r="U131" s="631"/>
      <c r="V131" s="333">
        <v>0</v>
      </c>
      <c r="W131" s="334">
        <v>0</v>
      </c>
      <c r="X131" s="333">
        <v>0</v>
      </c>
      <c r="Y131" s="334">
        <v>0</v>
      </c>
    </row>
    <row r="132" spans="1:25" s="34" customFormat="1" ht="14.25" customHeight="1" x14ac:dyDescent="0.2">
      <c r="A132" s="933" t="s">
        <v>159</v>
      </c>
      <c r="B132" s="933"/>
      <c r="C132" s="933"/>
      <c r="D132" s="933"/>
      <c r="E132" s="933"/>
      <c r="F132" s="317">
        <f>SUM(F126:F131)</f>
        <v>7.3000000000000001E-3</v>
      </c>
      <c r="G132" s="322">
        <f>SUM(G126:G131)</f>
        <v>27.97</v>
      </c>
      <c r="H132" s="606"/>
      <c r="I132" s="933" t="s">
        <v>159</v>
      </c>
      <c r="J132" s="933"/>
      <c r="K132" s="933"/>
      <c r="L132" s="933"/>
      <c r="M132" s="933"/>
      <c r="N132" s="317">
        <f>SUM(N126:N131)</f>
        <v>7.3000000000000001E-3</v>
      </c>
      <c r="O132" s="322">
        <f>SUM(O126:O131)</f>
        <v>28.8</v>
      </c>
      <c r="P132" s="607"/>
      <c r="Q132" s="933" t="s">
        <v>159</v>
      </c>
      <c r="R132" s="933"/>
      <c r="S132" s="933"/>
      <c r="T132" s="933"/>
      <c r="U132" s="933"/>
      <c r="V132" s="317">
        <f>SUM(V126:V131)</f>
        <v>7.3000000000000001E-3</v>
      </c>
      <c r="W132" s="322">
        <f>SUM(W126:W131)</f>
        <v>28.8</v>
      </c>
      <c r="X132" s="317">
        <f>SUM(X126:X131)</f>
        <v>7.3000000000000001E-3</v>
      </c>
      <c r="Y132" s="322">
        <f>SUM(Y126:Y131)</f>
        <v>28.8</v>
      </c>
    </row>
    <row r="133" spans="1:25" s="34" customFormat="1" ht="14.25" hidden="1" customHeight="1" x14ac:dyDescent="0.2">
      <c r="A133" s="700" t="s">
        <v>424</v>
      </c>
      <c r="B133" s="700"/>
      <c r="C133" s="700"/>
      <c r="D133" s="700"/>
      <c r="E133" s="691"/>
      <c r="F133" s="691"/>
      <c r="G133" s="691"/>
      <c r="H133" s="606"/>
      <c r="I133" s="700" t="s">
        <v>424</v>
      </c>
      <c r="J133" s="700"/>
      <c r="K133" s="700"/>
      <c r="L133" s="700"/>
      <c r="M133" s="691"/>
      <c r="N133" s="691"/>
      <c r="O133" s="691"/>
      <c r="P133" s="607"/>
      <c r="Q133" s="700" t="s">
        <v>504</v>
      </c>
      <c r="R133" s="700"/>
      <c r="S133" s="700"/>
      <c r="T133" s="700"/>
      <c r="U133" s="691"/>
      <c r="V133" s="691"/>
      <c r="W133" s="691"/>
      <c r="X133" s="607"/>
    </row>
    <row r="134" spans="1:25" s="34" customFormat="1" hidden="1" x14ac:dyDescent="0.2">
      <c r="A134" s="700" t="s">
        <v>556</v>
      </c>
      <c r="B134" s="691"/>
      <c r="C134" s="691"/>
      <c r="D134" s="691"/>
      <c r="E134" s="691"/>
      <c r="F134" s="691"/>
      <c r="G134" s="691"/>
      <c r="H134" s="606"/>
      <c r="I134" s="700" t="s">
        <v>556</v>
      </c>
      <c r="J134" s="691"/>
      <c r="K134" s="691"/>
      <c r="L134" s="691"/>
      <c r="M134" s="691"/>
      <c r="N134" s="691"/>
      <c r="O134" s="691"/>
      <c r="P134" s="607"/>
      <c r="Q134" s="700" t="s">
        <v>499</v>
      </c>
      <c r="R134" s="691"/>
      <c r="S134" s="691"/>
      <c r="T134" s="691"/>
      <c r="U134" s="691"/>
      <c r="V134" s="691"/>
      <c r="W134" s="691"/>
      <c r="X134" s="607"/>
    </row>
    <row r="135" spans="1:25" s="34" customFormat="1" hidden="1" x14ac:dyDescent="0.2">
      <c r="A135" s="691"/>
      <c r="B135" s="691"/>
      <c r="C135" s="691"/>
      <c r="D135" s="691"/>
      <c r="E135" s="691"/>
      <c r="F135" s="691"/>
      <c r="G135" s="691"/>
      <c r="H135" s="606"/>
      <c r="I135" s="691"/>
      <c r="J135" s="691"/>
      <c r="K135" s="691"/>
      <c r="L135" s="691"/>
      <c r="M135" s="691"/>
      <c r="N135" s="691"/>
      <c r="O135" s="691"/>
      <c r="P135" s="607"/>
      <c r="Q135" s="691"/>
      <c r="R135" s="691"/>
      <c r="S135" s="691"/>
      <c r="T135" s="691"/>
      <c r="U135" s="691"/>
      <c r="V135" s="691"/>
      <c r="W135" s="691"/>
      <c r="X135" s="607"/>
    </row>
    <row r="136" spans="1:25" s="34" customFormat="1" hidden="1" x14ac:dyDescent="0.2">
      <c r="A136" s="931" t="s">
        <v>267</v>
      </c>
      <c r="B136" s="931"/>
      <c r="C136" s="931"/>
      <c r="D136" s="931"/>
      <c r="E136" s="931"/>
      <c r="F136" s="931"/>
      <c r="G136" s="931"/>
      <c r="H136" s="606"/>
      <c r="I136" s="931" t="s">
        <v>267</v>
      </c>
      <c r="J136" s="931"/>
      <c r="K136" s="931"/>
      <c r="L136" s="931"/>
      <c r="M136" s="931"/>
      <c r="N136" s="931"/>
      <c r="O136" s="931"/>
      <c r="P136" s="607"/>
      <c r="Q136" s="931" t="s">
        <v>267</v>
      </c>
      <c r="R136" s="931"/>
      <c r="S136" s="931"/>
      <c r="T136" s="931"/>
      <c r="U136" s="931"/>
      <c r="V136" s="931"/>
      <c r="W136" s="931"/>
      <c r="X136" s="607"/>
    </row>
    <row r="137" spans="1:25" s="34" customFormat="1" hidden="1" x14ac:dyDescent="0.2">
      <c r="A137" s="723" t="s">
        <v>47</v>
      </c>
      <c r="B137" s="944" t="s">
        <v>425</v>
      </c>
      <c r="C137" s="944"/>
      <c r="D137" s="944"/>
      <c r="E137" s="944"/>
      <c r="F137" s="944"/>
      <c r="G137" s="727" t="s">
        <v>107</v>
      </c>
      <c r="H137" s="606"/>
      <c r="I137" s="723" t="s">
        <v>47</v>
      </c>
      <c r="J137" s="944" t="s">
        <v>425</v>
      </c>
      <c r="K137" s="944"/>
      <c r="L137" s="944"/>
      <c r="M137" s="944"/>
      <c r="N137" s="944"/>
      <c r="O137" s="727" t="s">
        <v>107</v>
      </c>
      <c r="P137" s="607"/>
      <c r="Q137" s="723" t="s">
        <v>47</v>
      </c>
      <c r="R137" s="944" t="s">
        <v>425</v>
      </c>
      <c r="S137" s="944"/>
      <c r="T137" s="944"/>
      <c r="U137" s="944"/>
      <c r="V137" s="944"/>
      <c r="W137" s="727" t="s">
        <v>107</v>
      </c>
      <c r="X137" s="607"/>
    </row>
    <row r="138" spans="1:25" s="34" customFormat="1" hidden="1" x14ac:dyDescent="0.2">
      <c r="A138" s="685" t="s">
        <v>1</v>
      </c>
      <c r="B138" s="984" t="s">
        <v>268</v>
      </c>
      <c r="C138" s="984"/>
      <c r="D138" s="984"/>
      <c r="E138" s="984"/>
      <c r="F138" s="984"/>
      <c r="G138" s="704">
        <f>ROUND(IF(G40=0,H138,0),2)</f>
        <v>0</v>
      </c>
      <c r="H138" s="606"/>
      <c r="I138" s="685" t="s">
        <v>1</v>
      </c>
      <c r="J138" s="984" t="s">
        <v>268</v>
      </c>
      <c r="K138" s="984"/>
      <c r="L138" s="984"/>
      <c r="M138" s="984"/>
      <c r="N138" s="984"/>
      <c r="O138" s="704">
        <f>ROUND(IF(O40=0,P138,0),2)</f>
        <v>0</v>
      </c>
      <c r="P138" s="607"/>
      <c r="Q138" s="685" t="s">
        <v>1</v>
      </c>
      <c r="R138" s="984" t="s">
        <v>268</v>
      </c>
      <c r="S138" s="984"/>
      <c r="T138" s="984"/>
      <c r="U138" s="984"/>
      <c r="V138" s="984"/>
      <c r="W138" s="704">
        <v>0</v>
      </c>
      <c r="X138" s="607"/>
    </row>
    <row r="139" spans="1:25" s="34" customFormat="1" ht="15.75" hidden="1" customHeight="1" x14ac:dyDescent="0.2">
      <c r="A139" s="933" t="s">
        <v>159</v>
      </c>
      <c r="B139" s="933"/>
      <c r="C139" s="933"/>
      <c r="D139" s="933"/>
      <c r="E139" s="933"/>
      <c r="F139" s="933"/>
      <c r="G139" s="308">
        <f>SUM(G133:G138)</f>
        <v>0</v>
      </c>
      <c r="H139" s="606"/>
      <c r="I139" s="933" t="s">
        <v>159</v>
      </c>
      <c r="J139" s="933"/>
      <c r="K139" s="933"/>
      <c r="L139" s="933"/>
      <c r="M139" s="933"/>
      <c r="N139" s="933"/>
      <c r="O139" s="308">
        <f>SUM(O133:O138)</f>
        <v>0</v>
      </c>
      <c r="P139" s="607"/>
      <c r="Q139" s="933" t="s">
        <v>159</v>
      </c>
      <c r="R139" s="933"/>
      <c r="S139" s="933"/>
      <c r="T139" s="933"/>
      <c r="U139" s="933"/>
      <c r="V139" s="933"/>
      <c r="W139" s="308">
        <v>0</v>
      </c>
      <c r="X139" s="607"/>
    </row>
    <row r="140" spans="1:25" s="34" customFormat="1" hidden="1" x14ac:dyDescent="0.2">
      <c r="A140" s="981" t="s">
        <v>229</v>
      </c>
      <c r="B140" s="981"/>
      <c r="C140" s="981"/>
      <c r="D140" s="981"/>
      <c r="E140" s="981"/>
      <c r="F140" s="981"/>
      <c r="G140" s="981"/>
      <c r="H140" s="606"/>
      <c r="I140" s="981" t="s">
        <v>229</v>
      </c>
      <c r="J140" s="981"/>
      <c r="K140" s="981"/>
      <c r="L140" s="981"/>
      <c r="M140" s="981"/>
      <c r="N140" s="981"/>
      <c r="O140" s="981"/>
      <c r="P140" s="607"/>
      <c r="Q140" s="981" t="s">
        <v>505</v>
      </c>
      <c r="R140" s="981"/>
      <c r="S140" s="981"/>
      <c r="T140" s="981"/>
      <c r="U140" s="981"/>
      <c r="V140" s="981"/>
      <c r="W140" s="981"/>
      <c r="X140" s="607"/>
    </row>
    <row r="141" spans="1:25" s="34" customFormat="1" hidden="1" x14ac:dyDescent="0.2">
      <c r="A141" s="981"/>
      <c r="B141" s="981"/>
      <c r="C141" s="981"/>
      <c r="D141" s="981"/>
      <c r="E141" s="981"/>
      <c r="F141" s="981"/>
      <c r="G141" s="981"/>
      <c r="H141" s="606"/>
      <c r="I141" s="981"/>
      <c r="J141" s="981"/>
      <c r="K141" s="981"/>
      <c r="L141" s="981"/>
      <c r="M141" s="981"/>
      <c r="N141" s="981"/>
      <c r="O141" s="981"/>
      <c r="P141" s="607"/>
      <c r="Q141" s="981"/>
      <c r="R141" s="981"/>
      <c r="S141" s="981"/>
      <c r="T141" s="981"/>
      <c r="U141" s="981"/>
      <c r="V141" s="981"/>
      <c r="W141" s="981"/>
      <c r="X141" s="607"/>
    </row>
    <row r="142" spans="1:25" s="34" customFormat="1" hidden="1" x14ac:dyDescent="0.2">
      <c r="A142" s="700"/>
      <c r="B142" s="700"/>
      <c r="C142" s="700"/>
      <c r="D142" s="700"/>
      <c r="E142" s="700"/>
      <c r="F142" s="632"/>
      <c r="G142" s="633"/>
      <c r="H142" s="606"/>
      <c r="I142" s="700"/>
      <c r="J142" s="700"/>
      <c r="K142" s="700"/>
      <c r="L142" s="700"/>
      <c r="M142" s="700"/>
      <c r="N142" s="632"/>
      <c r="O142" s="633"/>
      <c r="P142" s="607"/>
      <c r="Q142" s="700"/>
      <c r="R142" s="700"/>
      <c r="S142" s="700"/>
      <c r="T142" s="700"/>
      <c r="U142" s="700"/>
      <c r="V142" s="632"/>
      <c r="W142" s="633"/>
      <c r="X142" s="607"/>
    </row>
    <row r="143" spans="1:25" s="34" customFormat="1" x14ac:dyDescent="0.2">
      <c r="A143" s="934" t="s">
        <v>231</v>
      </c>
      <c r="B143" s="935"/>
      <c r="C143" s="935"/>
      <c r="D143" s="935"/>
      <c r="E143" s="935"/>
      <c r="F143" s="935"/>
      <c r="G143" s="935"/>
      <c r="H143" s="935"/>
      <c r="I143" s="935"/>
      <c r="J143" s="935"/>
      <c r="K143" s="935"/>
      <c r="L143" s="935"/>
      <c r="M143" s="935"/>
      <c r="N143" s="935"/>
      <c r="O143" s="935"/>
      <c r="P143" s="935"/>
      <c r="Q143" s="935"/>
      <c r="R143" s="935"/>
      <c r="S143" s="935"/>
      <c r="T143" s="935"/>
      <c r="U143" s="935"/>
      <c r="V143" s="935"/>
      <c r="W143" s="935"/>
      <c r="X143" s="935"/>
      <c r="Y143" s="935"/>
    </row>
    <row r="144" spans="1:25" s="34" customFormat="1" ht="60.75" customHeight="1" x14ac:dyDescent="0.2">
      <c r="A144" s="723">
        <v>4</v>
      </c>
      <c r="B144" s="944" t="s">
        <v>230</v>
      </c>
      <c r="C144" s="944"/>
      <c r="D144" s="944"/>
      <c r="E144" s="944"/>
      <c r="F144" s="944"/>
      <c r="G144" s="727" t="s">
        <v>107</v>
      </c>
      <c r="H144" s="606"/>
      <c r="I144" s="723">
        <v>4</v>
      </c>
      <c r="J144" s="944" t="s">
        <v>230</v>
      </c>
      <c r="K144" s="944"/>
      <c r="L144" s="944"/>
      <c r="M144" s="944"/>
      <c r="N144" s="944"/>
      <c r="O144" s="727" t="s">
        <v>107</v>
      </c>
      <c r="P144" s="607"/>
      <c r="Q144" s="723">
        <v>4</v>
      </c>
      <c r="R144" s="944" t="s">
        <v>230</v>
      </c>
      <c r="S144" s="944"/>
      <c r="T144" s="944"/>
      <c r="U144" s="944"/>
      <c r="V144" s="944"/>
      <c r="W144" s="751" t="s">
        <v>107</v>
      </c>
      <c r="X144" s="749" t="s">
        <v>230</v>
      </c>
      <c r="Y144" s="751" t="s">
        <v>107</v>
      </c>
    </row>
    <row r="145" spans="1:25" s="34" customFormat="1" x14ac:dyDescent="0.2">
      <c r="A145" s="601" t="s">
        <v>42</v>
      </c>
      <c r="B145" s="602" t="str">
        <f>B125</f>
        <v>Substituto nas Ausências Legais</v>
      </c>
      <c r="C145" s="603"/>
      <c r="D145" s="603"/>
      <c r="E145" s="603"/>
      <c r="F145" s="604"/>
      <c r="G145" s="605">
        <f>G132</f>
        <v>27.97</v>
      </c>
      <c r="H145" s="79"/>
      <c r="I145" s="601" t="s">
        <v>42</v>
      </c>
      <c r="J145" s="602" t="str">
        <f>J125</f>
        <v>Substituto nas Ausências Legais</v>
      </c>
      <c r="K145" s="603"/>
      <c r="L145" s="603"/>
      <c r="M145" s="603"/>
      <c r="N145" s="604"/>
      <c r="O145" s="605">
        <f>O132</f>
        <v>28.8</v>
      </c>
      <c r="Q145" s="601" t="s">
        <v>42</v>
      </c>
      <c r="R145" s="602" t="s">
        <v>269</v>
      </c>
      <c r="S145" s="603"/>
      <c r="T145" s="603"/>
      <c r="U145" s="603"/>
      <c r="V145" s="604"/>
      <c r="W145" s="634">
        <v>28.8</v>
      </c>
      <c r="X145" s="607"/>
      <c r="Y145" s="634">
        <v>28.8</v>
      </c>
    </row>
    <row r="146" spans="1:25" s="34" customFormat="1" ht="14.25" hidden="1" customHeight="1" x14ac:dyDescent="0.2">
      <c r="A146" s="635" t="s">
        <v>47</v>
      </c>
      <c r="B146" s="636" t="str">
        <f>B137</f>
        <v>Substituto na Intrajornada</v>
      </c>
      <c r="C146" s="637"/>
      <c r="D146" s="637"/>
      <c r="E146" s="637"/>
      <c r="F146" s="638"/>
      <c r="G146" s="639">
        <f>G139</f>
        <v>0</v>
      </c>
      <c r="H146" s="79"/>
      <c r="I146" s="635" t="s">
        <v>47</v>
      </c>
      <c r="J146" s="636" t="str">
        <f>J137</f>
        <v>Substituto na Intrajornada</v>
      </c>
      <c r="K146" s="637"/>
      <c r="L146" s="637"/>
      <c r="M146" s="637"/>
      <c r="N146" s="638"/>
      <c r="O146" s="639">
        <f>O139</f>
        <v>0</v>
      </c>
      <c r="Q146" s="635" t="s">
        <v>47</v>
      </c>
      <c r="R146" s="636" t="s">
        <v>425</v>
      </c>
      <c r="S146" s="637"/>
      <c r="T146" s="637"/>
      <c r="U146" s="637"/>
      <c r="V146" s="638"/>
      <c r="W146" s="640">
        <v>0</v>
      </c>
      <c r="X146" s="630"/>
      <c r="Y146" s="640">
        <v>0</v>
      </c>
    </row>
    <row r="147" spans="1:25" s="34" customFormat="1" x14ac:dyDescent="0.2">
      <c r="A147" s="933" t="s">
        <v>159</v>
      </c>
      <c r="B147" s="933"/>
      <c r="C147" s="933"/>
      <c r="D147" s="933"/>
      <c r="E147" s="933"/>
      <c r="F147" s="933"/>
      <c r="G147" s="322">
        <f>SUM(G145:G146)</f>
        <v>27.97</v>
      </c>
      <c r="H147" s="606"/>
      <c r="I147" s="933" t="s">
        <v>159</v>
      </c>
      <c r="J147" s="933"/>
      <c r="K147" s="933"/>
      <c r="L147" s="933"/>
      <c r="M147" s="933"/>
      <c r="N147" s="933"/>
      <c r="O147" s="322">
        <f>SUM(O145:O146)</f>
        <v>28.8</v>
      </c>
      <c r="P147" s="607"/>
      <c r="Q147" s="933" t="s">
        <v>159</v>
      </c>
      <c r="R147" s="933"/>
      <c r="S147" s="933"/>
      <c r="T147" s="933"/>
      <c r="U147" s="933"/>
      <c r="V147" s="933"/>
      <c r="W147" s="322">
        <f>SUM(W145:W146)</f>
        <v>28.8</v>
      </c>
      <c r="X147" s="652" t="s">
        <v>159</v>
      </c>
      <c r="Y147" s="322">
        <f>SUM(Y145:Y146)</f>
        <v>28.8</v>
      </c>
    </row>
    <row r="148" spans="1:25" s="34" customFormat="1" hidden="1" x14ac:dyDescent="0.2">
      <c r="A148" s="700"/>
      <c r="B148" s="700"/>
      <c r="C148" s="700"/>
      <c r="D148" s="700"/>
      <c r="E148" s="700"/>
      <c r="F148" s="632"/>
      <c r="G148" s="633"/>
      <c r="H148" s="606"/>
      <c r="I148" s="700"/>
      <c r="J148" s="700"/>
      <c r="K148" s="700"/>
      <c r="L148" s="700"/>
      <c r="M148" s="700"/>
      <c r="N148" s="632"/>
      <c r="O148" s="633"/>
      <c r="P148" s="607"/>
      <c r="Q148" s="700"/>
      <c r="R148" s="700"/>
      <c r="S148" s="700"/>
      <c r="T148" s="700"/>
      <c r="U148" s="700"/>
      <c r="V148" s="632"/>
      <c r="W148" s="633"/>
      <c r="X148" s="607"/>
    </row>
    <row r="149" spans="1:25" ht="15" customHeight="1" x14ac:dyDescent="0.2">
      <c r="A149" s="1050" t="s">
        <v>233</v>
      </c>
      <c r="B149" s="1051"/>
      <c r="C149" s="1051"/>
      <c r="D149" s="1051"/>
      <c r="E149" s="1051"/>
      <c r="F149" s="1051"/>
      <c r="G149" s="1051"/>
      <c r="H149" s="1051"/>
      <c r="I149" s="1051"/>
      <c r="J149" s="1051"/>
      <c r="K149" s="1051"/>
      <c r="L149" s="1051"/>
      <c r="M149" s="1051"/>
      <c r="N149" s="1051"/>
      <c r="O149" s="1051"/>
      <c r="P149" s="1051"/>
      <c r="Q149" s="1051"/>
      <c r="R149" s="1051"/>
      <c r="S149" s="1051"/>
      <c r="T149" s="1051"/>
      <c r="U149" s="1051"/>
      <c r="V149" s="1051"/>
      <c r="W149" s="1051"/>
      <c r="X149" s="1051"/>
      <c r="Y149" s="1051"/>
    </row>
    <row r="150" spans="1:25" ht="14.25" customHeight="1" x14ac:dyDescent="0.2">
      <c r="A150" s="723">
        <v>5</v>
      </c>
      <c r="B150" s="944" t="s">
        <v>79</v>
      </c>
      <c r="C150" s="944"/>
      <c r="D150" s="944"/>
      <c r="E150" s="944"/>
      <c r="F150" s="944"/>
      <c r="G150" s="727" t="s">
        <v>107</v>
      </c>
      <c r="H150" s="606"/>
      <c r="I150" s="723">
        <v>5</v>
      </c>
      <c r="J150" s="944" t="s">
        <v>79</v>
      </c>
      <c r="K150" s="944"/>
      <c r="L150" s="944"/>
      <c r="M150" s="944"/>
      <c r="N150" s="944"/>
      <c r="O150" s="727" t="s">
        <v>107</v>
      </c>
      <c r="P150" s="607"/>
      <c r="Q150" s="723">
        <v>5</v>
      </c>
      <c r="R150" s="944" t="s">
        <v>79</v>
      </c>
      <c r="S150" s="944"/>
      <c r="T150" s="944"/>
      <c r="U150" s="944"/>
      <c r="V150" s="944"/>
      <c r="W150" s="727" t="s">
        <v>107</v>
      </c>
      <c r="X150" s="652" t="s">
        <v>79</v>
      </c>
      <c r="Y150" s="727" t="s">
        <v>107</v>
      </c>
    </row>
    <row r="151" spans="1:25" x14ac:dyDescent="0.2">
      <c r="A151" s="601" t="s">
        <v>1</v>
      </c>
      <c r="B151" s="618" t="str">
        <f>Dados!A60</f>
        <v>Uniformes</v>
      </c>
      <c r="C151" s="603"/>
      <c r="D151" s="603"/>
      <c r="E151" s="603"/>
      <c r="F151" s="739">
        <f>Dados!J60</f>
        <v>42.33</v>
      </c>
      <c r="G151" s="605">
        <f>F151*$F$13</f>
        <v>42.33</v>
      </c>
      <c r="H151" s="79"/>
      <c r="I151" s="601" t="s">
        <v>1</v>
      </c>
      <c r="J151" s="618" t="str">
        <f>Dados!A60</f>
        <v>Uniformes</v>
      </c>
      <c r="K151" s="603"/>
      <c r="L151" s="603"/>
      <c r="M151" s="603"/>
      <c r="N151" s="739">
        <f>Dados!R60</f>
        <v>0</v>
      </c>
      <c r="O151" s="605">
        <f>F151*$F$13</f>
        <v>42.33</v>
      </c>
      <c r="P151" s="34"/>
      <c r="Q151" s="601" t="s">
        <v>1</v>
      </c>
      <c r="R151" s="618" t="s">
        <v>87</v>
      </c>
      <c r="S151" s="603"/>
      <c r="T151" s="603"/>
      <c r="U151" s="603"/>
      <c r="V151" s="739">
        <v>0</v>
      </c>
      <c r="W151" s="605">
        <v>42.33</v>
      </c>
      <c r="X151" s="607"/>
      <c r="Y151" s="605">
        <f>'Uniformes II TA'!J25</f>
        <v>50.8</v>
      </c>
    </row>
    <row r="152" spans="1:25" x14ac:dyDescent="0.2">
      <c r="A152" s="301" t="s">
        <v>2</v>
      </c>
      <c r="B152" s="343" t="str">
        <f>Dados!A62</f>
        <v>Materiais e Equipamentos</v>
      </c>
      <c r="C152" s="342"/>
      <c r="D152" s="342"/>
      <c r="E152" s="342"/>
      <c r="F152" s="740">
        <f>Dados!J62+Dados!J63</f>
        <v>43.27</v>
      </c>
      <c r="G152" s="701">
        <f t="shared" ref="G152" si="8">F152*$F$13</f>
        <v>43.27</v>
      </c>
      <c r="H152" s="79"/>
      <c r="I152" s="301" t="s">
        <v>2</v>
      </c>
      <c r="J152" s="343" t="str">
        <f>Dados!A62</f>
        <v>Materiais e Equipamentos</v>
      </c>
      <c r="K152" s="342"/>
      <c r="L152" s="342"/>
      <c r="M152" s="342"/>
      <c r="N152" s="740">
        <f>Dados!R62+Dados!R63</f>
        <v>0</v>
      </c>
      <c r="O152" s="701">
        <f>F152*$F$13</f>
        <v>43.27</v>
      </c>
      <c r="P152" s="34"/>
      <c r="Q152" s="301" t="s">
        <v>2</v>
      </c>
      <c r="R152" s="343" t="s">
        <v>381</v>
      </c>
      <c r="S152" s="342"/>
      <c r="T152" s="342"/>
      <c r="U152" s="342"/>
      <c r="V152" s="740">
        <v>266504.8</v>
      </c>
      <c r="W152" s="701">
        <v>43.27</v>
      </c>
      <c r="X152" s="607"/>
      <c r="Y152" s="701">
        <f>'Mat. e Equip. II TA'!M26</f>
        <v>47.23</v>
      </c>
    </row>
    <row r="153" spans="1:25" x14ac:dyDescent="0.2">
      <c r="A153" s="301" t="s">
        <v>4</v>
      </c>
      <c r="B153" s="680" t="str">
        <f>Dados!A64</f>
        <v>Depreciação e manutenção dos equipamentos</v>
      </c>
      <c r="C153" s="342"/>
      <c r="D153" s="342"/>
      <c r="E153" s="342"/>
      <c r="F153" s="709">
        <f>Dados!I64</f>
        <v>0.1</v>
      </c>
      <c r="G153" s="701">
        <f>G152*F153</f>
        <v>4.33</v>
      </c>
      <c r="H153" s="79"/>
      <c r="I153" s="301" t="s">
        <v>4</v>
      </c>
      <c r="J153" s="680" t="str">
        <f>Dados!A64</f>
        <v>Depreciação e manutenção dos equipamentos</v>
      </c>
      <c r="K153" s="342"/>
      <c r="L153" s="342"/>
      <c r="M153" s="342"/>
      <c r="N153" s="709">
        <f>Dados!Q64</f>
        <v>0</v>
      </c>
      <c r="O153" s="701">
        <f>G152*F153</f>
        <v>4.33</v>
      </c>
      <c r="P153" s="34"/>
      <c r="Q153" s="301" t="s">
        <v>4</v>
      </c>
      <c r="R153" s="680" t="s">
        <v>83</v>
      </c>
      <c r="S153" s="342"/>
      <c r="T153" s="342"/>
      <c r="U153" s="342"/>
      <c r="V153" s="709">
        <v>10</v>
      </c>
      <c r="W153" s="701">
        <v>4.33</v>
      </c>
      <c r="X153" s="607"/>
      <c r="Y153" s="701">
        <f>Y152*10%</f>
        <v>4.72</v>
      </c>
    </row>
    <row r="154" spans="1:25" x14ac:dyDescent="0.2">
      <c r="A154" s="301" t="s">
        <v>5</v>
      </c>
      <c r="B154" s="309" t="s">
        <v>51</v>
      </c>
      <c r="C154" s="312"/>
      <c r="D154" s="312"/>
      <c r="E154" s="122"/>
      <c r="F154" s="709"/>
      <c r="G154" s="702"/>
      <c r="H154" s="79"/>
      <c r="I154" s="301" t="s">
        <v>5</v>
      </c>
      <c r="J154" s="309" t="s">
        <v>51</v>
      </c>
      <c r="K154" s="312"/>
      <c r="L154" s="312"/>
      <c r="M154" s="122"/>
      <c r="N154" s="709"/>
      <c r="O154" s="702"/>
      <c r="P154" s="34"/>
      <c r="Q154" s="301" t="s">
        <v>5</v>
      </c>
      <c r="R154" s="309" t="s">
        <v>51</v>
      </c>
      <c r="S154" s="312"/>
      <c r="T154" s="312"/>
      <c r="U154" s="122"/>
      <c r="V154" s="709"/>
      <c r="W154" s="702"/>
      <c r="X154" s="607"/>
      <c r="Y154" s="702"/>
    </row>
    <row r="155" spans="1:25" x14ac:dyDescent="0.2">
      <c r="A155" s="933" t="s">
        <v>159</v>
      </c>
      <c r="B155" s="933"/>
      <c r="C155" s="933"/>
      <c r="D155" s="933"/>
      <c r="E155" s="933"/>
      <c r="F155" s="933"/>
      <c r="G155" s="322">
        <f>SUM(G151:G154)</f>
        <v>89.93</v>
      </c>
      <c r="H155" s="79"/>
      <c r="I155" s="933" t="s">
        <v>159</v>
      </c>
      <c r="J155" s="933"/>
      <c r="K155" s="933"/>
      <c r="L155" s="933"/>
      <c r="M155" s="933"/>
      <c r="N155" s="933"/>
      <c r="O155" s="322">
        <f>SUM(O151:O154)</f>
        <v>89.93</v>
      </c>
      <c r="P155" s="34"/>
      <c r="Q155" s="933" t="s">
        <v>159</v>
      </c>
      <c r="R155" s="933"/>
      <c r="S155" s="933"/>
      <c r="T155" s="933"/>
      <c r="U155" s="933"/>
      <c r="V155" s="933"/>
      <c r="W155" s="322">
        <f>SUM(W151:W154)</f>
        <v>89.93</v>
      </c>
      <c r="X155" s="652" t="s">
        <v>159</v>
      </c>
      <c r="Y155" s="322">
        <f>SUM(Y151:Y154)</f>
        <v>102.75</v>
      </c>
    </row>
    <row r="156" spans="1:25" s="34" customFormat="1" hidden="1" x14ac:dyDescent="0.2">
      <c r="A156" s="71" t="s">
        <v>234</v>
      </c>
      <c r="B156" s="68"/>
      <c r="C156" s="68"/>
      <c r="D156" s="68"/>
      <c r="E156" s="68"/>
      <c r="F156" s="77"/>
      <c r="G156" s="78" t="s">
        <v>0</v>
      </c>
      <c r="H156" s="79"/>
      <c r="I156" s="71" t="s">
        <v>234</v>
      </c>
      <c r="J156" s="68"/>
      <c r="K156" s="68"/>
      <c r="L156" s="68"/>
      <c r="M156" s="68"/>
      <c r="N156" s="77"/>
      <c r="O156" s="78" t="s">
        <v>0</v>
      </c>
      <c r="Q156" s="71" t="s">
        <v>506</v>
      </c>
      <c r="R156" s="68"/>
      <c r="S156" s="68"/>
      <c r="T156" s="68"/>
      <c r="U156" s="68"/>
      <c r="V156" s="77"/>
      <c r="W156" s="78" t="s">
        <v>0</v>
      </c>
    </row>
    <row r="157" spans="1:25" s="34" customFormat="1" hidden="1" x14ac:dyDescent="0.2">
      <c r="A157" s="698"/>
      <c r="B157" s="68"/>
      <c r="C157" s="68"/>
      <c r="D157" s="68"/>
      <c r="E157" s="68"/>
      <c r="F157" s="77"/>
      <c r="G157" s="78"/>
      <c r="H157" s="79"/>
      <c r="I157" s="698"/>
      <c r="J157" s="68"/>
      <c r="K157" s="68"/>
      <c r="L157" s="68"/>
      <c r="M157" s="68"/>
      <c r="N157" s="77"/>
      <c r="O157" s="78"/>
      <c r="Q157" s="698"/>
      <c r="R157" s="68"/>
      <c r="S157" s="68"/>
      <c r="T157" s="68"/>
      <c r="U157" s="68"/>
      <c r="V157" s="77"/>
      <c r="W157" s="78"/>
    </row>
    <row r="158" spans="1:25" ht="15" customHeight="1" x14ac:dyDescent="0.2">
      <c r="A158" s="931" t="s">
        <v>237</v>
      </c>
      <c r="B158" s="931"/>
      <c r="C158" s="931"/>
      <c r="D158" s="931"/>
      <c r="E158" s="931"/>
      <c r="F158" s="931"/>
      <c r="G158" s="931"/>
      <c r="H158" s="931"/>
      <c r="I158" s="931"/>
      <c r="J158" s="931"/>
      <c r="K158" s="931"/>
      <c r="L158" s="931"/>
      <c r="M158" s="931"/>
      <c r="N158" s="931"/>
      <c r="O158" s="931"/>
      <c r="P158" s="931"/>
      <c r="Q158" s="931"/>
      <c r="R158" s="931"/>
      <c r="S158" s="931"/>
      <c r="T158" s="931"/>
      <c r="U158" s="931"/>
      <c r="V158" s="931"/>
      <c r="W158" s="931"/>
      <c r="X158" s="931"/>
      <c r="Y158" s="931"/>
    </row>
    <row r="159" spans="1:25" ht="15.75" customHeight="1" x14ac:dyDescent="0.2">
      <c r="A159" s="723">
        <v>6</v>
      </c>
      <c r="B159" s="944" t="s">
        <v>23</v>
      </c>
      <c r="C159" s="944"/>
      <c r="D159" s="944"/>
      <c r="E159" s="944"/>
      <c r="F159" s="723" t="s">
        <v>222</v>
      </c>
      <c r="G159" s="727" t="s">
        <v>107</v>
      </c>
      <c r="H159" s="606"/>
      <c r="I159" s="723">
        <v>6</v>
      </c>
      <c r="J159" s="944" t="s">
        <v>23</v>
      </c>
      <c r="K159" s="944"/>
      <c r="L159" s="944"/>
      <c r="M159" s="944"/>
      <c r="N159" s="723" t="s">
        <v>222</v>
      </c>
      <c r="O159" s="727" t="s">
        <v>107</v>
      </c>
      <c r="P159" s="607"/>
      <c r="Q159" s="723">
        <v>6</v>
      </c>
      <c r="R159" s="944" t="s">
        <v>23</v>
      </c>
      <c r="S159" s="944"/>
      <c r="T159" s="944"/>
      <c r="U159" s="944"/>
      <c r="V159" s="723" t="s">
        <v>222</v>
      </c>
      <c r="W159" s="727" t="s">
        <v>107</v>
      </c>
      <c r="X159" s="723" t="s">
        <v>222</v>
      </c>
      <c r="Y159" s="727" t="s">
        <v>107</v>
      </c>
    </row>
    <row r="160" spans="1:25" ht="14.25" customHeight="1" x14ac:dyDescent="0.2">
      <c r="A160" s="692" t="s">
        <v>1</v>
      </c>
      <c r="B160" s="619" t="s">
        <v>24</v>
      </c>
      <c r="C160" s="611"/>
      <c r="D160" s="611"/>
      <c r="E160" s="612"/>
      <c r="F160" s="613">
        <f>Dados!J67</f>
        <v>0.01</v>
      </c>
      <c r="G160" s="620">
        <f>$G$180*F160</f>
        <v>63.42</v>
      </c>
      <c r="H160" s="79"/>
      <c r="I160" s="692" t="s">
        <v>1</v>
      </c>
      <c r="J160" s="619" t="s">
        <v>24</v>
      </c>
      <c r="K160" s="611"/>
      <c r="L160" s="611"/>
      <c r="M160" s="612"/>
      <c r="N160" s="613">
        <f>Dados!J67</f>
        <v>0.01</v>
      </c>
      <c r="O160" s="620">
        <f>$O$180*N160</f>
        <v>65.33</v>
      </c>
      <c r="P160" s="34"/>
      <c r="Q160" s="692" t="s">
        <v>1</v>
      </c>
      <c r="R160" s="619" t="s">
        <v>24</v>
      </c>
      <c r="S160" s="611"/>
      <c r="T160" s="611"/>
      <c r="U160" s="612"/>
      <c r="V160" s="613">
        <v>0.01</v>
      </c>
      <c r="W160" s="620">
        <f>$W$180*V160</f>
        <v>64.39</v>
      </c>
      <c r="X160" s="613">
        <v>0.01</v>
      </c>
      <c r="Y160" s="620">
        <f>$Y$180*X160</f>
        <v>64.510000000000005</v>
      </c>
    </row>
    <row r="161" spans="1:25" ht="14.25" customHeight="1" x14ac:dyDescent="0.2">
      <c r="A161" s="685" t="s">
        <v>2</v>
      </c>
      <c r="B161" s="318" t="s">
        <v>18</v>
      </c>
      <c r="C161" s="321"/>
      <c r="D161" s="321"/>
      <c r="E161" s="310"/>
      <c r="F161" s="314">
        <f>Dados!J68</f>
        <v>0.01</v>
      </c>
      <c r="G161" s="703">
        <f>($G$180+$G$160)*F161</f>
        <v>64.06</v>
      </c>
      <c r="H161" s="79"/>
      <c r="I161" s="685" t="s">
        <v>2</v>
      </c>
      <c r="J161" s="318" t="s">
        <v>18</v>
      </c>
      <c r="K161" s="321"/>
      <c r="L161" s="321"/>
      <c r="M161" s="310"/>
      <c r="N161" s="314">
        <f>Dados!J68</f>
        <v>0.01</v>
      </c>
      <c r="O161" s="703">
        <f>($O$180+$O$160)*N161</f>
        <v>65.989999999999995</v>
      </c>
      <c r="P161" s="34"/>
      <c r="Q161" s="685" t="s">
        <v>2</v>
      </c>
      <c r="R161" s="318" t="s">
        <v>18</v>
      </c>
      <c r="S161" s="321"/>
      <c r="T161" s="321"/>
      <c r="U161" s="310"/>
      <c r="V161" s="314">
        <v>0.01</v>
      </c>
      <c r="W161" s="703">
        <f>($W$180+$W$160)*V161</f>
        <v>65.03</v>
      </c>
      <c r="X161" s="314">
        <v>0.01</v>
      </c>
      <c r="Y161" s="703">
        <f>($Y$180+$Y$160)*X161</f>
        <v>65.16</v>
      </c>
    </row>
    <row r="162" spans="1:25" ht="14.25" customHeight="1" x14ac:dyDescent="0.2">
      <c r="A162" s="685" t="s">
        <v>4</v>
      </c>
      <c r="B162" s="318" t="s">
        <v>426</v>
      </c>
      <c r="C162" s="321"/>
      <c r="D162" s="321"/>
      <c r="E162" s="310"/>
      <c r="F162" s="314"/>
      <c r="G162" s="703">
        <f>SUM(G160:G161)</f>
        <v>127.48</v>
      </c>
      <c r="H162" s="79"/>
      <c r="I162" s="685" t="s">
        <v>4</v>
      </c>
      <c r="J162" s="318" t="s">
        <v>426</v>
      </c>
      <c r="K162" s="321"/>
      <c r="L162" s="321"/>
      <c r="M162" s="310"/>
      <c r="N162" s="314"/>
      <c r="O162" s="703">
        <f>SUM(O160:O161)</f>
        <v>131.32</v>
      </c>
      <c r="P162" s="34"/>
      <c r="Q162" s="685" t="s">
        <v>4</v>
      </c>
      <c r="R162" s="318" t="s">
        <v>426</v>
      </c>
      <c r="S162" s="321"/>
      <c r="T162" s="321"/>
      <c r="U162" s="310"/>
      <c r="V162" s="314"/>
      <c r="W162" s="703"/>
      <c r="X162" s="314"/>
      <c r="Y162" s="703"/>
    </row>
    <row r="163" spans="1:25" ht="14.25" customHeight="1" x14ac:dyDescent="0.2">
      <c r="A163" s="685" t="s">
        <v>271</v>
      </c>
      <c r="B163" s="319" t="s">
        <v>427</v>
      </c>
      <c r="C163" s="122"/>
      <c r="D163" s="321"/>
      <c r="E163" s="320"/>
      <c r="F163" s="315">
        <f>Dados!F72</f>
        <v>6.4999999999999997E-3</v>
      </c>
      <c r="G163" s="316">
        <f>(($G$180+$G$160+$G$161)/Dados!$H$72)*F163</f>
        <v>46.04</v>
      </c>
      <c r="H163" s="79"/>
      <c r="I163" s="685" t="s">
        <v>271</v>
      </c>
      <c r="J163" s="319" t="s">
        <v>427</v>
      </c>
      <c r="K163" s="122"/>
      <c r="L163" s="321"/>
      <c r="M163" s="320"/>
      <c r="N163" s="315">
        <f>Dados!F72</f>
        <v>6.4999999999999997E-3</v>
      </c>
      <c r="O163" s="316">
        <f>(($O$180+$O$160+$O$161)/Dados!$H$72)*N163</f>
        <v>47.42</v>
      </c>
      <c r="P163" s="34"/>
      <c r="Q163" s="685" t="s">
        <v>271</v>
      </c>
      <c r="R163" s="319" t="s">
        <v>427</v>
      </c>
      <c r="S163" s="122"/>
      <c r="T163" s="321"/>
      <c r="U163" s="320"/>
      <c r="V163" s="315">
        <v>6.4999999999999997E-3</v>
      </c>
      <c r="W163" s="316">
        <f>(($W$180+$W$160+$W$161)/Dados!$H$72)*V163</f>
        <v>46.73</v>
      </c>
      <c r="X163" s="315">
        <v>6.4999999999999997E-3</v>
      </c>
      <c r="Y163" s="316">
        <f>(($Y$180+$Y$160+$Y$161)/Dados!$H$72)*X163</f>
        <v>46.83</v>
      </c>
    </row>
    <row r="164" spans="1:25" ht="14.25" customHeight="1" x14ac:dyDescent="0.2">
      <c r="A164" s="685" t="s">
        <v>272</v>
      </c>
      <c r="B164" s="319" t="s">
        <v>484</v>
      </c>
      <c r="C164" s="122"/>
      <c r="D164" s="321"/>
      <c r="E164" s="310"/>
      <c r="F164" s="315">
        <f>Dados!E72</f>
        <v>0.03</v>
      </c>
      <c r="G164" s="316">
        <f>(($G$180+$G$160+$G$161)/Dados!$H$72)*F164</f>
        <v>212.47</v>
      </c>
      <c r="H164" s="79"/>
      <c r="I164" s="685" t="s">
        <v>272</v>
      </c>
      <c r="J164" s="319" t="s">
        <v>484</v>
      </c>
      <c r="K164" s="122"/>
      <c r="L164" s="321"/>
      <c r="M164" s="310"/>
      <c r="N164" s="315">
        <f>Dados!E72</f>
        <v>0.03</v>
      </c>
      <c r="O164" s="316">
        <f>(($O$180+$O$160+$O$161)/Dados!$H$72)*N164</f>
        <v>218.87</v>
      </c>
      <c r="P164" s="34"/>
      <c r="Q164" s="685" t="s">
        <v>272</v>
      </c>
      <c r="R164" s="319" t="s">
        <v>484</v>
      </c>
      <c r="S164" s="122"/>
      <c r="T164" s="321"/>
      <c r="U164" s="310"/>
      <c r="V164" s="315">
        <v>0.03</v>
      </c>
      <c r="W164" s="316">
        <f>(($W$180+$W$160+$W$161)/Dados!$H$72)*V164</f>
        <v>215.7</v>
      </c>
      <c r="X164" s="315">
        <v>0.03</v>
      </c>
      <c r="Y164" s="316">
        <f>(($Y$180+$Y$160+$Y$161)/Dados!$H$72)*X164</f>
        <v>216.13</v>
      </c>
    </row>
    <row r="165" spans="1:25" ht="14.25" customHeight="1" x14ac:dyDescent="0.2">
      <c r="A165" s="685" t="s">
        <v>428</v>
      </c>
      <c r="B165" s="319" t="s">
        <v>486</v>
      </c>
      <c r="C165" s="122"/>
      <c r="D165" s="321"/>
      <c r="E165" s="310"/>
      <c r="F165" s="315">
        <f>Dados!C72</f>
        <v>0.05</v>
      </c>
      <c r="G165" s="316">
        <f>(($G$180+$G$160+$G$161)/Dados!$H$72)*F165</f>
        <v>354.12</v>
      </c>
      <c r="H165" s="79"/>
      <c r="I165" s="685" t="s">
        <v>428</v>
      </c>
      <c r="J165" s="319" t="s">
        <v>486</v>
      </c>
      <c r="K165" s="122"/>
      <c r="L165" s="321"/>
      <c r="M165" s="310"/>
      <c r="N165" s="315">
        <f>Dados!C72</f>
        <v>0.05</v>
      </c>
      <c r="O165" s="316">
        <f>(($O$180+$O$160+$O$161)/Dados!$H$72)*N165</f>
        <v>364.78</v>
      </c>
      <c r="P165" s="34"/>
      <c r="Q165" s="685" t="s">
        <v>428</v>
      </c>
      <c r="R165" s="319" t="s">
        <v>486</v>
      </c>
      <c r="S165" s="122"/>
      <c r="T165" s="321"/>
      <c r="U165" s="310"/>
      <c r="V165" s="315">
        <v>0.05</v>
      </c>
      <c r="W165" s="316">
        <f>(($W$180+$W$160+$W$161)/Dados!$H$72)*V165</f>
        <v>359.5</v>
      </c>
      <c r="X165" s="315">
        <v>0.05</v>
      </c>
      <c r="Y165" s="316">
        <f>(($Y$180+$Y$160+$Y$161)/Dados!$H$72)*X165</f>
        <v>360.22</v>
      </c>
    </row>
    <row r="166" spans="1:25" ht="14.25" customHeight="1" x14ac:dyDescent="0.2">
      <c r="A166" s="685" t="s">
        <v>5</v>
      </c>
      <c r="B166" s="319" t="s">
        <v>429</v>
      </c>
      <c r="C166" s="122"/>
      <c r="D166" s="321"/>
      <c r="E166" s="310"/>
      <c r="F166" s="315">
        <v>0</v>
      </c>
      <c r="G166" s="316">
        <v>0</v>
      </c>
      <c r="H166" s="79"/>
      <c r="I166" s="685" t="s">
        <v>5</v>
      </c>
      <c r="J166" s="319" t="s">
        <v>429</v>
      </c>
      <c r="K166" s="122"/>
      <c r="L166" s="321"/>
      <c r="M166" s="310"/>
      <c r="N166" s="315">
        <v>0</v>
      </c>
      <c r="O166" s="316">
        <v>0</v>
      </c>
      <c r="P166" s="34"/>
      <c r="Q166" s="685" t="s">
        <v>5</v>
      </c>
      <c r="R166" s="319" t="s">
        <v>429</v>
      </c>
      <c r="S166" s="122"/>
      <c r="T166" s="321"/>
      <c r="U166" s="310"/>
      <c r="V166" s="315">
        <v>0</v>
      </c>
      <c r="W166" s="316">
        <v>0</v>
      </c>
      <c r="X166" s="315">
        <v>0</v>
      </c>
      <c r="Y166" s="316">
        <v>0</v>
      </c>
    </row>
    <row r="167" spans="1:25" ht="18" customHeight="1" x14ac:dyDescent="0.2">
      <c r="A167" s="933" t="s">
        <v>159</v>
      </c>
      <c r="B167" s="933"/>
      <c r="C167" s="933"/>
      <c r="D167" s="933"/>
      <c r="E167" s="933"/>
      <c r="F167" s="317">
        <f>SUM(F160:F165)</f>
        <v>0.1065</v>
      </c>
      <c r="G167" s="705">
        <f>G160+G163+G164+G165+G161</f>
        <v>740.11</v>
      </c>
      <c r="H167" s="79"/>
      <c r="I167" s="933" t="s">
        <v>159</v>
      </c>
      <c r="J167" s="933"/>
      <c r="K167" s="933"/>
      <c r="L167" s="933"/>
      <c r="M167" s="933"/>
      <c r="N167" s="317">
        <f>SUM(N160:N165)</f>
        <v>0.1065</v>
      </c>
      <c r="O167" s="705">
        <f>O160+O163+O164+O165+O161</f>
        <v>762.39</v>
      </c>
      <c r="P167" s="34"/>
      <c r="Q167" s="933" t="s">
        <v>159</v>
      </c>
      <c r="R167" s="933"/>
      <c r="S167" s="933"/>
      <c r="T167" s="933"/>
      <c r="U167" s="933"/>
      <c r="V167" s="317">
        <v>0.1065</v>
      </c>
      <c r="W167" s="705">
        <f>W160+W163+W164+W165+W161</f>
        <v>751.35</v>
      </c>
      <c r="X167" s="317">
        <v>0.1065</v>
      </c>
      <c r="Y167" s="705">
        <f>Y160+Y163+Y164+Y165+Y161</f>
        <v>752.85</v>
      </c>
    </row>
    <row r="168" spans="1:25" hidden="1" x14ac:dyDescent="0.2">
      <c r="A168" s="195" t="s">
        <v>236</v>
      </c>
      <c r="B168" s="683"/>
      <c r="C168" s="683"/>
      <c r="D168" s="683"/>
      <c r="E168" s="683"/>
      <c r="F168" s="683"/>
      <c r="G168" s="82"/>
      <c r="H168" s="79"/>
      <c r="I168" s="195" t="s">
        <v>236</v>
      </c>
      <c r="J168" s="683"/>
      <c r="K168" s="683"/>
      <c r="L168" s="683"/>
      <c r="M168" s="683"/>
      <c r="N168" s="683"/>
      <c r="O168" s="82"/>
      <c r="P168" s="34"/>
      <c r="Q168" s="195" t="s">
        <v>507</v>
      </c>
      <c r="R168" s="683"/>
      <c r="S168" s="683"/>
      <c r="T168" s="683"/>
      <c r="U168" s="683"/>
      <c r="V168" s="683"/>
      <c r="W168" s="82"/>
      <c r="X168" s="34"/>
      <c r="Y168" s="34"/>
    </row>
    <row r="169" spans="1:25" hidden="1" x14ac:dyDescent="0.2">
      <c r="A169" s="195" t="s">
        <v>235</v>
      </c>
      <c r="B169" s="683"/>
      <c r="C169" s="683"/>
      <c r="D169" s="683"/>
      <c r="E169" s="683"/>
      <c r="F169" s="683"/>
      <c r="G169" s="82"/>
      <c r="H169" s="79"/>
      <c r="I169" s="195" t="s">
        <v>235</v>
      </c>
      <c r="J169" s="683"/>
      <c r="K169" s="683"/>
      <c r="L169" s="683"/>
      <c r="M169" s="683"/>
      <c r="N169" s="683"/>
      <c r="O169" s="82"/>
      <c r="P169" s="34"/>
      <c r="Q169" s="195" t="s">
        <v>508</v>
      </c>
      <c r="R169" s="683"/>
      <c r="S169" s="683"/>
      <c r="T169" s="683"/>
      <c r="U169" s="683"/>
      <c r="V169" s="683"/>
      <c r="W169" s="82"/>
      <c r="X169" s="34"/>
      <c r="Y169" s="34"/>
    </row>
    <row r="170" spans="1:25" hidden="1" x14ac:dyDescent="0.2">
      <c r="A170" s="955" t="s">
        <v>433</v>
      </c>
      <c r="B170" s="955"/>
      <c r="C170" s="955"/>
      <c r="D170" s="955"/>
      <c r="E170" s="955"/>
      <c r="F170" s="955"/>
      <c r="G170" s="955"/>
      <c r="H170" s="79"/>
      <c r="I170" s="955"/>
      <c r="J170" s="955"/>
      <c r="K170" s="955"/>
      <c r="L170" s="955"/>
      <c r="M170" s="955"/>
      <c r="N170" s="955"/>
      <c r="O170" s="955"/>
      <c r="P170" s="34"/>
      <c r="Q170" s="955"/>
      <c r="R170" s="955"/>
      <c r="S170" s="955"/>
      <c r="T170" s="955"/>
      <c r="U170" s="955"/>
      <c r="V170" s="955"/>
      <c r="W170" s="955"/>
      <c r="X170" s="34"/>
      <c r="Y170" s="34"/>
    </row>
    <row r="171" spans="1:25" hidden="1" x14ac:dyDescent="0.2">
      <c r="A171" s="955"/>
      <c r="B171" s="955"/>
      <c r="C171" s="955"/>
      <c r="D171" s="955"/>
      <c r="E171" s="955"/>
      <c r="F171" s="955"/>
      <c r="G171" s="955"/>
      <c r="H171" s="79"/>
      <c r="I171" s="955"/>
      <c r="J171" s="955"/>
      <c r="K171" s="955"/>
      <c r="L171" s="955"/>
      <c r="M171" s="955"/>
      <c r="N171" s="955"/>
      <c r="O171" s="955"/>
      <c r="P171" s="34"/>
      <c r="Q171" s="955"/>
      <c r="R171" s="955"/>
      <c r="S171" s="955"/>
      <c r="T171" s="955"/>
      <c r="U171" s="955"/>
      <c r="V171" s="955"/>
      <c r="W171" s="955"/>
      <c r="X171" s="34"/>
      <c r="Y171" s="34"/>
    </row>
    <row r="172" spans="1:25" hidden="1" x14ac:dyDescent="0.2">
      <c r="A172" s="195"/>
      <c r="B172" s="683"/>
      <c r="C172" s="683"/>
      <c r="D172" s="683"/>
      <c r="E172" s="683"/>
      <c r="F172" s="683"/>
      <c r="G172" s="82"/>
      <c r="H172" s="79"/>
      <c r="I172" s="195"/>
      <c r="J172" s="683"/>
      <c r="K172" s="683"/>
      <c r="L172" s="683"/>
      <c r="M172" s="683"/>
      <c r="N172" s="683"/>
      <c r="O172" s="82"/>
      <c r="P172" s="34"/>
      <c r="Q172" s="195"/>
      <c r="R172" s="683"/>
      <c r="S172" s="683"/>
      <c r="T172" s="683"/>
      <c r="U172" s="683"/>
      <c r="V172" s="683"/>
      <c r="W172" s="82"/>
      <c r="X172" s="34"/>
      <c r="Y172" s="34"/>
    </row>
    <row r="173" spans="1:25" x14ac:dyDescent="0.2">
      <c r="A173" s="1050" t="s">
        <v>434</v>
      </c>
      <c r="B173" s="1051"/>
      <c r="C173" s="1051"/>
      <c r="D173" s="1051"/>
      <c r="E173" s="1051"/>
      <c r="F173" s="1051"/>
      <c r="G173" s="1051"/>
      <c r="H173" s="1051"/>
      <c r="I173" s="1051"/>
      <c r="J173" s="1051"/>
      <c r="K173" s="1051"/>
      <c r="L173" s="1051"/>
      <c r="M173" s="1051"/>
      <c r="N173" s="1051"/>
      <c r="O173" s="1051"/>
      <c r="P173" s="1051"/>
      <c r="Q173" s="1051"/>
      <c r="R173" s="1051"/>
      <c r="S173" s="1051"/>
      <c r="T173" s="1051"/>
      <c r="U173" s="1051"/>
      <c r="V173" s="1051"/>
      <c r="W173" s="1051"/>
      <c r="X173" s="1051"/>
      <c r="Y173" s="1051"/>
    </row>
    <row r="174" spans="1:25" ht="69.75" customHeight="1" x14ac:dyDescent="0.2">
      <c r="A174" s="931" t="s">
        <v>201</v>
      </c>
      <c r="B174" s="931"/>
      <c r="C174" s="931"/>
      <c r="D174" s="931"/>
      <c r="E174" s="931"/>
      <c r="F174" s="931"/>
      <c r="G174" s="727" t="s">
        <v>523</v>
      </c>
      <c r="H174" s="606"/>
      <c r="I174" s="944" t="s">
        <v>201</v>
      </c>
      <c r="J174" s="944"/>
      <c r="K174" s="944"/>
      <c r="L174" s="944"/>
      <c r="M174" s="944"/>
      <c r="N174" s="944"/>
      <c r="O174" s="723" t="s">
        <v>521</v>
      </c>
      <c r="P174" s="607"/>
      <c r="Q174" s="944" t="s">
        <v>201</v>
      </c>
      <c r="R174" s="944"/>
      <c r="S174" s="944"/>
      <c r="T174" s="944"/>
      <c r="U174" s="944"/>
      <c r="V174" s="944"/>
      <c r="W174" s="723" t="s">
        <v>522</v>
      </c>
      <c r="X174" s="749" t="s">
        <v>201</v>
      </c>
      <c r="Y174" s="723" t="s">
        <v>542</v>
      </c>
    </row>
    <row r="175" spans="1:25" ht="14.25" customHeight="1" x14ac:dyDescent="0.2">
      <c r="A175" s="692" t="s">
        <v>1</v>
      </c>
      <c r="B175" s="602" t="str">
        <f>A33</f>
        <v>Módulo 1 - Composição da Remuneração</v>
      </c>
      <c r="C175" s="615"/>
      <c r="D175" s="616"/>
      <c r="E175" s="616"/>
      <c r="F175" s="621"/>
      <c r="G175" s="622">
        <f>G41</f>
        <v>3162.6</v>
      </c>
      <c r="H175" s="79"/>
      <c r="I175" s="692" t="s">
        <v>1</v>
      </c>
      <c r="J175" s="602">
        <f>I33</f>
        <v>0</v>
      </c>
      <c r="K175" s="615"/>
      <c r="L175" s="616"/>
      <c r="M175" s="616"/>
      <c r="N175" s="621"/>
      <c r="O175" s="622">
        <f>O41</f>
        <v>3257.47</v>
      </c>
      <c r="P175" s="34"/>
      <c r="Q175" s="692" t="s">
        <v>1</v>
      </c>
      <c r="R175" s="602" t="s">
        <v>25</v>
      </c>
      <c r="S175" s="615"/>
      <c r="T175" s="616"/>
      <c r="U175" s="616"/>
      <c r="V175" s="621"/>
      <c r="W175" s="622">
        <f>W41</f>
        <v>3257.47</v>
      </c>
      <c r="X175" s="607"/>
      <c r="Y175" s="622">
        <f>Y41</f>
        <v>3257.47</v>
      </c>
    </row>
    <row r="176" spans="1:25" ht="14.25" customHeight="1" x14ac:dyDescent="0.2">
      <c r="A176" s="685" t="s">
        <v>2</v>
      </c>
      <c r="B176" s="680" t="str">
        <f>A46</f>
        <v>Módulo 2 - Encargos e Benefícios Anuais, Mensais e Diários</v>
      </c>
      <c r="C176" s="681"/>
      <c r="D176" s="694"/>
      <c r="E176" s="694"/>
      <c r="F176" s="323"/>
      <c r="G176" s="702">
        <f>G105</f>
        <v>2816.01</v>
      </c>
      <c r="H176" s="79"/>
      <c r="I176" s="685" t="s">
        <v>2</v>
      </c>
      <c r="J176" s="680">
        <f>I46</f>
        <v>0</v>
      </c>
      <c r="K176" s="681"/>
      <c r="L176" s="694"/>
      <c r="M176" s="694"/>
      <c r="N176" s="323"/>
      <c r="O176" s="702">
        <f>O105</f>
        <v>2903.53</v>
      </c>
      <c r="P176" s="34"/>
      <c r="Q176" s="685" t="s">
        <v>2</v>
      </c>
      <c r="R176" s="680" t="s">
        <v>209</v>
      </c>
      <c r="S176" s="681"/>
      <c r="T176" s="694"/>
      <c r="U176" s="694"/>
      <c r="V176" s="323"/>
      <c r="W176" s="702">
        <f>W105</f>
        <v>2903.53</v>
      </c>
      <c r="X176" s="607"/>
      <c r="Y176" s="702">
        <f>Y105</f>
        <v>2903.53</v>
      </c>
    </row>
    <row r="177" spans="1:25" ht="14.25" customHeight="1" x14ac:dyDescent="0.2">
      <c r="A177" s="685" t="s">
        <v>4</v>
      </c>
      <c r="B177" s="680" t="str">
        <f>A107</f>
        <v>Módulo 3 - Provisão para Rescisão</v>
      </c>
      <c r="C177" s="681"/>
      <c r="D177" s="694"/>
      <c r="E177" s="694"/>
      <c r="F177" s="323"/>
      <c r="G177" s="702">
        <f>G116</f>
        <v>245.72</v>
      </c>
      <c r="H177" s="79"/>
      <c r="I177" s="685" t="s">
        <v>4</v>
      </c>
      <c r="J177" s="680">
        <f>I107</f>
        <v>0</v>
      </c>
      <c r="K177" s="681"/>
      <c r="L177" s="694"/>
      <c r="M177" s="694"/>
      <c r="N177" s="323"/>
      <c r="O177" s="702">
        <f>O116</f>
        <v>253.48</v>
      </c>
      <c r="P177" s="34"/>
      <c r="Q177" s="685" t="s">
        <v>4</v>
      </c>
      <c r="R177" s="680" t="s">
        <v>227</v>
      </c>
      <c r="S177" s="681"/>
      <c r="T177" s="694"/>
      <c r="U177" s="694"/>
      <c r="V177" s="323"/>
      <c r="W177" s="702">
        <f>W116</f>
        <v>158.91</v>
      </c>
      <c r="X177" s="607"/>
      <c r="Y177" s="702">
        <f>Y116</f>
        <v>158.91</v>
      </c>
    </row>
    <row r="178" spans="1:25" ht="14.25" customHeight="1" x14ac:dyDescent="0.2">
      <c r="A178" s="685" t="s">
        <v>5</v>
      </c>
      <c r="B178" s="680" t="str">
        <f>A121</f>
        <v>Módulo 4 - Custo de Reposição do Profissional</v>
      </c>
      <c r="C178" s="681"/>
      <c r="D178" s="694"/>
      <c r="E178" s="694"/>
      <c r="F178" s="323"/>
      <c r="G178" s="702">
        <f>G147</f>
        <v>27.97</v>
      </c>
      <c r="H178" s="79"/>
      <c r="I178" s="685" t="s">
        <v>5</v>
      </c>
      <c r="J178" s="680">
        <f>I121</f>
        <v>0</v>
      </c>
      <c r="K178" s="681"/>
      <c r="L178" s="694"/>
      <c r="M178" s="694"/>
      <c r="N178" s="323"/>
      <c r="O178" s="702">
        <f>O147</f>
        <v>28.8</v>
      </c>
      <c r="P178" s="34"/>
      <c r="Q178" s="685" t="s">
        <v>5</v>
      </c>
      <c r="R178" s="680" t="s">
        <v>228</v>
      </c>
      <c r="S178" s="681"/>
      <c r="T178" s="694"/>
      <c r="U178" s="694"/>
      <c r="V178" s="323"/>
      <c r="W178" s="702">
        <f>W147</f>
        <v>28.8</v>
      </c>
      <c r="X178" s="607"/>
      <c r="Y178" s="702">
        <f>Y147</f>
        <v>28.8</v>
      </c>
    </row>
    <row r="179" spans="1:25" x14ac:dyDescent="0.2">
      <c r="A179" s="301" t="s">
        <v>6</v>
      </c>
      <c r="B179" s="680" t="str">
        <f>A149</f>
        <v>Módulo 5 - Insumos Diversos</v>
      </c>
      <c r="C179" s="325"/>
      <c r="D179" s="325"/>
      <c r="E179" s="325"/>
      <c r="F179" s="324"/>
      <c r="G179" s="731">
        <f>G155</f>
        <v>89.93</v>
      </c>
      <c r="H179" s="34"/>
      <c r="I179" s="301" t="s">
        <v>6</v>
      </c>
      <c r="J179" s="680">
        <f>I149</f>
        <v>0</v>
      </c>
      <c r="K179" s="325"/>
      <c r="L179" s="325"/>
      <c r="M179" s="325"/>
      <c r="N179" s="324"/>
      <c r="O179" s="731">
        <f>O155</f>
        <v>89.93</v>
      </c>
      <c r="P179" s="34"/>
      <c r="Q179" s="301" t="s">
        <v>6</v>
      </c>
      <c r="R179" s="680" t="s">
        <v>233</v>
      </c>
      <c r="S179" s="325"/>
      <c r="T179" s="325"/>
      <c r="U179" s="325"/>
      <c r="V179" s="324"/>
      <c r="W179" s="731">
        <f>W155</f>
        <v>89.93</v>
      </c>
      <c r="X179" s="607"/>
      <c r="Y179" s="731">
        <f>Y155</f>
        <v>102.75</v>
      </c>
    </row>
    <row r="180" spans="1:25" ht="14.25" customHeight="1" x14ac:dyDescent="0.2">
      <c r="A180" s="933" t="s">
        <v>238</v>
      </c>
      <c r="B180" s="933"/>
      <c r="C180" s="933"/>
      <c r="D180" s="933"/>
      <c r="E180" s="933"/>
      <c r="F180" s="933"/>
      <c r="G180" s="322">
        <f>SUM(G175:G179)</f>
        <v>6342.23</v>
      </c>
      <c r="H180" s="34"/>
      <c r="I180" s="933" t="s">
        <v>238</v>
      </c>
      <c r="J180" s="933"/>
      <c r="K180" s="933"/>
      <c r="L180" s="933"/>
      <c r="M180" s="933"/>
      <c r="N180" s="933"/>
      <c r="O180" s="322">
        <f>SUM(O175:O179)</f>
        <v>6533.21</v>
      </c>
      <c r="P180" s="34"/>
      <c r="Q180" s="933" t="s">
        <v>238</v>
      </c>
      <c r="R180" s="933"/>
      <c r="S180" s="933"/>
      <c r="T180" s="933"/>
      <c r="U180" s="933"/>
      <c r="V180" s="933"/>
      <c r="W180" s="322">
        <f>SUM(W175:W179)</f>
        <v>6438.64</v>
      </c>
      <c r="X180" s="749" t="s">
        <v>238</v>
      </c>
      <c r="Y180" s="322">
        <f>SUM(Y175:Y179)</f>
        <v>6451.46</v>
      </c>
    </row>
    <row r="181" spans="1:25" ht="14.25" customHeight="1" x14ac:dyDescent="0.2">
      <c r="A181" s="685" t="s">
        <v>7</v>
      </c>
      <c r="B181" s="680" t="str">
        <f>A158</f>
        <v>Módulo 6 - Custos Indiretos, Tributos e Lucro</v>
      </c>
      <c r="C181" s="681"/>
      <c r="D181" s="694"/>
      <c r="E181" s="694"/>
      <c r="F181" s="323"/>
      <c r="G181" s="702">
        <f>G167</f>
        <v>740.11</v>
      </c>
      <c r="H181" s="34"/>
      <c r="I181" s="685" t="s">
        <v>7</v>
      </c>
      <c r="J181" s="680">
        <f>I158</f>
        <v>0</v>
      </c>
      <c r="K181" s="681"/>
      <c r="L181" s="694"/>
      <c r="M181" s="694"/>
      <c r="N181" s="323"/>
      <c r="O181" s="702">
        <f>O167</f>
        <v>762.39</v>
      </c>
      <c r="P181" s="34"/>
      <c r="Q181" s="685" t="s">
        <v>7</v>
      </c>
      <c r="R181" s="680" t="s">
        <v>237</v>
      </c>
      <c r="S181" s="681"/>
      <c r="T181" s="694"/>
      <c r="U181" s="694"/>
      <c r="V181" s="323"/>
      <c r="W181" s="702">
        <f>W167</f>
        <v>751.35</v>
      </c>
      <c r="X181" s="607"/>
      <c r="Y181" s="702">
        <f>Y167</f>
        <v>752.85</v>
      </c>
    </row>
    <row r="182" spans="1:25" ht="34.5" customHeight="1" x14ac:dyDescent="0.2">
      <c r="A182" s="933" t="s">
        <v>179</v>
      </c>
      <c r="B182" s="933"/>
      <c r="C182" s="933"/>
      <c r="D182" s="933"/>
      <c r="E182" s="933"/>
      <c r="F182" s="933"/>
      <c r="G182" s="322">
        <f>SUM(G180:G181)</f>
        <v>7082.34</v>
      </c>
      <c r="H182" s="34"/>
      <c r="I182" s="933" t="s">
        <v>179</v>
      </c>
      <c r="J182" s="933"/>
      <c r="K182" s="933"/>
      <c r="L182" s="933"/>
      <c r="M182" s="933"/>
      <c r="N182" s="933"/>
      <c r="O182" s="322">
        <f>SUM(O180:O181)</f>
        <v>7295.6</v>
      </c>
      <c r="P182" s="34"/>
      <c r="Q182" s="933" t="s">
        <v>179</v>
      </c>
      <c r="R182" s="933"/>
      <c r="S182" s="933"/>
      <c r="T182" s="933"/>
      <c r="U182" s="933"/>
      <c r="V182" s="933"/>
      <c r="W182" s="322">
        <f>SUM(W180:W181)</f>
        <v>7189.99</v>
      </c>
      <c r="X182" s="749" t="s">
        <v>179</v>
      </c>
      <c r="Y182" s="322">
        <f>SUM(Y180:Y181)</f>
        <v>7204.31</v>
      </c>
    </row>
    <row r="183" spans="1:25" hidden="1" x14ac:dyDescent="0.2">
      <c r="A183" s="951" t="s">
        <v>436</v>
      </c>
      <c r="B183" s="951"/>
      <c r="C183" s="951"/>
      <c r="D183" s="951"/>
      <c r="E183" s="951"/>
      <c r="F183" s="951"/>
      <c r="G183" s="332"/>
    </row>
    <row r="184" spans="1:25" hidden="1" x14ac:dyDescent="0.2">
      <c r="A184" s="951" t="s">
        <v>179</v>
      </c>
      <c r="B184" s="951"/>
      <c r="C184" s="951"/>
      <c r="D184" s="951"/>
      <c r="E184" s="951"/>
      <c r="F184" s="951"/>
      <c r="G184" s="332">
        <f>SUM(G182:G183)</f>
        <v>7082.34</v>
      </c>
    </row>
  </sheetData>
  <mergeCells count="216">
    <mergeCell ref="R159:U159"/>
    <mergeCell ref="Q167:U167"/>
    <mergeCell ref="Q170:W171"/>
    <mergeCell ref="Q174:V174"/>
    <mergeCell ref="I182:N182"/>
    <mergeCell ref="I174:N174"/>
    <mergeCell ref="I180:N180"/>
    <mergeCell ref="V17:W17"/>
    <mergeCell ref="V18:W18"/>
    <mergeCell ref="V19:W19"/>
    <mergeCell ref="N19:O19"/>
    <mergeCell ref="J30:M30"/>
    <mergeCell ref="J31:M31"/>
    <mergeCell ref="J26:M26"/>
    <mergeCell ref="J27:M27"/>
    <mergeCell ref="J28:M28"/>
    <mergeCell ref="I22:J22"/>
    <mergeCell ref="I23:J23"/>
    <mergeCell ref="N30:O30"/>
    <mergeCell ref="N31:O31"/>
    <mergeCell ref="Q23:R23"/>
    <mergeCell ref="I21:O21"/>
    <mergeCell ref="Q74:U74"/>
    <mergeCell ref="Q75:W75"/>
    <mergeCell ref="K10:M10"/>
    <mergeCell ref="R144:V144"/>
    <mergeCell ref="Q147:V147"/>
    <mergeCell ref="B125:E125"/>
    <mergeCell ref="A132:E132"/>
    <mergeCell ref="A136:G136"/>
    <mergeCell ref="R137:V137"/>
    <mergeCell ref="R138:V138"/>
    <mergeCell ref="Q139:V139"/>
    <mergeCell ref="Q140:W141"/>
    <mergeCell ref="B137:F137"/>
    <mergeCell ref="I147:N147"/>
    <mergeCell ref="J125:M125"/>
    <mergeCell ref="I132:M132"/>
    <mergeCell ref="Q12:R12"/>
    <mergeCell ref="S12:T12"/>
    <mergeCell ref="Q13:R13"/>
    <mergeCell ref="S13:T13"/>
    <mergeCell ref="Q16:W16"/>
    <mergeCell ref="F26:G26"/>
    <mergeCell ref="F19:G19"/>
    <mergeCell ref="A16:G16"/>
    <mergeCell ref="F17:G17"/>
    <mergeCell ref="F18:G18"/>
    <mergeCell ref="I7:O7"/>
    <mergeCell ref="I8:O8"/>
    <mergeCell ref="I9:O9"/>
    <mergeCell ref="I12:J12"/>
    <mergeCell ref="K12:L12"/>
    <mergeCell ref="J159:M159"/>
    <mergeCell ref="I139:N139"/>
    <mergeCell ref="I140:O141"/>
    <mergeCell ref="J144:N144"/>
    <mergeCell ref="A25:Y25"/>
    <mergeCell ref="N26:O26"/>
    <mergeCell ref="Q7:W7"/>
    <mergeCell ref="Q8:W8"/>
    <mergeCell ref="Q9:W9"/>
    <mergeCell ref="S10:U10"/>
    <mergeCell ref="A21:G21"/>
    <mergeCell ref="A22:B22"/>
    <mergeCell ref="A23:B23"/>
    <mergeCell ref="A62:F62"/>
    <mergeCell ref="I13:J13"/>
    <mergeCell ref="K13:L13"/>
    <mergeCell ref="I16:O16"/>
    <mergeCell ref="N17:O17"/>
    <mergeCell ref="N18:O18"/>
    <mergeCell ref="A5:G5"/>
    <mergeCell ref="A6:G6"/>
    <mergeCell ref="A7:G7"/>
    <mergeCell ref="A8:G8"/>
    <mergeCell ref="A9:G9"/>
    <mergeCell ref="A12:B12"/>
    <mergeCell ref="C12:D12"/>
    <mergeCell ref="A13:B13"/>
    <mergeCell ref="C13:D13"/>
    <mergeCell ref="A184:F184"/>
    <mergeCell ref="A170:G171"/>
    <mergeCell ref="A174:F174"/>
    <mergeCell ref="A180:F180"/>
    <mergeCell ref="A182:F182"/>
    <mergeCell ref="A183:F183"/>
    <mergeCell ref="A167:E167"/>
    <mergeCell ref="B138:F138"/>
    <mergeCell ref="A139:F139"/>
    <mergeCell ref="A140:G141"/>
    <mergeCell ref="B144:F144"/>
    <mergeCell ref="A147:F147"/>
    <mergeCell ref="B150:F150"/>
    <mergeCell ref="A155:F155"/>
    <mergeCell ref="B159:E159"/>
    <mergeCell ref="A173:Y173"/>
    <mergeCell ref="I167:M167"/>
    <mergeCell ref="I170:O171"/>
    <mergeCell ref="J150:N150"/>
    <mergeCell ref="I155:N155"/>
    <mergeCell ref="Q180:V180"/>
    <mergeCell ref="Q182:V182"/>
    <mergeCell ref="R150:V150"/>
    <mergeCell ref="Q155:V155"/>
    <mergeCell ref="J34:M34"/>
    <mergeCell ref="Q21:W21"/>
    <mergeCell ref="Q22:R22"/>
    <mergeCell ref="Q54:W55"/>
    <mergeCell ref="Q56:W57"/>
    <mergeCell ref="V29:W29"/>
    <mergeCell ref="V30:W30"/>
    <mergeCell ref="R48:U48"/>
    <mergeCell ref="R50:U50"/>
    <mergeCell ref="Q51:U51"/>
    <mergeCell ref="Q52:W53"/>
    <mergeCell ref="R34:U34"/>
    <mergeCell ref="N27:O27"/>
    <mergeCell ref="N28:O28"/>
    <mergeCell ref="N29:O29"/>
    <mergeCell ref="Q59:V59"/>
    <mergeCell ref="Q62:V62"/>
    <mergeCell ref="R65:U65"/>
    <mergeCell ref="J65:M65"/>
    <mergeCell ref="I74:M74"/>
    <mergeCell ref="I75:O75"/>
    <mergeCell ref="A75:G75"/>
    <mergeCell ref="B48:E48"/>
    <mergeCell ref="B50:E50"/>
    <mergeCell ref="A51:E51"/>
    <mergeCell ref="I54:O55"/>
    <mergeCell ref="I56:O57"/>
    <mergeCell ref="I59:N59"/>
    <mergeCell ref="I62:N62"/>
    <mergeCell ref="A74:E74"/>
    <mergeCell ref="B65:E65"/>
    <mergeCell ref="A54:G55"/>
    <mergeCell ref="A56:G57"/>
    <mergeCell ref="A59:F59"/>
    <mergeCell ref="A52:G53"/>
    <mergeCell ref="J48:M48"/>
    <mergeCell ref="J50:M50"/>
    <mergeCell ref="I51:M51"/>
    <mergeCell ref="I52:O53"/>
    <mergeCell ref="I136:O136"/>
    <mergeCell ref="J137:N137"/>
    <mergeCell ref="J138:N138"/>
    <mergeCell ref="J108:M108"/>
    <mergeCell ref="I116:M116"/>
    <mergeCell ref="Q76:W76"/>
    <mergeCell ref="Q77:W77"/>
    <mergeCell ref="J83:M83"/>
    <mergeCell ref="A64:Y64"/>
    <mergeCell ref="A82:Y82"/>
    <mergeCell ref="A100:Y100"/>
    <mergeCell ref="A107:Y107"/>
    <mergeCell ref="A121:Y121"/>
    <mergeCell ref="R83:U83"/>
    <mergeCell ref="I76:O76"/>
    <mergeCell ref="I77:O77"/>
    <mergeCell ref="A84:A85"/>
    <mergeCell ref="A86:A87"/>
    <mergeCell ref="A96:F96"/>
    <mergeCell ref="A98:G98"/>
    <mergeCell ref="B83:E83"/>
    <mergeCell ref="B108:E108"/>
    <mergeCell ref="A76:G76"/>
    <mergeCell ref="A77:G77"/>
    <mergeCell ref="A124:Y124"/>
    <mergeCell ref="A143:Y143"/>
    <mergeCell ref="A149:Y149"/>
    <mergeCell ref="A158:Y158"/>
    <mergeCell ref="I84:I85"/>
    <mergeCell ref="I86:I87"/>
    <mergeCell ref="I96:N96"/>
    <mergeCell ref="A116:E116"/>
    <mergeCell ref="A122:G123"/>
    <mergeCell ref="Q84:Q85"/>
    <mergeCell ref="Q86:Q87"/>
    <mergeCell ref="Q96:V96"/>
    <mergeCell ref="Q98:W98"/>
    <mergeCell ref="R101:V101"/>
    <mergeCell ref="R108:U108"/>
    <mergeCell ref="Q116:U116"/>
    <mergeCell ref="Q122:W123"/>
    <mergeCell ref="B101:F101"/>
    <mergeCell ref="I122:O123"/>
    <mergeCell ref="I98:O98"/>
    <mergeCell ref="J101:N101"/>
    <mergeCell ref="R125:U125"/>
    <mergeCell ref="Q132:U132"/>
    <mergeCell ref="Q136:W136"/>
    <mergeCell ref="X26:Y26"/>
    <mergeCell ref="X27:Y27"/>
    <mergeCell ref="X28:Y28"/>
    <mergeCell ref="X30:Y30"/>
    <mergeCell ref="X31:Y31"/>
    <mergeCell ref="X29:Y29"/>
    <mergeCell ref="A33:Y33"/>
    <mergeCell ref="A47:Y47"/>
    <mergeCell ref="A46:Y46"/>
    <mergeCell ref="V31:W31"/>
    <mergeCell ref="V26:W26"/>
    <mergeCell ref="V27:W27"/>
    <mergeCell ref="V28:W28"/>
    <mergeCell ref="B34:E34"/>
    <mergeCell ref="B27:E27"/>
    <mergeCell ref="F27:G27"/>
    <mergeCell ref="B28:E28"/>
    <mergeCell ref="F28:G28"/>
    <mergeCell ref="F29:G29"/>
    <mergeCell ref="B30:E30"/>
    <mergeCell ref="F30:G30"/>
    <mergeCell ref="B31:E31"/>
    <mergeCell ref="F31:G31"/>
    <mergeCell ref="B26:E26"/>
  </mergeCells>
  <dataValidations count="2">
    <dataValidation allowBlank="1" showInputMessage="1" showErrorMessage="1" errorTitle="Atenção" error="Os dias só poderão ser alterados nos Dados." promptTitle="Jornada de Trabalho" prompt="- Alterando a carga horária, automaticamente será alterado os dias trabalhados._x000a_" sqref="C23 K23" xr:uid="{00000000-0002-0000-0400-000000000000}"/>
    <dataValidation allowBlank="1" showInputMessage="1" showErrorMessage="1" errorTitle="Atenção" error="Não esquecer de buscar os valores e alterar na coluna F - das linhas 50 a 60, em caso de mais de um Sindicato." promptTitle="Benefícios" prompt="- Em caso de mais de um Sindicato em &quot;Dados&quot;, não esquecer de buscar os valores e alterar na coluna F - das linhas 50 a 60." sqref="F84:F95 N84:N95" xr:uid="{00000000-0002-0000-0400-000001000000}"/>
  </dataValidations>
  <printOptions horizontalCentered="1"/>
  <pageMargins left="0.55118110236220474" right="0.55118110236220474" top="1.3779527559055118" bottom="0.43307086614173229" header="0.15748031496062992" footer="0.23622047244094491"/>
  <pageSetup paperSize="9" scale="69" fitToHeight="0" orientation="portrait" r:id="rId1"/>
  <headerFooter alignWithMargins="0">
    <oddHeader>&amp;L&amp;"+,Negrito"&amp;8PROPOSTA Nº 053/2020 - CJF</oddHeader>
  </headerFooter>
  <rowBreaks count="2" manualBreakCount="2">
    <brk id="62" max="28" man="1"/>
    <brk id="134" max="28" man="1"/>
  </rowBreaks>
  <ignoredErrors>
    <ignoredError sqref="A32:G32 G28 A28:E28 G27 A27:E27 G26 A26:E26 A30:E30 G23 B23:D23 A24:G24 A17:G22 A12:G16 A23 E23:F23 A39:G40 A38 C38:G38 G84:G87 A102:G106 A145:G148 G89:G91 A166:G167 A164 C164:G164 A165 C165:G165 A161:G163 A160:F160 A34:G37 A33 A108:G115 A107 A150:G157 A149 A159:G159 A158 A29:E29 G29 G30 A31:E31 G31 A25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184"/>
  <sheetViews>
    <sheetView topLeftCell="A163" zoomScaleNormal="100" zoomScaleSheetLayoutView="100" workbookViewId="0">
      <selection activeCell="AA100" sqref="AA100"/>
    </sheetView>
  </sheetViews>
  <sheetFormatPr defaultRowHeight="14.25" x14ac:dyDescent="0.2"/>
  <cols>
    <col min="1" max="1" width="5.85546875" style="34" customWidth="1"/>
    <col min="2" max="2" width="61" style="34" customWidth="1"/>
    <col min="3" max="3" width="19.7109375" style="34" customWidth="1"/>
    <col min="4" max="4" width="17.140625" style="34" customWidth="1"/>
    <col min="5" max="5" width="20.140625" style="34" customWidth="1"/>
    <col min="6" max="6" width="15.42578125" style="34" customWidth="1"/>
    <col min="7" max="7" width="19.7109375" style="66" customWidth="1"/>
    <col min="8" max="8" width="11" style="35" hidden="1" customWidth="1"/>
    <col min="9" max="9" width="0" style="35" hidden="1" customWidth="1"/>
    <col min="10" max="10" width="27.7109375" style="35" hidden="1" customWidth="1"/>
    <col min="11" max="11" width="18.28515625" style="35" hidden="1" customWidth="1"/>
    <col min="12" max="12" width="18.5703125" style="35" hidden="1" customWidth="1"/>
    <col min="13" max="13" width="20.28515625" style="35" hidden="1" customWidth="1"/>
    <col min="14" max="14" width="17.42578125" style="35" hidden="1" customWidth="1"/>
    <col min="15" max="15" width="0.140625" style="35" customWidth="1"/>
    <col min="16" max="20" width="9.140625" style="35" hidden="1" customWidth="1"/>
    <col min="21" max="21" width="3.42578125" style="35" hidden="1" customWidth="1"/>
    <col min="22" max="22" width="9.140625" style="35" hidden="1" customWidth="1"/>
    <col min="23" max="16384" width="9.140625" style="35"/>
  </cols>
  <sheetData>
    <row r="1" spans="1:14" x14ac:dyDescent="0.2">
      <c r="A1" s="65" t="str">
        <f>Proposta!C55</f>
        <v>Razão Social: BRASFORT EMPRESA DE SEGURANÇA LTDA</v>
      </c>
      <c r="I1" s="65" t="str">
        <f>Proposta!C55</f>
        <v>Razão Social: BRASFORT EMPRESA DE SEGURANÇA LTDA</v>
      </c>
    </row>
    <row r="2" spans="1:14" x14ac:dyDescent="0.2">
      <c r="A2" s="65" t="str">
        <f>Proposta!C56</f>
        <v>CNPJ: 03.497.401/0001-97</v>
      </c>
      <c r="I2" s="65" t="str">
        <f>Proposta!C56</f>
        <v>CNPJ: 03.497.401/0001-97</v>
      </c>
    </row>
    <row r="3" spans="1:14" x14ac:dyDescent="0.2">
      <c r="A3" s="66"/>
    </row>
    <row r="4" spans="1:14" x14ac:dyDescent="0.2">
      <c r="A4" s="66"/>
    </row>
    <row r="5" spans="1:14" hidden="1" x14ac:dyDescent="0.2">
      <c r="A5" s="1054" t="str">
        <f>Dados!H2</f>
        <v xml:space="preserve">REPACTUAÇÃO CONTRATUAL 20___ - </v>
      </c>
      <c r="B5" s="1054"/>
      <c r="C5" s="1054"/>
      <c r="D5" s="1054"/>
      <c r="E5" s="1054"/>
      <c r="F5" s="1054"/>
      <c r="G5" s="1054"/>
    </row>
    <row r="6" spans="1:14" hidden="1" x14ac:dyDescent="0.2">
      <c r="A6" s="1054" t="str">
        <f>Dados!A10</f>
        <v>CONTRATO Nº __________/201__ - CONTRATANTE - PRESTAÇÃO DE SERVIÇOS --------</v>
      </c>
      <c r="B6" s="1054"/>
      <c r="C6" s="1054"/>
      <c r="D6" s="1054"/>
      <c r="E6" s="1054"/>
      <c r="F6" s="1054"/>
      <c r="G6" s="1054"/>
    </row>
    <row r="7" spans="1:14" x14ac:dyDescent="0.2">
      <c r="A7" s="956" t="s">
        <v>475</v>
      </c>
      <c r="B7" s="956"/>
      <c r="C7" s="956"/>
      <c r="D7" s="956"/>
      <c r="E7" s="956"/>
      <c r="F7" s="956"/>
      <c r="G7" s="956"/>
      <c r="I7" s="956"/>
      <c r="J7" s="956"/>
      <c r="K7" s="956"/>
      <c r="L7" s="956"/>
      <c r="M7" s="956"/>
      <c r="N7" s="956"/>
    </row>
    <row r="8" spans="1:14" x14ac:dyDescent="0.2">
      <c r="A8" s="956" t="str">
        <f>Dados!A11</f>
        <v>PLANILHA DE CUSTOS E FORMAÇÃO DE PREÇOS - CJF</v>
      </c>
      <c r="B8" s="956"/>
      <c r="C8" s="956"/>
      <c r="D8" s="956"/>
      <c r="E8" s="956"/>
      <c r="F8" s="956"/>
      <c r="G8" s="956"/>
      <c r="I8" s="956"/>
      <c r="J8" s="956"/>
      <c r="K8" s="956"/>
      <c r="L8" s="956"/>
      <c r="M8" s="956"/>
      <c r="N8" s="956"/>
    </row>
    <row r="9" spans="1:14" hidden="1" x14ac:dyDescent="0.2">
      <c r="A9" s="956" t="s">
        <v>256</v>
      </c>
      <c r="B9" s="956"/>
      <c r="C9" s="956"/>
      <c r="D9" s="956"/>
      <c r="E9" s="956"/>
      <c r="F9" s="956"/>
      <c r="G9" s="956"/>
      <c r="I9" s="956" t="s">
        <v>256</v>
      </c>
      <c r="J9" s="956"/>
      <c r="K9" s="956"/>
      <c r="L9" s="956"/>
      <c r="M9" s="956"/>
      <c r="N9" s="956"/>
    </row>
    <row r="10" spans="1:14" ht="15" customHeight="1" x14ac:dyDescent="0.2">
      <c r="A10" s="585"/>
      <c r="B10" s="585"/>
      <c r="C10" s="585"/>
      <c r="D10" s="585"/>
      <c r="E10" s="585"/>
      <c r="F10" s="585"/>
      <c r="G10" s="585"/>
      <c r="I10" s="585"/>
      <c r="J10" s="1057" t="s">
        <v>488</v>
      </c>
      <c r="K10" s="1057"/>
      <c r="L10" s="1057"/>
      <c r="M10" s="1057"/>
      <c r="N10" s="1057"/>
    </row>
    <row r="11" spans="1:14" ht="9.75" customHeight="1" x14ac:dyDescent="0.2">
      <c r="A11" s="68"/>
      <c r="B11" s="68"/>
      <c r="C11" s="68"/>
      <c r="D11" s="68"/>
      <c r="E11" s="68"/>
      <c r="F11" s="68"/>
      <c r="G11" s="68"/>
      <c r="I11" s="68"/>
      <c r="J11" s="68"/>
      <c r="K11" s="68"/>
      <c r="L11" s="68"/>
      <c r="M11" s="68"/>
      <c r="N11" s="68"/>
    </row>
    <row r="12" spans="1:14" ht="15.75" customHeight="1" x14ac:dyDescent="0.2">
      <c r="A12" s="957" t="s">
        <v>104</v>
      </c>
      <c r="B12" s="957"/>
      <c r="C12" s="958" t="str">
        <f>Dados!G14</f>
        <v>0000793-29.2020.4.90.8000</v>
      </c>
      <c r="D12" s="958"/>
      <c r="E12" s="72"/>
      <c r="F12" s="80"/>
      <c r="G12" s="69"/>
      <c r="I12" s="957" t="s">
        <v>104</v>
      </c>
      <c r="J12" s="957"/>
      <c r="K12" s="958" t="str">
        <f>Dados!G14</f>
        <v>0000793-29.2020.4.90.8000</v>
      </c>
      <c r="L12" s="958"/>
      <c r="M12" s="72"/>
      <c r="N12" s="80"/>
    </row>
    <row r="13" spans="1:14" ht="15.75" customHeight="1" x14ac:dyDescent="0.2">
      <c r="A13" s="957" t="s">
        <v>103</v>
      </c>
      <c r="B13" s="957"/>
      <c r="C13" s="959" t="str">
        <f>"Pregão Eletrônico nº:" &amp; " " &amp; Dados!G22</f>
        <v>Pregão Eletrônico nº: 09/2020</v>
      </c>
      <c r="D13" s="959"/>
      <c r="E13" s="72"/>
      <c r="F13" s="151">
        <v>1</v>
      </c>
      <c r="G13" s="69"/>
      <c r="I13" s="957" t="s">
        <v>103</v>
      </c>
      <c r="J13" s="957"/>
      <c r="K13" s="959" t="str">
        <f>"Pregão Eletrônico nº:" &amp; " " &amp; Dados!G22</f>
        <v>Pregão Eletrônico nº: 09/2020</v>
      </c>
      <c r="L13" s="959"/>
      <c r="M13" s="72"/>
      <c r="N13" s="151">
        <v>1</v>
      </c>
    </row>
    <row r="14" spans="1:14" ht="15.75" customHeight="1" x14ac:dyDescent="0.2">
      <c r="A14" s="70" t="str">
        <f>"Dia:" &amp; " " &amp; TEXT(Dados!G15,"dd/mm/aaaa") &amp; " " &amp; "às" &amp; " " &amp; TEXT(Dados!G18,"hh:mm") &amp; " " &amp; "horas"</f>
        <v>Dia: 22/06/2020 às 10:00 horas</v>
      </c>
      <c r="B14" s="71"/>
      <c r="C14" s="71"/>
      <c r="D14" s="68"/>
      <c r="E14" s="72"/>
      <c r="F14" s="150"/>
      <c r="G14" s="74"/>
      <c r="I14" s="70" t="str">
        <f>"Dia:" &amp; " " &amp; TEXT(Dados!G15,"dd/mm/aaaa") &amp; " " &amp; "às" &amp; " " &amp; TEXT(Dados!G18,"hh:mm") &amp; " " &amp; "horas"</f>
        <v>Dia: 22/06/2020 às 10:00 horas</v>
      </c>
      <c r="J14" s="71"/>
      <c r="K14" s="71"/>
      <c r="L14" s="68"/>
      <c r="M14" s="72"/>
      <c r="N14" s="150"/>
    </row>
    <row r="15" spans="1:14" ht="8.25" customHeight="1" x14ac:dyDescent="0.2">
      <c r="A15" s="71"/>
      <c r="B15" s="71"/>
      <c r="C15" s="71"/>
      <c r="D15" s="68"/>
      <c r="E15" s="72"/>
      <c r="F15" s="586"/>
      <c r="G15" s="74"/>
      <c r="I15" s="71"/>
      <c r="J15" s="71"/>
      <c r="K15" s="71"/>
      <c r="L15" s="68"/>
      <c r="M15" s="72"/>
      <c r="N15" s="586"/>
    </row>
    <row r="16" spans="1:14" ht="18" customHeight="1" x14ac:dyDescent="0.2">
      <c r="A16" s="949" t="s">
        <v>205</v>
      </c>
      <c r="B16" s="949"/>
      <c r="C16" s="949"/>
      <c r="D16" s="949"/>
      <c r="E16" s="949"/>
      <c r="F16" s="949"/>
      <c r="G16" s="949"/>
      <c r="I16" s="949"/>
      <c r="J16" s="949"/>
      <c r="K16" s="949"/>
      <c r="L16" s="949"/>
      <c r="M16" s="949"/>
      <c r="N16" s="949"/>
    </row>
    <row r="17" spans="1:22" ht="16.5" customHeight="1" x14ac:dyDescent="0.2">
      <c r="A17" s="587" t="s">
        <v>1</v>
      </c>
      <c r="B17" s="581" t="s">
        <v>105</v>
      </c>
      <c r="C17" s="582"/>
      <c r="D17" s="584"/>
      <c r="E17" s="327"/>
      <c r="F17" s="932">
        <f>Dados!G16</f>
        <v>44012</v>
      </c>
      <c r="G17" s="950"/>
      <c r="I17" s="588" t="s">
        <v>1</v>
      </c>
      <c r="J17" s="383" t="s">
        <v>105</v>
      </c>
      <c r="K17" s="383"/>
      <c r="L17" s="388"/>
      <c r="M17" s="389"/>
      <c r="N17" s="590"/>
    </row>
    <row r="18" spans="1:22" ht="16.5" customHeight="1" x14ac:dyDescent="0.2">
      <c r="A18" s="587" t="s">
        <v>2</v>
      </c>
      <c r="B18" s="583" t="s">
        <v>3</v>
      </c>
      <c r="C18" s="584"/>
      <c r="D18" s="584"/>
      <c r="E18" s="328"/>
      <c r="F18" s="932" t="str">
        <f>Dados!G19</f>
        <v>Brasília - DF</v>
      </c>
      <c r="G18" s="950"/>
      <c r="I18" s="588" t="s">
        <v>2</v>
      </c>
      <c r="J18" s="388" t="s">
        <v>3</v>
      </c>
      <c r="K18" s="388"/>
      <c r="L18" s="388"/>
      <c r="M18" s="390"/>
      <c r="N18" s="590"/>
    </row>
    <row r="19" spans="1:22" ht="16.5" customHeight="1" x14ac:dyDescent="0.2">
      <c r="A19" s="587" t="s">
        <v>4</v>
      </c>
      <c r="B19" s="581" t="s">
        <v>106</v>
      </c>
      <c r="C19" s="582"/>
      <c r="D19" s="584"/>
      <c r="E19" s="328"/>
      <c r="F19" s="950">
        <f>Dados!G26</f>
        <v>20</v>
      </c>
      <c r="G19" s="950"/>
      <c r="I19" s="588" t="s">
        <v>4</v>
      </c>
      <c r="J19" s="383" t="s">
        <v>106</v>
      </c>
      <c r="K19" s="383"/>
      <c r="L19" s="388"/>
      <c r="M19" s="390"/>
      <c r="N19" s="589"/>
    </row>
    <row r="20" spans="1:22" ht="9" customHeight="1" x14ac:dyDescent="0.2">
      <c r="A20" s="585"/>
      <c r="B20" s="68"/>
      <c r="C20" s="68"/>
      <c r="D20" s="68"/>
      <c r="E20" s="68"/>
      <c r="F20" s="75"/>
      <c r="G20" s="76"/>
      <c r="I20" s="588"/>
      <c r="J20" s="387"/>
      <c r="K20" s="387"/>
      <c r="L20" s="387"/>
      <c r="M20" s="387"/>
      <c r="N20" s="387"/>
    </row>
    <row r="21" spans="1:22" ht="16.5" customHeight="1" x14ac:dyDescent="0.2">
      <c r="A21" s="949" t="s">
        <v>204</v>
      </c>
      <c r="B21" s="949"/>
      <c r="C21" s="949"/>
      <c r="D21" s="949"/>
      <c r="E21" s="949"/>
      <c r="F21" s="949"/>
      <c r="G21" s="949"/>
      <c r="I21" s="1053"/>
      <c r="J21" s="1053"/>
      <c r="K21" s="1053"/>
      <c r="L21" s="1053"/>
      <c r="M21" s="1053"/>
      <c r="N21" s="1053"/>
    </row>
    <row r="22" spans="1:22" ht="51" customHeight="1" x14ac:dyDescent="0.2">
      <c r="A22" s="944" t="s">
        <v>76</v>
      </c>
      <c r="B22" s="944"/>
      <c r="C22" s="723" t="s">
        <v>148</v>
      </c>
      <c r="D22" s="723" t="s">
        <v>102</v>
      </c>
      <c r="E22" s="723" t="s">
        <v>64</v>
      </c>
      <c r="F22" s="723" t="s">
        <v>149</v>
      </c>
      <c r="G22" s="723" t="s">
        <v>74</v>
      </c>
      <c r="H22" s="34"/>
      <c r="I22" s="949" t="s">
        <v>76</v>
      </c>
      <c r="J22" s="949"/>
      <c r="K22" s="687" t="s">
        <v>148</v>
      </c>
      <c r="L22" s="687" t="s">
        <v>102</v>
      </c>
      <c r="M22" s="687" t="s">
        <v>64</v>
      </c>
      <c r="N22" s="687" t="s">
        <v>149</v>
      </c>
    </row>
    <row r="23" spans="1:22" ht="33.75" customHeight="1" x14ac:dyDescent="0.2">
      <c r="A23" s="957" t="s">
        <v>538</v>
      </c>
      <c r="B23" s="957"/>
      <c r="C23" s="685" t="str">
        <f>Dados!J31</f>
        <v>44 horas semanais - 5x2</v>
      </c>
      <c r="D23" s="685" t="str">
        <f>Dados!G25</f>
        <v>Postos de Serviços</v>
      </c>
      <c r="E23" s="331">
        <v>1</v>
      </c>
      <c r="F23" s="331">
        <v>1</v>
      </c>
      <c r="G23" s="331">
        <f>E23*F23</f>
        <v>1</v>
      </c>
      <c r="H23" s="34"/>
      <c r="I23" s="960" t="str">
        <f>Dados!N74</f>
        <v>Vigilância Diurna 5x2</v>
      </c>
      <c r="J23" s="960"/>
      <c r="K23" s="698" t="str">
        <f>Dados!J31</f>
        <v>44 horas semanais - 5x2</v>
      </c>
      <c r="L23" s="698" t="str">
        <f>Dados!G25</f>
        <v>Postos de Serviços</v>
      </c>
      <c r="M23" s="382">
        <f>Dados!R74</f>
        <v>6</v>
      </c>
      <c r="N23" s="382">
        <f>Dados!S74</f>
        <v>1</v>
      </c>
    </row>
    <row r="24" spans="1:22" ht="14.25" customHeight="1" x14ac:dyDescent="0.2">
      <c r="A24" s="71"/>
      <c r="B24" s="71"/>
      <c r="C24" s="71"/>
      <c r="D24" s="71"/>
      <c r="E24" s="71"/>
      <c r="F24" s="195"/>
      <c r="G24" s="195"/>
      <c r="H24" s="34"/>
      <c r="I24" s="71"/>
      <c r="J24" s="71"/>
      <c r="K24" s="71"/>
      <c r="L24" s="71"/>
      <c r="M24" s="71"/>
      <c r="N24" s="71"/>
    </row>
    <row r="25" spans="1:22" ht="64.5" customHeight="1" x14ac:dyDescent="0.2">
      <c r="A25" s="940" t="s">
        <v>415</v>
      </c>
      <c r="B25" s="941"/>
      <c r="C25" s="941"/>
      <c r="D25" s="941"/>
      <c r="E25" s="941"/>
      <c r="F25" s="941"/>
      <c r="G25" s="942"/>
      <c r="H25" s="34"/>
      <c r="I25" s="752" t="s">
        <v>524</v>
      </c>
      <c r="J25" s="752"/>
      <c r="K25" s="752"/>
      <c r="L25" s="752"/>
      <c r="M25" s="752"/>
      <c r="N25" s="752"/>
      <c r="O25" s="1067"/>
      <c r="P25" s="1067"/>
      <c r="Q25" s="1067"/>
      <c r="R25" s="1067"/>
      <c r="S25" s="1067"/>
      <c r="T25" s="1067"/>
      <c r="U25" s="1067"/>
      <c r="V25" s="1067"/>
    </row>
    <row r="26" spans="1:22" ht="63" customHeight="1" x14ac:dyDescent="0.2">
      <c r="A26" s="685">
        <v>1</v>
      </c>
      <c r="B26" s="922" t="s">
        <v>76</v>
      </c>
      <c r="C26" s="922"/>
      <c r="D26" s="922"/>
      <c r="E26" s="922"/>
      <c r="F26" s="950" t="s">
        <v>538</v>
      </c>
      <c r="G26" s="950"/>
      <c r="H26" s="34"/>
      <c r="I26" s="698">
        <v>1</v>
      </c>
      <c r="J26" s="1064" t="s">
        <v>76</v>
      </c>
      <c r="K26" s="1064"/>
      <c r="L26" s="1064"/>
      <c r="M26" s="1064"/>
      <c r="N26" s="69"/>
      <c r="O26" s="1065"/>
      <c r="P26" s="1065"/>
      <c r="Q26" s="1065"/>
      <c r="R26" s="1065"/>
      <c r="S26" s="1065"/>
      <c r="T26" s="1065"/>
      <c r="U26" s="1065"/>
      <c r="V26" s="1065"/>
    </row>
    <row r="27" spans="1:22" ht="14.25" customHeight="1" x14ac:dyDescent="0.2">
      <c r="A27" s="685">
        <v>2</v>
      </c>
      <c r="B27" s="922" t="s">
        <v>202</v>
      </c>
      <c r="C27" s="922"/>
      <c r="D27" s="922"/>
      <c r="E27" s="922"/>
      <c r="F27" s="957" t="str">
        <f>Dados!O74</f>
        <v>5173-30</v>
      </c>
      <c r="G27" s="957"/>
      <c r="H27" s="34"/>
      <c r="I27" s="698">
        <v>2</v>
      </c>
      <c r="J27" s="1064" t="s">
        <v>202</v>
      </c>
      <c r="K27" s="1064"/>
      <c r="L27" s="1064"/>
      <c r="M27" s="1064"/>
      <c r="N27" s="68"/>
      <c r="O27" s="1066"/>
      <c r="P27" s="1066"/>
      <c r="Q27" s="1066"/>
      <c r="R27" s="1066"/>
      <c r="S27" s="1066"/>
      <c r="T27" s="1066"/>
      <c r="U27" s="1066"/>
      <c r="V27" s="1066"/>
    </row>
    <row r="28" spans="1:22" ht="15.75" customHeight="1" x14ac:dyDescent="0.2">
      <c r="A28" s="685">
        <v>3</v>
      </c>
      <c r="B28" s="922" t="s">
        <v>416</v>
      </c>
      <c r="C28" s="922"/>
      <c r="D28" s="922"/>
      <c r="E28" s="922"/>
      <c r="F28" s="923">
        <v>2708.92</v>
      </c>
      <c r="G28" s="923"/>
      <c r="H28" s="34"/>
      <c r="I28" s="698">
        <v>3</v>
      </c>
      <c r="J28" s="1064" t="s">
        <v>416</v>
      </c>
      <c r="K28" s="1064"/>
      <c r="L28" s="1064"/>
      <c r="M28" s="1064"/>
      <c r="N28" s="663"/>
      <c r="O28" s="1069"/>
      <c r="P28" s="1069"/>
      <c r="Q28" s="1069"/>
      <c r="R28" s="1069"/>
      <c r="S28" s="1069"/>
      <c r="T28" s="1069"/>
      <c r="U28" s="1069"/>
      <c r="V28" s="1069"/>
    </row>
    <row r="29" spans="1:22" ht="15.75" customHeight="1" x14ac:dyDescent="0.2">
      <c r="A29" s="685" t="s">
        <v>4</v>
      </c>
      <c r="B29" s="680" t="s">
        <v>417</v>
      </c>
      <c r="C29" s="330"/>
      <c r="D29" s="330"/>
      <c r="E29" s="329"/>
      <c r="F29" s="950" t="str">
        <f>Dados!N82</f>
        <v>SINDESV/SINDESP-DF</v>
      </c>
      <c r="G29" s="950"/>
      <c r="H29" s="34"/>
      <c r="I29" s="698" t="s">
        <v>4</v>
      </c>
      <c r="J29" s="71" t="s">
        <v>417</v>
      </c>
      <c r="K29" s="385"/>
      <c r="L29" s="385"/>
      <c r="M29" s="385"/>
      <c r="N29" s="69"/>
      <c r="O29" s="1065"/>
      <c r="P29" s="1065"/>
      <c r="Q29" s="1065"/>
      <c r="R29" s="1065"/>
      <c r="S29" s="1065"/>
      <c r="T29" s="1065"/>
      <c r="U29" s="1065"/>
      <c r="V29" s="1065"/>
    </row>
    <row r="30" spans="1:22" ht="14.25" customHeight="1" x14ac:dyDescent="0.2">
      <c r="A30" s="685">
        <v>4</v>
      </c>
      <c r="B30" s="922" t="s">
        <v>10</v>
      </c>
      <c r="C30" s="922"/>
      <c r="D30" s="922"/>
      <c r="E30" s="922"/>
      <c r="F30" s="932">
        <f>Dados!T82</f>
        <v>43831</v>
      </c>
      <c r="G30" s="932"/>
      <c r="H30" s="34"/>
      <c r="I30" s="698">
        <v>4</v>
      </c>
      <c r="J30" s="1064" t="s">
        <v>10</v>
      </c>
      <c r="K30" s="1064"/>
      <c r="L30" s="1064"/>
      <c r="M30" s="1064"/>
      <c r="N30" s="664"/>
      <c r="O30" s="1068"/>
      <c r="P30" s="1068"/>
      <c r="Q30" s="1068"/>
      <c r="R30" s="1068"/>
      <c r="S30" s="1068"/>
      <c r="T30" s="1068"/>
      <c r="U30" s="1068"/>
      <c r="V30" s="1068"/>
    </row>
    <row r="31" spans="1:22" ht="14.25" customHeight="1" x14ac:dyDescent="0.2">
      <c r="A31" s="685">
        <v>5</v>
      </c>
      <c r="B31" s="922" t="s">
        <v>418</v>
      </c>
      <c r="C31" s="922"/>
      <c r="D31" s="922"/>
      <c r="E31" s="922"/>
      <c r="F31" s="932" t="str">
        <f>Dados!L82</f>
        <v>DF000040/2020</v>
      </c>
      <c r="G31" s="932"/>
      <c r="H31" s="34"/>
      <c r="I31" s="698">
        <v>5</v>
      </c>
      <c r="J31" s="1064" t="s">
        <v>418</v>
      </c>
      <c r="K31" s="1064"/>
      <c r="L31" s="1064"/>
      <c r="M31" s="1064"/>
      <c r="N31" s="664"/>
      <c r="O31" s="1068"/>
      <c r="P31" s="1068"/>
      <c r="Q31" s="1068"/>
      <c r="R31" s="1068"/>
      <c r="S31" s="1068"/>
      <c r="T31" s="1068"/>
      <c r="U31" s="1068"/>
      <c r="V31" s="1068"/>
    </row>
    <row r="32" spans="1:22" ht="14.25" customHeight="1" x14ac:dyDescent="0.2">
      <c r="A32" s="698"/>
      <c r="B32" s="712"/>
      <c r="C32" s="712"/>
      <c r="D32" s="712"/>
      <c r="E32" s="712"/>
      <c r="F32" s="690"/>
      <c r="G32" s="690"/>
      <c r="H32" s="34"/>
      <c r="I32" s="698"/>
      <c r="J32" s="712"/>
      <c r="K32" s="712"/>
      <c r="L32" s="712"/>
      <c r="M32" s="712"/>
      <c r="N32" s="690"/>
    </row>
    <row r="33" spans="1:14" s="198" customFormat="1" x14ac:dyDescent="0.2">
      <c r="A33" s="931" t="s">
        <v>25</v>
      </c>
      <c r="B33" s="931"/>
      <c r="C33" s="931"/>
      <c r="D33" s="931"/>
      <c r="E33" s="931"/>
      <c r="F33" s="931"/>
      <c r="G33" s="931"/>
      <c r="H33" s="931"/>
      <c r="I33" s="931"/>
      <c r="J33" s="931"/>
      <c r="K33" s="931"/>
      <c r="L33" s="931"/>
      <c r="M33" s="931"/>
      <c r="N33" s="931"/>
    </row>
    <row r="34" spans="1:14" ht="56.25" customHeight="1" x14ac:dyDescent="0.2">
      <c r="A34" s="724">
        <v>1</v>
      </c>
      <c r="B34" s="982" t="s">
        <v>77</v>
      </c>
      <c r="C34" s="982"/>
      <c r="D34" s="982"/>
      <c r="E34" s="982"/>
      <c r="F34" s="725" t="s">
        <v>222</v>
      </c>
      <c r="G34" s="724" t="s">
        <v>520</v>
      </c>
      <c r="H34" s="79"/>
      <c r="I34" s="724">
        <v>1</v>
      </c>
      <c r="J34" s="982" t="s">
        <v>77</v>
      </c>
      <c r="K34" s="982"/>
      <c r="L34" s="982"/>
      <c r="M34" s="982"/>
      <c r="N34" s="725" t="s">
        <v>222</v>
      </c>
    </row>
    <row r="35" spans="1:14" x14ac:dyDescent="0.2">
      <c r="A35" s="301" t="s">
        <v>1</v>
      </c>
      <c r="B35" s="680" t="s">
        <v>178</v>
      </c>
      <c r="C35" s="681"/>
      <c r="D35" s="681"/>
      <c r="E35" s="682"/>
      <c r="F35" s="302"/>
      <c r="G35" s="303">
        <v>2708.92</v>
      </c>
      <c r="H35" s="79"/>
      <c r="I35" s="301" t="s">
        <v>1</v>
      </c>
      <c r="J35" s="680" t="s">
        <v>178</v>
      </c>
      <c r="K35" s="681"/>
      <c r="L35" s="681"/>
      <c r="M35" s="682"/>
      <c r="N35" s="302"/>
    </row>
    <row r="36" spans="1:14" x14ac:dyDescent="0.2">
      <c r="A36" s="301" t="s">
        <v>2</v>
      </c>
      <c r="B36" s="680" t="str">
        <f>Dados!A36 &amp; " " &amp; "- Salário base x 30%"</f>
        <v>Adicional de Periculosidade  - Salário base x 30%</v>
      </c>
      <c r="C36" s="681"/>
      <c r="D36" s="681"/>
      <c r="E36" s="682"/>
      <c r="F36" s="302">
        <f>Dados!G36</f>
        <v>0.3</v>
      </c>
      <c r="G36" s="304">
        <f>G35*F36</f>
        <v>812.68</v>
      </c>
      <c r="H36" s="79"/>
      <c r="I36" s="301" t="s">
        <v>2</v>
      </c>
      <c r="J36" s="680" t="str">
        <f>Dados!A36 &amp; " " &amp; "- Salário base x 30%"</f>
        <v>Adicional de Periculosidade  - Salário base x 30%</v>
      </c>
      <c r="K36" s="681"/>
      <c r="L36" s="681"/>
      <c r="M36" s="682"/>
      <c r="N36" s="302">
        <f>Dados!G36</f>
        <v>0.3</v>
      </c>
    </row>
    <row r="37" spans="1:14" x14ac:dyDescent="0.2">
      <c r="A37" s="301" t="s">
        <v>4</v>
      </c>
      <c r="B37" s="680" t="s">
        <v>255</v>
      </c>
      <c r="C37" s="681"/>
      <c r="D37" s="681"/>
      <c r="E37" s="682"/>
      <c r="F37" s="302"/>
      <c r="G37" s="304"/>
      <c r="H37" s="79"/>
      <c r="I37" s="301" t="s">
        <v>4</v>
      </c>
      <c r="J37" s="680" t="s">
        <v>255</v>
      </c>
      <c r="K37" s="681"/>
      <c r="L37" s="681"/>
      <c r="M37" s="682"/>
      <c r="N37" s="302"/>
    </row>
    <row r="38" spans="1:14" ht="15" x14ac:dyDescent="0.2">
      <c r="A38" s="301" t="s">
        <v>5</v>
      </c>
      <c r="B38" s="680" t="s">
        <v>437</v>
      </c>
      <c r="C38" s="681"/>
      <c r="D38" s="681"/>
      <c r="E38" s="682"/>
      <c r="F38" s="302">
        <f>Dados!G39</f>
        <v>0.2</v>
      </c>
      <c r="G38" s="304"/>
      <c r="H38" s="79"/>
      <c r="I38" s="301" t="s">
        <v>5</v>
      </c>
      <c r="J38" s="680" t="s">
        <v>437</v>
      </c>
      <c r="K38" s="681"/>
      <c r="L38" s="681"/>
      <c r="M38" s="682"/>
      <c r="N38" s="302">
        <f>Dados!O39</f>
        <v>0</v>
      </c>
    </row>
    <row r="39" spans="1:14" x14ac:dyDescent="0.2">
      <c r="A39" s="301" t="s">
        <v>6</v>
      </c>
      <c r="B39" s="680" t="s">
        <v>206</v>
      </c>
      <c r="C39" s="681"/>
      <c r="D39" s="681"/>
      <c r="E39" s="682"/>
      <c r="F39" s="302"/>
      <c r="G39" s="304"/>
      <c r="H39" s="79"/>
      <c r="I39" s="301" t="s">
        <v>6</v>
      </c>
      <c r="J39" s="680" t="s">
        <v>206</v>
      </c>
      <c r="K39" s="681"/>
      <c r="L39" s="681"/>
      <c r="M39" s="682"/>
      <c r="N39" s="302"/>
    </row>
    <row r="40" spans="1:14" x14ac:dyDescent="0.2">
      <c r="A40" s="301" t="s">
        <v>7</v>
      </c>
      <c r="B40" s="680" t="s">
        <v>51</v>
      </c>
      <c r="C40" s="681"/>
      <c r="D40" s="681"/>
      <c r="E40" s="682"/>
      <c r="F40" s="302"/>
      <c r="G40" s="304"/>
      <c r="H40" s="79"/>
      <c r="I40" s="301" t="s">
        <v>7</v>
      </c>
      <c r="J40" s="680" t="s">
        <v>51</v>
      </c>
      <c r="K40" s="681"/>
      <c r="L40" s="681"/>
      <c r="M40" s="682"/>
      <c r="N40" s="302"/>
    </row>
    <row r="41" spans="1:14" ht="16.5" customHeight="1" x14ac:dyDescent="0.2">
      <c r="A41" s="933" t="s">
        <v>159</v>
      </c>
      <c r="B41" s="933"/>
      <c r="C41" s="933"/>
      <c r="D41" s="933"/>
      <c r="E41" s="933"/>
      <c r="F41" s="933"/>
      <c r="G41" s="726">
        <f>SUM(G35:G40)</f>
        <v>3521.6</v>
      </c>
      <c r="H41" s="79"/>
      <c r="I41" s="933" t="s">
        <v>159</v>
      </c>
      <c r="J41" s="933"/>
      <c r="K41" s="933"/>
      <c r="L41" s="933"/>
      <c r="M41" s="933"/>
      <c r="N41" s="933"/>
    </row>
    <row r="42" spans="1:14" s="34" customFormat="1" x14ac:dyDescent="0.2">
      <c r="A42" s="71" t="s">
        <v>207</v>
      </c>
      <c r="B42" s="71"/>
      <c r="C42" s="71"/>
      <c r="D42" s="71"/>
      <c r="E42" s="71"/>
      <c r="F42" s="196"/>
      <c r="G42" s="197"/>
      <c r="H42" s="79"/>
      <c r="I42" s="71" t="s">
        <v>207</v>
      </c>
      <c r="J42" s="71"/>
      <c r="K42" s="71"/>
      <c r="L42" s="71"/>
      <c r="M42" s="71"/>
      <c r="N42" s="196"/>
    </row>
    <row r="43" spans="1:14" s="34" customFormat="1" ht="14.25" hidden="1" customHeight="1" x14ac:dyDescent="0.2">
      <c r="A43" s="924" t="s">
        <v>208</v>
      </c>
      <c r="B43" s="924"/>
      <c r="C43" s="924"/>
      <c r="D43" s="924"/>
      <c r="E43" s="924"/>
      <c r="F43" s="924"/>
      <c r="G43" s="924"/>
      <c r="H43" s="79"/>
      <c r="I43" s="924" t="s">
        <v>208</v>
      </c>
      <c r="J43" s="924"/>
      <c r="K43" s="924"/>
      <c r="L43" s="924"/>
      <c r="M43" s="924"/>
      <c r="N43" s="924"/>
    </row>
    <row r="44" spans="1:14" s="34" customFormat="1" hidden="1" x14ac:dyDescent="0.2">
      <c r="A44" s="924"/>
      <c r="B44" s="924"/>
      <c r="C44" s="924"/>
      <c r="D44" s="924"/>
      <c r="E44" s="924"/>
      <c r="F44" s="924"/>
      <c r="G44" s="924"/>
      <c r="H44" s="79"/>
      <c r="I44" s="924"/>
      <c r="J44" s="924"/>
      <c r="K44" s="924"/>
      <c r="L44" s="924"/>
      <c r="M44" s="924"/>
      <c r="N44" s="924"/>
    </row>
    <row r="45" spans="1:14" s="34" customFormat="1" x14ac:dyDescent="0.2">
      <c r="A45" s="71"/>
      <c r="B45" s="71"/>
      <c r="C45" s="71"/>
      <c r="D45" s="71"/>
      <c r="E45" s="71"/>
      <c r="F45" s="196"/>
      <c r="G45" s="197"/>
      <c r="H45" s="79"/>
      <c r="I45" s="71"/>
      <c r="J45" s="71"/>
      <c r="K45" s="71"/>
      <c r="L45" s="71"/>
      <c r="M45" s="71"/>
      <c r="N45" s="196"/>
    </row>
    <row r="46" spans="1:14" s="34" customFormat="1" ht="14.25" customHeight="1" x14ac:dyDescent="0.2">
      <c r="A46" s="944" t="s">
        <v>209</v>
      </c>
      <c r="B46" s="944"/>
      <c r="C46" s="944"/>
      <c r="D46" s="944"/>
      <c r="E46" s="944"/>
      <c r="F46" s="944"/>
      <c r="G46" s="944"/>
      <c r="H46" s="944"/>
      <c r="I46" s="944"/>
      <c r="J46" s="944"/>
      <c r="K46" s="944"/>
      <c r="L46" s="944"/>
      <c r="M46" s="944"/>
      <c r="N46" s="944"/>
    </row>
    <row r="47" spans="1:14" s="34" customFormat="1" x14ac:dyDescent="0.2">
      <c r="A47" s="931" t="s">
        <v>216</v>
      </c>
      <c r="B47" s="931"/>
      <c r="C47" s="931"/>
      <c r="D47" s="931"/>
      <c r="E47" s="931"/>
      <c r="F47" s="931"/>
      <c r="G47" s="931"/>
      <c r="H47" s="931"/>
      <c r="I47" s="931"/>
      <c r="J47" s="931"/>
      <c r="K47" s="931"/>
      <c r="L47" s="931"/>
      <c r="M47" s="931"/>
      <c r="N47" s="931"/>
    </row>
    <row r="48" spans="1:14" s="34" customFormat="1" x14ac:dyDescent="0.2">
      <c r="A48" s="725" t="s">
        <v>211</v>
      </c>
      <c r="B48" s="983" t="s">
        <v>223</v>
      </c>
      <c r="C48" s="983"/>
      <c r="D48" s="983"/>
      <c r="E48" s="983"/>
      <c r="F48" s="725" t="s">
        <v>222</v>
      </c>
      <c r="G48" s="724" t="s">
        <v>107</v>
      </c>
      <c r="H48" s="79"/>
      <c r="I48" s="725" t="s">
        <v>211</v>
      </c>
      <c r="J48" s="983" t="s">
        <v>223</v>
      </c>
      <c r="K48" s="983"/>
      <c r="L48" s="983"/>
      <c r="M48" s="983"/>
      <c r="N48" s="725" t="s">
        <v>222</v>
      </c>
    </row>
    <row r="49" spans="1:14" s="34" customFormat="1" x14ac:dyDescent="0.2">
      <c r="A49" s="685" t="s">
        <v>1</v>
      </c>
      <c r="B49" s="319" t="str">
        <f>Dados!B76</f>
        <v xml:space="preserve">13º (décimo terceiro) salário  </v>
      </c>
      <c r="C49" s="122"/>
      <c r="D49" s="321"/>
      <c r="E49" s="310"/>
      <c r="F49" s="314">
        <f>Dados!G76</f>
        <v>9.0899999999999995E-2</v>
      </c>
      <c r="G49" s="704">
        <f>F49*$G$41</f>
        <v>320.11</v>
      </c>
      <c r="H49" s="79"/>
      <c r="I49" s="685" t="s">
        <v>1</v>
      </c>
      <c r="J49" s="319" t="str">
        <f>Dados!B76</f>
        <v xml:space="preserve">13º (décimo terceiro) salário  </v>
      </c>
      <c r="K49" s="122"/>
      <c r="L49" s="321"/>
      <c r="M49" s="310"/>
      <c r="N49" s="314">
        <f>Dados!G76</f>
        <v>9.0899999999999995E-2</v>
      </c>
    </row>
    <row r="50" spans="1:14" s="34" customFormat="1" x14ac:dyDescent="0.2">
      <c r="A50" s="685" t="s">
        <v>2</v>
      </c>
      <c r="B50" s="981" t="str">
        <f>Dados!B77</f>
        <v>Férias e Adicional de Férias</v>
      </c>
      <c r="C50" s="981"/>
      <c r="D50" s="981"/>
      <c r="E50" s="981"/>
      <c r="F50" s="314">
        <f>Dados!G77</f>
        <v>0.1212</v>
      </c>
      <c r="G50" s="704">
        <f>F50*$G$41</f>
        <v>426.82</v>
      </c>
      <c r="H50" s="79"/>
      <c r="I50" s="685" t="s">
        <v>2</v>
      </c>
      <c r="J50" s="981" t="str">
        <f>Dados!B77</f>
        <v>Férias e Adicional de Férias</v>
      </c>
      <c r="K50" s="981"/>
      <c r="L50" s="981"/>
      <c r="M50" s="981"/>
      <c r="N50" s="314">
        <f>Dados!G77</f>
        <v>0.1212</v>
      </c>
    </row>
    <row r="51" spans="1:14" s="34" customFormat="1" ht="18.75" customHeight="1" x14ac:dyDescent="0.2">
      <c r="A51" s="933" t="s">
        <v>159</v>
      </c>
      <c r="B51" s="933"/>
      <c r="C51" s="933"/>
      <c r="D51" s="933"/>
      <c r="E51" s="933"/>
      <c r="F51" s="317">
        <f>SUM(F49:F50)</f>
        <v>0.21210000000000001</v>
      </c>
      <c r="G51" s="322">
        <f>SUM(G49:G50)</f>
        <v>746.93</v>
      </c>
      <c r="H51" s="79"/>
      <c r="I51" s="933" t="s">
        <v>159</v>
      </c>
      <c r="J51" s="933"/>
      <c r="K51" s="933"/>
      <c r="L51" s="933"/>
      <c r="M51" s="933"/>
      <c r="N51" s="317">
        <f>SUM(N49:N50)</f>
        <v>0.21210000000000001</v>
      </c>
    </row>
    <row r="52" spans="1:14" s="34" customFormat="1" x14ac:dyDescent="0.2">
      <c r="A52" s="924" t="s">
        <v>215</v>
      </c>
      <c r="B52" s="924"/>
      <c r="C52" s="924"/>
      <c r="D52" s="924"/>
      <c r="E52" s="924"/>
      <c r="F52" s="924"/>
      <c r="G52" s="924"/>
      <c r="H52" s="79"/>
      <c r="I52" s="924"/>
      <c r="J52" s="924"/>
      <c r="K52" s="924"/>
      <c r="L52" s="924"/>
      <c r="M52" s="924"/>
      <c r="N52" s="924"/>
    </row>
    <row r="53" spans="1:14" s="34" customFormat="1" x14ac:dyDescent="0.2">
      <c r="A53" s="924"/>
      <c r="B53" s="924"/>
      <c r="C53" s="924"/>
      <c r="D53" s="924"/>
      <c r="E53" s="924"/>
      <c r="F53" s="924"/>
      <c r="G53" s="924"/>
      <c r="H53" s="79"/>
      <c r="I53" s="924"/>
      <c r="J53" s="924"/>
      <c r="K53" s="924"/>
      <c r="L53" s="924"/>
      <c r="M53" s="924"/>
      <c r="N53" s="924"/>
    </row>
    <row r="54" spans="1:14" s="34" customFormat="1" x14ac:dyDescent="0.2">
      <c r="A54" s="1052" t="s">
        <v>478</v>
      </c>
      <c r="B54" s="924"/>
      <c r="C54" s="924"/>
      <c r="D54" s="924"/>
      <c r="E54" s="924"/>
      <c r="F54" s="924"/>
      <c r="G54" s="924"/>
      <c r="H54" s="79"/>
      <c r="I54" s="1052"/>
      <c r="J54" s="924"/>
      <c r="K54" s="924"/>
      <c r="L54" s="924"/>
      <c r="M54" s="924"/>
      <c r="N54" s="924"/>
    </row>
    <row r="55" spans="1:14" s="34" customFormat="1" x14ac:dyDescent="0.2">
      <c r="A55" s="924"/>
      <c r="B55" s="924"/>
      <c r="C55" s="924"/>
      <c r="D55" s="924"/>
      <c r="E55" s="924"/>
      <c r="F55" s="924"/>
      <c r="G55" s="924"/>
      <c r="H55" s="79"/>
      <c r="I55" s="924"/>
      <c r="J55" s="924"/>
      <c r="K55" s="924"/>
      <c r="L55" s="924"/>
      <c r="M55" s="924"/>
      <c r="N55" s="924"/>
    </row>
    <row r="56" spans="1:14" s="34" customFormat="1" x14ac:dyDescent="0.2">
      <c r="A56" s="924" t="s">
        <v>419</v>
      </c>
      <c r="B56" s="924"/>
      <c r="C56" s="924"/>
      <c r="D56" s="924"/>
      <c r="E56" s="924"/>
      <c r="F56" s="924"/>
      <c r="G56" s="924"/>
      <c r="H56" s="79"/>
      <c r="I56" s="924"/>
      <c r="J56" s="924"/>
      <c r="K56" s="924"/>
      <c r="L56" s="924"/>
      <c r="M56" s="924"/>
      <c r="N56" s="924"/>
    </row>
    <row r="57" spans="1:14" s="34" customFormat="1" x14ac:dyDescent="0.2">
      <c r="A57" s="924"/>
      <c r="B57" s="924"/>
      <c r="C57" s="924"/>
      <c r="D57" s="924"/>
      <c r="E57" s="924"/>
      <c r="F57" s="924"/>
      <c r="G57" s="924"/>
      <c r="H57" s="79"/>
      <c r="I57" s="924"/>
      <c r="J57" s="924"/>
      <c r="K57" s="924"/>
      <c r="L57" s="924"/>
      <c r="M57" s="924"/>
      <c r="N57" s="924"/>
    </row>
    <row r="58" spans="1:14" s="34" customFormat="1" x14ac:dyDescent="0.2">
      <c r="A58" s="678"/>
      <c r="B58" s="678"/>
      <c r="C58" s="678"/>
      <c r="D58" s="678"/>
      <c r="E58" s="678"/>
      <c r="F58" s="678"/>
      <c r="G58" s="678"/>
      <c r="H58" s="79"/>
      <c r="I58" s="678"/>
      <c r="J58" s="678"/>
      <c r="K58" s="678"/>
      <c r="L58" s="678"/>
      <c r="M58" s="678"/>
      <c r="N58" s="678"/>
    </row>
    <row r="59" spans="1:14" s="34" customFormat="1" ht="15.75" customHeight="1" x14ac:dyDescent="0.2">
      <c r="A59" s="944" t="s">
        <v>420</v>
      </c>
      <c r="B59" s="944"/>
      <c r="C59" s="944"/>
      <c r="D59" s="944"/>
      <c r="E59" s="944"/>
      <c r="F59" s="944"/>
      <c r="G59" s="727" t="s">
        <v>107</v>
      </c>
      <c r="H59" s="79"/>
      <c r="I59" s="944" t="s">
        <v>420</v>
      </c>
      <c r="J59" s="944"/>
      <c r="K59" s="944"/>
      <c r="L59" s="944"/>
      <c r="M59" s="944"/>
      <c r="N59" s="944"/>
    </row>
    <row r="60" spans="1:14" s="34" customFormat="1" x14ac:dyDescent="0.2">
      <c r="A60" s="685">
        <v>1</v>
      </c>
      <c r="B60" s="319" t="str">
        <f>A33</f>
        <v>Módulo 1 - Composição da Remuneração</v>
      </c>
      <c r="C60" s="122"/>
      <c r="D60" s="321"/>
      <c r="E60" s="321"/>
      <c r="F60" s="710"/>
      <c r="G60" s="704">
        <f>G41</f>
        <v>3521.6</v>
      </c>
      <c r="H60" s="79"/>
      <c r="I60" s="685">
        <v>1</v>
      </c>
      <c r="J60" s="319">
        <f>I33</f>
        <v>0</v>
      </c>
      <c r="K60" s="122"/>
      <c r="L60" s="321"/>
      <c r="M60" s="321"/>
      <c r="N60" s="710"/>
    </row>
    <row r="61" spans="1:14" s="34" customFormat="1" x14ac:dyDescent="0.2">
      <c r="A61" s="685" t="s">
        <v>211</v>
      </c>
      <c r="B61" s="319" t="str">
        <f>A47</f>
        <v>Submódulo 2.1 - 13º (décimo terceiro) Salário, Férias e Adicional de Férias</v>
      </c>
      <c r="C61" s="122"/>
      <c r="D61" s="321"/>
      <c r="E61" s="321"/>
      <c r="F61" s="710"/>
      <c r="G61" s="704">
        <f>G51</f>
        <v>746.93</v>
      </c>
      <c r="H61" s="79"/>
      <c r="I61" s="685" t="s">
        <v>211</v>
      </c>
      <c r="J61" s="319">
        <f>I47</f>
        <v>0</v>
      </c>
      <c r="K61" s="122"/>
      <c r="L61" s="321"/>
      <c r="M61" s="321"/>
      <c r="N61" s="710"/>
    </row>
    <row r="62" spans="1:14" s="34" customFormat="1" x14ac:dyDescent="0.2">
      <c r="A62" s="943" t="s">
        <v>241</v>
      </c>
      <c r="B62" s="943"/>
      <c r="C62" s="943"/>
      <c r="D62" s="943"/>
      <c r="E62" s="943"/>
      <c r="F62" s="943"/>
      <c r="G62" s="322">
        <f>SUM(G60:G61)</f>
        <v>4268.53</v>
      </c>
      <c r="H62" s="79"/>
      <c r="I62" s="943" t="s">
        <v>241</v>
      </c>
      <c r="J62" s="943"/>
      <c r="K62" s="943"/>
      <c r="L62" s="943"/>
      <c r="M62" s="943"/>
      <c r="N62" s="943"/>
    </row>
    <row r="63" spans="1:14" s="34" customFormat="1" x14ac:dyDescent="0.2">
      <c r="A63" s="678"/>
      <c r="B63" s="678"/>
      <c r="C63" s="678"/>
      <c r="D63" s="678"/>
      <c r="E63" s="678"/>
      <c r="F63" s="678"/>
      <c r="G63" s="678"/>
      <c r="H63" s="79"/>
      <c r="I63" s="678"/>
      <c r="J63" s="678"/>
      <c r="K63" s="678"/>
      <c r="L63" s="678"/>
      <c r="M63" s="678"/>
      <c r="N63" s="678"/>
    </row>
    <row r="64" spans="1:14" x14ac:dyDescent="0.2">
      <c r="A64" s="931" t="s">
        <v>217</v>
      </c>
      <c r="B64" s="931"/>
      <c r="C64" s="931"/>
      <c r="D64" s="931"/>
      <c r="E64" s="931"/>
      <c r="F64" s="931"/>
      <c r="G64" s="931"/>
      <c r="H64" s="931"/>
      <c r="I64" s="931"/>
      <c r="J64" s="931"/>
      <c r="K64" s="931"/>
      <c r="L64" s="931"/>
      <c r="M64" s="931"/>
      <c r="N64" s="931"/>
    </row>
    <row r="65" spans="1:14" x14ac:dyDescent="0.2">
      <c r="A65" s="725" t="s">
        <v>210</v>
      </c>
      <c r="B65" s="983" t="s">
        <v>221</v>
      </c>
      <c r="C65" s="983"/>
      <c r="D65" s="983"/>
      <c r="E65" s="983"/>
      <c r="F65" s="725" t="s">
        <v>222</v>
      </c>
      <c r="G65" s="724" t="s">
        <v>107</v>
      </c>
      <c r="H65" s="79"/>
      <c r="I65" s="725" t="s">
        <v>210</v>
      </c>
      <c r="J65" s="983" t="s">
        <v>221</v>
      </c>
      <c r="K65" s="983"/>
      <c r="L65" s="983"/>
      <c r="M65" s="983"/>
      <c r="N65" s="725" t="s">
        <v>222</v>
      </c>
    </row>
    <row r="66" spans="1:14" x14ac:dyDescent="0.2">
      <c r="A66" s="685" t="s">
        <v>1</v>
      </c>
      <c r="B66" s="319" t="str">
        <f>Dados!B80</f>
        <v>INSS</v>
      </c>
      <c r="C66" s="122"/>
      <c r="D66" s="321"/>
      <c r="E66" s="310"/>
      <c r="F66" s="314">
        <f>Dados!G80</f>
        <v>0.2</v>
      </c>
      <c r="G66" s="704">
        <f>$G$62*F66</f>
        <v>853.71</v>
      </c>
      <c r="H66" s="79"/>
      <c r="I66" s="685" t="s">
        <v>1</v>
      </c>
      <c r="J66" s="319" t="str">
        <f>Dados!B80</f>
        <v>INSS</v>
      </c>
      <c r="K66" s="122"/>
      <c r="L66" s="321"/>
      <c r="M66" s="310"/>
      <c r="N66" s="314">
        <f>Dados!G80</f>
        <v>0.2</v>
      </c>
    </row>
    <row r="67" spans="1:14" x14ac:dyDescent="0.2">
      <c r="A67" s="685" t="s">
        <v>2</v>
      </c>
      <c r="B67" s="319" t="str">
        <f>Dados!B81</f>
        <v>Salário Educação</v>
      </c>
      <c r="C67" s="122"/>
      <c r="D67" s="321"/>
      <c r="E67" s="310"/>
      <c r="F67" s="314">
        <f>Dados!G81</f>
        <v>2.5000000000000001E-2</v>
      </c>
      <c r="G67" s="704">
        <f t="shared" ref="G67:G73" si="0">$G$62*F67</f>
        <v>106.71</v>
      </c>
      <c r="H67" s="79"/>
      <c r="I67" s="685" t="s">
        <v>2</v>
      </c>
      <c r="J67" s="319" t="str">
        <f>Dados!B81</f>
        <v>Salário Educação</v>
      </c>
      <c r="K67" s="122"/>
      <c r="L67" s="321"/>
      <c r="M67" s="310"/>
      <c r="N67" s="314">
        <f>Dados!G81</f>
        <v>2.5000000000000001E-2</v>
      </c>
    </row>
    <row r="68" spans="1:14" x14ac:dyDescent="0.2">
      <c r="A68" s="685" t="s">
        <v>4</v>
      </c>
      <c r="B68" s="319" t="str">
        <f>Dados!B82</f>
        <v>Seguro Acidente do Trabalho - SAT = RAT x FAP</v>
      </c>
      <c r="C68" s="122"/>
      <c r="D68" s="321"/>
      <c r="E68" s="310"/>
      <c r="F68" s="314">
        <v>2.5700000000000001E-2</v>
      </c>
      <c r="G68" s="704">
        <f t="shared" si="0"/>
        <v>109.7</v>
      </c>
      <c r="H68" s="79"/>
      <c r="I68" s="685" t="s">
        <v>4</v>
      </c>
      <c r="J68" s="319" t="str">
        <f>Dados!B82</f>
        <v>Seguro Acidente do Trabalho - SAT = RAT x FAP</v>
      </c>
      <c r="K68" s="122"/>
      <c r="L68" s="321"/>
      <c r="M68" s="310"/>
      <c r="N68" s="314">
        <v>2.5700000000000001E-2</v>
      </c>
    </row>
    <row r="69" spans="1:14" x14ac:dyDescent="0.2">
      <c r="A69" s="685" t="s">
        <v>5</v>
      </c>
      <c r="B69" s="319" t="str">
        <f>Dados!B83</f>
        <v>SESI ou SESC</v>
      </c>
      <c r="C69" s="122"/>
      <c r="D69" s="321"/>
      <c r="E69" s="310"/>
      <c r="F69" s="314">
        <f>Dados!G83</f>
        <v>1.4999999999999999E-2</v>
      </c>
      <c r="G69" s="704">
        <f t="shared" si="0"/>
        <v>64.03</v>
      </c>
      <c r="H69" s="79"/>
      <c r="I69" s="685" t="s">
        <v>5</v>
      </c>
      <c r="J69" s="319" t="str">
        <f>Dados!B83</f>
        <v>SESI ou SESC</v>
      </c>
      <c r="K69" s="122"/>
      <c r="L69" s="321"/>
      <c r="M69" s="310"/>
      <c r="N69" s="314">
        <f>Dados!G83</f>
        <v>1.4999999999999999E-2</v>
      </c>
    </row>
    <row r="70" spans="1:14" x14ac:dyDescent="0.2">
      <c r="A70" s="685" t="s">
        <v>6</v>
      </c>
      <c r="B70" s="319" t="str">
        <f>Dados!B84</f>
        <v>SENAI ou SENAC</v>
      </c>
      <c r="C70" s="122"/>
      <c r="D70" s="321"/>
      <c r="E70" s="310"/>
      <c r="F70" s="314">
        <f>Dados!G84</f>
        <v>0.01</v>
      </c>
      <c r="G70" s="704">
        <f t="shared" si="0"/>
        <v>42.69</v>
      </c>
      <c r="H70" s="79"/>
      <c r="I70" s="685" t="s">
        <v>6</v>
      </c>
      <c r="J70" s="319" t="str">
        <f>Dados!B84</f>
        <v>SENAI ou SENAC</v>
      </c>
      <c r="K70" s="122"/>
      <c r="L70" s="321"/>
      <c r="M70" s="310"/>
      <c r="N70" s="314">
        <f>Dados!G84</f>
        <v>0.01</v>
      </c>
    </row>
    <row r="71" spans="1:14" x14ac:dyDescent="0.2">
      <c r="A71" s="685" t="s">
        <v>7</v>
      </c>
      <c r="B71" s="319" t="str">
        <f>Dados!B85</f>
        <v>SEBRAE</v>
      </c>
      <c r="C71" s="122"/>
      <c r="D71" s="321"/>
      <c r="E71" s="310"/>
      <c r="F71" s="314">
        <f>Dados!G85</f>
        <v>6.0000000000000001E-3</v>
      </c>
      <c r="G71" s="704">
        <f t="shared" si="0"/>
        <v>25.61</v>
      </c>
      <c r="H71" s="79"/>
      <c r="I71" s="685" t="s">
        <v>7</v>
      </c>
      <c r="J71" s="319" t="str">
        <f>Dados!B85</f>
        <v>SEBRAE</v>
      </c>
      <c r="K71" s="122"/>
      <c r="L71" s="321"/>
      <c r="M71" s="310"/>
      <c r="N71" s="314">
        <f>Dados!G85</f>
        <v>6.0000000000000001E-3</v>
      </c>
    </row>
    <row r="72" spans="1:14" x14ac:dyDescent="0.2">
      <c r="A72" s="685" t="s">
        <v>8</v>
      </c>
      <c r="B72" s="319" t="str">
        <f>Dados!B86</f>
        <v>INCRA</v>
      </c>
      <c r="C72" s="122"/>
      <c r="D72" s="321"/>
      <c r="E72" s="310"/>
      <c r="F72" s="314">
        <f>Dados!G86</f>
        <v>2E-3</v>
      </c>
      <c r="G72" s="704">
        <f t="shared" si="0"/>
        <v>8.5399999999999991</v>
      </c>
      <c r="H72" s="79"/>
      <c r="I72" s="685" t="s">
        <v>8</v>
      </c>
      <c r="J72" s="319" t="str">
        <f>Dados!B86</f>
        <v>INCRA</v>
      </c>
      <c r="K72" s="122"/>
      <c r="L72" s="321"/>
      <c r="M72" s="310"/>
      <c r="N72" s="314">
        <f>Dados!G86</f>
        <v>2E-3</v>
      </c>
    </row>
    <row r="73" spans="1:14" x14ac:dyDescent="0.2">
      <c r="A73" s="699" t="s">
        <v>9</v>
      </c>
      <c r="B73" s="140" t="str">
        <f>Dados!B87</f>
        <v>FGTS</v>
      </c>
      <c r="C73" s="122"/>
      <c r="D73" s="321"/>
      <c r="E73" s="337"/>
      <c r="F73" s="333">
        <f>Dados!G87</f>
        <v>0.08</v>
      </c>
      <c r="G73" s="334">
        <f t="shared" si="0"/>
        <v>341.48</v>
      </c>
      <c r="H73" s="79"/>
      <c r="I73" s="699" t="s">
        <v>9</v>
      </c>
      <c r="J73" s="140" t="str">
        <f>Dados!B87</f>
        <v>FGTS</v>
      </c>
      <c r="K73" s="122"/>
      <c r="L73" s="321"/>
      <c r="M73" s="337"/>
      <c r="N73" s="333">
        <f>Dados!G87</f>
        <v>0.08</v>
      </c>
    </row>
    <row r="74" spans="1:14" ht="15.75" customHeight="1" x14ac:dyDescent="0.2">
      <c r="A74" s="933" t="s">
        <v>159</v>
      </c>
      <c r="B74" s="933"/>
      <c r="C74" s="933"/>
      <c r="D74" s="933"/>
      <c r="E74" s="933"/>
      <c r="F74" s="317">
        <f>SUM(F66:F73)</f>
        <v>0.36370000000000002</v>
      </c>
      <c r="G74" s="322">
        <f>SUM(G66:G73)</f>
        <v>1552.47</v>
      </c>
      <c r="H74" s="79"/>
      <c r="I74" s="933" t="s">
        <v>159</v>
      </c>
      <c r="J74" s="933"/>
      <c r="K74" s="933"/>
      <c r="L74" s="933"/>
      <c r="M74" s="933"/>
      <c r="N74" s="317">
        <f>SUM(N66:N73)</f>
        <v>0.36370000000000002</v>
      </c>
    </row>
    <row r="75" spans="1:14" x14ac:dyDescent="0.2">
      <c r="A75" s="924" t="s">
        <v>432</v>
      </c>
      <c r="B75" s="924"/>
      <c r="C75" s="924"/>
      <c r="D75" s="924"/>
      <c r="E75" s="924"/>
      <c r="F75" s="924"/>
      <c r="G75" s="924"/>
      <c r="H75" s="79"/>
      <c r="I75" s="924"/>
      <c r="J75" s="924"/>
      <c r="K75" s="924"/>
      <c r="L75" s="924"/>
      <c r="M75" s="924"/>
      <c r="N75" s="924"/>
    </row>
    <row r="76" spans="1:14" x14ac:dyDescent="0.2">
      <c r="A76" s="924" t="s">
        <v>430</v>
      </c>
      <c r="B76" s="924"/>
      <c r="C76" s="924"/>
      <c r="D76" s="924"/>
      <c r="E76" s="924"/>
      <c r="F76" s="924"/>
      <c r="G76" s="924"/>
      <c r="H76" s="79"/>
      <c r="I76" s="924"/>
      <c r="J76" s="924"/>
      <c r="K76" s="924"/>
      <c r="L76" s="924"/>
      <c r="M76" s="924"/>
      <c r="N76" s="924"/>
    </row>
    <row r="77" spans="1:14" ht="30.75" customHeight="1" x14ac:dyDescent="0.2">
      <c r="A77" s="1052" t="s">
        <v>480</v>
      </c>
      <c r="B77" s="924"/>
      <c r="C77" s="924"/>
      <c r="D77" s="924"/>
      <c r="E77" s="924"/>
      <c r="F77" s="924"/>
      <c r="G77" s="924"/>
      <c r="H77" s="79"/>
      <c r="I77" s="1052"/>
      <c r="J77" s="924"/>
      <c r="K77" s="924"/>
      <c r="L77" s="924"/>
      <c r="M77" s="924"/>
      <c r="N77" s="924"/>
    </row>
    <row r="78" spans="1:14" x14ac:dyDescent="0.2">
      <c r="A78" s="750" t="s">
        <v>557</v>
      </c>
      <c r="B78" s="267"/>
      <c r="C78" s="267"/>
      <c r="D78" s="267"/>
      <c r="E78" s="267"/>
      <c r="F78" s="267"/>
      <c r="G78" s="267"/>
      <c r="H78" s="79"/>
      <c r="I78" s="750" t="s">
        <v>557</v>
      </c>
      <c r="J78" s="267"/>
      <c r="K78" s="267"/>
      <c r="L78" s="267"/>
      <c r="M78" s="267"/>
      <c r="N78" s="267"/>
    </row>
    <row r="79" spans="1:14" x14ac:dyDescent="0.2">
      <c r="A79" s="71" t="s">
        <v>431</v>
      </c>
      <c r="B79" s="267"/>
      <c r="C79" s="267"/>
      <c r="D79" s="267"/>
      <c r="E79" s="267"/>
      <c r="F79" s="267"/>
      <c r="G79" s="267"/>
      <c r="H79" s="79"/>
      <c r="I79" s="71" t="s">
        <v>431</v>
      </c>
      <c r="J79" s="267"/>
      <c r="K79" s="267"/>
      <c r="L79" s="267"/>
      <c r="M79" s="267"/>
      <c r="N79" s="267"/>
    </row>
    <row r="80" spans="1:14" x14ac:dyDescent="0.2">
      <c r="A80" s="195" t="s">
        <v>556</v>
      </c>
      <c r="B80" s="267"/>
      <c r="C80" s="267"/>
      <c r="D80" s="267"/>
      <c r="E80" s="267"/>
      <c r="F80" s="267"/>
      <c r="G80" s="267"/>
      <c r="H80" s="79"/>
      <c r="I80" s="195" t="s">
        <v>556</v>
      </c>
      <c r="J80" s="267"/>
      <c r="K80" s="267"/>
      <c r="L80" s="267"/>
      <c r="M80" s="267"/>
      <c r="N80" s="267"/>
    </row>
    <row r="81" spans="1:14" ht="15" x14ac:dyDescent="0.2">
      <c r="A81" s="735"/>
      <c r="B81" s="267"/>
      <c r="C81" s="267"/>
      <c r="D81" s="267"/>
      <c r="E81" s="267"/>
      <c r="F81" s="267"/>
      <c r="G81" s="267"/>
      <c r="H81" s="79"/>
      <c r="I81" s="735"/>
      <c r="J81" s="267"/>
      <c r="K81" s="267"/>
      <c r="L81" s="267"/>
      <c r="M81" s="267"/>
      <c r="N81" s="267"/>
    </row>
    <row r="82" spans="1:14" x14ac:dyDescent="0.2">
      <c r="A82" s="931" t="s">
        <v>218</v>
      </c>
      <c r="B82" s="931"/>
      <c r="C82" s="931"/>
      <c r="D82" s="931"/>
      <c r="E82" s="931"/>
      <c r="F82" s="931"/>
      <c r="G82" s="931"/>
      <c r="H82" s="931"/>
      <c r="I82" s="931"/>
      <c r="J82" s="931"/>
      <c r="K82" s="931"/>
      <c r="L82" s="931"/>
      <c r="M82" s="931"/>
      <c r="N82" s="931"/>
    </row>
    <row r="83" spans="1:14" x14ac:dyDescent="0.2">
      <c r="A83" s="725" t="s">
        <v>219</v>
      </c>
      <c r="B83" s="983" t="s">
        <v>22</v>
      </c>
      <c r="C83" s="983"/>
      <c r="D83" s="983"/>
      <c r="E83" s="983"/>
      <c r="F83" s="725" t="s">
        <v>222</v>
      </c>
      <c r="G83" s="724" t="s">
        <v>107</v>
      </c>
      <c r="H83" s="79"/>
      <c r="I83" s="725" t="s">
        <v>219</v>
      </c>
      <c r="J83" s="983" t="s">
        <v>22</v>
      </c>
      <c r="K83" s="983"/>
      <c r="L83" s="983"/>
      <c r="M83" s="983"/>
      <c r="N83" s="725" t="s">
        <v>222</v>
      </c>
    </row>
    <row r="84" spans="1:14" x14ac:dyDescent="0.2">
      <c r="A84" s="957" t="s">
        <v>1</v>
      </c>
      <c r="B84" s="680" t="s">
        <v>532</v>
      </c>
      <c r="C84" s="681"/>
      <c r="D84" s="694"/>
      <c r="E84" s="689">
        <f>INDEX(Dados!$J$27:$M$32,MATCH($C$23,Dados!$J$27:$J$32,0),4)</f>
        <v>22</v>
      </c>
      <c r="F84" s="703">
        <f>Dados!J45</f>
        <v>11</v>
      </c>
      <c r="G84" s="701">
        <f>$E$84*F84*$F$13</f>
        <v>242</v>
      </c>
      <c r="H84" s="79"/>
      <c r="I84" s="957" t="s">
        <v>1</v>
      </c>
      <c r="J84" s="680" t="e">
        <f>HLOOKUP($F$29,#REF!,4,FALSE)</f>
        <v>#REF!</v>
      </c>
      <c r="K84" s="681"/>
      <c r="L84" s="694"/>
      <c r="M84" s="689">
        <f>INDEX(Dados!$J$27:$M$32,MATCH($C$23,Dados!$J$27:$J$32,0),4)</f>
        <v>22</v>
      </c>
      <c r="N84" s="703">
        <f>Dados!R45</f>
        <v>0</v>
      </c>
    </row>
    <row r="85" spans="1:14" x14ac:dyDescent="0.2">
      <c r="A85" s="957"/>
      <c r="B85" s="680" t="str">
        <f>Dados!A46</f>
        <v>Desconto Legal sobre o salário</v>
      </c>
      <c r="C85" s="681"/>
      <c r="D85" s="694"/>
      <c r="E85" s="695"/>
      <c r="F85" s="306">
        <f>Dados!J46</f>
        <v>0.06</v>
      </c>
      <c r="G85" s="703">
        <f>-MIN(G84,(F85*G35))</f>
        <v>-162.54</v>
      </c>
      <c r="H85" s="79"/>
      <c r="I85" s="957"/>
      <c r="J85" s="680" t="str">
        <f>Dados!A46</f>
        <v>Desconto Legal sobre o salário</v>
      </c>
      <c r="K85" s="681"/>
      <c r="L85" s="694"/>
      <c r="M85" s="695"/>
      <c r="N85" s="306">
        <f>Dados!J46</f>
        <v>0.06</v>
      </c>
    </row>
    <row r="86" spans="1:14" x14ac:dyDescent="0.2">
      <c r="A86" s="957" t="s">
        <v>2</v>
      </c>
      <c r="B86" s="680" t="s">
        <v>533</v>
      </c>
      <c r="C86" s="681"/>
      <c r="D86" s="694"/>
      <c r="E86" s="689">
        <f>INDEX(Dados!$J$27:$M$32,MATCH($C$23,Dados!$J$27:$J$32,0),4)</f>
        <v>22</v>
      </c>
      <c r="F86" s="703">
        <f>Dados!J48</f>
        <v>37.5</v>
      </c>
      <c r="G86" s="701">
        <v>864.38</v>
      </c>
      <c r="H86" s="79"/>
      <c r="I86" s="957" t="s">
        <v>2</v>
      </c>
      <c r="J86" s="680" t="e">
        <f>HLOOKUP($F$29,#REF!,2,FALSE)</f>
        <v>#REF!</v>
      </c>
      <c r="K86" s="681"/>
      <c r="L86" s="694"/>
      <c r="M86" s="689">
        <f>INDEX(Dados!$J$27:$M$32,MATCH($C$23,Dados!$J$27:$J$32,0),4)</f>
        <v>22</v>
      </c>
      <c r="N86" s="703">
        <f>Dados!R48</f>
        <v>0</v>
      </c>
    </row>
    <row r="87" spans="1:14" x14ac:dyDescent="0.2">
      <c r="A87" s="957"/>
      <c r="B87" s="680" t="s">
        <v>531</v>
      </c>
      <c r="C87" s="312"/>
      <c r="D87" s="313"/>
      <c r="E87" s="310"/>
      <c r="F87" s="703">
        <f>Dados!J49</f>
        <v>0.75</v>
      </c>
      <c r="G87" s="702">
        <v>-17.38</v>
      </c>
      <c r="H87" s="79"/>
      <c r="I87" s="957"/>
      <c r="J87" s="680" t="e">
        <f>HLOOKUP($F$29,#REF!,3,FALSE)</f>
        <v>#REF!</v>
      </c>
      <c r="K87" s="312"/>
      <c r="L87" s="313"/>
      <c r="M87" s="310"/>
      <c r="N87" s="703">
        <f>Dados!R49</f>
        <v>0</v>
      </c>
    </row>
    <row r="88" spans="1:14" x14ac:dyDescent="0.2">
      <c r="A88" s="685" t="s">
        <v>4</v>
      </c>
      <c r="B88" s="680" t="s">
        <v>534</v>
      </c>
      <c r="C88" s="312"/>
      <c r="D88" s="313"/>
      <c r="E88" s="310"/>
      <c r="F88" s="703">
        <f>Dados!J50</f>
        <v>140</v>
      </c>
      <c r="G88" s="702">
        <v>140</v>
      </c>
      <c r="H88" s="79"/>
      <c r="I88" s="685" t="s">
        <v>4</v>
      </c>
      <c r="J88" s="680" t="e">
        <f>HLOOKUP($F$29,#REF!,5,FALSE) &amp; " " &amp; "(Pago por ressarcimento)"</f>
        <v>#REF!</v>
      </c>
      <c r="K88" s="312"/>
      <c r="L88" s="313"/>
      <c r="M88" s="310"/>
      <c r="N88" s="703">
        <f>Dados!R50</f>
        <v>0</v>
      </c>
    </row>
    <row r="89" spans="1:14" x14ac:dyDescent="0.2">
      <c r="A89" s="685" t="s">
        <v>5</v>
      </c>
      <c r="B89" s="680" t="s">
        <v>535</v>
      </c>
      <c r="C89" s="312"/>
      <c r="D89" s="313"/>
      <c r="E89" s="310"/>
      <c r="F89" s="703">
        <f>Dados!J51</f>
        <v>14</v>
      </c>
      <c r="G89" s="702">
        <f t="shared" ref="G89:G94" si="1">F89*$F$13</f>
        <v>14</v>
      </c>
      <c r="H89" s="79"/>
      <c r="I89" s="685" t="s">
        <v>5</v>
      </c>
      <c r="J89" s="680" t="e">
        <f>HLOOKUP($F$29,#REF!,6,FALSE)</f>
        <v>#REF!</v>
      </c>
      <c r="K89" s="312"/>
      <c r="L89" s="313"/>
      <c r="M89" s="310"/>
      <c r="N89" s="703">
        <f>Dados!R51</f>
        <v>0</v>
      </c>
    </row>
    <row r="90" spans="1:14" x14ac:dyDescent="0.2">
      <c r="A90" s="685" t="s">
        <v>6</v>
      </c>
      <c r="B90" s="680" t="s">
        <v>536</v>
      </c>
      <c r="C90" s="312"/>
      <c r="D90" s="313"/>
      <c r="E90" s="310"/>
      <c r="F90" s="703">
        <f>Dados!J52</f>
        <v>6.4</v>
      </c>
      <c r="G90" s="702">
        <v>6.6</v>
      </c>
      <c r="H90" s="79"/>
      <c r="I90" s="685" t="s">
        <v>6</v>
      </c>
      <c r="J90" s="680" t="e">
        <f>HLOOKUP($F$29,#REF!,7,FALSE)</f>
        <v>#REF!</v>
      </c>
      <c r="K90" s="312"/>
      <c r="L90" s="313"/>
      <c r="M90" s="310"/>
      <c r="N90" s="703">
        <f>Dados!R52</f>
        <v>0</v>
      </c>
    </row>
    <row r="91" spans="1:14" x14ac:dyDescent="0.2">
      <c r="A91" s="685" t="s">
        <v>7</v>
      </c>
      <c r="B91" s="680" t="s">
        <v>537</v>
      </c>
      <c r="C91" s="312"/>
      <c r="D91" s="313"/>
      <c r="E91" s="310"/>
      <c r="F91" s="703">
        <f>Dados!J53</f>
        <v>9</v>
      </c>
      <c r="G91" s="702">
        <f>F91*$F$13</f>
        <v>9</v>
      </c>
      <c r="H91" s="79"/>
      <c r="I91" s="685" t="s">
        <v>7</v>
      </c>
      <c r="J91" s="680" t="e">
        <f>HLOOKUP($F$29,#REF!,8,FALSE)</f>
        <v>#REF!</v>
      </c>
      <c r="K91" s="312"/>
      <c r="L91" s="313"/>
      <c r="M91" s="310"/>
      <c r="N91" s="703">
        <f>Dados!R53</f>
        <v>0</v>
      </c>
    </row>
    <row r="92" spans="1:14" hidden="1" x14ac:dyDescent="0.2">
      <c r="A92" s="685" t="s">
        <v>9</v>
      </c>
      <c r="B92" s="680" t="e">
        <f>HLOOKUP($F$29,#REF!,9,FALSE)</f>
        <v>#REF!</v>
      </c>
      <c r="C92" s="312"/>
      <c r="D92" s="313"/>
      <c r="E92" s="310"/>
      <c r="F92" s="703">
        <f>Dados!J54</f>
        <v>0</v>
      </c>
      <c r="G92" s="702">
        <f t="shared" si="1"/>
        <v>0</v>
      </c>
      <c r="H92" s="79"/>
      <c r="I92" s="685" t="s">
        <v>9</v>
      </c>
      <c r="J92" s="680" t="e">
        <f>HLOOKUP($F$29,#REF!,9,FALSE)</f>
        <v>#REF!</v>
      </c>
      <c r="K92" s="312"/>
      <c r="L92" s="313"/>
      <c r="M92" s="310"/>
      <c r="N92" s="703">
        <f>Dados!R54</f>
        <v>0</v>
      </c>
    </row>
    <row r="93" spans="1:14" hidden="1" x14ac:dyDescent="0.2">
      <c r="A93" s="685" t="s">
        <v>127</v>
      </c>
      <c r="B93" s="680" t="e">
        <f>HLOOKUP($F$29,#REF!,10,FALSE)</f>
        <v>#REF!</v>
      </c>
      <c r="C93" s="312"/>
      <c r="D93" s="313"/>
      <c r="E93" s="310"/>
      <c r="F93" s="703">
        <f>Dados!J55</f>
        <v>0</v>
      </c>
      <c r="G93" s="702">
        <f t="shared" si="1"/>
        <v>0</v>
      </c>
      <c r="H93" s="79"/>
      <c r="I93" s="685" t="s">
        <v>127</v>
      </c>
      <c r="J93" s="680" t="e">
        <f>HLOOKUP($F$29,#REF!,10,FALSE)</f>
        <v>#REF!</v>
      </c>
      <c r="K93" s="312"/>
      <c r="L93" s="313"/>
      <c r="M93" s="310"/>
      <c r="N93" s="703">
        <f>Dados!R55</f>
        <v>0</v>
      </c>
    </row>
    <row r="94" spans="1:14" hidden="1" x14ac:dyDescent="0.2">
      <c r="A94" s="685" t="s">
        <v>282</v>
      </c>
      <c r="B94" s="680" t="e">
        <f>HLOOKUP($F$29,#REF!,11,FALSE)</f>
        <v>#REF!</v>
      </c>
      <c r="C94" s="312"/>
      <c r="D94" s="313"/>
      <c r="E94" s="310"/>
      <c r="F94" s="703">
        <f>Dados!J56</f>
        <v>0</v>
      </c>
      <c r="G94" s="702">
        <f t="shared" si="1"/>
        <v>0</v>
      </c>
      <c r="H94" s="79"/>
      <c r="I94" s="685" t="s">
        <v>282</v>
      </c>
      <c r="J94" s="680" t="e">
        <f>HLOOKUP($F$29,#REF!,11,FALSE)</f>
        <v>#REF!</v>
      </c>
      <c r="K94" s="312"/>
      <c r="L94" s="313"/>
      <c r="M94" s="310"/>
      <c r="N94" s="703">
        <f>Dados!R56</f>
        <v>0</v>
      </c>
    </row>
    <row r="95" spans="1:14" x14ac:dyDescent="0.2">
      <c r="A95" s="685" t="s">
        <v>8</v>
      </c>
      <c r="B95" s="309" t="s">
        <v>51</v>
      </c>
      <c r="C95" s="312"/>
      <c r="D95" s="313"/>
      <c r="E95" s="310"/>
      <c r="F95" s="703"/>
      <c r="G95" s="704"/>
      <c r="H95" s="79"/>
      <c r="I95" s="685" t="s">
        <v>8</v>
      </c>
      <c r="J95" s="309" t="s">
        <v>51</v>
      </c>
      <c r="K95" s="312"/>
      <c r="L95" s="313"/>
      <c r="M95" s="310"/>
      <c r="N95" s="703"/>
    </row>
    <row r="96" spans="1:14" ht="18" customHeight="1" x14ac:dyDescent="0.2">
      <c r="A96" s="943" t="s">
        <v>159</v>
      </c>
      <c r="B96" s="943"/>
      <c r="C96" s="943"/>
      <c r="D96" s="943"/>
      <c r="E96" s="943"/>
      <c r="F96" s="943"/>
      <c r="G96" s="308">
        <f>SUM(G84:G95)</f>
        <v>1096.06</v>
      </c>
      <c r="H96" s="79"/>
      <c r="I96" s="943" t="s">
        <v>159</v>
      </c>
      <c r="J96" s="943"/>
      <c r="K96" s="943"/>
      <c r="L96" s="943"/>
      <c r="M96" s="943"/>
      <c r="N96" s="943"/>
    </row>
    <row r="97" spans="1:14" s="34" customFormat="1" ht="15" customHeight="1" x14ac:dyDescent="0.2">
      <c r="A97" s="71" t="s">
        <v>220</v>
      </c>
      <c r="B97" s="68"/>
      <c r="C97" s="68"/>
      <c r="D97" s="68"/>
      <c r="E97" s="68"/>
      <c r="F97" s="77"/>
      <c r="G97" s="78"/>
      <c r="H97" s="79"/>
      <c r="I97" s="71" t="s">
        <v>220</v>
      </c>
      <c r="J97" s="68"/>
      <c r="K97" s="68"/>
      <c r="L97" s="68"/>
      <c r="M97" s="68"/>
      <c r="N97" s="77"/>
    </row>
    <row r="98" spans="1:14" s="34" customFormat="1" x14ac:dyDescent="0.2">
      <c r="A98" s="1052" t="s">
        <v>482</v>
      </c>
      <c r="B98" s="924"/>
      <c r="C98" s="924"/>
      <c r="D98" s="924"/>
      <c r="E98" s="924"/>
      <c r="F98" s="924"/>
      <c r="G98" s="924"/>
      <c r="H98" s="79"/>
      <c r="I98" s="1052"/>
      <c r="J98" s="924"/>
      <c r="K98" s="924"/>
      <c r="L98" s="924"/>
      <c r="M98" s="924"/>
      <c r="N98" s="924"/>
    </row>
    <row r="99" spans="1:14" s="34" customFormat="1" x14ac:dyDescent="0.2">
      <c r="A99" s="698"/>
      <c r="B99" s="68"/>
      <c r="C99" s="68"/>
      <c r="D99" s="68"/>
      <c r="E99" s="68"/>
      <c r="F99" s="77"/>
      <c r="G99" s="78"/>
      <c r="H99" s="79"/>
      <c r="I99" s="698"/>
      <c r="J99" s="68"/>
      <c r="K99" s="68"/>
      <c r="L99" s="68"/>
      <c r="M99" s="68"/>
      <c r="N99" s="77"/>
    </row>
    <row r="100" spans="1:14" s="34" customFormat="1" x14ac:dyDescent="0.2">
      <c r="A100" s="1050" t="s">
        <v>225</v>
      </c>
      <c r="B100" s="1051"/>
      <c r="C100" s="1051"/>
      <c r="D100" s="1051"/>
      <c r="E100" s="1051"/>
      <c r="F100" s="1051"/>
      <c r="G100" s="1051"/>
      <c r="H100" s="1051"/>
      <c r="I100" s="1051"/>
      <c r="J100" s="1051"/>
      <c r="K100" s="1051"/>
      <c r="L100" s="1051"/>
      <c r="M100" s="1051"/>
      <c r="N100" s="1051"/>
    </row>
    <row r="101" spans="1:14" s="34" customFormat="1" x14ac:dyDescent="0.2">
      <c r="A101" s="724">
        <v>2</v>
      </c>
      <c r="B101" s="982" t="s">
        <v>226</v>
      </c>
      <c r="C101" s="982"/>
      <c r="D101" s="982"/>
      <c r="E101" s="982"/>
      <c r="F101" s="982"/>
      <c r="G101" s="724" t="s">
        <v>107</v>
      </c>
      <c r="H101" s="79"/>
      <c r="I101" s="724">
        <v>2</v>
      </c>
      <c r="J101" s="982" t="s">
        <v>226</v>
      </c>
      <c r="K101" s="982"/>
      <c r="L101" s="982"/>
      <c r="M101" s="982"/>
      <c r="N101" s="982"/>
    </row>
    <row r="102" spans="1:14" s="34" customFormat="1" x14ac:dyDescent="0.2">
      <c r="A102" s="301" t="s">
        <v>211</v>
      </c>
      <c r="B102" s="680" t="str">
        <f>B48</f>
        <v>13º (décimo terceiro) Salário, Férias e Adicional de Férias</v>
      </c>
      <c r="C102" s="342"/>
      <c r="D102" s="342"/>
      <c r="E102" s="342"/>
      <c r="F102" s="709"/>
      <c r="G102" s="701">
        <f>G51</f>
        <v>746.93</v>
      </c>
      <c r="H102" s="79"/>
      <c r="I102" s="301" t="s">
        <v>211</v>
      </c>
      <c r="J102" s="680" t="str">
        <f>J48</f>
        <v>13º (décimo terceiro) Salário, Férias e Adicional de Férias</v>
      </c>
      <c r="K102" s="342"/>
      <c r="L102" s="342"/>
      <c r="M102" s="342"/>
      <c r="N102" s="709"/>
    </row>
    <row r="103" spans="1:14" s="34" customFormat="1" x14ac:dyDescent="0.2">
      <c r="A103" s="301" t="s">
        <v>210</v>
      </c>
      <c r="B103" s="680" t="str">
        <f>B65</f>
        <v>GPS, FGTS e outras contribuições</v>
      </c>
      <c r="C103" s="342"/>
      <c r="D103" s="342"/>
      <c r="E103" s="342"/>
      <c r="F103" s="709"/>
      <c r="G103" s="701">
        <f>G74</f>
        <v>1552.47</v>
      </c>
      <c r="H103" s="79"/>
      <c r="I103" s="301" t="s">
        <v>210</v>
      </c>
      <c r="J103" s="680" t="str">
        <f>J65</f>
        <v>GPS, FGTS e outras contribuições</v>
      </c>
      <c r="K103" s="342"/>
      <c r="L103" s="342"/>
      <c r="M103" s="342"/>
      <c r="N103" s="709"/>
    </row>
    <row r="104" spans="1:14" s="34" customFormat="1" x14ac:dyDescent="0.2">
      <c r="A104" s="301" t="s">
        <v>219</v>
      </c>
      <c r="B104" s="680" t="str">
        <f>B83</f>
        <v>Benefícios Mensais e Diários</v>
      </c>
      <c r="C104" s="342"/>
      <c r="D104" s="342"/>
      <c r="E104" s="342"/>
      <c r="F104" s="709"/>
      <c r="G104" s="701">
        <f>G96</f>
        <v>1096.06</v>
      </c>
      <c r="H104" s="79"/>
      <c r="I104" s="301" t="s">
        <v>219</v>
      </c>
      <c r="J104" s="680" t="str">
        <f>J83</f>
        <v>Benefícios Mensais e Diários</v>
      </c>
      <c r="K104" s="342"/>
      <c r="L104" s="342"/>
      <c r="M104" s="342"/>
      <c r="N104" s="709"/>
    </row>
    <row r="105" spans="1:14" s="34" customFormat="1" x14ac:dyDescent="0.2">
      <c r="A105" s="933" t="s">
        <v>159</v>
      </c>
      <c r="B105" s="933"/>
      <c r="C105" s="933"/>
      <c r="D105" s="933"/>
      <c r="E105" s="933"/>
      <c r="F105" s="933"/>
      <c r="G105" s="322">
        <f>SUM(G102:G104)</f>
        <v>3395.46</v>
      </c>
      <c r="H105" s="79"/>
      <c r="I105" s="933" t="s">
        <v>159</v>
      </c>
      <c r="J105" s="933"/>
      <c r="K105" s="933"/>
      <c r="L105" s="933"/>
      <c r="M105" s="933"/>
      <c r="N105" s="933"/>
    </row>
    <row r="106" spans="1:14" s="34" customFormat="1" x14ac:dyDescent="0.2">
      <c r="A106" s="71"/>
      <c r="B106" s="71"/>
      <c r="C106" s="71"/>
      <c r="D106" s="71"/>
      <c r="E106" s="71"/>
      <c r="F106" s="196"/>
      <c r="G106" s="197"/>
      <c r="H106" s="79"/>
      <c r="I106" s="71"/>
      <c r="J106" s="71"/>
      <c r="K106" s="71"/>
      <c r="L106" s="71"/>
      <c r="M106" s="71"/>
      <c r="N106" s="196"/>
    </row>
    <row r="107" spans="1:14" s="34" customFormat="1" ht="15" customHeight="1" x14ac:dyDescent="0.2">
      <c r="A107" s="931" t="s">
        <v>227</v>
      </c>
      <c r="B107" s="931"/>
      <c r="C107" s="931"/>
      <c r="D107" s="931"/>
      <c r="E107" s="931"/>
      <c r="F107" s="931"/>
      <c r="G107" s="931"/>
      <c r="H107" s="931"/>
      <c r="I107" s="931"/>
      <c r="J107" s="931"/>
      <c r="K107" s="931"/>
      <c r="L107" s="931"/>
      <c r="M107" s="931"/>
      <c r="N107" s="931"/>
    </row>
    <row r="108" spans="1:14" s="34" customFormat="1" x14ac:dyDescent="0.2">
      <c r="A108" s="725">
        <v>3</v>
      </c>
      <c r="B108" s="983" t="s">
        <v>84</v>
      </c>
      <c r="C108" s="983"/>
      <c r="D108" s="983"/>
      <c r="E108" s="983"/>
      <c r="F108" s="725" t="s">
        <v>222</v>
      </c>
      <c r="G108" s="724" t="s">
        <v>107</v>
      </c>
      <c r="H108" s="79"/>
      <c r="I108" s="725">
        <v>3</v>
      </c>
      <c r="J108" s="983" t="s">
        <v>84</v>
      </c>
      <c r="K108" s="983"/>
      <c r="L108" s="983"/>
      <c r="M108" s="983"/>
      <c r="N108" s="725" t="s">
        <v>222</v>
      </c>
    </row>
    <row r="109" spans="1:14" s="34" customFormat="1" x14ac:dyDescent="0.2">
      <c r="A109" s="685" t="s">
        <v>1</v>
      </c>
      <c r="B109" s="319" t="str">
        <f>Dados!B90</f>
        <v>Aviso Prévio Indenizado </v>
      </c>
      <c r="C109" s="122"/>
      <c r="D109" s="321"/>
      <c r="E109" s="310"/>
      <c r="F109" s="314">
        <f>Dados!G90</f>
        <v>2.5000000000000001E-3</v>
      </c>
      <c r="G109" s="704">
        <f>F109*$G$62</f>
        <v>10.67</v>
      </c>
      <c r="H109" s="79"/>
      <c r="I109" s="685" t="s">
        <v>1</v>
      </c>
      <c r="J109" s="319" t="str">
        <f>Dados!B90</f>
        <v>Aviso Prévio Indenizado </v>
      </c>
      <c r="K109" s="122"/>
      <c r="L109" s="321"/>
      <c r="M109" s="310"/>
      <c r="N109" s="314">
        <f>Dados!G90</f>
        <v>2.5000000000000001E-3</v>
      </c>
    </row>
    <row r="110" spans="1:14" s="34" customFormat="1" x14ac:dyDescent="0.2">
      <c r="A110" s="685" t="s">
        <v>2</v>
      </c>
      <c r="B110" s="319" t="str">
        <f>Dados!B91</f>
        <v>Incidência do FGTS sobre aviso prévio indenizado</v>
      </c>
      <c r="C110" s="122"/>
      <c r="D110" s="321"/>
      <c r="E110" s="310"/>
      <c r="F110" s="314">
        <f>Dados!G91</f>
        <v>2.0000000000000001E-4</v>
      </c>
      <c r="G110" s="704">
        <f t="shared" ref="G110:G115" si="2">F110*$G$62</f>
        <v>0.85</v>
      </c>
      <c r="H110" s="79"/>
      <c r="I110" s="685" t="s">
        <v>2</v>
      </c>
      <c r="J110" s="319" t="str">
        <f>Dados!B91</f>
        <v>Incidência do FGTS sobre aviso prévio indenizado</v>
      </c>
      <c r="K110" s="122"/>
      <c r="L110" s="321"/>
      <c r="M110" s="310"/>
      <c r="N110" s="314">
        <f>Dados!G91</f>
        <v>2.0000000000000001E-4</v>
      </c>
    </row>
    <row r="111" spans="1:14" s="34" customFormat="1" x14ac:dyDescent="0.2">
      <c r="A111" s="685" t="s">
        <v>4</v>
      </c>
      <c r="B111" s="319" t="str">
        <f>Dados!B92</f>
        <v xml:space="preserve">Multa sobre FGTS sobre o aviso prévio indenizado </v>
      </c>
      <c r="C111" s="122"/>
      <c r="D111" s="321"/>
      <c r="E111" s="310"/>
      <c r="F111" s="360">
        <f>Dados!G92</f>
        <v>9.9999999999999995E-7</v>
      </c>
      <c r="G111" s="704">
        <f t="shared" si="2"/>
        <v>0</v>
      </c>
      <c r="H111" s="79"/>
      <c r="I111" s="685" t="s">
        <v>4</v>
      </c>
      <c r="J111" s="319" t="str">
        <f>Dados!B92</f>
        <v xml:space="preserve">Multa sobre FGTS sobre o aviso prévio indenizado </v>
      </c>
      <c r="K111" s="122"/>
      <c r="L111" s="321"/>
      <c r="M111" s="310"/>
      <c r="N111" s="360">
        <f>Dados!G92</f>
        <v>9.9999999999999995E-7</v>
      </c>
    </row>
    <row r="112" spans="1:14" s="34" customFormat="1" x14ac:dyDescent="0.2">
      <c r="A112" s="685" t="s">
        <v>5</v>
      </c>
      <c r="B112" s="319" t="str">
        <f>Dados!B93</f>
        <v>Aviso Prévio Trabalhado</v>
      </c>
      <c r="C112" s="122"/>
      <c r="D112" s="321"/>
      <c r="E112" s="310"/>
      <c r="F112" s="591">
        <v>1.9400000000000001E-3</v>
      </c>
      <c r="G112" s="704">
        <f t="shared" si="2"/>
        <v>8.2799999999999994</v>
      </c>
      <c r="H112" s="79"/>
      <c r="I112" s="685" t="s">
        <v>5</v>
      </c>
      <c r="J112" s="319" t="str">
        <f>Dados!B93</f>
        <v>Aviso Prévio Trabalhado</v>
      </c>
      <c r="K112" s="122"/>
      <c r="L112" s="321"/>
      <c r="M112" s="310"/>
      <c r="N112" s="314">
        <f>Dados!G93</f>
        <v>1.9400000000000001E-2</v>
      </c>
    </row>
    <row r="113" spans="1:14" s="34" customFormat="1" x14ac:dyDescent="0.2">
      <c r="A113" s="685" t="s">
        <v>6</v>
      </c>
      <c r="B113" s="319" t="str">
        <f>Dados!B94</f>
        <v>Incidência de GPS, FGTS e outras contribuições sobre o aviso prévio trabalhado</v>
      </c>
      <c r="C113" s="122"/>
      <c r="D113" s="321"/>
      <c r="E113" s="310"/>
      <c r="F113" s="314">
        <v>6.9999999999999999E-4</v>
      </c>
      <c r="G113" s="704">
        <f t="shared" si="2"/>
        <v>2.99</v>
      </c>
      <c r="H113" s="79"/>
      <c r="I113" s="685" t="s">
        <v>6</v>
      </c>
      <c r="J113" s="319" t="str">
        <f>Dados!B94</f>
        <v>Incidência de GPS, FGTS e outras contribuições sobre o aviso prévio trabalhado</v>
      </c>
      <c r="K113" s="122"/>
      <c r="L113" s="321"/>
      <c r="M113" s="310"/>
      <c r="N113" s="314">
        <v>7.1000000000000004E-3</v>
      </c>
    </row>
    <row r="114" spans="1:14" s="34" customFormat="1" x14ac:dyDescent="0.2">
      <c r="A114" s="685" t="s">
        <v>7</v>
      </c>
      <c r="B114" s="319" t="str">
        <f>Dados!B95</f>
        <v xml:space="preserve">Multa sobre FGTS sobre o aviso prévio trabalhado </v>
      </c>
      <c r="C114" s="122"/>
      <c r="D114" s="321"/>
      <c r="E114" s="310"/>
      <c r="F114" s="360">
        <v>7.9999999999999996E-6</v>
      </c>
      <c r="G114" s="704">
        <f t="shared" si="2"/>
        <v>0.03</v>
      </c>
      <c r="H114" s="79"/>
      <c r="I114" s="685" t="s">
        <v>7</v>
      </c>
      <c r="J114" s="319" t="str">
        <f>Dados!B95</f>
        <v xml:space="preserve">Multa sobre FGTS sobre o aviso prévio trabalhado </v>
      </c>
      <c r="K114" s="122"/>
      <c r="L114" s="321"/>
      <c r="M114" s="310"/>
      <c r="N114" s="314">
        <f>Dados!G95</f>
        <v>1E-4</v>
      </c>
    </row>
    <row r="115" spans="1:14" s="34" customFormat="1" x14ac:dyDescent="0.2">
      <c r="A115" s="685" t="s">
        <v>7</v>
      </c>
      <c r="B115" s="319" t="str">
        <f>Dados!B96</f>
        <v>Multa FGTS - rescisão sem justa causa</v>
      </c>
      <c r="C115" s="122"/>
      <c r="D115" s="321"/>
      <c r="E115" s="310"/>
      <c r="F115" s="314">
        <f>Dados!G96</f>
        <v>3.49E-2</v>
      </c>
      <c r="G115" s="704">
        <f t="shared" si="2"/>
        <v>148.97</v>
      </c>
      <c r="H115" s="79"/>
      <c r="I115" s="685" t="s">
        <v>7</v>
      </c>
      <c r="J115" s="319" t="str">
        <f>Dados!B96</f>
        <v>Multa FGTS - rescisão sem justa causa</v>
      </c>
      <c r="K115" s="122"/>
      <c r="L115" s="321"/>
      <c r="M115" s="310"/>
      <c r="N115" s="314">
        <f>Dados!G96</f>
        <v>3.49E-2</v>
      </c>
    </row>
    <row r="116" spans="1:14" s="34" customFormat="1" x14ac:dyDescent="0.2">
      <c r="A116" s="933" t="s">
        <v>159</v>
      </c>
      <c r="B116" s="933"/>
      <c r="C116" s="933"/>
      <c r="D116" s="933"/>
      <c r="E116" s="933"/>
      <c r="F116" s="317">
        <f>SUM(F109:F115)</f>
        <v>4.02E-2</v>
      </c>
      <c r="G116" s="322">
        <f>SUM(G109:G115)</f>
        <v>171.79</v>
      </c>
      <c r="H116" s="79"/>
      <c r="I116" s="933" t="s">
        <v>159</v>
      </c>
      <c r="J116" s="933"/>
      <c r="K116" s="933"/>
      <c r="L116" s="933"/>
      <c r="M116" s="933"/>
      <c r="N116" s="317">
        <f>SUM(N109:N115)</f>
        <v>6.4199999999999993E-2</v>
      </c>
    </row>
    <row r="117" spans="1:14" s="34" customFormat="1" ht="14.25" customHeight="1" x14ac:dyDescent="0.2">
      <c r="A117" s="71" t="s">
        <v>422</v>
      </c>
      <c r="B117" s="71"/>
      <c r="C117" s="71"/>
      <c r="D117" s="71"/>
      <c r="E117" s="341"/>
      <c r="F117" s="335"/>
      <c r="G117" s="336"/>
      <c r="H117" s="79"/>
      <c r="I117" s="71" t="s">
        <v>422</v>
      </c>
      <c r="J117" s="71"/>
      <c r="K117" s="71"/>
      <c r="L117" s="71"/>
      <c r="M117" s="341"/>
      <c r="N117" s="335"/>
    </row>
    <row r="118" spans="1:14" s="34" customFormat="1" ht="14.25" customHeight="1" x14ac:dyDescent="0.2">
      <c r="A118" s="71" t="s">
        <v>423</v>
      </c>
      <c r="B118" s="71"/>
      <c r="C118" s="71"/>
      <c r="D118" s="71"/>
      <c r="E118" s="341"/>
      <c r="F118" s="335"/>
      <c r="G118" s="336"/>
      <c r="H118" s="79"/>
      <c r="I118" s="71" t="s">
        <v>423</v>
      </c>
      <c r="J118" s="71"/>
      <c r="K118" s="71"/>
      <c r="L118" s="71"/>
      <c r="M118" s="341"/>
      <c r="N118" s="335"/>
    </row>
    <row r="119" spans="1:14" s="34" customFormat="1" x14ac:dyDescent="0.2">
      <c r="A119" s="195" t="s">
        <v>556</v>
      </c>
      <c r="B119" s="341"/>
      <c r="C119" s="341"/>
      <c r="D119" s="341"/>
      <c r="E119" s="341"/>
      <c r="F119" s="335"/>
      <c r="G119" s="336"/>
      <c r="H119" s="79"/>
      <c r="I119" s="195" t="s">
        <v>556</v>
      </c>
      <c r="J119" s="341"/>
      <c r="K119" s="341"/>
      <c r="L119" s="341"/>
      <c r="M119" s="341"/>
      <c r="N119" s="335"/>
    </row>
    <row r="120" spans="1:14" s="34" customFormat="1" x14ac:dyDescent="0.2">
      <c r="A120" s="712"/>
      <c r="B120" s="712"/>
      <c r="C120" s="712"/>
      <c r="D120" s="712"/>
      <c r="E120" s="712"/>
      <c r="F120" s="77"/>
      <c r="G120" s="81"/>
      <c r="H120" s="79"/>
      <c r="I120" s="712"/>
      <c r="J120" s="712"/>
      <c r="K120" s="712"/>
      <c r="L120" s="712"/>
      <c r="M120" s="712"/>
      <c r="N120" s="77"/>
    </row>
    <row r="121" spans="1:14" s="34" customFormat="1" ht="14.25" customHeight="1" x14ac:dyDescent="0.2">
      <c r="A121" s="931" t="s">
        <v>228</v>
      </c>
      <c r="B121" s="931"/>
      <c r="C121" s="931"/>
      <c r="D121" s="931"/>
      <c r="E121" s="931"/>
      <c r="F121" s="931"/>
      <c r="G121" s="931"/>
      <c r="H121" s="931"/>
      <c r="I121" s="931"/>
      <c r="J121" s="931"/>
      <c r="K121" s="931"/>
      <c r="L121" s="931"/>
      <c r="M121" s="931"/>
      <c r="N121" s="931"/>
    </row>
    <row r="122" spans="1:14" s="34" customFormat="1" ht="14.25" customHeight="1" x14ac:dyDescent="0.2">
      <c r="A122" s="957" t="s">
        <v>258</v>
      </c>
      <c r="B122" s="957"/>
      <c r="C122" s="957"/>
      <c r="D122" s="957"/>
      <c r="E122" s="957"/>
      <c r="F122" s="957"/>
      <c r="G122" s="957"/>
      <c r="H122" s="957"/>
      <c r="I122" s="957"/>
      <c r="J122" s="957"/>
      <c r="K122" s="957"/>
      <c r="L122" s="957"/>
      <c r="M122" s="957"/>
      <c r="N122" s="957"/>
    </row>
    <row r="123" spans="1:14" s="34" customFormat="1" x14ac:dyDescent="0.2">
      <c r="A123" s="957"/>
      <c r="B123" s="957"/>
      <c r="C123" s="957"/>
      <c r="D123" s="957"/>
      <c r="E123" s="957"/>
      <c r="F123" s="957"/>
      <c r="G123" s="957"/>
      <c r="H123" s="957"/>
      <c r="I123" s="957"/>
      <c r="J123" s="957"/>
      <c r="K123" s="957"/>
      <c r="L123" s="957"/>
      <c r="M123" s="957"/>
      <c r="N123" s="957"/>
    </row>
    <row r="124" spans="1:14" s="34" customFormat="1" x14ac:dyDescent="0.2">
      <c r="A124" s="931" t="s">
        <v>259</v>
      </c>
      <c r="B124" s="931"/>
      <c r="C124" s="931"/>
      <c r="D124" s="931"/>
      <c r="E124" s="931"/>
      <c r="F124" s="931"/>
      <c r="G124" s="931"/>
      <c r="H124" s="931"/>
      <c r="I124" s="931"/>
      <c r="J124" s="931"/>
      <c r="K124" s="931"/>
      <c r="L124" s="931"/>
      <c r="M124" s="931"/>
      <c r="N124" s="931"/>
    </row>
    <row r="125" spans="1:14" s="34" customFormat="1" ht="15.75" customHeight="1" x14ac:dyDescent="0.2">
      <c r="A125" s="753" t="s">
        <v>42</v>
      </c>
      <c r="B125" s="1070" t="s">
        <v>269</v>
      </c>
      <c r="C125" s="1070"/>
      <c r="D125" s="1070"/>
      <c r="E125" s="1070"/>
      <c r="F125" s="753" t="s">
        <v>254</v>
      </c>
      <c r="G125" s="754" t="s">
        <v>107</v>
      </c>
      <c r="H125" s="687"/>
      <c r="I125" s="753" t="s">
        <v>42</v>
      </c>
      <c r="J125" s="1070" t="s">
        <v>269</v>
      </c>
      <c r="K125" s="1070"/>
      <c r="L125" s="1070"/>
      <c r="M125" s="1070"/>
      <c r="N125" s="753" t="s">
        <v>254</v>
      </c>
    </row>
    <row r="126" spans="1:14" s="34" customFormat="1" x14ac:dyDescent="0.2">
      <c r="A126" s="685" t="s">
        <v>1</v>
      </c>
      <c r="B126" s="319" t="str">
        <f>Dados!B99</f>
        <v>Substituto na cobertura de Férias</v>
      </c>
      <c r="C126" s="122"/>
      <c r="D126" s="321"/>
      <c r="E126" s="320"/>
      <c r="F126" s="314">
        <f>Dados!G99</f>
        <v>6.8999999999999999E-3</v>
      </c>
      <c r="G126" s="704">
        <f>$G$62*F126</f>
        <v>29.45</v>
      </c>
      <c r="H126" s="737"/>
      <c r="I126" s="685" t="s">
        <v>1</v>
      </c>
      <c r="J126" s="319" t="str">
        <f>Dados!B99</f>
        <v>Substituto na cobertura de Férias</v>
      </c>
      <c r="K126" s="122"/>
      <c r="L126" s="321"/>
      <c r="M126" s="320"/>
      <c r="N126" s="314">
        <f>Dados!G99</f>
        <v>6.8999999999999999E-3</v>
      </c>
    </row>
    <row r="127" spans="1:14" s="34" customFormat="1" x14ac:dyDescent="0.2">
      <c r="A127" s="685" t="s">
        <v>2</v>
      </c>
      <c r="B127" s="319" t="str">
        <f>Dados!B100</f>
        <v>Substituto na cobertura de Ausências Legais</v>
      </c>
      <c r="C127" s="122"/>
      <c r="D127" s="321"/>
      <c r="E127" s="320"/>
      <c r="F127" s="314">
        <f>Dados!G100</f>
        <v>1E-4</v>
      </c>
      <c r="G127" s="704">
        <f t="shared" ref="G127:G131" si="3">$G$62*F127</f>
        <v>0.43</v>
      </c>
      <c r="H127" s="738"/>
      <c r="I127" s="685" t="s">
        <v>2</v>
      </c>
      <c r="J127" s="319" t="str">
        <f>Dados!B100</f>
        <v>Substituto na cobertura de Ausências Legais</v>
      </c>
      <c r="K127" s="122"/>
      <c r="L127" s="321"/>
      <c r="M127" s="320"/>
      <c r="N127" s="314">
        <f>Dados!G100</f>
        <v>1E-4</v>
      </c>
    </row>
    <row r="128" spans="1:14" s="34" customFormat="1" x14ac:dyDescent="0.2">
      <c r="A128" s="685" t="s">
        <v>4</v>
      </c>
      <c r="B128" s="319" t="str">
        <f>Dados!B101</f>
        <v>Substituto na cobertura de Licença-Paternidade</v>
      </c>
      <c r="C128" s="122"/>
      <c r="D128" s="321"/>
      <c r="E128" s="320"/>
      <c r="F128" s="314">
        <f>Dados!G101</f>
        <v>1E-4</v>
      </c>
      <c r="G128" s="704">
        <f t="shared" si="3"/>
        <v>0.43</v>
      </c>
      <c r="H128" s="737"/>
      <c r="I128" s="685" t="s">
        <v>4</v>
      </c>
      <c r="J128" s="319" t="str">
        <f>Dados!B101</f>
        <v>Substituto na cobertura de Licença-Paternidade</v>
      </c>
      <c r="K128" s="122"/>
      <c r="L128" s="321"/>
      <c r="M128" s="320"/>
      <c r="N128" s="314">
        <f>Dados!G101</f>
        <v>1E-4</v>
      </c>
    </row>
    <row r="129" spans="1:14" s="34" customFormat="1" x14ac:dyDescent="0.2">
      <c r="A129" s="685" t="s">
        <v>5</v>
      </c>
      <c r="B129" s="319" t="str">
        <f>Dados!B102</f>
        <v>Substituto na cobertura de Ausência por acidente de trabalho</v>
      </c>
      <c r="C129" s="122"/>
      <c r="D129" s="321"/>
      <c r="E129" s="320"/>
      <c r="F129" s="314">
        <f>Dados!G102</f>
        <v>1E-4</v>
      </c>
      <c r="G129" s="704">
        <f t="shared" si="3"/>
        <v>0.43</v>
      </c>
      <c r="H129" s="737"/>
      <c r="I129" s="685" t="s">
        <v>5</v>
      </c>
      <c r="J129" s="319" t="str">
        <f>Dados!B102</f>
        <v>Substituto na cobertura de Ausência por acidente de trabalho</v>
      </c>
      <c r="K129" s="122"/>
      <c r="L129" s="321"/>
      <c r="M129" s="320"/>
      <c r="N129" s="314">
        <f>Dados!G102</f>
        <v>1E-4</v>
      </c>
    </row>
    <row r="130" spans="1:14" s="34" customFormat="1" x14ac:dyDescent="0.2">
      <c r="A130" s="685" t="s">
        <v>6</v>
      </c>
      <c r="B130" s="319" t="str">
        <f>Dados!B103</f>
        <v>Substituto na cobertura de Afastamento Maternidade</v>
      </c>
      <c r="C130" s="122"/>
      <c r="D130" s="321"/>
      <c r="E130" s="320"/>
      <c r="F130" s="314">
        <f>Dados!G103</f>
        <v>1E-4</v>
      </c>
      <c r="G130" s="704">
        <f t="shared" si="3"/>
        <v>0.43</v>
      </c>
      <c r="H130" s="737"/>
      <c r="I130" s="685" t="s">
        <v>6</v>
      </c>
      <c r="J130" s="319" t="str">
        <f>Dados!B103</f>
        <v>Substituto na cobertura de Afastamento Maternidade</v>
      </c>
      <c r="K130" s="122"/>
      <c r="L130" s="321"/>
      <c r="M130" s="320"/>
      <c r="N130" s="314">
        <f>Dados!G103</f>
        <v>1E-4</v>
      </c>
    </row>
    <row r="131" spans="1:14" s="34" customFormat="1" x14ac:dyDescent="0.2">
      <c r="A131" s="685" t="s">
        <v>7</v>
      </c>
      <c r="B131" s="319" t="str">
        <f>Dados!B104</f>
        <v>Substituto na cobertura de Outras ausências (especificar)</v>
      </c>
      <c r="C131" s="122"/>
      <c r="D131" s="321"/>
      <c r="E131" s="320"/>
      <c r="F131" s="314">
        <f>Dados!G104</f>
        <v>0</v>
      </c>
      <c r="G131" s="704">
        <f t="shared" si="3"/>
        <v>0</v>
      </c>
      <c r="H131" s="737"/>
      <c r="I131" s="685" t="s">
        <v>7</v>
      </c>
      <c r="J131" s="319" t="str">
        <f>Dados!B104</f>
        <v>Substituto na cobertura de Outras ausências (especificar)</v>
      </c>
      <c r="K131" s="122"/>
      <c r="L131" s="321"/>
      <c r="M131" s="320"/>
      <c r="N131" s="314">
        <f>Dados!G104</f>
        <v>0</v>
      </c>
    </row>
    <row r="132" spans="1:14" s="34" customFormat="1" ht="14.25" customHeight="1" x14ac:dyDescent="0.2">
      <c r="A132" s="933" t="s">
        <v>159</v>
      </c>
      <c r="B132" s="933"/>
      <c r="C132" s="933"/>
      <c r="D132" s="933"/>
      <c r="E132" s="933"/>
      <c r="F132" s="317">
        <f>SUM(F126:F131)</f>
        <v>7.3000000000000001E-3</v>
      </c>
      <c r="G132" s="322">
        <f>SUM(G126:G131)</f>
        <v>31.17</v>
      </c>
      <c r="H132" s="79"/>
      <c r="I132" s="933" t="s">
        <v>159</v>
      </c>
      <c r="J132" s="933"/>
      <c r="K132" s="933"/>
      <c r="L132" s="933"/>
      <c r="M132" s="933"/>
      <c r="N132" s="317">
        <f>SUM(N126:N131)</f>
        <v>7.3000000000000001E-3</v>
      </c>
    </row>
    <row r="133" spans="1:14" s="34" customFormat="1" ht="14.25" customHeight="1" x14ac:dyDescent="0.2">
      <c r="A133" s="71" t="s">
        <v>424</v>
      </c>
      <c r="B133" s="71"/>
      <c r="C133" s="71"/>
      <c r="D133" s="71"/>
      <c r="E133" s="678"/>
      <c r="F133" s="678"/>
      <c r="G133" s="678"/>
      <c r="H133" s="79"/>
      <c r="I133" s="71" t="s">
        <v>424</v>
      </c>
      <c r="J133" s="71"/>
      <c r="K133" s="71"/>
      <c r="L133" s="71"/>
      <c r="M133" s="678"/>
      <c r="N133" s="678"/>
    </row>
    <row r="134" spans="1:14" s="34" customFormat="1" x14ac:dyDescent="0.2">
      <c r="A134" s="195" t="s">
        <v>556</v>
      </c>
      <c r="B134" s="678"/>
      <c r="C134" s="678"/>
      <c r="D134" s="678"/>
      <c r="E134" s="678"/>
      <c r="F134" s="678"/>
      <c r="G134" s="678"/>
      <c r="H134" s="79"/>
      <c r="I134" s="195" t="s">
        <v>556</v>
      </c>
      <c r="J134" s="678"/>
      <c r="K134" s="678"/>
      <c r="L134" s="678"/>
      <c r="M134" s="678"/>
      <c r="N134" s="678"/>
    </row>
    <row r="135" spans="1:14" s="34" customFormat="1" hidden="1" x14ac:dyDescent="0.2">
      <c r="A135" s="678"/>
      <c r="B135" s="678"/>
      <c r="C135" s="678"/>
      <c r="D135" s="678"/>
      <c r="E135" s="678"/>
      <c r="F135" s="678"/>
      <c r="G135" s="678"/>
      <c r="H135" s="79"/>
      <c r="I135" s="678"/>
      <c r="J135" s="678"/>
      <c r="K135" s="678"/>
      <c r="L135" s="678"/>
      <c r="M135" s="678"/>
      <c r="N135" s="678"/>
    </row>
    <row r="136" spans="1:14" s="34" customFormat="1" hidden="1" x14ac:dyDescent="0.2">
      <c r="A136" s="931" t="s">
        <v>267</v>
      </c>
      <c r="B136" s="931"/>
      <c r="C136" s="931"/>
      <c r="D136" s="931"/>
      <c r="E136" s="931"/>
      <c r="F136" s="931"/>
      <c r="G136" s="931"/>
      <c r="H136" s="79"/>
      <c r="I136" s="931" t="s">
        <v>267</v>
      </c>
      <c r="J136" s="931"/>
      <c r="K136" s="931"/>
      <c r="L136" s="931"/>
      <c r="M136" s="931"/>
      <c r="N136" s="931"/>
    </row>
    <row r="137" spans="1:14" s="34" customFormat="1" hidden="1" x14ac:dyDescent="0.2">
      <c r="A137" s="728" t="s">
        <v>47</v>
      </c>
      <c r="B137" s="940" t="s">
        <v>425</v>
      </c>
      <c r="C137" s="941"/>
      <c r="D137" s="941"/>
      <c r="E137" s="941"/>
      <c r="F137" s="942"/>
      <c r="G137" s="729" t="s">
        <v>107</v>
      </c>
      <c r="H137" s="79"/>
      <c r="I137" s="728" t="s">
        <v>47</v>
      </c>
      <c r="J137" s="940" t="s">
        <v>425</v>
      </c>
      <c r="K137" s="941"/>
      <c r="L137" s="941"/>
      <c r="M137" s="941"/>
      <c r="N137" s="942"/>
    </row>
    <row r="138" spans="1:14" s="34" customFormat="1" hidden="1" x14ac:dyDescent="0.2">
      <c r="A138" s="685" t="s">
        <v>1</v>
      </c>
      <c r="B138" s="984" t="s">
        <v>268</v>
      </c>
      <c r="C138" s="984"/>
      <c r="D138" s="984"/>
      <c r="E138" s="984"/>
      <c r="F138" s="984"/>
      <c r="G138" s="704">
        <f>ROUND(IF(G40=0,H138,0),2)</f>
        <v>0</v>
      </c>
      <c r="H138" s="79"/>
      <c r="I138" s="685" t="s">
        <v>1</v>
      </c>
      <c r="J138" s="984" t="s">
        <v>268</v>
      </c>
      <c r="K138" s="984"/>
      <c r="L138" s="984"/>
      <c r="M138" s="984"/>
      <c r="N138" s="984"/>
    </row>
    <row r="139" spans="1:14" s="34" customFormat="1" ht="15.75" hidden="1" customHeight="1" x14ac:dyDescent="0.2">
      <c r="A139" s="933" t="s">
        <v>159</v>
      </c>
      <c r="B139" s="933"/>
      <c r="C139" s="933"/>
      <c r="D139" s="933"/>
      <c r="E139" s="933"/>
      <c r="F139" s="933"/>
      <c r="G139" s="308">
        <f>SUM(G133:G138)</f>
        <v>0</v>
      </c>
      <c r="H139" s="79"/>
      <c r="I139" s="933" t="s">
        <v>159</v>
      </c>
      <c r="J139" s="933"/>
      <c r="K139" s="933"/>
      <c r="L139" s="933"/>
      <c r="M139" s="933"/>
      <c r="N139" s="933"/>
    </row>
    <row r="140" spans="1:14" s="34" customFormat="1" hidden="1" x14ac:dyDescent="0.2">
      <c r="A140" s="924" t="s">
        <v>229</v>
      </c>
      <c r="B140" s="924"/>
      <c r="C140" s="924"/>
      <c r="D140" s="924"/>
      <c r="E140" s="924"/>
      <c r="F140" s="924"/>
      <c r="G140" s="924"/>
      <c r="H140" s="79"/>
      <c r="I140" s="924" t="s">
        <v>229</v>
      </c>
      <c r="J140" s="924"/>
      <c r="K140" s="924"/>
      <c r="L140" s="924"/>
      <c r="M140" s="924"/>
      <c r="N140" s="924"/>
    </row>
    <row r="141" spans="1:14" s="34" customFormat="1" hidden="1" x14ac:dyDescent="0.2">
      <c r="A141" s="924"/>
      <c r="B141" s="924"/>
      <c r="C141" s="924"/>
      <c r="D141" s="924"/>
      <c r="E141" s="924"/>
      <c r="F141" s="924"/>
      <c r="G141" s="924"/>
      <c r="H141" s="79"/>
      <c r="I141" s="924"/>
      <c r="J141" s="924"/>
      <c r="K141" s="924"/>
      <c r="L141" s="924"/>
      <c r="M141" s="924"/>
      <c r="N141" s="924"/>
    </row>
    <row r="142" spans="1:14" s="34" customFormat="1" x14ac:dyDescent="0.2">
      <c r="A142" s="71"/>
      <c r="B142" s="71"/>
      <c r="C142" s="71"/>
      <c r="D142" s="71"/>
      <c r="E142" s="71"/>
      <c r="F142" s="196"/>
      <c r="G142" s="197"/>
      <c r="H142" s="79"/>
      <c r="I142" s="71"/>
      <c r="J142" s="71"/>
      <c r="K142" s="71"/>
      <c r="L142" s="71"/>
      <c r="M142" s="71"/>
      <c r="N142" s="196"/>
    </row>
    <row r="143" spans="1:14" s="34" customFormat="1" x14ac:dyDescent="0.2">
      <c r="A143" s="931" t="s">
        <v>231</v>
      </c>
      <c r="B143" s="931"/>
      <c r="C143" s="931"/>
      <c r="D143" s="931"/>
      <c r="E143" s="931"/>
      <c r="F143" s="931"/>
      <c r="G143" s="931"/>
      <c r="H143" s="931"/>
      <c r="I143" s="931"/>
      <c r="J143" s="931"/>
      <c r="K143" s="931"/>
      <c r="L143" s="931"/>
      <c r="M143" s="931"/>
      <c r="N143" s="931"/>
    </row>
    <row r="144" spans="1:14" s="34" customFormat="1" x14ac:dyDescent="0.2">
      <c r="A144" s="753">
        <v>4</v>
      </c>
      <c r="B144" s="1071" t="s">
        <v>230</v>
      </c>
      <c r="C144" s="949"/>
      <c r="D144" s="949"/>
      <c r="E144" s="949"/>
      <c r="F144" s="1072"/>
      <c r="G144" s="754" t="s">
        <v>107</v>
      </c>
      <c r="H144" s="79"/>
      <c r="I144" s="753">
        <v>4</v>
      </c>
      <c r="J144" s="1071" t="s">
        <v>230</v>
      </c>
      <c r="K144" s="949"/>
      <c r="L144" s="949"/>
      <c r="M144" s="949"/>
      <c r="N144" s="1072"/>
    </row>
    <row r="145" spans="1:14" s="34" customFormat="1" x14ac:dyDescent="0.2">
      <c r="A145" s="301" t="s">
        <v>42</v>
      </c>
      <c r="B145" s="680" t="str">
        <f>B125</f>
        <v>Substituto nas Ausências Legais</v>
      </c>
      <c r="C145" s="342"/>
      <c r="D145" s="342"/>
      <c r="E145" s="342"/>
      <c r="F145" s="709"/>
      <c r="G145" s="701">
        <f>G132</f>
        <v>31.17</v>
      </c>
      <c r="H145" s="79"/>
      <c r="I145" s="301" t="s">
        <v>42</v>
      </c>
      <c r="J145" s="680" t="str">
        <f>J125</f>
        <v>Substituto nas Ausências Legais</v>
      </c>
      <c r="K145" s="342"/>
      <c r="L145" s="342"/>
      <c r="M145" s="342"/>
      <c r="N145" s="709"/>
    </row>
    <row r="146" spans="1:14" s="34" customFormat="1" hidden="1" x14ac:dyDescent="0.2">
      <c r="A146" s="301" t="s">
        <v>47</v>
      </c>
      <c r="B146" s="680" t="str">
        <f>B137</f>
        <v>Substituto na Intrajornada</v>
      </c>
      <c r="C146" s="342"/>
      <c r="D146" s="342"/>
      <c r="E146" s="342"/>
      <c r="F146" s="709"/>
      <c r="G146" s="701">
        <f>G139</f>
        <v>0</v>
      </c>
      <c r="H146" s="79"/>
      <c r="I146" s="301" t="s">
        <v>47</v>
      </c>
      <c r="J146" s="680" t="str">
        <f>J137</f>
        <v>Substituto na Intrajornada</v>
      </c>
      <c r="K146" s="342"/>
      <c r="L146" s="342"/>
      <c r="M146" s="342"/>
      <c r="N146" s="709"/>
    </row>
    <row r="147" spans="1:14" s="34" customFormat="1" x14ac:dyDescent="0.2">
      <c r="A147" s="933" t="s">
        <v>159</v>
      </c>
      <c r="B147" s="933"/>
      <c r="C147" s="933"/>
      <c r="D147" s="933"/>
      <c r="E147" s="933"/>
      <c r="F147" s="933"/>
      <c r="G147" s="322">
        <f>SUM(G145:G146)</f>
        <v>31.17</v>
      </c>
      <c r="H147" s="79"/>
      <c r="I147" s="933" t="s">
        <v>159</v>
      </c>
      <c r="J147" s="933"/>
      <c r="K147" s="933"/>
      <c r="L147" s="933"/>
      <c r="M147" s="933"/>
      <c r="N147" s="933"/>
    </row>
    <row r="148" spans="1:14" s="34" customFormat="1" x14ac:dyDescent="0.2">
      <c r="A148" s="71"/>
      <c r="B148" s="71"/>
      <c r="C148" s="71"/>
      <c r="D148" s="71"/>
      <c r="E148" s="71"/>
      <c r="F148" s="196"/>
      <c r="G148" s="197"/>
      <c r="H148" s="79"/>
      <c r="I148" s="71"/>
      <c r="J148" s="71"/>
      <c r="K148" s="71"/>
      <c r="L148" s="71"/>
      <c r="M148" s="71"/>
      <c r="N148" s="196"/>
    </row>
    <row r="149" spans="1:14" ht="15" customHeight="1" x14ac:dyDescent="0.2">
      <c r="A149" s="931" t="s">
        <v>233</v>
      </c>
      <c r="B149" s="931"/>
      <c r="C149" s="931"/>
      <c r="D149" s="931"/>
      <c r="E149" s="931"/>
      <c r="F149" s="931"/>
      <c r="G149" s="931"/>
      <c r="H149" s="931"/>
      <c r="I149" s="931"/>
      <c r="J149" s="931"/>
      <c r="K149" s="931"/>
      <c r="L149" s="931"/>
      <c r="M149" s="931"/>
      <c r="N149" s="931"/>
    </row>
    <row r="150" spans="1:14" x14ac:dyDescent="0.2">
      <c r="A150" s="753">
        <v>5</v>
      </c>
      <c r="B150" s="1071" t="s">
        <v>79</v>
      </c>
      <c r="C150" s="949"/>
      <c r="D150" s="949"/>
      <c r="E150" s="949"/>
      <c r="F150" s="1072"/>
      <c r="G150" s="754" t="s">
        <v>107</v>
      </c>
      <c r="H150" s="79"/>
      <c r="I150" s="753">
        <v>5</v>
      </c>
      <c r="J150" s="1071" t="s">
        <v>79</v>
      </c>
      <c r="K150" s="949"/>
      <c r="L150" s="949"/>
      <c r="M150" s="949"/>
      <c r="N150" s="1072"/>
    </row>
    <row r="151" spans="1:14" x14ac:dyDescent="0.2">
      <c r="A151" s="301" t="s">
        <v>1</v>
      </c>
      <c r="B151" s="343" t="str">
        <f>Dados!A60</f>
        <v>Uniformes</v>
      </c>
      <c r="C151" s="342"/>
      <c r="D151" s="342"/>
      <c r="E151" s="342"/>
      <c r="F151" s="740">
        <f>Dados!J61</f>
        <v>62.41</v>
      </c>
      <c r="G151" s="701">
        <f>'Uniformes II TA'!J52</f>
        <v>74.89</v>
      </c>
      <c r="H151" s="79"/>
      <c r="I151" s="301" t="s">
        <v>1</v>
      </c>
      <c r="J151" s="343" t="str">
        <f>Dados!A60</f>
        <v>Uniformes</v>
      </c>
      <c r="K151" s="342"/>
      <c r="L151" s="342"/>
      <c r="M151" s="342"/>
      <c r="N151" s="740">
        <f>Dados!R61</f>
        <v>0</v>
      </c>
    </row>
    <row r="152" spans="1:14" x14ac:dyDescent="0.2">
      <c r="A152" s="301" t="s">
        <v>2</v>
      </c>
      <c r="B152" s="343" t="str">
        <f>Dados!A62</f>
        <v>Materiais e Equipamentos</v>
      </c>
      <c r="C152" s="342"/>
      <c r="D152" s="342"/>
      <c r="E152" s="342"/>
      <c r="F152" s="740">
        <f>Dados!J63</f>
        <v>24.36</v>
      </c>
      <c r="G152" s="701">
        <f>'Mat. e Equip. II TA'!I30</f>
        <v>26.38</v>
      </c>
      <c r="H152" s="79"/>
      <c r="I152" s="301" t="s">
        <v>2</v>
      </c>
      <c r="J152" s="343" t="str">
        <f>Dados!A62</f>
        <v>Materiais e Equipamentos</v>
      </c>
      <c r="K152" s="342"/>
      <c r="L152" s="342"/>
      <c r="M152" s="342"/>
      <c r="N152" s="740">
        <f>Dados!R63</f>
        <v>0</v>
      </c>
    </row>
    <row r="153" spans="1:14" x14ac:dyDescent="0.2">
      <c r="A153" s="301" t="s">
        <v>4</v>
      </c>
      <c r="B153" s="680" t="str">
        <f>Dados!A64</f>
        <v>Depreciação e manutenção dos equipamentos</v>
      </c>
      <c r="C153" s="342"/>
      <c r="D153" s="342"/>
      <c r="E153" s="342"/>
      <c r="F153" s="709">
        <f>Dados!I64</f>
        <v>0.1</v>
      </c>
      <c r="G153" s="701">
        <f>G152*10%</f>
        <v>2.64</v>
      </c>
      <c r="H153" s="79"/>
      <c r="I153" s="301" t="s">
        <v>4</v>
      </c>
      <c r="J153" s="680" t="str">
        <f>Dados!A64</f>
        <v>Depreciação e manutenção dos equipamentos</v>
      </c>
      <c r="K153" s="342"/>
      <c r="L153" s="342"/>
      <c r="M153" s="342"/>
      <c r="N153" s="709">
        <f>Dados!Q64</f>
        <v>0</v>
      </c>
    </row>
    <row r="154" spans="1:14" x14ac:dyDescent="0.2">
      <c r="A154" s="301" t="s">
        <v>5</v>
      </c>
      <c r="B154" s="309" t="s">
        <v>51</v>
      </c>
      <c r="C154" s="312"/>
      <c r="D154" s="312"/>
      <c r="E154" s="122"/>
      <c r="F154" s="709"/>
      <c r="G154" s="702"/>
      <c r="H154" s="79"/>
      <c r="I154" s="301" t="s">
        <v>5</v>
      </c>
      <c r="J154" s="309" t="s">
        <v>51</v>
      </c>
      <c r="K154" s="312"/>
      <c r="L154" s="312"/>
      <c r="M154" s="122"/>
      <c r="N154" s="709"/>
    </row>
    <row r="155" spans="1:14" x14ac:dyDescent="0.2">
      <c r="A155" s="933" t="s">
        <v>159</v>
      </c>
      <c r="B155" s="933"/>
      <c r="C155" s="933"/>
      <c r="D155" s="933"/>
      <c r="E155" s="933"/>
      <c r="F155" s="933"/>
      <c r="G155" s="322">
        <f>SUM(G151:G154)</f>
        <v>103.91</v>
      </c>
      <c r="H155" s="79"/>
      <c r="I155" s="933" t="s">
        <v>159</v>
      </c>
      <c r="J155" s="933"/>
      <c r="K155" s="933"/>
      <c r="L155" s="933"/>
      <c r="M155" s="933"/>
      <c r="N155" s="933"/>
    </row>
    <row r="156" spans="1:14" s="34" customFormat="1" x14ac:dyDescent="0.2">
      <c r="A156" s="71" t="s">
        <v>234</v>
      </c>
      <c r="B156" s="68"/>
      <c r="C156" s="68"/>
      <c r="D156" s="68"/>
      <c r="E156" s="68"/>
      <c r="F156" s="77"/>
      <c r="G156" s="78" t="s">
        <v>0</v>
      </c>
      <c r="H156" s="79"/>
      <c r="I156" s="71" t="s">
        <v>234</v>
      </c>
      <c r="J156" s="68"/>
      <c r="K156" s="68"/>
      <c r="L156" s="68"/>
      <c r="M156" s="68"/>
      <c r="N156" s="77"/>
    </row>
    <row r="157" spans="1:14" s="34" customFormat="1" x14ac:dyDescent="0.2">
      <c r="A157" s="698"/>
      <c r="B157" s="68"/>
      <c r="C157" s="68"/>
      <c r="D157" s="68"/>
      <c r="E157" s="68"/>
      <c r="F157" s="77"/>
      <c r="G157" s="78"/>
      <c r="H157" s="79"/>
      <c r="I157" s="698"/>
      <c r="J157" s="68"/>
      <c r="K157" s="68"/>
      <c r="L157" s="68"/>
      <c r="M157" s="68"/>
      <c r="N157" s="77"/>
    </row>
    <row r="158" spans="1:14" ht="15" customHeight="1" x14ac:dyDescent="0.2">
      <c r="A158" s="931" t="s">
        <v>237</v>
      </c>
      <c r="B158" s="931"/>
      <c r="C158" s="931"/>
      <c r="D158" s="931"/>
      <c r="E158" s="931"/>
      <c r="F158" s="931"/>
      <c r="G158" s="931"/>
      <c r="H158" s="931"/>
      <c r="I158" s="931"/>
      <c r="J158" s="931"/>
      <c r="K158" s="931"/>
      <c r="L158" s="931"/>
      <c r="M158" s="931"/>
      <c r="N158" s="931"/>
    </row>
    <row r="159" spans="1:14" ht="15.75" customHeight="1" x14ac:dyDescent="0.2">
      <c r="A159" s="753">
        <v>6</v>
      </c>
      <c r="B159" s="1070" t="s">
        <v>23</v>
      </c>
      <c r="C159" s="1070"/>
      <c r="D159" s="1070"/>
      <c r="E159" s="1070"/>
      <c r="F159" s="753" t="s">
        <v>222</v>
      </c>
      <c r="G159" s="754" t="s">
        <v>107</v>
      </c>
      <c r="H159" s="79"/>
      <c r="I159" s="753">
        <v>6</v>
      </c>
      <c r="J159" s="1070" t="s">
        <v>23</v>
      </c>
      <c r="K159" s="1070"/>
      <c r="L159" s="1070"/>
      <c r="M159" s="1070"/>
      <c r="N159" s="753" t="s">
        <v>222</v>
      </c>
    </row>
    <row r="160" spans="1:14" ht="14.25" customHeight="1" x14ac:dyDescent="0.2">
      <c r="A160" s="685" t="s">
        <v>1</v>
      </c>
      <c r="B160" s="318" t="s">
        <v>24</v>
      </c>
      <c r="C160" s="321"/>
      <c r="D160" s="321"/>
      <c r="E160" s="310"/>
      <c r="F160" s="314">
        <f>Dados!J67</f>
        <v>0.01</v>
      </c>
      <c r="G160" s="703">
        <f>$G$180*F160</f>
        <v>72.239999999999995</v>
      </c>
      <c r="H160" s="79"/>
      <c r="I160" s="685" t="s">
        <v>1</v>
      </c>
      <c r="J160" s="318" t="s">
        <v>24</v>
      </c>
      <c r="K160" s="321"/>
      <c r="L160" s="321"/>
      <c r="M160" s="310"/>
      <c r="N160" s="314">
        <f>Dados!J67</f>
        <v>0.01</v>
      </c>
    </row>
    <row r="161" spans="1:14" ht="14.25" customHeight="1" x14ac:dyDescent="0.2">
      <c r="A161" s="685" t="s">
        <v>2</v>
      </c>
      <c r="B161" s="318" t="s">
        <v>18</v>
      </c>
      <c r="C161" s="321"/>
      <c r="D161" s="321"/>
      <c r="E161" s="310"/>
      <c r="F161" s="314">
        <f>Dados!J68</f>
        <v>0.01</v>
      </c>
      <c r="G161" s="703">
        <f>($G$180+$G$160)*F161</f>
        <v>72.959999999999994</v>
      </c>
      <c r="H161" s="79"/>
      <c r="I161" s="685" t="s">
        <v>2</v>
      </c>
      <c r="J161" s="318" t="s">
        <v>18</v>
      </c>
      <c r="K161" s="321"/>
      <c r="L161" s="321"/>
      <c r="M161" s="310"/>
      <c r="N161" s="314">
        <f>Dados!J68</f>
        <v>0.01</v>
      </c>
    </row>
    <row r="162" spans="1:14" ht="14.25" customHeight="1" x14ac:dyDescent="0.2">
      <c r="A162" s="685" t="s">
        <v>4</v>
      </c>
      <c r="B162" s="318" t="s">
        <v>426</v>
      </c>
      <c r="C162" s="321"/>
      <c r="D162" s="321"/>
      <c r="E162" s="310"/>
      <c r="F162" s="314"/>
      <c r="G162" s="703">
        <f>SUM(G160:G161)</f>
        <v>145.19999999999999</v>
      </c>
      <c r="H162" s="79"/>
      <c r="I162" s="685" t="s">
        <v>4</v>
      </c>
      <c r="J162" s="318" t="s">
        <v>426</v>
      </c>
      <c r="K162" s="321"/>
      <c r="L162" s="321"/>
      <c r="M162" s="310"/>
      <c r="N162" s="314"/>
    </row>
    <row r="163" spans="1:14" ht="14.25" customHeight="1" x14ac:dyDescent="0.2">
      <c r="A163" s="685" t="s">
        <v>271</v>
      </c>
      <c r="B163" s="319" t="s">
        <v>427</v>
      </c>
      <c r="C163" s="122"/>
      <c r="D163" s="321"/>
      <c r="E163" s="320"/>
      <c r="F163" s="315">
        <f>Dados!F72</f>
        <v>6.4999999999999997E-3</v>
      </c>
      <c r="G163" s="316">
        <f>(($G$180+$G$160+$G$161)/Dados!$H$72)*F163</f>
        <v>52.43</v>
      </c>
      <c r="H163" s="79"/>
      <c r="I163" s="685" t="s">
        <v>271</v>
      </c>
      <c r="J163" s="319" t="s">
        <v>427</v>
      </c>
      <c r="K163" s="122"/>
      <c r="L163" s="321"/>
      <c r="M163" s="320"/>
      <c r="N163" s="315">
        <f>Dados!F72</f>
        <v>6.4999999999999997E-3</v>
      </c>
    </row>
    <row r="164" spans="1:14" ht="14.25" customHeight="1" x14ac:dyDescent="0.2">
      <c r="A164" s="685" t="s">
        <v>272</v>
      </c>
      <c r="B164" s="319" t="s">
        <v>484</v>
      </c>
      <c r="C164" s="122"/>
      <c r="D164" s="321"/>
      <c r="E164" s="310"/>
      <c r="F164" s="315">
        <f>Dados!E72</f>
        <v>0.03</v>
      </c>
      <c r="G164" s="316">
        <f>(($G$180+$G$160+$G$161)/Dados!$H$72)*F164</f>
        <v>242.01</v>
      </c>
      <c r="H164" s="79"/>
      <c r="I164" s="685" t="s">
        <v>272</v>
      </c>
      <c r="J164" s="319" t="s">
        <v>484</v>
      </c>
      <c r="K164" s="122"/>
      <c r="L164" s="321"/>
      <c r="M164" s="310"/>
      <c r="N164" s="315">
        <f>Dados!E72</f>
        <v>0.03</v>
      </c>
    </row>
    <row r="165" spans="1:14" ht="14.25" customHeight="1" x14ac:dyDescent="0.2">
      <c r="A165" s="685" t="s">
        <v>428</v>
      </c>
      <c r="B165" s="319" t="s">
        <v>486</v>
      </c>
      <c r="C165" s="122"/>
      <c r="D165" s="321"/>
      <c r="E165" s="310"/>
      <c r="F165" s="315">
        <f>Dados!C72</f>
        <v>0.05</v>
      </c>
      <c r="G165" s="316">
        <f>(($G$180+$G$160+$G$161)/Dados!$H$72)*F165</f>
        <v>403.35</v>
      </c>
      <c r="H165" s="79"/>
      <c r="I165" s="685" t="s">
        <v>428</v>
      </c>
      <c r="J165" s="319" t="s">
        <v>486</v>
      </c>
      <c r="K165" s="122"/>
      <c r="L165" s="321"/>
      <c r="M165" s="310"/>
      <c r="N165" s="315">
        <f>Dados!C72</f>
        <v>0.05</v>
      </c>
    </row>
    <row r="166" spans="1:14" ht="14.25" customHeight="1" x14ac:dyDescent="0.2">
      <c r="A166" s="685" t="s">
        <v>5</v>
      </c>
      <c r="B166" s="319" t="s">
        <v>429</v>
      </c>
      <c r="C166" s="122"/>
      <c r="D166" s="321"/>
      <c r="E166" s="310"/>
      <c r="F166" s="315">
        <v>0</v>
      </c>
      <c r="G166" s="316">
        <v>0</v>
      </c>
      <c r="H166" s="79"/>
      <c r="I166" s="685" t="s">
        <v>5</v>
      </c>
      <c r="J166" s="319" t="s">
        <v>429</v>
      </c>
      <c r="K166" s="122"/>
      <c r="L166" s="321"/>
      <c r="M166" s="310"/>
      <c r="N166" s="315">
        <v>0</v>
      </c>
    </row>
    <row r="167" spans="1:14" ht="18" customHeight="1" x14ac:dyDescent="0.2">
      <c r="A167" s="933" t="s">
        <v>159</v>
      </c>
      <c r="B167" s="933"/>
      <c r="C167" s="933"/>
      <c r="D167" s="933"/>
      <c r="E167" s="933"/>
      <c r="F167" s="317">
        <f>SUM(F160:F165)</f>
        <v>0.1065</v>
      </c>
      <c r="G167" s="705">
        <f>G160+G163+G164+G165+G161</f>
        <v>842.99</v>
      </c>
      <c r="H167" s="79"/>
      <c r="I167" s="933" t="s">
        <v>159</v>
      </c>
      <c r="J167" s="933"/>
      <c r="K167" s="933"/>
      <c r="L167" s="933"/>
      <c r="M167" s="933"/>
      <c r="N167" s="317">
        <f>SUM(N160:N165)</f>
        <v>0.1065</v>
      </c>
    </row>
    <row r="168" spans="1:14" x14ac:dyDescent="0.2">
      <c r="A168" s="195" t="s">
        <v>236</v>
      </c>
      <c r="B168" s="683"/>
      <c r="C168" s="683"/>
      <c r="D168" s="683"/>
      <c r="E168" s="683"/>
      <c r="F168" s="683"/>
      <c r="G168" s="82"/>
      <c r="H168" s="79"/>
      <c r="I168" s="195" t="s">
        <v>236</v>
      </c>
      <c r="J168" s="683"/>
      <c r="K168" s="683"/>
      <c r="L168" s="683"/>
      <c r="M168" s="683"/>
      <c r="N168" s="683"/>
    </row>
    <row r="169" spans="1:14" x14ac:dyDescent="0.2">
      <c r="A169" s="195" t="s">
        <v>235</v>
      </c>
      <c r="B169" s="683"/>
      <c r="C169" s="683"/>
      <c r="D169" s="683"/>
      <c r="E169" s="683"/>
      <c r="F169" s="683"/>
      <c r="G169" s="82"/>
      <c r="H169" s="79"/>
      <c r="I169" s="195" t="s">
        <v>235</v>
      </c>
      <c r="J169" s="683"/>
      <c r="K169" s="683"/>
      <c r="L169" s="683"/>
      <c r="M169" s="683"/>
      <c r="N169" s="683"/>
    </row>
    <row r="170" spans="1:14" x14ac:dyDescent="0.2">
      <c r="A170" s="955" t="s">
        <v>433</v>
      </c>
      <c r="B170" s="955"/>
      <c r="C170" s="955"/>
      <c r="D170" s="955"/>
      <c r="E170" s="955"/>
      <c r="F170" s="955"/>
      <c r="G170" s="955"/>
      <c r="H170" s="79"/>
      <c r="I170" s="955"/>
      <c r="J170" s="955"/>
      <c r="K170" s="955"/>
      <c r="L170" s="955"/>
      <c r="M170" s="955"/>
      <c r="N170" s="955"/>
    </row>
    <row r="171" spans="1:14" x14ac:dyDescent="0.2">
      <c r="A171" s="955"/>
      <c r="B171" s="955"/>
      <c r="C171" s="955"/>
      <c r="D171" s="955"/>
      <c r="E171" s="955"/>
      <c r="F171" s="955"/>
      <c r="G171" s="955"/>
      <c r="H171" s="79"/>
      <c r="I171" s="955"/>
      <c r="J171" s="955"/>
      <c r="K171" s="955"/>
      <c r="L171" s="955"/>
      <c r="M171" s="955"/>
      <c r="N171" s="955"/>
    </row>
    <row r="172" spans="1:14" x14ac:dyDescent="0.2">
      <c r="A172" s="195"/>
      <c r="B172" s="683"/>
      <c r="C172" s="683"/>
      <c r="D172" s="683"/>
      <c r="E172" s="683"/>
      <c r="F172" s="683"/>
      <c r="G172" s="82"/>
      <c r="H172" s="79"/>
      <c r="I172" s="195"/>
      <c r="J172" s="683"/>
      <c r="K172" s="683"/>
      <c r="L172" s="683"/>
      <c r="M172" s="683"/>
      <c r="N172" s="683"/>
    </row>
    <row r="173" spans="1:14" x14ac:dyDescent="0.2">
      <c r="A173" s="652" t="s">
        <v>434</v>
      </c>
      <c r="B173" s="934"/>
      <c r="C173" s="935"/>
      <c r="D173" s="935"/>
      <c r="E173" s="935"/>
      <c r="F173" s="935"/>
      <c r="G173" s="935"/>
      <c r="H173" s="935"/>
      <c r="I173" s="935"/>
      <c r="J173" s="935"/>
      <c r="K173" s="935"/>
      <c r="L173" s="935"/>
      <c r="M173" s="935"/>
      <c r="N173" s="935"/>
    </row>
    <row r="174" spans="1:14" ht="68.25" customHeight="1" x14ac:dyDescent="0.2">
      <c r="A174" s="982" t="s">
        <v>201</v>
      </c>
      <c r="B174" s="982"/>
      <c r="C174" s="982"/>
      <c r="D174" s="982"/>
      <c r="E174" s="982"/>
      <c r="F174" s="982"/>
      <c r="G174" s="724" t="s">
        <v>523</v>
      </c>
      <c r="H174" s="79"/>
      <c r="I174" s="982" t="s">
        <v>201</v>
      </c>
      <c r="J174" s="982"/>
      <c r="K174" s="982"/>
      <c r="L174" s="982"/>
      <c r="M174" s="982"/>
      <c r="N174" s="982"/>
    </row>
    <row r="175" spans="1:14" ht="14.25" customHeight="1" x14ac:dyDescent="0.2">
      <c r="A175" s="685" t="s">
        <v>1</v>
      </c>
      <c r="B175" s="680" t="str">
        <f>A33</f>
        <v>Módulo 1 - Composição da Remuneração</v>
      </c>
      <c r="C175" s="681"/>
      <c r="D175" s="694"/>
      <c r="E175" s="694"/>
      <c r="F175" s="323"/>
      <c r="G175" s="702">
        <f>G41</f>
        <v>3521.6</v>
      </c>
      <c r="H175" s="79"/>
      <c r="I175" s="685" t="s">
        <v>1</v>
      </c>
      <c r="J175" s="680">
        <f>I33</f>
        <v>0</v>
      </c>
      <c r="K175" s="681"/>
      <c r="L175" s="694"/>
      <c r="M175" s="694"/>
      <c r="N175" s="323"/>
    </row>
    <row r="176" spans="1:14" ht="14.25" customHeight="1" x14ac:dyDescent="0.2">
      <c r="A176" s="685" t="s">
        <v>2</v>
      </c>
      <c r="B176" s="680" t="str">
        <f>A46</f>
        <v>Módulo 2 - Encargos e Benefícios Anuais, Mensais e Diários</v>
      </c>
      <c r="C176" s="681"/>
      <c r="D176" s="694"/>
      <c r="E176" s="694"/>
      <c r="F176" s="323"/>
      <c r="G176" s="702">
        <f>G105</f>
        <v>3395.46</v>
      </c>
      <c r="H176" s="79"/>
      <c r="I176" s="685" t="s">
        <v>2</v>
      </c>
      <c r="J176" s="680">
        <f>I46</f>
        <v>0</v>
      </c>
      <c r="K176" s="681"/>
      <c r="L176" s="694"/>
      <c r="M176" s="694"/>
      <c r="N176" s="323"/>
    </row>
    <row r="177" spans="1:14" ht="14.25" customHeight="1" x14ac:dyDescent="0.2">
      <c r="A177" s="685" t="s">
        <v>4</v>
      </c>
      <c r="B177" s="680" t="str">
        <f>A107</f>
        <v>Módulo 3 - Provisão para Rescisão</v>
      </c>
      <c r="C177" s="681"/>
      <c r="D177" s="694"/>
      <c r="E177" s="694"/>
      <c r="F177" s="323"/>
      <c r="G177" s="702">
        <f>G116</f>
        <v>171.79</v>
      </c>
      <c r="H177" s="79"/>
      <c r="I177" s="685" t="s">
        <v>4</v>
      </c>
      <c r="J177" s="680">
        <f>I107</f>
        <v>0</v>
      </c>
      <c r="K177" s="681"/>
      <c r="L177" s="694"/>
      <c r="M177" s="694"/>
      <c r="N177" s="323"/>
    </row>
    <row r="178" spans="1:14" ht="14.25" customHeight="1" x14ac:dyDescent="0.2">
      <c r="A178" s="685" t="s">
        <v>5</v>
      </c>
      <c r="B178" s="680" t="str">
        <f>A121</f>
        <v>Módulo 4 - Custo de Reposição do Profissional</v>
      </c>
      <c r="C178" s="681"/>
      <c r="D178" s="694"/>
      <c r="E178" s="694"/>
      <c r="F178" s="323"/>
      <c r="G178" s="702">
        <f>G147</f>
        <v>31.17</v>
      </c>
      <c r="H178" s="79"/>
      <c r="I178" s="685" t="s">
        <v>5</v>
      </c>
      <c r="J178" s="680">
        <f>I121</f>
        <v>0</v>
      </c>
      <c r="K178" s="681"/>
      <c r="L178" s="694"/>
      <c r="M178" s="694"/>
      <c r="N178" s="323"/>
    </row>
    <row r="179" spans="1:14" x14ac:dyDescent="0.2">
      <c r="A179" s="301" t="s">
        <v>6</v>
      </c>
      <c r="B179" s="680" t="str">
        <f>A149</f>
        <v>Módulo 5 - Insumos Diversos</v>
      </c>
      <c r="C179" s="325"/>
      <c r="D179" s="325"/>
      <c r="E179" s="325"/>
      <c r="F179" s="324"/>
      <c r="G179" s="731">
        <f>G155</f>
        <v>103.91</v>
      </c>
      <c r="H179" s="34"/>
      <c r="I179" s="301" t="s">
        <v>6</v>
      </c>
      <c r="J179" s="680">
        <f>I149</f>
        <v>0</v>
      </c>
      <c r="K179" s="325"/>
      <c r="L179" s="325"/>
      <c r="M179" s="325"/>
      <c r="N179" s="324"/>
    </row>
    <row r="180" spans="1:14" x14ac:dyDescent="0.2">
      <c r="A180" s="933" t="s">
        <v>238</v>
      </c>
      <c r="B180" s="933"/>
      <c r="C180" s="933"/>
      <c r="D180" s="933"/>
      <c r="E180" s="933"/>
      <c r="F180" s="933"/>
      <c r="G180" s="322">
        <f>SUM(G175:G179)</f>
        <v>7223.93</v>
      </c>
      <c r="H180" s="34"/>
      <c r="I180" s="933" t="s">
        <v>238</v>
      </c>
      <c r="J180" s="933"/>
      <c r="K180" s="933"/>
      <c r="L180" s="933"/>
      <c r="M180" s="933"/>
      <c r="N180" s="933"/>
    </row>
    <row r="181" spans="1:14" ht="14.25" customHeight="1" x14ac:dyDescent="0.2">
      <c r="A181" s="685" t="s">
        <v>7</v>
      </c>
      <c r="B181" s="680" t="str">
        <f>A158</f>
        <v>Módulo 6 - Custos Indiretos, Tributos e Lucro</v>
      </c>
      <c r="C181" s="681"/>
      <c r="D181" s="694"/>
      <c r="E181" s="694"/>
      <c r="F181" s="323"/>
      <c r="G181" s="702">
        <f>G167</f>
        <v>842.99</v>
      </c>
      <c r="H181" s="34"/>
      <c r="I181" s="685" t="s">
        <v>7</v>
      </c>
      <c r="J181" s="680">
        <f>I158</f>
        <v>0</v>
      </c>
      <c r="K181" s="681"/>
      <c r="L181" s="694"/>
      <c r="M181" s="694"/>
      <c r="N181" s="323"/>
    </row>
    <row r="182" spans="1:14" ht="15.75" customHeight="1" x14ac:dyDescent="0.2">
      <c r="A182" s="933" t="s">
        <v>179</v>
      </c>
      <c r="B182" s="933"/>
      <c r="C182" s="933"/>
      <c r="D182" s="933"/>
      <c r="E182" s="933"/>
      <c r="F182" s="933"/>
      <c r="G182" s="322">
        <f>SUM(G180:G181)</f>
        <v>8066.92</v>
      </c>
      <c r="H182" s="34"/>
      <c r="I182" s="933" t="s">
        <v>179</v>
      </c>
      <c r="J182" s="933"/>
      <c r="K182" s="933"/>
      <c r="L182" s="933"/>
      <c r="M182" s="933"/>
      <c r="N182" s="933"/>
    </row>
    <row r="183" spans="1:14" hidden="1" x14ac:dyDescent="0.2">
      <c r="A183" s="951" t="s">
        <v>436</v>
      </c>
      <c r="B183" s="951"/>
      <c r="C183" s="951"/>
      <c r="D183" s="951"/>
      <c r="E183" s="951"/>
      <c r="F183" s="951"/>
      <c r="G183" s="332"/>
    </row>
    <row r="184" spans="1:14" hidden="1" x14ac:dyDescent="0.2">
      <c r="A184" s="951" t="s">
        <v>179</v>
      </c>
      <c r="B184" s="951"/>
      <c r="C184" s="951"/>
      <c r="D184" s="951"/>
      <c r="E184" s="951"/>
      <c r="F184" s="951"/>
      <c r="G184" s="332">
        <f>SUM(G182:G183)</f>
        <v>8066.92</v>
      </c>
    </row>
  </sheetData>
  <mergeCells count="152">
    <mergeCell ref="A182:F182"/>
    <mergeCell ref="I182:N182"/>
    <mergeCell ref="A183:F183"/>
    <mergeCell ref="A184:F184"/>
    <mergeCell ref="B173:N173"/>
    <mergeCell ref="A174:F174"/>
    <mergeCell ref="I174:N174"/>
    <mergeCell ref="A180:F180"/>
    <mergeCell ref="I180:N180"/>
    <mergeCell ref="A167:E167"/>
    <mergeCell ref="I167:M167"/>
    <mergeCell ref="A170:G171"/>
    <mergeCell ref="I170:N171"/>
    <mergeCell ref="A155:F155"/>
    <mergeCell ref="I155:N155"/>
    <mergeCell ref="A158:N158"/>
    <mergeCell ref="B159:E159"/>
    <mergeCell ref="J159:M159"/>
    <mergeCell ref="A147:F147"/>
    <mergeCell ref="I147:N147"/>
    <mergeCell ref="A149:N149"/>
    <mergeCell ref="B150:F150"/>
    <mergeCell ref="J150:N150"/>
    <mergeCell ref="A140:G141"/>
    <mergeCell ref="I140:N141"/>
    <mergeCell ref="A143:N143"/>
    <mergeCell ref="B144:F144"/>
    <mergeCell ref="J144:N144"/>
    <mergeCell ref="B138:F138"/>
    <mergeCell ref="J138:N138"/>
    <mergeCell ref="A139:F139"/>
    <mergeCell ref="I139:N139"/>
    <mergeCell ref="A136:G136"/>
    <mergeCell ref="I136:N136"/>
    <mergeCell ref="B137:F137"/>
    <mergeCell ref="J137:N137"/>
    <mergeCell ref="B125:E125"/>
    <mergeCell ref="J125:M125"/>
    <mergeCell ref="A132:E132"/>
    <mergeCell ref="I132:M132"/>
    <mergeCell ref="A116:E116"/>
    <mergeCell ref="I116:M116"/>
    <mergeCell ref="A121:N121"/>
    <mergeCell ref="A122:N123"/>
    <mergeCell ref="A124:N124"/>
    <mergeCell ref="A105:F105"/>
    <mergeCell ref="I105:N105"/>
    <mergeCell ref="A107:N107"/>
    <mergeCell ref="B108:E108"/>
    <mergeCell ref="J108:M108"/>
    <mergeCell ref="A98:G98"/>
    <mergeCell ref="I98:N98"/>
    <mergeCell ref="A100:N100"/>
    <mergeCell ref="B101:F101"/>
    <mergeCell ref="J101:N101"/>
    <mergeCell ref="A86:A87"/>
    <mergeCell ref="I86:I87"/>
    <mergeCell ref="A96:F96"/>
    <mergeCell ref="I96:N96"/>
    <mergeCell ref="A82:N82"/>
    <mergeCell ref="B83:E83"/>
    <mergeCell ref="J83:M83"/>
    <mergeCell ref="A84:A85"/>
    <mergeCell ref="I84:I85"/>
    <mergeCell ref="A76:G76"/>
    <mergeCell ref="I76:N76"/>
    <mergeCell ref="A77:G77"/>
    <mergeCell ref="I77:N77"/>
    <mergeCell ref="A74:E74"/>
    <mergeCell ref="I74:M74"/>
    <mergeCell ref="A75:G75"/>
    <mergeCell ref="I75:N75"/>
    <mergeCell ref="A62:F62"/>
    <mergeCell ref="I62:N62"/>
    <mergeCell ref="A64:N64"/>
    <mergeCell ref="B65:E65"/>
    <mergeCell ref="J65:M65"/>
    <mergeCell ref="A56:G57"/>
    <mergeCell ref="I56:N57"/>
    <mergeCell ref="A59:F59"/>
    <mergeCell ref="I59:N59"/>
    <mergeCell ref="A52:G53"/>
    <mergeCell ref="I52:N53"/>
    <mergeCell ref="A54:G55"/>
    <mergeCell ref="I54:N55"/>
    <mergeCell ref="B50:E50"/>
    <mergeCell ref="J50:M50"/>
    <mergeCell ref="A51:E51"/>
    <mergeCell ref="I51:M51"/>
    <mergeCell ref="A43:G44"/>
    <mergeCell ref="I43:N44"/>
    <mergeCell ref="A46:N46"/>
    <mergeCell ref="A47:N47"/>
    <mergeCell ref="B48:E48"/>
    <mergeCell ref="J48:M48"/>
    <mergeCell ref="A33:N33"/>
    <mergeCell ref="B34:E34"/>
    <mergeCell ref="J34:M34"/>
    <mergeCell ref="A41:F41"/>
    <mergeCell ref="I41:N41"/>
    <mergeCell ref="B30:E30"/>
    <mergeCell ref="F30:G30"/>
    <mergeCell ref="J30:M30"/>
    <mergeCell ref="O30:V30"/>
    <mergeCell ref="B31:E31"/>
    <mergeCell ref="F31:G31"/>
    <mergeCell ref="J31:M31"/>
    <mergeCell ref="O31:V31"/>
    <mergeCell ref="B28:E28"/>
    <mergeCell ref="F28:G28"/>
    <mergeCell ref="J28:M28"/>
    <mergeCell ref="O28:V28"/>
    <mergeCell ref="F29:G29"/>
    <mergeCell ref="O29:V29"/>
    <mergeCell ref="B26:E26"/>
    <mergeCell ref="F26:G26"/>
    <mergeCell ref="J26:M26"/>
    <mergeCell ref="O26:V26"/>
    <mergeCell ref="B27:E27"/>
    <mergeCell ref="F27:G27"/>
    <mergeCell ref="J27:M27"/>
    <mergeCell ref="O27:V27"/>
    <mergeCell ref="A23:B23"/>
    <mergeCell ref="I23:J23"/>
    <mergeCell ref="A25:G25"/>
    <mergeCell ref="O25:V25"/>
    <mergeCell ref="A21:G21"/>
    <mergeCell ref="I21:N21"/>
    <mergeCell ref="A22:B22"/>
    <mergeCell ref="I22:J22"/>
    <mergeCell ref="F18:G18"/>
    <mergeCell ref="F19:G19"/>
    <mergeCell ref="A16:G16"/>
    <mergeCell ref="I16:N16"/>
    <mergeCell ref="F17:G17"/>
    <mergeCell ref="A5:G5"/>
    <mergeCell ref="A6:G6"/>
    <mergeCell ref="A7:G7"/>
    <mergeCell ref="I7:N7"/>
    <mergeCell ref="A8:G8"/>
    <mergeCell ref="I8:N8"/>
    <mergeCell ref="A13:B13"/>
    <mergeCell ref="C13:D13"/>
    <mergeCell ref="I13:J13"/>
    <mergeCell ref="K13:L13"/>
    <mergeCell ref="A9:G9"/>
    <mergeCell ref="I9:N9"/>
    <mergeCell ref="J10:N10"/>
    <mergeCell ref="A12:B12"/>
    <mergeCell ref="C12:D12"/>
    <mergeCell ref="I12:J12"/>
    <mergeCell ref="K12:L12"/>
  </mergeCells>
  <dataValidations count="2">
    <dataValidation allowBlank="1" showInputMessage="1" showErrorMessage="1" errorTitle="Atenção" error="Não esquecer de buscar os valores e alterar na coluna F - das linhas 50 a 60, em caso de mais de um Sindicato." promptTitle="Benefícios" prompt="- Em caso de mais de um Sindicato em &quot;Dados&quot;, não esquecer de buscar os valores e alterar na coluna F - das linhas 50 a 60." sqref="F84:F95 N84:N95" xr:uid="{00000000-0002-0000-0500-000000000000}"/>
    <dataValidation allowBlank="1" showInputMessage="1" showErrorMessage="1" errorTitle="Atenção" error="Os dias só poderão ser alterados nos Dados." promptTitle="Jornada de Trabalho" prompt="- Alterando a carga horária, automaticamente será alterado os dias trabalhados._x000a_" sqref="C23 K23" xr:uid="{00000000-0002-0000-0500-000001000000}"/>
  </dataValidations>
  <printOptions horizontalCentered="1"/>
  <pageMargins left="0.55118110236220474" right="0.55118110236220474" top="1.3779527559055118" bottom="0.43307086614173229" header="0.15748031496062992" footer="0.23622047244094491"/>
  <pageSetup paperSize="9" scale="69" fitToHeight="0" orientation="portrait" r:id="rId1"/>
  <headerFooter alignWithMargins="0">
    <oddHeader>&amp;L&amp;"+,Negrito"&amp;8PROPOSTA Nº 053/2020 - CJF</oddHeader>
  </headerFooter>
  <rowBreaks count="2" manualBreakCount="2">
    <brk id="62" max="29" man="1"/>
    <brk id="134" max="2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11">
    <tabColor theme="3" tint="0.59999389629810485"/>
    <pageSetUpPr fitToPage="1"/>
  </sheetPr>
  <dimension ref="A1:P106"/>
  <sheetViews>
    <sheetView topLeftCell="A90" zoomScaleNormal="100" zoomScaleSheetLayoutView="90" workbookViewId="0">
      <selection activeCell="G32" sqref="G32"/>
    </sheetView>
  </sheetViews>
  <sheetFormatPr defaultRowHeight="18" customHeight="1" x14ac:dyDescent="0.2"/>
  <cols>
    <col min="1" max="1" width="6" style="87" customWidth="1"/>
    <col min="2" max="2" width="64" style="99" customWidth="1"/>
    <col min="3" max="3" width="11" style="100" customWidth="1"/>
    <col min="4" max="4" width="11.85546875" style="100" customWidth="1"/>
    <col min="5" max="5" width="10" style="100" customWidth="1"/>
    <col min="6" max="6" width="13" style="100" customWidth="1"/>
    <col min="7" max="7" width="16" style="99" customWidth="1"/>
    <col min="8" max="8" width="19.42578125" style="99" customWidth="1"/>
    <col min="9" max="9" width="9.140625" style="87"/>
    <col min="10" max="10" width="12" style="87" customWidth="1"/>
    <col min="11" max="11" width="9.7109375" style="87" customWidth="1"/>
    <col min="12" max="14" width="9.140625" style="87" customWidth="1"/>
    <col min="15" max="16384" width="9.140625" style="87"/>
  </cols>
  <sheetData>
    <row r="1" spans="1:10" ht="14.25" x14ac:dyDescent="0.2"/>
    <row r="2" spans="1:10" ht="14.25" x14ac:dyDescent="0.2">
      <c r="A2" s="1082" t="str">
        <f>Dados!A5</f>
        <v>CONSELHO DA JUSTIÇA FEDERAL - CJF</v>
      </c>
      <c r="B2" s="1082"/>
      <c r="C2" s="1082"/>
      <c r="D2" s="1082"/>
      <c r="E2" s="1082"/>
      <c r="F2" s="1082"/>
      <c r="G2" s="1082"/>
      <c r="H2" s="1082"/>
    </row>
    <row r="3" spans="1:10" ht="14.25" x14ac:dyDescent="0.2">
      <c r="A3" s="1082" t="str">
        <f>Dados!A9</f>
        <v>PREGÃO ELETRÔNICO Nº 09/2020 - CJF</v>
      </c>
      <c r="B3" s="1082"/>
      <c r="C3" s="1082"/>
      <c r="D3" s="1082"/>
      <c r="E3" s="1082"/>
      <c r="F3" s="1082"/>
      <c r="G3" s="1082"/>
      <c r="H3" s="1082"/>
    </row>
    <row r="4" spans="1:10" ht="18" customHeight="1" x14ac:dyDescent="0.2">
      <c r="A4" s="1084" t="str">
        <f>Dados!A10</f>
        <v>CONTRATO Nº __________/201__ - CONTRATANTE - PRESTAÇÃO DE SERVIÇOS --------</v>
      </c>
      <c r="B4" s="1084"/>
      <c r="C4" s="1084"/>
      <c r="D4" s="1084"/>
      <c r="E4" s="1084"/>
      <c r="F4" s="1084"/>
      <c r="G4" s="1084"/>
      <c r="H4" s="1084"/>
    </row>
    <row r="5" spans="1:10" ht="17.25" customHeight="1" x14ac:dyDescent="0.2">
      <c r="A5" s="1084" t="str">
        <f>Dados!H2</f>
        <v xml:space="preserve">REPACTUAÇÃO CONTRATUAL 20___ - </v>
      </c>
      <c r="B5" s="1084"/>
      <c r="C5" s="1084"/>
      <c r="D5" s="1084"/>
      <c r="E5" s="1084"/>
      <c r="F5" s="1084"/>
      <c r="G5" s="1084"/>
      <c r="H5" s="1084"/>
    </row>
    <row r="6" spans="1:10" ht="14.25" x14ac:dyDescent="0.2">
      <c r="A6" s="84"/>
      <c r="B6" s="85"/>
      <c r="C6" s="86"/>
      <c r="D6" s="86"/>
      <c r="E6" s="86"/>
      <c r="F6" s="86"/>
      <c r="G6" s="85"/>
      <c r="H6" s="85"/>
    </row>
    <row r="7" spans="1:10" ht="14.25" x14ac:dyDescent="0.2">
      <c r="A7" s="84"/>
      <c r="B7" s="85"/>
      <c r="C7" s="86"/>
      <c r="D7" s="86"/>
      <c r="E7" s="86"/>
      <c r="F7" s="86"/>
      <c r="G7" s="85"/>
      <c r="H7" s="85"/>
    </row>
    <row r="8" spans="1:10" ht="14.25" customHeight="1" x14ac:dyDescent="0.2">
      <c r="A8" s="1083" t="s">
        <v>384</v>
      </c>
      <c r="B8" s="1083"/>
      <c r="C8" s="1083"/>
      <c r="D8" s="1083"/>
      <c r="E8" s="1083"/>
      <c r="F8" s="1083"/>
      <c r="G8" s="1083"/>
      <c r="H8" s="1083"/>
    </row>
    <row r="9" spans="1:10" ht="14.25" customHeight="1" x14ac:dyDescent="0.2">
      <c r="A9" s="1083" t="s">
        <v>385</v>
      </c>
      <c r="B9" s="1083"/>
      <c r="C9" s="1083"/>
      <c r="D9" s="1083"/>
      <c r="E9" s="1083"/>
      <c r="F9" s="1083"/>
      <c r="G9" s="1083"/>
      <c r="H9" s="1083"/>
    </row>
    <row r="10" spans="1:10" ht="14.25" x14ac:dyDescent="0.2">
      <c r="B10" s="88"/>
      <c r="C10" s="88"/>
      <c r="D10" s="88"/>
      <c r="E10" s="88"/>
      <c r="F10" s="88"/>
      <c r="G10" s="88"/>
      <c r="H10" s="88"/>
    </row>
    <row r="11" spans="1:10" ht="14.25" x14ac:dyDescent="0.2">
      <c r="B11" s="263"/>
      <c r="C11" s="263"/>
      <c r="D11" s="263"/>
      <c r="E11" s="263"/>
      <c r="F11" s="263"/>
      <c r="G11" s="263"/>
      <c r="H11" s="263"/>
    </row>
    <row r="12" spans="1:10" ht="14.25" x14ac:dyDescent="0.2">
      <c r="A12" s="284" t="s">
        <v>410</v>
      </c>
      <c r="B12" s="88"/>
      <c r="C12" s="88"/>
      <c r="D12" s="88"/>
      <c r="E12" s="88"/>
      <c r="F12" s="88"/>
      <c r="G12" s="88"/>
      <c r="H12" s="88"/>
    </row>
    <row r="13" spans="1:10" s="83" customFormat="1" ht="14.25" customHeight="1" x14ac:dyDescent="0.2">
      <c r="A13" s="1079" t="s">
        <v>63</v>
      </c>
      <c r="B13" s="1080" t="s">
        <v>85</v>
      </c>
      <c r="C13" s="1078" t="s">
        <v>66</v>
      </c>
      <c r="D13" s="1078" t="s">
        <v>67</v>
      </c>
      <c r="E13" s="1078"/>
      <c r="F13" s="1078"/>
      <c r="G13" s="1078" t="s">
        <v>387</v>
      </c>
      <c r="H13" s="1078" t="s">
        <v>388</v>
      </c>
    </row>
    <row r="14" spans="1:10" s="83" customFormat="1" ht="14.25" x14ac:dyDescent="0.2">
      <c r="A14" s="1079"/>
      <c r="B14" s="1081"/>
      <c r="C14" s="1078"/>
      <c r="D14" s="89" t="s">
        <v>70</v>
      </c>
      <c r="E14" s="89" t="s">
        <v>71</v>
      </c>
      <c r="F14" s="89" t="s">
        <v>72</v>
      </c>
      <c r="G14" s="1078"/>
      <c r="H14" s="1078"/>
    </row>
    <row r="15" spans="1:10" s="83" customFormat="1" ht="28.5" x14ac:dyDescent="0.2">
      <c r="A15" s="90">
        <v>1</v>
      </c>
      <c r="B15" s="299" t="s">
        <v>397</v>
      </c>
      <c r="C15" s="280" t="s">
        <v>66</v>
      </c>
      <c r="D15" s="281">
        <v>2</v>
      </c>
      <c r="E15" s="281">
        <v>2</v>
      </c>
      <c r="F15" s="281">
        <f t="shared" ref="F15:F23" si="0">D15+E15</f>
        <v>4</v>
      </c>
      <c r="G15" s="93">
        <f>J15*Dados!$I$60</f>
        <v>28.84</v>
      </c>
      <c r="H15" s="93">
        <f>G15*F15</f>
        <v>115.36</v>
      </c>
      <c r="J15" s="269">
        <v>28.84</v>
      </c>
    </row>
    <row r="16" spans="1:10" s="83" customFormat="1" ht="14.25" x14ac:dyDescent="0.2">
      <c r="A16" s="274">
        <v>2</v>
      </c>
      <c r="B16" s="299" t="s">
        <v>398</v>
      </c>
      <c r="C16" s="297" t="s">
        <v>66</v>
      </c>
      <c r="D16" s="298">
        <v>2</v>
      </c>
      <c r="E16" s="298">
        <v>2</v>
      </c>
      <c r="F16" s="298">
        <f t="shared" si="0"/>
        <v>4</v>
      </c>
      <c r="G16" s="93">
        <f>J16*Dados!$I$60</f>
        <v>5.6</v>
      </c>
      <c r="H16" s="93">
        <f>G16*F16</f>
        <v>22.4</v>
      </c>
      <c r="J16" s="269">
        <v>5.6</v>
      </c>
    </row>
    <row r="17" spans="1:16" s="83" customFormat="1" ht="28.5" x14ac:dyDescent="0.2">
      <c r="A17" s="1076">
        <v>3</v>
      </c>
      <c r="B17" s="275" t="s">
        <v>399</v>
      </c>
      <c r="C17" s="280" t="s">
        <v>66</v>
      </c>
      <c r="D17" s="281">
        <v>4</v>
      </c>
      <c r="E17" s="281">
        <v>4</v>
      </c>
      <c r="F17" s="298">
        <f t="shared" si="0"/>
        <v>8</v>
      </c>
      <c r="G17" s="93">
        <f>J17*Dados!$I$60</f>
        <v>28</v>
      </c>
      <c r="H17" s="93">
        <f t="shared" ref="H17:H23" si="1">G17*F17</f>
        <v>224</v>
      </c>
      <c r="J17" s="269">
        <v>28</v>
      </c>
    </row>
    <row r="18" spans="1:16" s="83" customFormat="1" ht="28.5" x14ac:dyDescent="0.2">
      <c r="A18" s="1077"/>
      <c r="B18" s="299" t="s">
        <v>386</v>
      </c>
      <c r="C18" s="280" t="s">
        <v>66</v>
      </c>
      <c r="D18" s="281">
        <v>0</v>
      </c>
      <c r="E18" s="281">
        <v>0</v>
      </c>
      <c r="F18" s="298">
        <f t="shared" si="0"/>
        <v>0</v>
      </c>
      <c r="G18" s="93">
        <f>J18*Dados!$I$60</f>
        <v>0</v>
      </c>
      <c r="H18" s="93">
        <f t="shared" si="1"/>
        <v>0</v>
      </c>
      <c r="J18" s="269">
        <v>0</v>
      </c>
    </row>
    <row r="19" spans="1:16" s="83" customFormat="1" ht="18" customHeight="1" x14ac:dyDescent="0.2">
      <c r="A19" s="90">
        <v>4</v>
      </c>
      <c r="B19" s="275" t="s">
        <v>400</v>
      </c>
      <c r="C19" s="280" t="s">
        <v>73</v>
      </c>
      <c r="D19" s="281">
        <v>4</v>
      </c>
      <c r="E19" s="281">
        <v>4</v>
      </c>
      <c r="F19" s="298">
        <f t="shared" si="0"/>
        <v>8</v>
      </c>
      <c r="G19" s="93">
        <f>J19*Dados!$I$60</f>
        <v>0.89</v>
      </c>
      <c r="H19" s="93">
        <f t="shared" si="1"/>
        <v>7.12</v>
      </c>
      <c r="J19" s="269">
        <v>0.89</v>
      </c>
    </row>
    <row r="20" spans="1:16" s="83" customFormat="1" ht="28.5" x14ac:dyDescent="0.2">
      <c r="A20" s="90">
        <v>5</v>
      </c>
      <c r="B20" s="299" t="s">
        <v>401</v>
      </c>
      <c r="C20" s="280" t="s">
        <v>66</v>
      </c>
      <c r="D20" s="281">
        <v>1</v>
      </c>
      <c r="E20" s="281">
        <v>1</v>
      </c>
      <c r="F20" s="298">
        <f t="shared" si="0"/>
        <v>2</v>
      </c>
      <c r="G20" s="93">
        <f>J20*Dados!$I$60</f>
        <v>3.85</v>
      </c>
      <c r="H20" s="93">
        <f t="shared" si="1"/>
        <v>7.7</v>
      </c>
      <c r="J20" s="269">
        <v>3.85</v>
      </c>
    </row>
    <row r="21" spans="1:16" s="83" customFormat="1" ht="28.5" x14ac:dyDescent="0.2">
      <c r="A21" s="90">
        <v>6</v>
      </c>
      <c r="B21" s="275" t="s">
        <v>402</v>
      </c>
      <c r="C21" s="280" t="s">
        <v>66</v>
      </c>
      <c r="D21" s="281">
        <v>1</v>
      </c>
      <c r="E21" s="298">
        <v>1</v>
      </c>
      <c r="F21" s="298">
        <f t="shared" si="0"/>
        <v>2</v>
      </c>
      <c r="G21" s="93">
        <f>J21*Dados!$I$60</f>
        <v>49</v>
      </c>
      <c r="H21" s="93">
        <f t="shared" si="1"/>
        <v>98</v>
      </c>
      <c r="J21" s="269">
        <v>49</v>
      </c>
      <c r="P21" s="369"/>
    </row>
    <row r="22" spans="1:16" ht="99.75" x14ac:dyDescent="0.2">
      <c r="A22" s="90">
        <v>7</v>
      </c>
      <c r="B22" s="299" t="s">
        <v>403</v>
      </c>
      <c r="C22" s="280" t="s">
        <v>73</v>
      </c>
      <c r="D22" s="281">
        <v>1</v>
      </c>
      <c r="E22" s="298">
        <v>0</v>
      </c>
      <c r="F22" s="298">
        <f t="shared" si="0"/>
        <v>1</v>
      </c>
      <c r="G22" s="93">
        <f>J22*Dados!$I$60</f>
        <v>27.3</v>
      </c>
      <c r="H22" s="93">
        <f t="shared" si="1"/>
        <v>27.3</v>
      </c>
      <c r="J22" s="269">
        <v>27.3</v>
      </c>
      <c r="P22" s="369"/>
    </row>
    <row r="23" spans="1:16" s="101" customFormat="1" ht="42.75" x14ac:dyDescent="0.2">
      <c r="A23" s="90">
        <v>8</v>
      </c>
      <c r="B23" s="299" t="s">
        <v>404</v>
      </c>
      <c r="C23" s="280" t="s">
        <v>66</v>
      </c>
      <c r="D23" s="281">
        <v>1</v>
      </c>
      <c r="E23" s="298">
        <v>0</v>
      </c>
      <c r="F23" s="298">
        <f t="shared" si="0"/>
        <v>1</v>
      </c>
      <c r="G23" s="93">
        <f>J23*Dados!$I$60</f>
        <v>6.09</v>
      </c>
      <c r="H23" s="93">
        <f t="shared" si="1"/>
        <v>6.09</v>
      </c>
      <c r="J23" s="269">
        <v>6.09</v>
      </c>
      <c r="O23" s="87"/>
    </row>
    <row r="24" spans="1:16" s="101" customFormat="1" ht="18" customHeight="1" x14ac:dyDescent="0.2">
      <c r="A24" s="1073" t="s">
        <v>389</v>
      </c>
      <c r="B24" s="1074"/>
      <c r="C24" s="1074"/>
      <c r="D24" s="1074"/>
      <c r="E24" s="1074"/>
      <c r="F24" s="1074"/>
      <c r="G24" s="1075"/>
      <c r="H24" s="282">
        <f>SUM(H15:H23)</f>
        <v>507.97</v>
      </c>
      <c r="O24" s="87"/>
    </row>
    <row r="25" spans="1:16" s="101" customFormat="1" ht="18" customHeight="1" x14ac:dyDescent="0.2">
      <c r="A25" s="1073" t="s">
        <v>390</v>
      </c>
      <c r="B25" s="1074"/>
      <c r="C25" s="1074"/>
      <c r="D25" s="1074"/>
      <c r="E25" s="1074"/>
      <c r="F25" s="1074"/>
      <c r="G25" s="1075"/>
      <c r="H25" s="282">
        <f>H24/12</f>
        <v>42.33</v>
      </c>
    </row>
    <row r="26" spans="1:16" s="101" customFormat="1" ht="18" customHeight="1" x14ac:dyDescent="0.2">
      <c r="A26" s="94"/>
      <c r="B26" s="94"/>
      <c r="C26" s="94"/>
      <c r="D26" s="94"/>
      <c r="E26" s="94"/>
      <c r="F26" s="94"/>
      <c r="G26" s="94"/>
      <c r="H26" s="94"/>
    </row>
    <row r="27" spans="1:16" s="101" customFormat="1" ht="18" customHeight="1" x14ac:dyDescent="0.2">
      <c r="A27" s="94"/>
      <c r="B27" s="94"/>
      <c r="C27" s="94"/>
      <c r="D27" s="94"/>
      <c r="E27" s="94"/>
      <c r="F27" s="94"/>
      <c r="G27" s="94"/>
      <c r="H27" s="94"/>
    </row>
    <row r="28" spans="1:16" s="98" customFormat="1" ht="14.25" x14ac:dyDescent="0.2">
      <c r="A28" s="291" t="s">
        <v>409</v>
      </c>
      <c r="B28" s="263"/>
      <c r="C28" s="263"/>
      <c r="D28" s="263"/>
      <c r="E28" s="263"/>
      <c r="F28" s="263"/>
      <c r="G28" s="263"/>
      <c r="H28" s="263"/>
      <c r="I28" s="87"/>
      <c r="J28" s="87"/>
    </row>
    <row r="29" spans="1:16" s="98" customFormat="1" ht="14.25" x14ac:dyDescent="0.2">
      <c r="A29" s="294" t="s">
        <v>407</v>
      </c>
      <c r="B29" s="263"/>
      <c r="C29" s="263"/>
      <c r="D29" s="263"/>
      <c r="E29" s="263"/>
      <c r="F29" s="263"/>
      <c r="G29" s="263"/>
      <c r="H29" s="263"/>
      <c r="I29" s="87"/>
      <c r="J29" s="87"/>
    </row>
    <row r="30" spans="1:16" s="98" customFormat="1" ht="18" customHeight="1" x14ac:dyDescent="0.2">
      <c r="A30" s="1079" t="s">
        <v>63</v>
      </c>
      <c r="B30" s="1080" t="s">
        <v>85</v>
      </c>
      <c r="C30" s="1078" t="s">
        <v>66</v>
      </c>
      <c r="D30" s="1078" t="s">
        <v>67</v>
      </c>
      <c r="E30" s="1078"/>
      <c r="F30" s="1078"/>
      <c r="G30" s="1078" t="s">
        <v>387</v>
      </c>
      <c r="H30" s="1078" t="s">
        <v>388</v>
      </c>
      <c r="I30" s="83"/>
      <c r="J30" s="83"/>
    </row>
    <row r="31" spans="1:16" ht="18" customHeight="1" x14ac:dyDescent="0.2">
      <c r="A31" s="1079"/>
      <c r="B31" s="1081"/>
      <c r="C31" s="1078"/>
      <c r="D31" s="264" t="s">
        <v>70</v>
      </c>
      <c r="E31" s="264" t="s">
        <v>71</v>
      </c>
      <c r="F31" s="264" t="s">
        <v>72</v>
      </c>
      <c r="G31" s="1078"/>
      <c r="H31" s="1078"/>
      <c r="I31" s="83"/>
      <c r="J31" s="83"/>
    </row>
    <row r="32" spans="1:16" ht="18" customHeight="1" x14ac:dyDescent="0.2">
      <c r="A32" s="286">
        <v>1</v>
      </c>
      <c r="B32" s="287" t="s">
        <v>391</v>
      </c>
      <c r="C32" s="288" t="s">
        <v>66</v>
      </c>
      <c r="D32" s="289">
        <v>2</v>
      </c>
      <c r="E32" s="289">
        <v>2</v>
      </c>
      <c r="F32" s="289">
        <f>D32+E32</f>
        <v>4</v>
      </c>
      <c r="G32" s="93">
        <f>J32*Dados!$I$61</f>
        <v>94.76</v>
      </c>
      <c r="H32" s="93">
        <f>G32*F32</f>
        <v>379.04</v>
      </c>
      <c r="I32" s="83"/>
      <c r="J32" s="269">
        <v>94.76</v>
      </c>
    </row>
    <row r="33" spans="1:10" ht="18" customHeight="1" x14ac:dyDescent="0.2">
      <c r="A33" s="286">
        <v>2</v>
      </c>
      <c r="B33" s="287" t="s">
        <v>166</v>
      </c>
      <c r="C33" s="288" t="s">
        <v>66</v>
      </c>
      <c r="D33" s="289">
        <v>4</v>
      </c>
      <c r="E33" s="289">
        <v>4</v>
      </c>
      <c r="F33" s="298">
        <f>D33+E33</f>
        <v>8</v>
      </c>
      <c r="G33" s="93">
        <f>J33*Dados!$I$61</f>
        <v>25.55</v>
      </c>
      <c r="H33" s="93">
        <f t="shared" ref="H33:H35" si="2">G33*F33</f>
        <v>204.4</v>
      </c>
      <c r="I33" s="83"/>
      <c r="J33" s="269">
        <v>25.55</v>
      </c>
    </row>
    <row r="34" spans="1:10" ht="18" customHeight="1" x14ac:dyDescent="0.2">
      <c r="A34" s="290">
        <v>3</v>
      </c>
      <c r="B34" s="287" t="s">
        <v>167</v>
      </c>
      <c r="C34" s="288" t="s">
        <v>73</v>
      </c>
      <c r="D34" s="289">
        <v>2</v>
      </c>
      <c r="E34" s="289">
        <v>2</v>
      </c>
      <c r="F34" s="298">
        <f>D34+E34</f>
        <v>4</v>
      </c>
      <c r="G34" s="93">
        <f>J34*Dados!$I$61</f>
        <v>37.89</v>
      </c>
      <c r="H34" s="93">
        <f t="shared" si="2"/>
        <v>151.56</v>
      </c>
      <c r="I34" s="83"/>
      <c r="J34" s="269">
        <v>37.89</v>
      </c>
    </row>
    <row r="35" spans="1:10" ht="18" customHeight="1" x14ac:dyDescent="0.2">
      <c r="A35" s="290">
        <v>4</v>
      </c>
      <c r="B35" s="287" t="s">
        <v>165</v>
      </c>
      <c r="C35" s="288" t="s">
        <v>73</v>
      </c>
      <c r="D35" s="289">
        <v>4</v>
      </c>
      <c r="E35" s="289">
        <v>4</v>
      </c>
      <c r="F35" s="298">
        <f>D35+E35</f>
        <v>8</v>
      </c>
      <c r="G35" s="93">
        <f>J35*Dados!$I$61</f>
        <v>0.88</v>
      </c>
      <c r="H35" s="93">
        <f t="shared" si="2"/>
        <v>7.04</v>
      </c>
      <c r="I35" s="83"/>
      <c r="J35" s="269">
        <v>0.88</v>
      </c>
    </row>
    <row r="36" spans="1:10" ht="18" customHeight="1" x14ac:dyDescent="0.2">
      <c r="A36" s="1073" t="s">
        <v>389</v>
      </c>
      <c r="B36" s="1074"/>
      <c r="C36" s="1074"/>
      <c r="D36" s="1074"/>
      <c r="E36" s="1074"/>
      <c r="F36" s="1074"/>
      <c r="G36" s="1075"/>
      <c r="H36" s="285">
        <f>SUM(H32:H35)</f>
        <v>742.04</v>
      </c>
      <c r="I36" s="101"/>
      <c r="J36" s="101"/>
    </row>
    <row r="37" spans="1:10" ht="18" customHeight="1" x14ac:dyDescent="0.2">
      <c r="A37" s="1073" t="s">
        <v>390</v>
      </c>
      <c r="B37" s="1074"/>
      <c r="C37" s="1074"/>
      <c r="D37" s="1074"/>
      <c r="E37" s="1074"/>
      <c r="F37" s="1074"/>
      <c r="G37" s="1075"/>
      <c r="H37" s="285">
        <f>H36/12</f>
        <v>61.84</v>
      </c>
      <c r="I37" s="101"/>
      <c r="J37" s="101"/>
    </row>
    <row r="38" spans="1:10" ht="14.25" x14ac:dyDescent="0.2">
      <c r="A38" s="293" t="s">
        <v>408</v>
      </c>
      <c r="B38" s="263"/>
      <c r="C38" s="263"/>
      <c r="D38" s="263"/>
      <c r="E38" s="263"/>
      <c r="F38" s="263"/>
      <c r="G38" s="263"/>
      <c r="H38" s="263"/>
    </row>
    <row r="39" spans="1:10" ht="18" customHeight="1" x14ac:dyDescent="0.2">
      <c r="A39" s="1079" t="s">
        <v>63</v>
      </c>
      <c r="B39" s="1080" t="s">
        <v>85</v>
      </c>
      <c r="C39" s="1078" t="s">
        <v>66</v>
      </c>
      <c r="D39" s="1078" t="s">
        <v>67</v>
      </c>
      <c r="E39" s="1078"/>
      <c r="F39" s="1078"/>
      <c r="G39" s="1078" t="s">
        <v>387</v>
      </c>
      <c r="H39" s="1078" t="s">
        <v>388</v>
      </c>
      <c r="I39" s="83"/>
      <c r="J39" s="83"/>
    </row>
    <row r="40" spans="1:10" ht="18" customHeight="1" x14ac:dyDescent="0.2">
      <c r="A40" s="1079"/>
      <c r="B40" s="1081"/>
      <c r="C40" s="1078"/>
      <c r="D40" s="264" t="s">
        <v>70</v>
      </c>
      <c r="E40" s="264" t="s">
        <v>71</v>
      </c>
      <c r="F40" s="264" t="s">
        <v>72</v>
      </c>
      <c r="G40" s="1078"/>
      <c r="H40" s="1078"/>
      <c r="I40" s="83"/>
      <c r="J40" s="83"/>
    </row>
    <row r="41" spans="1:10" ht="18" customHeight="1" x14ac:dyDescent="0.2">
      <c r="A41" s="295">
        <v>1</v>
      </c>
      <c r="B41" s="296" t="s">
        <v>411</v>
      </c>
      <c r="C41" s="297" t="s">
        <v>66</v>
      </c>
      <c r="D41" s="298">
        <v>2</v>
      </c>
      <c r="E41" s="298">
        <v>2</v>
      </c>
      <c r="F41" s="298">
        <f>D41+E41</f>
        <v>4</v>
      </c>
      <c r="G41" s="93">
        <f>J41*Dados!$I$61</f>
        <v>32.119999999999997</v>
      </c>
      <c r="H41" s="93">
        <f>G41*F41</f>
        <v>128.47999999999999</v>
      </c>
      <c r="I41" s="83"/>
      <c r="J41" s="269">
        <v>32.119999999999997</v>
      </c>
    </row>
    <row r="42" spans="1:10" ht="28.5" x14ac:dyDescent="0.2">
      <c r="A42" s="295">
        <v>2</v>
      </c>
      <c r="B42" s="276" t="s">
        <v>412</v>
      </c>
      <c r="C42" s="297" t="s">
        <v>66</v>
      </c>
      <c r="D42" s="298">
        <v>2</v>
      </c>
      <c r="E42" s="298">
        <v>2</v>
      </c>
      <c r="F42" s="298">
        <f>D42+E42</f>
        <v>4</v>
      </c>
      <c r="G42" s="93">
        <f>J42*Dados!$I$61</f>
        <v>75.19</v>
      </c>
      <c r="H42" s="93">
        <f t="shared" ref="H42:H45" si="3">G42*F42</f>
        <v>300.76</v>
      </c>
      <c r="I42" s="83"/>
      <c r="J42" s="269">
        <v>75.19</v>
      </c>
    </row>
    <row r="43" spans="1:10" ht="18" customHeight="1" x14ac:dyDescent="0.2">
      <c r="A43" s="300">
        <v>3</v>
      </c>
      <c r="B43" s="296" t="s">
        <v>413</v>
      </c>
      <c r="C43" s="297" t="s">
        <v>66</v>
      </c>
      <c r="D43" s="298">
        <v>4</v>
      </c>
      <c r="E43" s="298">
        <v>4</v>
      </c>
      <c r="F43" s="298">
        <f>D43+E43</f>
        <v>8</v>
      </c>
      <c r="G43" s="93">
        <f>J43*Dados!$I$61</f>
        <v>35.409999999999997</v>
      </c>
      <c r="H43" s="93">
        <f t="shared" si="3"/>
        <v>283.27999999999997</v>
      </c>
      <c r="I43" s="83"/>
      <c r="J43" s="269">
        <v>35.409999999999997</v>
      </c>
    </row>
    <row r="44" spans="1:10" ht="18" customHeight="1" x14ac:dyDescent="0.2">
      <c r="A44" s="300">
        <v>4</v>
      </c>
      <c r="B44" s="296" t="s">
        <v>414</v>
      </c>
      <c r="C44" s="297" t="s">
        <v>73</v>
      </c>
      <c r="D44" s="298">
        <v>2</v>
      </c>
      <c r="E44" s="298">
        <v>2</v>
      </c>
      <c r="F44" s="298">
        <f>D44+E44</f>
        <v>4</v>
      </c>
      <c r="G44" s="93">
        <f>J44*Dados!$I$61</f>
        <v>29.2</v>
      </c>
      <c r="H44" s="93">
        <f t="shared" si="3"/>
        <v>116.8</v>
      </c>
      <c r="I44" s="83"/>
      <c r="J44" s="269">
        <v>29.2</v>
      </c>
    </row>
    <row r="45" spans="1:10" ht="18" customHeight="1" x14ac:dyDescent="0.2">
      <c r="A45" s="295">
        <v>5</v>
      </c>
      <c r="B45" s="296" t="s">
        <v>392</v>
      </c>
      <c r="C45" s="297" t="s">
        <v>73</v>
      </c>
      <c r="D45" s="298">
        <v>4</v>
      </c>
      <c r="E45" s="298">
        <v>4</v>
      </c>
      <c r="F45" s="298">
        <f>D45+E45</f>
        <v>8</v>
      </c>
      <c r="G45" s="93">
        <f>J45*Dados!$I$61</f>
        <v>6.21</v>
      </c>
      <c r="H45" s="93">
        <f t="shared" si="3"/>
        <v>49.68</v>
      </c>
      <c r="I45" s="83"/>
      <c r="J45" s="269">
        <v>6.21</v>
      </c>
    </row>
    <row r="46" spans="1:10" ht="18" customHeight="1" x14ac:dyDescent="0.2">
      <c r="A46" s="1073" t="s">
        <v>389</v>
      </c>
      <c r="B46" s="1074"/>
      <c r="C46" s="1074"/>
      <c r="D46" s="1074"/>
      <c r="E46" s="1074"/>
      <c r="F46" s="1074"/>
      <c r="G46" s="1075"/>
      <c r="H46" s="292">
        <f>SUM(H41:H45)</f>
        <v>879</v>
      </c>
      <c r="I46" s="101"/>
      <c r="J46" s="101"/>
    </row>
    <row r="47" spans="1:10" ht="18" customHeight="1" x14ac:dyDescent="0.2">
      <c r="A47" s="1073" t="s">
        <v>390</v>
      </c>
      <c r="B47" s="1074"/>
      <c r="C47" s="1074"/>
      <c r="D47" s="1074"/>
      <c r="E47" s="1074"/>
      <c r="F47" s="1074"/>
      <c r="G47" s="1075"/>
      <c r="H47" s="292">
        <f>H46/12</f>
        <v>73.25</v>
      </c>
      <c r="I47" s="101"/>
      <c r="J47" s="101"/>
    </row>
    <row r="49" spans="1:8" ht="18" customHeight="1" x14ac:dyDescent="0.2">
      <c r="E49" s="1085" t="s">
        <v>365</v>
      </c>
      <c r="F49" s="1085"/>
      <c r="G49" s="283" t="s">
        <v>254</v>
      </c>
      <c r="H49" s="283" t="s">
        <v>393</v>
      </c>
    </row>
    <row r="50" spans="1:8" ht="18" customHeight="1" x14ac:dyDescent="0.2">
      <c r="E50" s="1085" t="s">
        <v>396</v>
      </c>
      <c r="F50" s="1085"/>
      <c r="G50" s="279">
        <v>0.95</v>
      </c>
      <c r="H50" s="103">
        <f>H37*G50</f>
        <v>58.75</v>
      </c>
    </row>
    <row r="51" spans="1:8" ht="18" customHeight="1" x14ac:dyDescent="0.2">
      <c r="E51" s="1085" t="s">
        <v>395</v>
      </c>
      <c r="F51" s="1085"/>
      <c r="G51" s="279">
        <v>0.05</v>
      </c>
      <c r="H51" s="103">
        <f>H47*G51</f>
        <v>3.66</v>
      </c>
    </row>
    <row r="52" spans="1:8" ht="18" customHeight="1" x14ac:dyDescent="0.2">
      <c r="E52" s="1085" t="s">
        <v>394</v>
      </c>
      <c r="F52" s="1085"/>
      <c r="G52" s="278">
        <f>SUM(G50:G51)</f>
        <v>1</v>
      </c>
      <c r="H52" s="277">
        <f>SUM(H50:H51)</f>
        <v>62.41</v>
      </c>
    </row>
    <row r="56" spans="1:8" ht="18" customHeight="1" x14ac:dyDescent="0.2">
      <c r="A56" s="1082" t="str">
        <f>Dados!A5</f>
        <v>CONSELHO DA JUSTIÇA FEDERAL - CJF</v>
      </c>
      <c r="B56" s="1082"/>
      <c r="C56" s="1082"/>
      <c r="D56" s="1082"/>
      <c r="E56" s="1082"/>
      <c r="F56" s="1082"/>
      <c r="G56" s="1082"/>
      <c r="H56" s="1082"/>
    </row>
    <row r="57" spans="1:8" ht="15.75" customHeight="1" x14ac:dyDescent="0.2">
      <c r="A57" s="1082" t="str">
        <f>Dados!A9</f>
        <v>PREGÃO ELETRÔNICO Nº 09/2020 - CJF</v>
      </c>
      <c r="B57" s="1082"/>
      <c r="C57" s="1082"/>
      <c r="D57" s="1082"/>
      <c r="E57" s="1082"/>
      <c r="F57" s="1082"/>
      <c r="G57" s="1082"/>
      <c r="H57" s="1082"/>
    </row>
    <row r="58" spans="1:8" ht="18" hidden="1" customHeight="1" x14ac:dyDescent="0.2">
      <c r="A58" s="1084" t="str">
        <f>Dados!A10</f>
        <v>CONTRATO Nº __________/201__ - CONTRATANTE - PRESTAÇÃO DE SERVIÇOS --------</v>
      </c>
      <c r="B58" s="1084"/>
      <c r="C58" s="1084"/>
      <c r="D58" s="1084"/>
      <c r="E58" s="1084"/>
      <c r="F58" s="1084"/>
      <c r="G58" s="1084"/>
      <c r="H58" s="1084"/>
    </row>
    <row r="59" spans="1:8" ht="18" hidden="1" customHeight="1" x14ac:dyDescent="0.2">
      <c r="A59" s="1084" t="str">
        <f>Dados!H2</f>
        <v xml:space="preserve">REPACTUAÇÃO CONTRATUAL 20___ - </v>
      </c>
      <c r="B59" s="1084"/>
      <c r="C59" s="1084"/>
      <c r="D59" s="1084"/>
      <c r="E59" s="1084"/>
      <c r="F59" s="1084"/>
      <c r="G59" s="1084"/>
      <c r="H59" s="1084"/>
    </row>
    <row r="60" spans="1:8" ht="18" customHeight="1" x14ac:dyDescent="0.2">
      <c r="A60" s="84"/>
      <c r="B60" s="85"/>
      <c r="C60" s="86"/>
      <c r="D60" s="86"/>
      <c r="E60" s="86"/>
      <c r="F60" s="86"/>
      <c r="G60" s="85"/>
      <c r="H60" s="85"/>
    </row>
    <row r="61" spans="1:8" ht="18" customHeight="1" x14ac:dyDescent="0.2">
      <c r="A61" s="84"/>
      <c r="B61" s="85"/>
      <c r="C61" s="86"/>
      <c r="D61" s="86"/>
      <c r="E61" s="86"/>
      <c r="F61" s="86"/>
      <c r="G61" s="85"/>
      <c r="H61" s="85"/>
    </row>
    <row r="62" spans="1:8" ht="18" customHeight="1" x14ac:dyDescent="0.2">
      <c r="A62" s="1083" t="s">
        <v>384</v>
      </c>
      <c r="B62" s="1083"/>
      <c r="C62" s="1083"/>
      <c r="D62" s="1083"/>
      <c r="E62" s="1083"/>
      <c r="F62" s="1083"/>
      <c r="G62" s="1083"/>
      <c r="H62" s="1083"/>
    </row>
    <row r="63" spans="1:8" ht="18" customHeight="1" x14ac:dyDescent="0.2">
      <c r="A63" s="1083" t="s">
        <v>385</v>
      </c>
      <c r="B63" s="1083"/>
      <c r="C63" s="1083"/>
      <c r="D63" s="1083"/>
      <c r="E63" s="1083"/>
      <c r="F63" s="1083"/>
      <c r="G63" s="1083"/>
      <c r="H63" s="1083"/>
    </row>
    <row r="64" spans="1:8" ht="18" customHeight="1" x14ac:dyDescent="0.2">
      <c r="B64" s="599"/>
      <c r="C64" s="599"/>
      <c r="D64" s="599"/>
      <c r="E64" s="599"/>
      <c r="F64" s="599"/>
      <c r="G64" s="599"/>
      <c r="H64" s="599"/>
    </row>
    <row r="65" spans="1:10" ht="18" customHeight="1" x14ac:dyDescent="0.2">
      <c r="B65" s="599"/>
      <c r="C65" s="599"/>
      <c r="D65" s="599"/>
      <c r="E65" s="599"/>
      <c r="F65" s="599"/>
      <c r="G65" s="599"/>
      <c r="H65" s="599"/>
    </row>
    <row r="66" spans="1:10" ht="18" customHeight="1" x14ac:dyDescent="0.2">
      <c r="A66" s="294" t="s">
        <v>410</v>
      </c>
      <c r="B66" s="599"/>
      <c r="C66" s="599"/>
      <c r="D66" s="599"/>
      <c r="E66" s="599"/>
      <c r="F66" s="599"/>
      <c r="G66" s="599"/>
      <c r="H66" s="599"/>
    </row>
    <row r="67" spans="1:10" ht="18" customHeight="1" x14ac:dyDescent="0.2">
      <c r="A67" s="1079" t="s">
        <v>63</v>
      </c>
      <c r="B67" s="1080" t="s">
        <v>85</v>
      </c>
      <c r="C67" s="1078" t="s">
        <v>66</v>
      </c>
      <c r="D67" s="1078" t="s">
        <v>67</v>
      </c>
      <c r="E67" s="1078"/>
      <c r="F67" s="1078"/>
      <c r="G67" s="1078" t="s">
        <v>387</v>
      </c>
      <c r="H67" s="1078" t="s">
        <v>388</v>
      </c>
      <c r="I67" s="369"/>
      <c r="J67" s="369"/>
    </row>
    <row r="68" spans="1:10" ht="18" customHeight="1" x14ac:dyDescent="0.2">
      <c r="A68" s="1079"/>
      <c r="B68" s="1081"/>
      <c r="C68" s="1078"/>
      <c r="D68" s="598" t="s">
        <v>70</v>
      </c>
      <c r="E68" s="598" t="s">
        <v>71</v>
      </c>
      <c r="F68" s="598" t="s">
        <v>72</v>
      </c>
      <c r="G68" s="1078"/>
      <c r="H68" s="1078"/>
      <c r="I68" s="369"/>
      <c r="J68" s="369"/>
    </row>
    <row r="69" spans="1:10" ht="28.5" customHeight="1" x14ac:dyDescent="0.2">
      <c r="A69" s="90">
        <v>1</v>
      </c>
      <c r="B69" s="299" t="s">
        <v>397</v>
      </c>
      <c r="C69" s="297" t="s">
        <v>66</v>
      </c>
      <c r="D69" s="298">
        <v>2</v>
      </c>
      <c r="E69" s="298">
        <v>2</v>
      </c>
      <c r="F69" s="298">
        <f t="shared" ref="F69:F77" si="4">D69+E69</f>
        <v>4</v>
      </c>
      <c r="G69" s="93">
        <f>J69*Dados!$I$60</f>
        <v>28.84</v>
      </c>
      <c r="H69" s="93">
        <f>G69*F69</f>
        <v>115.36</v>
      </c>
      <c r="I69" s="369"/>
      <c r="J69" s="269">
        <v>28.84</v>
      </c>
    </row>
    <row r="70" spans="1:10" ht="38.25" customHeight="1" x14ac:dyDescent="0.2">
      <c r="A70" s="600">
        <v>2</v>
      </c>
      <c r="B70" s="299" t="s">
        <v>398</v>
      </c>
      <c r="C70" s="297" t="s">
        <v>66</v>
      </c>
      <c r="D70" s="298">
        <v>2</v>
      </c>
      <c r="E70" s="298">
        <v>2</v>
      </c>
      <c r="F70" s="298">
        <f t="shared" si="4"/>
        <v>4</v>
      </c>
      <c r="G70" s="93">
        <f>J70*Dados!$I$60</f>
        <v>5.6</v>
      </c>
      <c r="H70" s="93">
        <f>G70*F70</f>
        <v>22.4</v>
      </c>
      <c r="I70" s="369"/>
      <c r="J70" s="269">
        <v>5.6</v>
      </c>
    </row>
    <row r="71" spans="1:10" ht="36" customHeight="1" x14ac:dyDescent="0.2">
      <c r="A71" s="1076">
        <v>3</v>
      </c>
      <c r="B71" s="275" t="s">
        <v>399</v>
      </c>
      <c r="C71" s="297" t="s">
        <v>66</v>
      </c>
      <c r="D71" s="298">
        <v>4</v>
      </c>
      <c r="E71" s="298">
        <v>4</v>
      </c>
      <c r="F71" s="298">
        <f t="shared" si="4"/>
        <v>8</v>
      </c>
      <c r="G71" s="93">
        <f>J71*Dados!$I$60</f>
        <v>28</v>
      </c>
      <c r="H71" s="93">
        <f t="shared" ref="H71:H77" si="5">G71*F71</f>
        <v>224</v>
      </c>
      <c r="I71" s="369"/>
      <c r="J71" s="269">
        <v>28</v>
      </c>
    </row>
    <row r="72" spans="1:10" ht="40.5" customHeight="1" x14ac:dyDescent="0.2">
      <c r="A72" s="1077"/>
      <c r="B72" s="299" t="s">
        <v>386</v>
      </c>
      <c r="C72" s="297" t="s">
        <v>66</v>
      </c>
      <c r="D72" s="298">
        <v>0</v>
      </c>
      <c r="E72" s="298">
        <v>0</v>
      </c>
      <c r="F72" s="298">
        <f t="shared" si="4"/>
        <v>0</v>
      </c>
      <c r="G72" s="93">
        <f>J72*Dados!$I$60</f>
        <v>0</v>
      </c>
      <c r="H72" s="93">
        <f t="shared" si="5"/>
        <v>0</v>
      </c>
      <c r="I72" s="369"/>
      <c r="J72" s="269">
        <v>0</v>
      </c>
    </row>
    <row r="73" spans="1:10" ht="36" customHeight="1" x14ac:dyDescent="0.2">
      <c r="A73" s="90">
        <v>4</v>
      </c>
      <c r="B73" s="275" t="s">
        <v>400</v>
      </c>
      <c r="C73" s="297" t="s">
        <v>73</v>
      </c>
      <c r="D73" s="298">
        <v>4</v>
      </c>
      <c r="E73" s="298">
        <v>4</v>
      </c>
      <c r="F73" s="298">
        <f t="shared" si="4"/>
        <v>8</v>
      </c>
      <c r="G73" s="93">
        <f>J73*Dados!$I$60</f>
        <v>0.89</v>
      </c>
      <c r="H73" s="93">
        <f t="shared" si="5"/>
        <v>7.12</v>
      </c>
      <c r="I73" s="369"/>
      <c r="J73" s="269">
        <v>0.89</v>
      </c>
    </row>
    <row r="74" spans="1:10" ht="31.5" customHeight="1" x14ac:dyDescent="0.2">
      <c r="A74" s="90">
        <v>5</v>
      </c>
      <c r="B74" s="299" t="s">
        <v>401</v>
      </c>
      <c r="C74" s="297" t="s">
        <v>66</v>
      </c>
      <c r="D74" s="298">
        <v>1</v>
      </c>
      <c r="E74" s="298">
        <v>1</v>
      </c>
      <c r="F74" s="298">
        <f t="shared" si="4"/>
        <v>2</v>
      </c>
      <c r="G74" s="93">
        <f>J74*Dados!$I$60</f>
        <v>3.85</v>
      </c>
      <c r="H74" s="93">
        <f t="shared" si="5"/>
        <v>7.7</v>
      </c>
      <c r="I74" s="369"/>
      <c r="J74" s="269">
        <v>3.85</v>
      </c>
    </row>
    <row r="75" spans="1:10" ht="30" customHeight="1" x14ac:dyDescent="0.2">
      <c r="A75" s="90">
        <v>6</v>
      </c>
      <c r="B75" s="275" t="s">
        <v>402</v>
      </c>
      <c r="C75" s="297" t="s">
        <v>66</v>
      </c>
      <c r="D75" s="298">
        <v>1</v>
      </c>
      <c r="E75" s="298">
        <v>1</v>
      </c>
      <c r="F75" s="298">
        <f t="shared" si="4"/>
        <v>2</v>
      </c>
      <c r="G75" s="93">
        <f>J75*Dados!$I$60</f>
        <v>49</v>
      </c>
      <c r="H75" s="93">
        <f t="shared" si="5"/>
        <v>98</v>
      </c>
      <c r="I75" s="369"/>
      <c r="J75" s="269">
        <v>49</v>
      </c>
    </row>
    <row r="76" spans="1:10" ht="108.75" customHeight="1" x14ac:dyDescent="0.2">
      <c r="A76" s="90">
        <v>7</v>
      </c>
      <c r="B76" s="299" t="s">
        <v>403</v>
      </c>
      <c r="C76" s="297" t="s">
        <v>73</v>
      </c>
      <c r="D76" s="298">
        <v>1</v>
      </c>
      <c r="E76" s="298">
        <v>0</v>
      </c>
      <c r="F76" s="298">
        <f t="shared" si="4"/>
        <v>1</v>
      </c>
      <c r="G76" s="93">
        <f>J76*Dados!$I$60</f>
        <v>27.3</v>
      </c>
      <c r="H76" s="93">
        <f t="shared" si="5"/>
        <v>27.3</v>
      </c>
      <c r="J76" s="269">
        <v>27.3</v>
      </c>
    </row>
    <row r="77" spans="1:10" ht="60.75" customHeight="1" x14ac:dyDescent="0.2">
      <c r="A77" s="90">
        <v>8</v>
      </c>
      <c r="B77" s="299" t="s">
        <v>404</v>
      </c>
      <c r="C77" s="297" t="s">
        <v>66</v>
      </c>
      <c r="D77" s="298">
        <v>1</v>
      </c>
      <c r="E77" s="298">
        <v>0</v>
      </c>
      <c r="F77" s="298">
        <f t="shared" si="4"/>
        <v>1</v>
      </c>
      <c r="G77" s="93">
        <f>J77*Dados!$I$60</f>
        <v>6.09</v>
      </c>
      <c r="H77" s="93">
        <f t="shared" si="5"/>
        <v>6.09</v>
      </c>
      <c r="I77" s="101"/>
      <c r="J77" s="269">
        <v>6.09</v>
      </c>
    </row>
    <row r="78" spans="1:10" ht="18" customHeight="1" x14ac:dyDescent="0.2">
      <c r="A78" s="1073" t="s">
        <v>389</v>
      </c>
      <c r="B78" s="1074"/>
      <c r="C78" s="1074"/>
      <c r="D78" s="1074"/>
      <c r="E78" s="1074"/>
      <c r="F78" s="1074"/>
      <c r="G78" s="1075"/>
      <c r="H78" s="292">
        <f>SUM(H69:H77)</f>
        <v>507.97</v>
      </c>
      <c r="I78" s="101"/>
      <c r="J78" s="101"/>
    </row>
    <row r="79" spans="1:10" ht="18" customHeight="1" x14ac:dyDescent="0.2">
      <c r="A79" s="1073" t="s">
        <v>390</v>
      </c>
      <c r="B79" s="1074"/>
      <c r="C79" s="1074"/>
      <c r="D79" s="1074"/>
      <c r="E79" s="1074"/>
      <c r="F79" s="1074"/>
      <c r="G79" s="1075"/>
      <c r="H79" s="292">
        <f>H78/12</f>
        <v>42.33</v>
      </c>
      <c r="I79" s="101"/>
      <c r="J79" s="101"/>
    </row>
    <row r="80" spans="1:10" ht="18" customHeight="1" x14ac:dyDescent="0.2">
      <c r="A80" s="94"/>
      <c r="B80" s="94"/>
      <c r="C80" s="94"/>
      <c r="D80" s="94"/>
      <c r="E80" s="94"/>
      <c r="F80" s="94"/>
      <c r="G80" s="94"/>
      <c r="H80" s="94"/>
      <c r="I80" s="101"/>
      <c r="J80" s="101"/>
    </row>
    <row r="81" spans="1:10" ht="18" customHeight="1" x14ac:dyDescent="0.2">
      <c r="A81" s="94"/>
      <c r="B81" s="94"/>
      <c r="C81" s="94"/>
      <c r="D81" s="94"/>
      <c r="E81" s="94"/>
      <c r="F81" s="94"/>
      <c r="G81" s="94"/>
      <c r="H81" s="94"/>
      <c r="I81" s="101"/>
      <c r="J81" s="101"/>
    </row>
    <row r="82" spans="1:10" ht="18" customHeight="1" x14ac:dyDescent="0.2">
      <c r="A82" s="294" t="s">
        <v>409</v>
      </c>
      <c r="B82" s="599"/>
      <c r="C82" s="599"/>
      <c r="D82" s="599"/>
      <c r="E82" s="599"/>
      <c r="F82" s="599"/>
      <c r="G82" s="599"/>
      <c r="H82" s="599"/>
    </row>
    <row r="83" spans="1:10" ht="18" customHeight="1" x14ac:dyDescent="0.2">
      <c r="A83" s="294" t="s">
        <v>407</v>
      </c>
      <c r="B83" s="599"/>
      <c r="C83" s="599"/>
      <c r="D83" s="599"/>
      <c r="E83" s="599"/>
      <c r="F83" s="599"/>
      <c r="G83" s="599"/>
      <c r="H83" s="599"/>
    </row>
    <row r="84" spans="1:10" ht="18" customHeight="1" x14ac:dyDescent="0.2">
      <c r="A84" s="1079" t="s">
        <v>63</v>
      </c>
      <c r="B84" s="1080" t="s">
        <v>85</v>
      </c>
      <c r="C84" s="1078" t="s">
        <v>66</v>
      </c>
      <c r="D84" s="1078" t="s">
        <v>67</v>
      </c>
      <c r="E84" s="1078"/>
      <c r="F84" s="1078"/>
      <c r="G84" s="1078" t="s">
        <v>387</v>
      </c>
      <c r="H84" s="1078" t="s">
        <v>388</v>
      </c>
      <c r="I84" s="369"/>
      <c r="J84" s="369"/>
    </row>
    <row r="85" spans="1:10" ht="18" customHeight="1" x14ac:dyDescent="0.2">
      <c r="A85" s="1079"/>
      <c r="B85" s="1081"/>
      <c r="C85" s="1078"/>
      <c r="D85" s="598" t="s">
        <v>70</v>
      </c>
      <c r="E85" s="598" t="s">
        <v>71</v>
      </c>
      <c r="F85" s="598" t="s">
        <v>72</v>
      </c>
      <c r="G85" s="1078"/>
      <c r="H85" s="1078"/>
      <c r="I85" s="369"/>
      <c r="J85" s="369"/>
    </row>
    <row r="86" spans="1:10" ht="18" customHeight="1" x14ac:dyDescent="0.2">
      <c r="A86" s="295">
        <v>1</v>
      </c>
      <c r="B86" s="296" t="s">
        <v>391</v>
      </c>
      <c r="C86" s="297" t="s">
        <v>66</v>
      </c>
      <c r="D86" s="298">
        <v>2</v>
      </c>
      <c r="E86" s="298">
        <v>2</v>
      </c>
      <c r="F86" s="298">
        <f>D86+E86</f>
        <v>4</v>
      </c>
      <c r="G86" s="93">
        <f>J86*Dados!$I$61</f>
        <v>94.76</v>
      </c>
      <c r="H86" s="93">
        <f>G86*F86</f>
        <v>379.04</v>
      </c>
      <c r="I86" s="369"/>
      <c r="J86" s="269">
        <v>94.76</v>
      </c>
    </row>
    <row r="87" spans="1:10" ht="18" customHeight="1" x14ac:dyDescent="0.2">
      <c r="A87" s="295">
        <v>2</v>
      </c>
      <c r="B87" s="296" t="s">
        <v>166</v>
      </c>
      <c r="C87" s="297" t="s">
        <v>66</v>
      </c>
      <c r="D87" s="298">
        <v>4</v>
      </c>
      <c r="E87" s="298">
        <v>4</v>
      </c>
      <c r="F87" s="298">
        <f>D87+E87</f>
        <v>8</v>
      </c>
      <c r="G87" s="93">
        <f>J87*Dados!$I$61</f>
        <v>25.55</v>
      </c>
      <c r="H87" s="93">
        <f t="shared" ref="H87:H89" si="6">G87*F87</f>
        <v>204.4</v>
      </c>
      <c r="I87" s="369"/>
      <c r="J87" s="269">
        <v>25.55</v>
      </c>
    </row>
    <row r="88" spans="1:10" ht="18" customHeight="1" x14ac:dyDescent="0.2">
      <c r="A88" s="300">
        <v>3</v>
      </c>
      <c r="B88" s="296" t="s">
        <v>167</v>
      </c>
      <c r="C88" s="297" t="s">
        <v>73</v>
      </c>
      <c r="D88" s="298">
        <v>2</v>
      </c>
      <c r="E88" s="298">
        <v>2</v>
      </c>
      <c r="F88" s="298">
        <f>D88+E88</f>
        <v>4</v>
      </c>
      <c r="G88" s="93">
        <f>J88*Dados!$I$61</f>
        <v>37.89</v>
      </c>
      <c r="H88" s="93">
        <f t="shared" si="6"/>
        <v>151.56</v>
      </c>
      <c r="I88" s="369"/>
      <c r="J88" s="269">
        <v>37.89</v>
      </c>
    </row>
    <row r="89" spans="1:10" ht="18" customHeight="1" x14ac:dyDescent="0.2">
      <c r="A89" s="300">
        <v>4</v>
      </c>
      <c r="B89" s="296" t="s">
        <v>165</v>
      </c>
      <c r="C89" s="297" t="s">
        <v>73</v>
      </c>
      <c r="D89" s="298">
        <v>4</v>
      </c>
      <c r="E89" s="298">
        <v>4</v>
      </c>
      <c r="F89" s="298">
        <f>D89+E89</f>
        <v>8</v>
      </c>
      <c r="G89" s="93">
        <f>J89*Dados!$I$61</f>
        <v>0.88</v>
      </c>
      <c r="H89" s="93">
        <f t="shared" si="6"/>
        <v>7.04</v>
      </c>
      <c r="I89" s="369"/>
      <c r="J89" s="269">
        <v>0.88</v>
      </c>
    </row>
    <row r="90" spans="1:10" ht="18" customHeight="1" x14ac:dyDescent="0.2">
      <c r="A90" s="1073" t="s">
        <v>389</v>
      </c>
      <c r="B90" s="1074"/>
      <c r="C90" s="1074"/>
      <c r="D90" s="1074"/>
      <c r="E90" s="1074"/>
      <c r="F90" s="1074"/>
      <c r="G90" s="1075"/>
      <c r="H90" s="292">
        <f>SUM(H86:H89)</f>
        <v>742.04</v>
      </c>
      <c r="I90" s="101"/>
      <c r="J90" s="101"/>
    </row>
    <row r="91" spans="1:10" ht="18" customHeight="1" x14ac:dyDescent="0.2">
      <c r="A91" s="1073" t="s">
        <v>390</v>
      </c>
      <c r="B91" s="1074"/>
      <c r="C91" s="1074"/>
      <c r="D91" s="1074"/>
      <c r="E91" s="1074"/>
      <c r="F91" s="1074"/>
      <c r="G91" s="1075"/>
      <c r="H91" s="292">
        <f>H90/12</f>
        <v>61.84</v>
      </c>
      <c r="I91" s="101"/>
      <c r="J91" s="101"/>
    </row>
    <row r="92" spans="1:10" ht="18" customHeight="1" x14ac:dyDescent="0.2">
      <c r="A92" s="294" t="s">
        <v>408</v>
      </c>
      <c r="B92" s="599"/>
      <c r="C92" s="599"/>
      <c r="D92" s="599"/>
      <c r="E92" s="599"/>
      <c r="F92" s="599"/>
      <c r="G92" s="599"/>
      <c r="H92" s="599"/>
    </row>
    <row r="93" spans="1:10" ht="18" customHeight="1" x14ac:dyDescent="0.2">
      <c r="A93" s="1079" t="s">
        <v>63</v>
      </c>
      <c r="B93" s="1080" t="s">
        <v>85</v>
      </c>
      <c r="C93" s="1078" t="s">
        <v>66</v>
      </c>
      <c r="D93" s="1078" t="s">
        <v>67</v>
      </c>
      <c r="E93" s="1078"/>
      <c r="F93" s="1078"/>
      <c r="G93" s="1078" t="s">
        <v>387</v>
      </c>
      <c r="H93" s="1078" t="s">
        <v>388</v>
      </c>
      <c r="I93" s="369"/>
      <c r="J93" s="369"/>
    </row>
    <row r="94" spans="1:10" ht="18" customHeight="1" x14ac:dyDescent="0.2">
      <c r="A94" s="1079"/>
      <c r="B94" s="1081"/>
      <c r="C94" s="1078"/>
      <c r="D94" s="598" t="s">
        <v>70</v>
      </c>
      <c r="E94" s="598" t="s">
        <v>71</v>
      </c>
      <c r="F94" s="598" t="s">
        <v>72</v>
      </c>
      <c r="G94" s="1078"/>
      <c r="H94" s="1078"/>
      <c r="I94" s="369"/>
      <c r="J94" s="369"/>
    </row>
    <row r="95" spans="1:10" ht="18" customHeight="1" x14ac:dyDescent="0.2">
      <c r="A95" s="295">
        <v>1</v>
      </c>
      <c r="B95" s="296" t="s">
        <v>411</v>
      </c>
      <c r="C95" s="297" t="s">
        <v>66</v>
      </c>
      <c r="D95" s="298">
        <v>2</v>
      </c>
      <c r="E95" s="298">
        <v>2</v>
      </c>
      <c r="F95" s="298">
        <f>D95+E95</f>
        <v>4</v>
      </c>
      <c r="G95" s="93">
        <f>J95*Dados!$I$61</f>
        <v>32.119999999999997</v>
      </c>
      <c r="H95" s="93">
        <f>G95*F95</f>
        <v>128.47999999999999</v>
      </c>
      <c r="I95" s="369"/>
      <c r="J95" s="269">
        <v>32.119999999999997</v>
      </c>
    </row>
    <row r="96" spans="1:10" ht="29.25" customHeight="1" x14ac:dyDescent="0.2">
      <c r="A96" s="295">
        <v>2</v>
      </c>
      <c r="B96" s="276" t="s">
        <v>412</v>
      </c>
      <c r="C96" s="297" t="s">
        <v>66</v>
      </c>
      <c r="D96" s="298">
        <v>2</v>
      </c>
      <c r="E96" s="298">
        <v>2</v>
      </c>
      <c r="F96" s="298">
        <f>D96+E96</f>
        <v>4</v>
      </c>
      <c r="G96" s="93">
        <f>J96*Dados!$I$61</f>
        <v>75.19</v>
      </c>
      <c r="H96" s="93">
        <f t="shared" ref="H96:H99" si="7">G96*F96</f>
        <v>300.76</v>
      </c>
      <c r="I96" s="369"/>
      <c r="J96" s="269">
        <v>75.19</v>
      </c>
    </row>
    <row r="97" spans="1:10" ht="18" customHeight="1" x14ac:dyDescent="0.2">
      <c r="A97" s="300">
        <v>3</v>
      </c>
      <c r="B97" s="296" t="s">
        <v>413</v>
      </c>
      <c r="C97" s="297" t="s">
        <v>66</v>
      </c>
      <c r="D97" s="298">
        <v>4</v>
      </c>
      <c r="E97" s="298">
        <v>4</v>
      </c>
      <c r="F97" s="298">
        <f>D97+E97</f>
        <v>8</v>
      </c>
      <c r="G97" s="93">
        <f>J97*Dados!$I$61</f>
        <v>35.409999999999997</v>
      </c>
      <c r="H97" s="93">
        <f t="shared" si="7"/>
        <v>283.27999999999997</v>
      </c>
      <c r="I97" s="369"/>
      <c r="J97" s="269">
        <v>35.409999999999997</v>
      </c>
    </row>
    <row r="98" spans="1:10" ht="18" customHeight="1" x14ac:dyDescent="0.2">
      <c r="A98" s="300">
        <v>4</v>
      </c>
      <c r="B98" s="296" t="s">
        <v>414</v>
      </c>
      <c r="C98" s="297" t="s">
        <v>73</v>
      </c>
      <c r="D98" s="298">
        <v>2</v>
      </c>
      <c r="E98" s="298">
        <v>2</v>
      </c>
      <c r="F98" s="298">
        <f>D98+E98</f>
        <v>4</v>
      </c>
      <c r="G98" s="93">
        <f>J98*Dados!$I$61</f>
        <v>29.2</v>
      </c>
      <c r="H98" s="93">
        <f t="shared" si="7"/>
        <v>116.8</v>
      </c>
      <c r="I98" s="369"/>
      <c r="J98" s="269">
        <v>29.2</v>
      </c>
    </row>
    <row r="99" spans="1:10" ht="18" customHeight="1" x14ac:dyDescent="0.2">
      <c r="A99" s="295">
        <v>5</v>
      </c>
      <c r="B99" s="296" t="s">
        <v>392</v>
      </c>
      <c r="C99" s="297" t="s">
        <v>73</v>
      </c>
      <c r="D99" s="298">
        <v>4</v>
      </c>
      <c r="E99" s="298">
        <v>4</v>
      </c>
      <c r="F99" s="298">
        <f>D99+E99</f>
        <v>8</v>
      </c>
      <c r="G99" s="93">
        <f>J99*Dados!$I$61</f>
        <v>6.21</v>
      </c>
      <c r="H99" s="93">
        <f t="shared" si="7"/>
        <v>49.68</v>
      </c>
      <c r="I99" s="369"/>
      <c r="J99" s="269">
        <v>6.21</v>
      </c>
    </row>
    <row r="100" spans="1:10" ht="18" customHeight="1" x14ac:dyDescent="0.2">
      <c r="A100" s="1073" t="s">
        <v>389</v>
      </c>
      <c r="B100" s="1074"/>
      <c r="C100" s="1074"/>
      <c r="D100" s="1074"/>
      <c r="E100" s="1074"/>
      <c r="F100" s="1074"/>
      <c r="G100" s="1075"/>
      <c r="H100" s="292">
        <f>SUM(H95:H99)</f>
        <v>879</v>
      </c>
      <c r="I100" s="101"/>
      <c r="J100" s="101"/>
    </row>
    <row r="101" spans="1:10" ht="18" customHeight="1" x14ac:dyDescent="0.2">
      <c r="A101" s="1073" t="s">
        <v>390</v>
      </c>
      <c r="B101" s="1074"/>
      <c r="C101" s="1074"/>
      <c r="D101" s="1074"/>
      <c r="E101" s="1074"/>
      <c r="F101" s="1074"/>
      <c r="G101" s="1075"/>
      <c r="H101" s="292">
        <f>H100/12</f>
        <v>73.25</v>
      </c>
      <c r="I101" s="101"/>
      <c r="J101" s="101"/>
    </row>
    <row r="103" spans="1:10" ht="18" customHeight="1" x14ac:dyDescent="0.2">
      <c r="E103" s="1085" t="s">
        <v>365</v>
      </c>
      <c r="F103" s="1085"/>
      <c r="G103" s="597" t="s">
        <v>254</v>
      </c>
      <c r="H103" s="597" t="s">
        <v>393</v>
      </c>
    </row>
    <row r="104" spans="1:10" ht="18" customHeight="1" x14ac:dyDescent="0.2">
      <c r="E104" s="1085" t="s">
        <v>396</v>
      </c>
      <c r="F104" s="1085"/>
      <c r="G104" s="279">
        <v>0.95</v>
      </c>
      <c r="H104" s="645">
        <f>H91*G104</f>
        <v>58.75</v>
      </c>
    </row>
    <row r="105" spans="1:10" ht="18" customHeight="1" x14ac:dyDescent="0.2">
      <c r="E105" s="1085" t="s">
        <v>395</v>
      </c>
      <c r="F105" s="1085"/>
      <c r="G105" s="279">
        <v>0.05</v>
      </c>
      <c r="H105" s="645">
        <f>H101*G105</f>
        <v>3.66</v>
      </c>
    </row>
    <row r="106" spans="1:10" ht="18" customHeight="1" x14ac:dyDescent="0.2">
      <c r="E106" s="1085" t="s">
        <v>394</v>
      </c>
      <c r="F106" s="1085"/>
      <c r="G106" s="278">
        <f>SUM(G104:G105)</f>
        <v>1</v>
      </c>
      <c r="H106" s="277">
        <f>SUM(H104:H105)</f>
        <v>62.41</v>
      </c>
    </row>
  </sheetData>
  <mergeCells count="70">
    <mergeCell ref="E106:F106"/>
    <mergeCell ref="A100:G100"/>
    <mergeCell ref="A101:G101"/>
    <mergeCell ref="E103:F103"/>
    <mergeCell ref="E104:F104"/>
    <mergeCell ref="E105:F105"/>
    <mergeCell ref="A56:H56"/>
    <mergeCell ref="A57:H57"/>
    <mergeCell ref="A58:H58"/>
    <mergeCell ref="A59:H59"/>
    <mergeCell ref="A62:H62"/>
    <mergeCell ref="A63:H63"/>
    <mergeCell ref="A67:A68"/>
    <mergeCell ref="B67:B68"/>
    <mergeCell ref="C67:C68"/>
    <mergeCell ref="D67:F67"/>
    <mergeCell ref="G67:G68"/>
    <mergeCell ref="H67:H68"/>
    <mergeCell ref="A71:A72"/>
    <mergeCell ref="A78:G78"/>
    <mergeCell ref="C84:C85"/>
    <mergeCell ref="D84:F84"/>
    <mergeCell ref="G84:G85"/>
    <mergeCell ref="A79:G79"/>
    <mergeCell ref="H84:H85"/>
    <mergeCell ref="B93:B94"/>
    <mergeCell ref="C93:C94"/>
    <mergeCell ref="A90:G90"/>
    <mergeCell ref="A91:G91"/>
    <mergeCell ref="A93:A94"/>
    <mergeCell ref="D93:F93"/>
    <mergeCell ref="G93:G94"/>
    <mergeCell ref="H93:H94"/>
    <mergeCell ref="A84:A85"/>
    <mergeCell ref="B84:B85"/>
    <mergeCell ref="E52:F52"/>
    <mergeCell ref="A46:G46"/>
    <mergeCell ref="A47:G47"/>
    <mergeCell ref="E49:F49"/>
    <mergeCell ref="E50:F50"/>
    <mergeCell ref="E51:F51"/>
    <mergeCell ref="H39:H40"/>
    <mergeCell ref="A30:A31"/>
    <mergeCell ref="A2:H2"/>
    <mergeCell ref="A3:H3"/>
    <mergeCell ref="A8:H8"/>
    <mergeCell ref="A13:A14"/>
    <mergeCell ref="B13:B14"/>
    <mergeCell ref="C13:C14"/>
    <mergeCell ref="D13:F13"/>
    <mergeCell ref="G13:G14"/>
    <mergeCell ref="H13:H14"/>
    <mergeCell ref="A9:H9"/>
    <mergeCell ref="A4:H4"/>
    <mergeCell ref="A5:H5"/>
    <mergeCell ref="B30:B31"/>
    <mergeCell ref="C30:C31"/>
    <mergeCell ref="A37:G37"/>
    <mergeCell ref="A39:A40"/>
    <mergeCell ref="B39:B40"/>
    <mergeCell ref="C39:C40"/>
    <mergeCell ref="D39:F39"/>
    <mergeCell ref="G39:G40"/>
    <mergeCell ref="A25:G25"/>
    <mergeCell ref="A24:G24"/>
    <mergeCell ref="A17:A18"/>
    <mergeCell ref="H30:H31"/>
    <mergeCell ref="A36:G36"/>
    <mergeCell ref="D30:F30"/>
    <mergeCell ref="G30:G31"/>
  </mergeCells>
  <printOptions horizontalCentered="1"/>
  <pageMargins left="0.51181102362204722" right="0.39370078740157483" top="1.6535433070866143" bottom="0.35433070866141736" header="0.19685039370078741" footer="0.27559055118110237"/>
  <pageSetup paperSize="9" scale="63" fitToHeight="0" orientation="portrait" r:id="rId1"/>
  <headerFooter>
    <oddHeader>&amp;L&amp;"+,Negrito"&amp;8PROPOSTA Nº 053/2020 - CJF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59999389629810485"/>
    <pageSetUpPr fitToPage="1"/>
  </sheetPr>
  <dimension ref="A1:R52"/>
  <sheetViews>
    <sheetView topLeftCell="A25" zoomScaleNormal="100" zoomScaleSheetLayoutView="90" workbookViewId="0">
      <selection activeCell="I27" sqref="I27"/>
    </sheetView>
  </sheetViews>
  <sheetFormatPr defaultRowHeight="18" customHeight="1" x14ac:dyDescent="0.2"/>
  <cols>
    <col min="1" max="1" width="6" style="87" customWidth="1"/>
    <col min="2" max="2" width="64" style="99" customWidth="1"/>
    <col min="3" max="3" width="11" style="100" customWidth="1"/>
    <col min="4" max="4" width="11.85546875" style="100" customWidth="1"/>
    <col min="5" max="7" width="10" style="100" customWidth="1"/>
    <col min="8" max="8" width="13" style="100" customWidth="1"/>
    <col min="9" max="9" width="16" style="99" customWidth="1"/>
    <col min="10" max="10" width="19.42578125" style="99" customWidth="1"/>
    <col min="11" max="11" width="9.140625" style="87"/>
    <col min="12" max="12" width="12" style="87" customWidth="1"/>
    <col min="13" max="13" width="9.7109375" style="87" customWidth="1"/>
    <col min="14" max="15" width="9.140625" style="87" customWidth="1"/>
    <col min="16" max="16" width="16.42578125" style="87" customWidth="1"/>
    <col min="17" max="16384" width="9.140625" style="87"/>
  </cols>
  <sheetData>
    <row r="1" spans="1:12" ht="14.25" x14ac:dyDescent="0.2"/>
    <row r="2" spans="1:12" ht="14.25" x14ac:dyDescent="0.2">
      <c r="A2" s="1082" t="str">
        <f>Dados!A5</f>
        <v>CONSELHO DA JUSTIÇA FEDERAL - CJF</v>
      </c>
      <c r="B2" s="1082"/>
      <c r="C2" s="1082"/>
      <c r="D2" s="1082"/>
      <c r="E2" s="1082"/>
      <c r="F2" s="1082"/>
      <c r="G2" s="1082"/>
      <c r="H2" s="1082"/>
      <c r="I2" s="1082"/>
      <c r="J2" s="1082"/>
    </row>
    <row r="3" spans="1:12" ht="14.25" x14ac:dyDescent="0.2">
      <c r="A3" s="1082" t="str">
        <f>Dados!A9</f>
        <v>PREGÃO ELETRÔNICO Nº 09/2020 - CJF</v>
      </c>
      <c r="B3" s="1082"/>
      <c r="C3" s="1082"/>
      <c r="D3" s="1082"/>
      <c r="E3" s="1082"/>
      <c r="F3" s="1082"/>
      <c r="G3" s="1082"/>
      <c r="H3" s="1082"/>
      <c r="I3" s="1082"/>
      <c r="J3" s="1082"/>
    </row>
    <row r="4" spans="1:12" ht="0.75" customHeight="1" x14ac:dyDescent="0.2">
      <c r="A4" s="1084" t="str">
        <f>Dados!A10</f>
        <v>CONTRATO Nº __________/201__ - CONTRATANTE - PRESTAÇÃO DE SERVIÇOS --------</v>
      </c>
      <c r="B4" s="1084"/>
      <c r="C4" s="1084"/>
      <c r="D4" s="1084"/>
      <c r="E4" s="1084"/>
      <c r="F4" s="1084"/>
      <c r="G4" s="1084"/>
      <c r="H4" s="1084"/>
      <c r="I4" s="1084"/>
      <c r="J4" s="1084"/>
    </row>
    <row r="5" spans="1:12" ht="17.25" hidden="1" customHeight="1" x14ac:dyDescent="0.2">
      <c r="A5" s="1084" t="str">
        <f>Dados!H2</f>
        <v xml:space="preserve">REPACTUAÇÃO CONTRATUAL 20___ - </v>
      </c>
      <c r="B5" s="1084"/>
      <c r="C5" s="1084"/>
      <c r="D5" s="1084"/>
      <c r="E5" s="1084"/>
      <c r="F5" s="1084"/>
      <c r="G5" s="1084"/>
      <c r="H5" s="1084"/>
      <c r="I5" s="1084"/>
      <c r="J5" s="1084"/>
    </row>
    <row r="6" spans="1:12" ht="14.25" x14ac:dyDescent="0.2">
      <c r="A6" s="84"/>
      <c r="B6" s="85"/>
      <c r="C6" s="86"/>
      <c r="D6" s="86"/>
      <c r="E6" s="86"/>
      <c r="F6" s="86"/>
      <c r="G6" s="86"/>
      <c r="H6" s="86"/>
      <c r="I6" s="85"/>
      <c r="J6" s="85"/>
    </row>
    <row r="7" spans="1:12" ht="14.25" x14ac:dyDescent="0.2">
      <c r="A7" s="84"/>
      <c r="B7" s="85"/>
      <c r="C7" s="86"/>
      <c r="D7" s="86"/>
      <c r="E7" s="86"/>
      <c r="F7" s="86"/>
      <c r="G7" s="86"/>
      <c r="H7" s="86"/>
      <c r="I7" s="85"/>
      <c r="J7" s="85"/>
    </row>
    <row r="8" spans="1:12" ht="14.25" customHeight="1" x14ac:dyDescent="0.2">
      <c r="A8" s="1083" t="s">
        <v>384</v>
      </c>
      <c r="B8" s="1083"/>
      <c r="C8" s="1083"/>
      <c r="D8" s="1083"/>
      <c r="E8" s="1083"/>
      <c r="F8" s="1083"/>
      <c r="G8" s="1083"/>
      <c r="H8" s="1083"/>
      <c r="I8" s="1083"/>
      <c r="J8" s="1083"/>
    </row>
    <row r="9" spans="1:12" ht="14.25" customHeight="1" x14ac:dyDescent="0.2">
      <c r="A9" s="1083" t="s">
        <v>385</v>
      </c>
      <c r="B9" s="1083"/>
      <c r="C9" s="1083"/>
      <c r="D9" s="1083"/>
      <c r="E9" s="1083"/>
      <c r="F9" s="1083"/>
      <c r="G9" s="1083"/>
      <c r="H9" s="1083"/>
      <c r="I9" s="1083"/>
      <c r="J9" s="1083"/>
    </row>
    <row r="10" spans="1:12" ht="14.25" x14ac:dyDescent="0.2">
      <c r="B10" s="599"/>
      <c r="C10" s="599"/>
      <c r="D10" s="599"/>
      <c r="E10" s="599"/>
      <c r="F10" s="599"/>
      <c r="G10" s="599"/>
      <c r="H10" s="599"/>
      <c r="I10" s="599"/>
      <c r="J10" s="599"/>
    </row>
    <row r="11" spans="1:12" ht="14.25" x14ac:dyDescent="0.2">
      <c r="B11" s="599"/>
      <c r="C11" s="599"/>
      <c r="D11" s="599"/>
      <c r="E11" s="599"/>
      <c r="F11" s="599"/>
      <c r="G11" s="599"/>
      <c r="H11" s="599"/>
      <c r="I11" s="599"/>
      <c r="J11" s="599"/>
    </row>
    <row r="12" spans="1:12" ht="14.25" x14ac:dyDescent="0.2">
      <c r="A12" s="294" t="s">
        <v>410</v>
      </c>
      <c r="B12" s="599"/>
      <c r="C12" s="599"/>
      <c r="D12" s="599"/>
      <c r="E12" s="599"/>
      <c r="F12" s="599"/>
      <c r="G12" s="599"/>
      <c r="H12" s="599"/>
      <c r="I12" s="599"/>
      <c r="J12" s="599"/>
    </row>
    <row r="13" spans="1:12" s="369" customFormat="1" ht="14.25" customHeight="1" x14ac:dyDescent="0.2">
      <c r="A13" s="1079" t="s">
        <v>63</v>
      </c>
      <c r="B13" s="1080" t="s">
        <v>85</v>
      </c>
      <c r="C13" s="1078" t="s">
        <v>66</v>
      </c>
      <c r="D13" s="1078" t="s">
        <v>67</v>
      </c>
      <c r="E13" s="1078"/>
      <c r="F13" s="1078"/>
      <c r="G13" s="1078"/>
      <c r="H13" s="1078"/>
      <c r="I13" s="1078" t="s">
        <v>387</v>
      </c>
      <c r="J13" s="1078" t="s">
        <v>388</v>
      </c>
    </row>
    <row r="14" spans="1:12" s="369" customFormat="1" ht="42.75" x14ac:dyDescent="0.2">
      <c r="A14" s="1079"/>
      <c r="B14" s="1081"/>
      <c r="C14" s="1078"/>
      <c r="D14" s="598" t="s">
        <v>70</v>
      </c>
      <c r="E14" s="598" t="s">
        <v>71</v>
      </c>
      <c r="F14" s="598" t="s">
        <v>543</v>
      </c>
      <c r="G14" s="598" t="s">
        <v>544</v>
      </c>
      <c r="H14" s="598" t="s">
        <v>545</v>
      </c>
      <c r="I14" s="1078"/>
      <c r="J14" s="1078"/>
    </row>
    <row r="15" spans="1:12" s="369" customFormat="1" ht="28.5" x14ac:dyDescent="0.2">
      <c r="A15" s="90">
        <v>1</v>
      </c>
      <c r="B15" s="299" t="s">
        <v>397</v>
      </c>
      <c r="C15" s="297" t="s">
        <v>66</v>
      </c>
      <c r="D15" s="298">
        <v>2</v>
      </c>
      <c r="E15" s="298">
        <v>2</v>
      </c>
      <c r="F15" s="298">
        <v>2</v>
      </c>
      <c r="G15" s="298">
        <v>2</v>
      </c>
      <c r="H15" s="298">
        <f>SUM(D15:G15)</f>
        <v>8</v>
      </c>
      <c r="I15" s="93">
        <f>L15*Dados!$I$60</f>
        <v>28.84</v>
      </c>
      <c r="J15" s="93">
        <f>I15*H15</f>
        <v>230.72</v>
      </c>
      <c r="L15" s="269">
        <v>28.84</v>
      </c>
    </row>
    <row r="16" spans="1:12" s="369" customFormat="1" ht="14.25" x14ac:dyDescent="0.2">
      <c r="A16" s="600">
        <v>2</v>
      </c>
      <c r="B16" s="299" t="s">
        <v>398</v>
      </c>
      <c r="C16" s="297" t="s">
        <v>66</v>
      </c>
      <c r="D16" s="298">
        <v>2</v>
      </c>
      <c r="E16" s="298">
        <v>2</v>
      </c>
      <c r="F16" s="298">
        <v>2</v>
      </c>
      <c r="G16" s="298">
        <v>2</v>
      </c>
      <c r="H16" s="298">
        <f t="shared" ref="H16:H23" si="0">SUM(D16:G16)</f>
        <v>8</v>
      </c>
      <c r="I16" s="93">
        <f>L16*Dados!$I$60</f>
        <v>5.6</v>
      </c>
      <c r="J16" s="93">
        <f>I16*H16</f>
        <v>44.8</v>
      </c>
      <c r="L16" s="269">
        <v>5.6</v>
      </c>
    </row>
    <row r="17" spans="1:18" s="369" customFormat="1" ht="28.5" x14ac:dyDescent="0.2">
      <c r="A17" s="1076">
        <v>3</v>
      </c>
      <c r="B17" s="275" t="s">
        <v>399</v>
      </c>
      <c r="C17" s="297" t="s">
        <v>66</v>
      </c>
      <c r="D17" s="298">
        <v>4</v>
      </c>
      <c r="E17" s="298">
        <v>4</v>
      </c>
      <c r="F17" s="298">
        <v>4</v>
      </c>
      <c r="G17" s="298">
        <v>4</v>
      </c>
      <c r="H17" s="298">
        <f t="shared" si="0"/>
        <v>16</v>
      </c>
      <c r="I17" s="93">
        <f>L17*Dados!$I$60</f>
        <v>28</v>
      </c>
      <c r="J17" s="93">
        <f t="shared" ref="J17:J23" si="1">I17*H17</f>
        <v>448</v>
      </c>
      <c r="L17" s="269">
        <v>28</v>
      </c>
    </row>
    <row r="18" spans="1:18" s="369" customFormat="1" ht="28.5" x14ac:dyDescent="0.2">
      <c r="A18" s="1077"/>
      <c r="B18" s="299" t="s">
        <v>386</v>
      </c>
      <c r="C18" s="297" t="s">
        <v>66</v>
      </c>
      <c r="D18" s="298">
        <v>0</v>
      </c>
      <c r="E18" s="298">
        <v>0</v>
      </c>
      <c r="F18" s="298">
        <v>0</v>
      </c>
      <c r="G18" s="298">
        <v>0</v>
      </c>
      <c r="H18" s="298">
        <f t="shared" si="0"/>
        <v>0</v>
      </c>
      <c r="I18" s="93">
        <f>L18*Dados!$I$60</f>
        <v>0</v>
      </c>
      <c r="J18" s="93">
        <f t="shared" si="1"/>
        <v>0</v>
      </c>
      <c r="L18" s="269">
        <v>0</v>
      </c>
    </row>
    <row r="19" spans="1:18" s="369" customFormat="1" ht="18" customHeight="1" x14ac:dyDescent="0.2">
      <c r="A19" s="90">
        <v>4</v>
      </c>
      <c r="B19" s="275" t="s">
        <v>400</v>
      </c>
      <c r="C19" s="297" t="s">
        <v>73</v>
      </c>
      <c r="D19" s="298">
        <v>4</v>
      </c>
      <c r="E19" s="298">
        <v>4</v>
      </c>
      <c r="F19" s="298">
        <v>4</v>
      </c>
      <c r="G19" s="298">
        <v>4</v>
      </c>
      <c r="H19" s="298">
        <f t="shared" si="0"/>
        <v>16</v>
      </c>
      <c r="I19" s="93">
        <f>L19*Dados!$I$60</f>
        <v>0.89</v>
      </c>
      <c r="J19" s="93">
        <f t="shared" si="1"/>
        <v>14.24</v>
      </c>
      <c r="L19" s="269">
        <v>0.89</v>
      </c>
    </row>
    <row r="20" spans="1:18" s="369" customFormat="1" ht="28.5" x14ac:dyDescent="0.2">
      <c r="A20" s="90">
        <v>5</v>
      </c>
      <c r="B20" s="299" t="s">
        <v>401</v>
      </c>
      <c r="C20" s="297" t="s">
        <v>66</v>
      </c>
      <c r="D20" s="298">
        <v>1</v>
      </c>
      <c r="E20" s="298">
        <v>1</v>
      </c>
      <c r="F20" s="298">
        <v>1</v>
      </c>
      <c r="G20" s="298">
        <v>1</v>
      </c>
      <c r="H20" s="298">
        <f t="shared" si="0"/>
        <v>4</v>
      </c>
      <c r="I20" s="93">
        <f>L20*Dados!$I$60</f>
        <v>3.85</v>
      </c>
      <c r="J20" s="93">
        <f t="shared" si="1"/>
        <v>15.4</v>
      </c>
      <c r="L20" s="269">
        <v>3.85</v>
      </c>
    </row>
    <row r="21" spans="1:18" s="369" customFormat="1" ht="28.5" x14ac:dyDescent="0.2">
      <c r="A21" s="90">
        <v>6</v>
      </c>
      <c r="B21" s="275" t="s">
        <v>402</v>
      </c>
      <c r="C21" s="297" t="s">
        <v>66</v>
      </c>
      <c r="D21" s="298">
        <v>1</v>
      </c>
      <c r="E21" s="298">
        <v>1</v>
      </c>
      <c r="F21" s="298">
        <v>1</v>
      </c>
      <c r="G21" s="298">
        <v>1</v>
      </c>
      <c r="H21" s="298">
        <f t="shared" si="0"/>
        <v>4</v>
      </c>
      <c r="I21" s="93">
        <f>L21*Dados!$I$60</f>
        <v>49</v>
      </c>
      <c r="J21" s="93">
        <f t="shared" si="1"/>
        <v>196</v>
      </c>
      <c r="L21" s="269">
        <v>49</v>
      </c>
    </row>
    <row r="22" spans="1:18" ht="99.75" x14ac:dyDescent="0.2">
      <c r="A22" s="90">
        <v>7</v>
      </c>
      <c r="B22" s="299" t="s">
        <v>403</v>
      </c>
      <c r="C22" s="297" t="s">
        <v>73</v>
      </c>
      <c r="D22" s="298">
        <v>1</v>
      </c>
      <c r="E22" s="298">
        <v>0</v>
      </c>
      <c r="F22" s="298">
        <v>1</v>
      </c>
      <c r="G22" s="298">
        <v>0</v>
      </c>
      <c r="H22" s="298">
        <f t="shared" si="0"/>
        <v>2</v>
      </c>
      <c r="I22" s="93">
        <f>L22*Dados!$I$60</f>
        <v>27.3</v>
      </c>
      <c r="J22" s="93">
        <f t="shared" si="1"/>
        <v>54.6</v>
      </c>
      <c r="L22" s="269">
        <v>27.3</v>
      </c>
      <c r="R22" s="369"/>
    </row>
    <row r="23" spans="1:18" s="101" customFormat="1" ht="42.75" x14ac:dyDescent="0.2">
      <c r="A23" s="90">
        <v>8</v>
      </c>
      <c r="B23" s="299" t="s">
        <v>404</v>
      </c>
      <c r="C23" s="297" t="s">
        <v>66</v>
      </c>
      <c r="D23" s="298">
        <v>1</v>
      </c>
      <c r="E23" s="298">
        <v>0</v>
      </c>
      <c r="F23" s="298">
        <v>1</v>
      </c>
      <c r="G23" s="298">
        <v>0</v>
      </c>
      <c r="H23" s="298">
        <f t="shared" si="0"/>
        <v>2</v>
      </c>
      <c r="I23" s="93">
        <f>L23*Dados!$I$60</f>
        <v>6.09</v>
      </c>
      <c r="J23" s="93">
        <f t="shared" si="1"/>
        <v>12.18</v>
      </c>
      <c r="L23" s="269">
        <v>6.09</v>
      </c>
      <c r="Q23" s="87"/>
    </row>
    <row r="24" spans="1:18" s="101" customFormat="1" ht="18" customHeight="1" x14ac:dyDescent="0.2">
      <c r="A24" s="1073" t="s">
        <v>548</v>
      </c>
      <c r="B24" s="1074"/>
      <c r="C24" s="1074"/>
      <c r="D24" s="1074"/>
      <c r="E24" s="1074"/>
      <c r="F24" s="1074"/>
      <c r="G24" s="1074"/>
      <c r="H24" s="1074"/>
      <c r="I24" s="1075"/>
      <c r="J24" s="292">
        <f>SUM(J15:J23)</f>
        <v>1015.94</v>
      </c>
      <c r="Q24" s="87"/>
    </row>
    <row r="25" spans="1:18" s="101" customFormat="1" ht="18" customHeight="1" x14ac:dyDescent="0.2">
      <c r="A25" s="1073" t="s">
        <v>390</v>
      </c>
      <c r="B25" s="1074"/>
      <c r="C25" s="1074"/>
      <c r="D25" s="1074"/>
      <c r="E25" s="1074"/>
      <c r="F25" s="1074"/>
      <c r="G25" s="1074"/>
      <c r="H25" s="1074"/>
      <c r="I25" s="1075"/>
      <c r="J25" s="292">
        <f>J24/20</f>
        <v>50.8</v>
      </c>
    </row>
    <row r="26" spans="1:18" s="101" customFormat="1" ht="18" customHeight="1" x14ac:dyDescent="0.2">
      <c r="A26" s="94"/>
      <c r="B26" s="94"/>
      <c r="C26" s="94"/>
      <c r="D26" s="94"/>
      <c r="E26" s="94"/>
      <c r="F26" s="94"/>
      <c r="G26" s="94"/>
      <c r="H26" s="94"/>
      <c r="I26" s="94"/>
      <c r="J26" s="94"/>
    </row>
    <row r="27" spans="1:18" s="101" customFormat="1" ht="18" customHeight="1" x14ac:dyDescent="0.2">
      <c r="A27" s="94"/>
      <c r="B27" s="94"/>
      <c r="C27" s="94"/>
      <c r="D27" s="94"/>
      <c r="E27" s="94"/>
      <c r="F27" s="94"/>
      <c r="G27" s="94"/>
      <c r="H27" s="94"/>
      <c r="I27" s="94"/>
      <c r="J27" s="94"/>
    </row>
    <row r="28" spans="1:18" s="98" customFormat="1" ht="14.25" x14ac:dyDescent="0.2">
      <c r="A28" s="294" t="s">
        <v>409</v>
      </c>
      <c r="B28" s="599"/>
      <c r="C28" s="599"/>
      <c r="D28" s="599"/>
      <c r="E28" s="599"/>
      <c r="F28" s="599"/>
      <c r="G28" s="599"/>
      <c r="H28" s="599"/>
      <c r="I28" s="599"/>
      <c r="J28" s="599"/>
      <c r="K28" s="87"/>
      <c r="L28" s="87"/>
    </row>
    <row r="29" spans="1:18" s="98" customFormat="1" ht="14.25" x14ac:dyDescent="0.2">
      <c r="A29" s="294" t="s">
        <v>407</v>
      </c>
      <c r="B29" s="599"/>
      <c r="C29" s="599"/>
      <c r="D29" s="599"/>
      <c r="E29" s="599"/>
      <c r="F29" s="599"/>
      <c r="G29" s="599"/>
      <c r="H29" s="599"/>
      <c r="I29" s="599"/>
      <c r="J29" s="599"/>
      <c r="K29" s="87"/>
      <c r="L29" s="87"/>
    </row>
    <row r="30" spans="1:18" s="98" customFormat="1" ht="18" customHeight="1" x14ac:dyDescent="0.2">
      <c r="A30" s="1079" t="s">
        <v>63</v>
      </c>
      <c r="B30" s="1080" t="s">
        <v>85</v>
      </c>
      <c r="C30" s="1078" t="s">
        <v>66</v>
      </c>
      <c r="D30" s="1078" t="s">
        <v>67</v>
      </c>
      <c r="E30" s="1078"/>
      <c r="F30" s="1078"/>
      <c r="G30" s="1078"/>
      <c r="H30" s="1078"/>
      <c r="I30" s="1078" t="s">
        <v>387</v>
      </c>
      <c r="J30" s="1078" t="s">
        <v>388</v>
      </c>
      <c r="K30" s="369"/>
      <c r="L30" s="369"/>
    </row>
    <row r="31" spans="1:18" ht="28.5" customHeight="1" x14ac:dyDescent="0.2">
      <c r="A31" s="1079"/>
      <c r="B31" s="1081"/>
      <c r="C31" s="1078"/>
      <c r="D31" s="598" t="s">
        <v>70</v>
      </c>
      <c r="E31" s="598" t="s">
        <v>71</v>
      </c>
      <c r="F31" s="598" t="s">
        <v>543</v>
      </c>
      <c r="G31" s="598" t="s">
        <v>544</v>
      </c>
      <c r="H31" s="598" t="s">
        <v>546</v>
      </c>
      <c r="I31" s="1078"/>
      <c r="J31" s="1078"/>
      <c r="K31" s="369"/>
      <c r="L31" s="369"/>
    </row>
    <row r="32" spans="1:18" ht="18" customHeight="1" x14ac:dyDescent="0.2">
      <c r="A32" s="295">
        <v>1</v>
      </c>
      <c r="B32" s="296" t="s">
        <v>391</v>
      </c>
      <c r="C32" s="297" t="s">
        <v>66</v>
      </c>
      <c r="D32" s="298">
        <v>2</v>
      </c>
      <c r="E32" s="298">
        <v>2</v>
      </c>
      <c r="F32" s="298">
        <v>2</v>
      </c>
      <c r="G32" s="298">
        <v>2</v>
      </c>
      <c r="H32" s="298">
        <f>SUM(D32:G32)</f>
        <v>8</v>
      </c>
      <c r="I32" s="93">
        <f>L32*Dados!$I$61</f>
        <v>94.76</v>
      </c>
      <c r="J32" s="93">
        <f>I32*H32</f>
        <v>758.08</v>
      </c>
      <c r="K32" s="369"/>
      <c r="L32" s="269">
        <v>94.76</v>
      </c>
    </row>
    <row r="33" spans="1:16" ht="18" customHeight="1" x14ac:dyDescent="0.2">
      <c r="A33" s="295">
        <v>2</v>
      </c>
      <c r="B33" s="296" t="s">
        <v>166</v>
      </c>
      <c r="C33" s="297" t="s">
        <v>66</v>
      </c>
      <c r="D33" s="298">
        <v>4</v>
      </c>
      <c r="E33" s="298">
        <v>4</v>
      </c>
      <c r="F33" s="298">
        <v>4</v>
      </c>
      <c r="G33" s="298">
        <v>4</v>
      </c>
      <c r="H33" s="298">
        <f t="shared" ref="H33:H35" si="2">SUM(D33:G33)</f>
        <v>16</v>
      </c>
      <c r="I33" s="93">
        <f>L33*Dados!$I$61</f>
        <v>25.55</v>
      </c>
      <c r="J33" s="93">
        <f t="shared" ref="J33:J35" si="3">I33*H33</f>
        <v>408.8</v>
      </c>
      <c r="K33" s="369"/>
      <c r="L33" s="269">
        <v>25.55</v>
      </c>
    </row>
    <row r="34" spans="1:16" ht="18" customHeight="1" x14ac:dyDescent="0.2">
      <c r="A34" s="300">
        <v>3</v>
      </c>
      <c r="B34" s="296" t="s">
        <v>167</v>
      </c>
      <c r="C34" s="297" t="s">
        <v>73</v>
      </c>
      <c r="D34" s="298">
        <v>2</v>
      </c>
      <c r="E34" s="298">
        <v>2</v>
      </c>
      <c r="F34" s="298">
        <v>2</v>
      </c>
      <c r="G34" s="298">
        <v>2</v>
      </c>
      <c r="H34" s="298">
        <f t="shared" si="2"/>
        <v>8</v>
      </c>
      <c r="I34" s="93">
        <f>L34*Dados!$I$61</f>
        <v>37.89</v>
      </c>
      <c r="J34" s="93">
        <f t="shared" si="3"/>
        <v>303.12</v>
      </c>
      <c r="K34" s="369"/>
      <c r="L34" s="269">
        <v>37.89</v>
      </c>
    </row>
    <row r="35" spans="1:16" ht="18" customHeight="1" x14ac:dyDescent="0.2">
      <c r="A35" s="300">
        <v>4</v>
      </c>
      <c r="B35" s="296" t="s">
        <v>165</v>
      </c>
      <c r="C35" s="297" t="s">
        <v>73</v>
      </c>
      <c r="D35" s="298">
        <v>4</v>
      </c>
      <c r="E35" s="298">
        <v>4</v>
      </c>
      <c r="F35" s="298">
        <v>4</v>
      </c>
      <c r="G35" s="298">
        <v>4</v>
      </c>
      <c r="H35" s="298">
        <f t="shared" si="2"/>
        <v>16</v>
      </c>
      <c r="I35" s="93">
        <f>L35*Dados!$I$61</f>
        <v>0.88</v>
      </c>
      <c r="J35" s="93">
        <f t="shared" si="3"/>
        <v>14.08</v>
      </c>
      <c r="K35" s="369"/>
      <c r="L35" s="269">
        <v>0.88</v>
      </c>
    </row>
    <row r="36" spans="1:16" ht="18" customHeight="1" x14ac:dyDescent="0.2">
      <c r="A36" s="1073" t="s">
        <v>389</v>
      </c>
      <c r="B36" s="1074"/>
      <c r="C36" s="1074"/>
      <c r="D36" s="1074"/>
      <c r="E36" s="1074"/>
      <c r="F36" s="1074"/>
      <c r="G36" s="1074"/>
      <c r="H36" s="1074"/>
      <c r="I36" s="1075"/>
      <c r="J36" s="292">
        <f>SUM(J32:J35)</f>
        <v>1484.08</v>
      </c>
      <c r="K36" s="101"/>
      <c r="L36" s="101"/>
    </row>
    <row r="37" spans="1:16" ht="18" customHeight="1" x14ac:dyDescent="0.2">
      <c r="A37" s="1073" t="s">
        <v>390</v>
      </c>
      <c r="B37" s="1074"/>
      <c r="C37" s="1074"/>
      <c r="D37" s="1074"/>
      <c r="E37" s="1074"/>
      <c r="F37" s="1074"/>
      <c r="G37" s="1074"/>
      <c r="H37" s="1074"/>
      <c r="I37" s="1075"/>
      <c r="J37" s="292">
        <f>J36/20</f>
        <v>74.2</v>
      </c>
      <c r="K37" s="101"/>
      <c r="L37" s="101"/>
    </row>
    <row r="38" spans="1:16" ht="14.25" x14ac:dyDescent="0.2">
      <c r="A38" s="294" t="s">
        <v>408</v>
      </c>
      <c r="B38" s="599"/>
      <c r="C38" s="599"/>
      <c r="D38" s="599"/>
      <c r="E38" s="599"/>
      <c r="F38" s="599"/>
      <c r="G38" s="599"/>
      <c r="H38" s="599"/>
      <c r="I38" s="599"/>
      <c r="J38" s="599"/>
    </row>
    <row r="39" spans="1:16" ht="18" customHeight="1" x14ac:dyDescent="0.2">
      <c r="A39" s="1079" t="s">
        <v>63</v>
      </c>
      <c r="B39" s="1080" t="s">
        <v>85</v>
      </c>
      <c r="C39" s="1078" t="s">
        <v>66</v>
      </c>
      <c r="D39" s="1078" t="s">
        <v>67</v>
      </c>
      <c r="E39" s="1078"/>
      <c r="F39" s="1078"/>
      <c r="G39" s="1078"/>
      <c r="H39" s="1078"/>
      <c r="I39" s="1078" t="s">
        <v>387</v>
      </c>
      <c r="J39" s="1078" t="s">
        <v>388</v>
      </c>
      <c r="K39" s="369"/>
      <c r="L39" s="369"/>
    </row>
    <row r="40" spans="1:16" ht="18" customHeight="1" x14ac:dyDescent="0.2">
      <c r="A40" s="1079"/>
      <c r="B40" s="1081"/>
      <c r="C40" s="1078"/>
      <c r="D40" s="598" t="s">
        <v>70</v>
      </c>
      <c r="E40" s="598" t="s">
        <v>71</v>
      </c>
      <c r="F40" s="598" t="s">
        <v>543</v>
      </c>
      <c r="G40" s="598" t="s">
        <v>544</v>
      </c>
      <c r="H40" s="598" t="s">
        <v>72</v>
      </c>
      <c r="I40" s="1078"/>
      <c r="J40" s="1078"/>
      <c r="K40" s="369"/>
      <c r="L40" s="369"/>
    </row>
    <row r="41" spans="1:16" ht="18" customHeight="1" x14ac:dyDescent="0.2">
      <c r="A41" s="295">
        <v>1</v>
      </c>
      <c r="B41" s="296" t="s">
        <v>411</v>
      </c>
      <c r="C41" s="297" t="s">
        <v>66</v>
      </c>
      <c r="D41" s="298">
        <v>2</v>
      </c>
      <c r="E41" s="298">
        <v>2</v>
      </c>
      <c r="F41" s="298">
        <v>2</v>
      </c>
      <c r="G41" s="298">
        <v>2</v>
      </c>
      <c r="H41" s="298">
        <f>SUM(D41:G41)</f>
        <v>8</v>
      </c>
      <c r="I41" s="93">
        <f>L41*Dados!$I$61</f>
        <v>32.119999999999997</v>
      </c>
      <c r="J41" s="93">
        <f>I41*H41</f>
        <v>256.95999999999998</v>
      </c>
      <c r="K41" s="369"/>
      <c r="L41" s="269">
        <v>32.119999999999997</v>
      </c>
    </row>
    <row r="42" spans="1:16" ht="28.5" x14ac:dyDescent="0.2">
      <c r="A42" s="295">
        <v>2</v>
      </c>
      <c r="B42" s="276" t="s">
        <v>412</v>
      </c>
      <c r="C42" s="297" t="s">
        <v>66</v>
      </c>
      <c r="D42" s="298">
        <v>2</v>
      </c>
      <c r="E42" s="298">
        <v>2</v>
      </c>
      <c r="F42" s="298">
        <v>2</v>
      </c>
      <c r="G42" s="298">
        <v>2</v>
      </c>
      <c r="H42" s="298">
        <f t="shared" ref="H42:H45" si="4">SUM(D42:G42)</f>
        <v>8</v>
      </c>
      <c r="I42" s="93">
        <f>L42*Dados!$I$61</f>
        <v>75.19</v>
      </c>
      <c r="J42" s="93">
        <f t="shared" ref="J42:J45" si="5">I42*H42</f>
        <v>601.52</v>
      </c>
      <c r="K42" s="369"/>
      <c r="L42" s="269">
        <v>75.19</v>
      </c>
    </row>
    <row r="43" spans="1:16" ht="18" customHeight="1" x14ac:dyDescent="0.2">
      <c r="A43" s="300">
        <v>3</v>
      </c>
      <c r="B43" s="296" t="s">
        <v>413</v>
      </c>
      <c r="C43" s="297" t="s">
        <v>66</v>
      </c>
      <c r="D43" s="298">
        <v>4</v>
      </c>
      <c r="E43" s="298">
        <v>4</v>
      </c>
      <c r="F43" s="298">
        <v>4</v>
      </c>
      <c r="G43" s="298">
        <v>4</v>
      </c>
      <c r="H43" s="298">
        <f t="shared" si="4"/>
        <v>16</v>
      </c>
      <c r="I43" s="93">
        <f>L43*Dados!$I$61</f>
        <v>35.409999999999997</v>
      </c>
      <c r="J43" s="93">
        <f t="shared" si="5"/>
        <v>566.55999999999995</v>
      </c>
      <c r="K43" s="369"/>
      <c r="L43" s="269">
        <v>35.409999999999997</v>
      </c>
    </row>
    <row r="44" spans="1:16" ht="18" customHeight="1" x14ac:dyDescent="0.2">
      <c r="A44" s="300">
        <v>4</v>
      </c>
      <c r="B44" s="296" t="s">
        <v>414</v>
      </c>
      <c r="C44" s="297" t="s">
        <v>73</v>
      </c>
      <c r="D44" s="298">
        <v>2</v>
      </c>
      <c r="E44" s="298">
        <v>2</v>
      </c>
      <c r="F44" s="298">
        <v>2</v>
      </c>
      <c r="G44" s="298">
        <v>2</v>
      </c>
      <c r="H44" s="298">
        <f t="shared" si="4"/>
        <v>8</v>
      </c>
      <c r="I44" s="93">
        <f>L44*Dados!$I$61</f>
        <v>29.2</v>
      </c>
      <c r="J44" s="93">
        <f t="shared" si="5"/>
        <v>233.6</v>
      </c>
      <c r="K44" s="369"/>
      <c r="L44" s="269">
        <v>29.2</v>
      </c>
      <c r="P44" s="268"/>
    </row>
    <row r="45" spans="1:16" ht="18" customHeight="1" x14ac:dyDescent="0.2">
      <c r="A45" s="295">
        <v>5</v>
      </c>
      <c r="B45" s="296" t="s">
        <v>392</v>
      </c>
      <c r="C45" s="297" t="s">
        <v>73</v>
      </c>
      <c r="D45" s="298">
        <v>4</v>
      </c>
      <c r="E45" s="298">
        <v>4</v>
      </c>
      <c r="F45" s="298">
        <v>4</v>
      </c>
      <c r="G45" s="298">
        <v>4</v>
      </c>
      <c r="H45" s="298">
        <f t="shared" si="4"/>
        <v>16</v>
      </c>
      <c r="I45" s="93">
        <f>L45*Dados!$I$61</f>
        <v>6.21</v>
      </c>
      <c r="J45" s="93">
        <f t="shared" si="5"/>
        <v>99.36</v>
      </c>
      <c r="K45" s="369"/>
      <c r="L45" s="269">
        <v>6.21</v>
      </c>
      <c r="P45" s="268"/>
    </row>
    <row r="46" spans="1:16" ht="18" customHeight="1" x14ac:dyDescent="0.2">
      <c r="A46" s="1073" t="s">
        <v>389</v>
      </c>
      <c r="B46" s="1074"/>
      <c r="C46" s="1074"/>
      <c r="D46" s="1074"/>
      <c r="E46" s="1074"/>
      <c r="F46" s="1074"/>
      <c r="G46" s="1074"/>
      <c r="H46" s="1074"/>
      <c r="I46" s="1075"/>
      <c r="J46" s="292">
        <f>SUM(J41:J45)</f>
        <v>1758</v>
      </c>
      <c r="K46" s="101"/>
      <c r="L46" s="101"/>
    </row>
    <row r="47" spans="1:16" ht="18" customHeight="1" x14ac:dyDescent="0.2">
      <c r="A47" s="1073" t="s">
        <v>390</v>
      </c>
      <c r="B47" s="1074"/>
      <c r="C47" s="1074"/>
      <c r="D47" s="1074"/>
      <c r="E47" s="1074"/>
      <c r="F47" s="1074"/>
      <c r="G47" s="1074"/>
      <c r="H47" s="1074"/>
      <c r="I47" s="1075"/>
      <c r="J47" s="292">
        <f>J46/20</f>
        <v>87.9</v>
      </c>
      <c r="K47" s="101"/>
      <c r="L47" s="101"/>
      <c r="P47" s="670"/>
    </row>
    <row r="48" spans="1:16" ht="18" customHeight="1" x14ac:dyDescent="0.2">
      <c r="P48" s="670"/>
    </row>
    <row r="49" spans="5:10" ht="18" customHeight="1" x14ac:dyDescent="0.2">
      <c r="E49" s="1085" t="s">
        <v>365</v>
      </c>
      <c r="F49" s="1085"/>
      <c r="G49" s="1085"/>
      <c r="H49" s="1085"/>
      <c r="I49" s="597" t="s">
        <v>254</v>
      </c>
      <c r="J49" s="597" t="s">
        <v>393</v>
      </c>
    </row>
    <row r="50" spans="5:10" ht="18" customHeight="1" x14ac:dyDescent="0.2">
      <c r="E50" s="1085" t="s">
        <v>396</v>
      </c>
      <c r="F50" s="1085"/>
      <c r="G50" s="1085"/>
      <c r="H50" s="1085"/>
      <c r="I50" s="279">
        <v>0.95</v>
      </c>
      <c r="J50" s="645">
        <f>J37*I50</f>
        <v>70.489999999999995</v>
      </c>
    </row>
    <row r="51" spans="5:10" ht="18" customHeight="1" x14ac:dyDescent="0.2">
      <c r="E51" s="1085" t="s">
        <v>395</v>
      </c>
      <c r="F51" s="1085"/>
      <c r="G51" s="1085"/>
      <c r="H51" s="1085"/>
      <c r="I51" s="279">
        <v>0.05</v>
      </c>
      <c r="J51" s="645">
        <f>J47*I51</f>
        <v>4.4000000000000004</v>
      </c>
    </row>
    <row r="52" spans="5:10" ht="18" customHeight="1" x14ac:dyDescent="0.2">
      <c r="E52" s="1085" t="s">
        <v>394</v>
      </c>
      <c r="F52" s="1085"/>
      <c r="G52" s="1085"/>
      <c r="H52" s="1085"/>
      <c r="I52" s="278">
        <f>SUM(I50:I51)</f>
        <v>1</v>
      </c>
      <c r="J52" s="277">
        <f>SUM(J50:J51)</f>
        <v>74.89</v>
      </c>
    </row>
  </sheetData>
  <mergeCells count="35">
    <mergeCell ref="E52:H52"/>
    <mergeCell ref="J30:J31"/>
    <mergeCell ref="A36:I36"/>
    <mergeCell ref="A37:I37"/>
    <mergeCell ref="A39:A40"/>
    <mergeCell ref="B39:B40"/>
    <mergeCell ref="C39:C40"/>
    <mergeCell ref="D39:H39"/>
    <mergeCell ref="I39:I40"/>
    <mergeCell ref="J39:J40"/>
    <mergeCell ref="A46:I46"/>
    <mergeCell ref="A47:I47"/>
    <mergeCell ref="E49:H49"/>
    <mergeCell ref="E50:H50"/>
    <mergeCell ref="E51:H51"/>
    <mergeCell ref="A17:A18"/>
    <mergeCell ref="A24:I24"/>
    <mergeCell ref="A25:I25"/>
    <mergeCell ref="A30:A31"/>
    <mergeCell ref="B30:B31"/>
    <mergeCell ref="C30:C31"/>
    <mergeCell ref="D30:H30"/>
    <mergeCell ref="I30:I31"/>
    <mergeCell ref="J13:J14"/>
    <mergeCell ref="A2:J2"/>
    <mergeCell ref="A3:J3"/>
    <mergeCell ref="A4:J4"/>
    <mergeCell ref="A5:J5"/>
    <mergeCell ref="A8:J8"/>
    <mergeCell ref="A9:J9"/>
    <mergeCell ref="A13:A14"/>
    <mergeCell ref="B13:B14"/>
    <mergeCell ref="C13:C14"/>
    <mergeCell ref="D13:H13"/>
    <mergeCell ref="I13:I14"/>
  </mergeCells>
  <printOptions horizontalCentered="1"/>
  <pageMargins left="0.51181102362204722" right="0.39370078740157483" top="1.6535433070866143" bottom="0.35433070866141736" header="0.19685039370078741" footer="0.27559055118110237"/>
  <pageSetup paperSize="9" scale="55" fitToHeight="0" orientation="portrait" r:id="rId1"/>
  <headerFooter>
    <oddHeader>&amp;L&amp;"+,Negrito"&amp;8PROPOSTA Nº 053/2020 - CJF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59999389629810485"/>
    <pageSetUpPr fitToPage="1"/>
  </sheetPr>
  <dimension ref="A1:N32"/>
  <sheetViews>
    <sheetView topLeftCell="A18" zoomScaleNormal="100" zoomScaleSheetLayoutView="90" workbookViewId="0">
      <selection activeCell="L16" sqref="L16"/>
    </sheetView>
  </sheetViews>
  <sheetFormatPr defaultRowHeight="18" customHeight="1" x14ac:dyDescent="0.2"/>
  <cols>
    <col min="1" max="1" width="6" style="87" customWidth="1"/>
    <col min="2" max="2" width="92.140625" style="99" customWidth="1"/>
    <col min="3" max="3" width="11" style="100" customWidth="1"/>
    <col min="4" max="5" width="15.85546875" style="100" customWidth="1"/>
    <col min="6" max="6" width="13.7109375" style="100" customWidth="1"/>
    <col min="7" max="8" width="16" style="99" customWidth="1"/>
    <col min="9" max="9" width="16.42578125" style="87" customWidth="1"/>
    <col min="10" max="10" width="9.140625" style="87" customWidth="1"/>
    <col min="11" max="11" width="16.140625" style="268" customWidth="1"/>
    <col min="12" max="12" width="12.5703125" style="87" bestFit="1" customWidth="1"/>
    <col min="13" max="13" width="10.85546875" style="87" bestFit="1" customWidth="1"/>
    <col min="14" max="16384" width="9.140625" style="87"/>
  </cols>
  <sheetData>
    <row r="1" spans="1:14" ht="14.25" x14ac:dyDescent="0.2">
      <c r="A1" s="99"/>
      <c r="I1" s="99"/>
      <c r="J1" s="99"/>
      <c r="K1" s="786"/>
      <c r="L1" s="99"/>
      <c r="M1" s="99"/>
      <c r="N1" s="99"/>
    </row>
    <row r="2" spans="1:14" ht="14.25" x14ac:dyDescent="0.2">
      <c r="A2" s="1082" t="str">
        <f>Dados!A5</f>
        <v>CONSELHO DA JUSTIÇA FEDERAL - CJF</v>
      </c>
      <c r="B2" s="1082"/>
      <c r="C2" s="1082"/>
      <c r="D2" s="1082"/>
      <c r="E2" s="1082"/>
      <c r="F2" s="1082"/>
      <c r="G2" s="1082"/>
      <c r="H2" s="1082"/>
      <c r="I2" s="1082"/>
      <c r="J2" s="99"/>
      <c r="K2" s="786"/>
      <c r="L2" s="99"/>
      <c r="M2" s="99"/>
      <c r="N2" s="99"/>
    </row>
    <row r="3" spans="1:14" ht="14.25" x14ac:dyDescent="0.2">
      <c r="A3" s="1082" t="str">
        <f>Dados!A9</f>
        <v>PREGÃO ELETRÔNICO Nº 09/2020 - CJF</v>
      </c>
      <c r="B3" s="1082"/>
      <c r="C3" s="1082"/>
      <c r="D3" s="1082"/>
      <c r="E3" s="1082"/>
      <c r="F3" s="1082"/>
      <c r="G3" s="1082"/>
      <c r="H3" s="1082"/>
      <c r="I3" s="1082"/>
      <c r="J3" s="99"/>
      <c r="K3" s="786"/>
      <c r="L3" s="99"/>
      <c r="M3" s="99"/>
      <c r="N3" s="99"/>
    </row>
    <row r="4" spans="1:14" ht="14.25" hidden="1" x14ac:dyDescent="0.2">
      <c r="A4" s="1082" t="str">
        <f>Dados!A10</f>
        <v>CONTRATO Nº __________/201__ - CONTRATANTE - PRESTAÇÃO DE SERVIÇOS --------</v>
      </c>
      <c r="B4" s="1082"/>
      <c r="C4" s="1082"/>
      <c r="D4" s="1082"/>
      <c r="E4" s="1082"/>
      <c r="F4" s="1082"/>
      <c r="G4" s="1082"/>
      <c r="H4" s="1082"/>
      <c r="I4" s="1082"/>
      <c r="J4" s="99"/>
      <c r="K4" s="786"/>
      <c r="L4" s="99"/>
      <c r="M4" s="99"/>
      <c r="N4" s="99"/>
    </row>
    <row r="5" spans="1:14" ht="14.25" hidden="1" x14ac:dyDescent="0.2">
      <c r="A5" s="1082" t="str">
        <f>Dados!H2</f>
        <v xml:space="preserve">REPACTUAÇÃO CONTRATUAL 20___ - </v>
      </c>
      <c r="B5" s="1082"/>
      <c r="C5" s="1082"/>
      <c r="D5" s="1082"/>
      <c r="E5" s="1082"/>
      <c r="F5" s="1082"/>
      <c r="G5" s="1082"/>
      <c r="H5" s="1082"/>
      <c r="I5" s="1082"/>
      <c r="J5" s="99"/>
      <c r="K5" s="786"/>
      <c r="L5" s="99"/>
      <c r="M5" s="99"/>
      <c r="N5" s="99"/>
    </row>
    <row r="6" spans="1:14" ht="14.25" x14ac:dyDescent="0.2">
      <c r="A6" s="85"/>
      <c r="B6" s="85"/>
      <c r="C6" s="86"/>
      <c r="D6" s="86"/>
      <c r="E6" s="86"/>
      <c r="F6" s="86"/>
      <c r="G6" s="85"/>
      <c r="H6" s="85"/>
      <c r="I6" s="85"/>
      <c r="J6" s="99"/>
      <c r="K6" s="786"/>
      <c r="L6" s="99"/>
      <c r="M6" s="99"/>
      <c r="N6" s="99"/>
    </row>
    <row r="7" spans="1:14" ht="14.25" x14ac:dyDescent="0.2">
      <c r="A7" s="85"/>
      <c r="B7" s="85"/>
      <c r="C7" s="86"/>
      <c r="D7" s="86"/>
      <c r="E7" s="86"/>
      <c r="F7" s="86"/>
      <c r="G7" s="85"/>
      <c r="H7" s="85"/>
      <c r="I7" s="85"/>
      <c r="J7" s="99"/>
      <c r="K7" s="786"/>
      <c r="L7" s="99"/>
      <c r="M7" s="99"/>
      <c r="N7" s="99"/>
    </row>
    <row r="8" spans="1:14" ht="14.25" x14ac:dyDescent="0.2">
      <c r="A8" s="1083" t="s">
        <v>363</v>
      </c>
      <c r="B8" s="1083"/>
      <c r="C8" s="1083"/>
      <c r="D8" s="1083"/>
      <c r="E8" s="1083"/>
      <c r="F8" s="1083"/>
      <c r="G8" s="1083"/>
      <c r="H8" s="1083"/>
      <c r="I8" s="1083"/>
      <c r="J8" s="99"/>
      <c r="K8" s="786"/>
      <c r="L8" s="99"/>
      <c r="M8" s="99"/>
      <c r="N8" s="99"/>
    </row>
    <row r="9" spans="1:14" ht="14.25" x14ac:dyDescent="0.2">
      <c r="A9" s="1083" t="s">
        <v>364</v>
      </c>
      <c r="B9" s="1083"/>
      <c r="C9" s="1083"/>
      <c r="D9" s="1083"/>
      <c r="E9" s="1083"/>
      <c r="F9" s="1083"/>
      <c r="G9" s="1083"/>
      <c r="H9" s="1083"/>
      <c r="I9" s="1083"/>
      <c r="J9" s="99"/>
      <c r="K9" s="786"/>
      <c r="L9" s="99"/>
      <c r="M9" s="99"/>
      <c r="N9" s="99"/>
    </row>
    <row r="10" spans="1:14" ht="14.25" x14ac:dyDescent="0.2">
      <c r="A10" s="714"/>
      <c r="B10" s="714"/>
      <c r="C10" s="714"/>
      <c r="D10" s="714"/>
      <c r="E10" s="714"/>
      <c r="F10" s="714"/>
      <c r="G10" s="714"/>
      <c r="H10" s="714"/>
      <c r="I10" s="714"/>
      <c r="J10" s="99"/>
      <c r="K10" s="786"/>
      <c r="L10" s="99"/>
      <c r="M10" s="99"/>
      <c r="N10" s="99"/>
    </row>
    <row r="11" spans="1:14" s="369" customFormat="1" ht="53.25" customHeight="1" x14ac:dyDescent="0.2">
      <c r="A11" s="713" t="s">
        <v>63</v>
      </c>
      <c r="B11" s="713" t="s">
        <v>85</v>
      </c>
      <c r="C11" s="713" t="s">
        <v>66</v>
      </c>
      <c r="D11" s="266" t="s">
        <v>369</v>
      </c>
      <c r="E11" s="266" t="s">
        <v>547</v>
      </c>
      <c r="F11" s="266" t="s">
        <v>366</v>
      </c>
      <c r="G11" s="713" t="s">
        <v>68</v>
      </c>
      <c r="H11" s="713" t="s">
        <v>352</v>
      </c>
      <c r="I11" s="713" t="s">
        <v>69</v>
      </c>
      <c r="J11" s="97"/>
      <c r="K11" s="787"/>
      <c r="L11" s="97"/>
      <c r="M11" s="97"/>
      <c r="N11" s="97"/>
    </row>
    <row r="12" spans="1:14" s="369" customFormat="1" ht="14.25" x14ac:dyDescent="0.2">
      <c r="A12" s="1089" t="s">
        <v>379</v>
      </c>
      <c r="B12" s="1090"/>
      <c r="C12" s="1090"/>
      <c r="D12" s="1090"/>
      <c r="E12" s="1090"/>
      <c r="F12" s="1090"/>
      <c r="G12" s="1090"/>
      <c r="H12" s="1090"/>
      <c r="I12" s="1091"/>
      <c r="J12" s="97"/>
      <c r="K12" s="787"/>
      <c r="L12" s="97"/>
      <c r="M12" s="97"/>
      <c r="N12" s="97"/>
    </row>
    <row r="13" spans="1:14" s="369" customFormat="1" ht="59.25" customHeight="1" x14ac:dyDescent="0.2">
      <c r="A13" s="90">
        <v>1</v>
      </c>
      <c r="B13" s="788" t="s">
        <v>377</v>
      </c>
      <c r="C13" s="91" t="s">
        <v>66</v>
      </c>
      <c r="D13" s="92">
        <v>5</v>
      </c>
      <c r="E13" s="92">
        <f>D13+1</f>
        <v>6</v>
      </c>
      <c r="F13" s="92">
        <v>120</v>
      </c>
      <c r="G13" s="93">
        <f>K13*Dados!$I$62</f>
        <v>1170</v>
      </c>
      <c r="H13" s="105">
        <f>((G13*E13)/F13)*20</f>
        <v>1170</v>
      </c>
      <c r="I13" s="105">
        <f>H13/20</f>
        <v>58.5</v>
      </c>
      <c r="J13" s="97"/>
      <c r="K13" s="787">
        <v>1170</v>
      </c>
      <c r="L13" s="97"/>
      <c r="M13" s="97"/>
      <c r="N13" s="97"/>
    </row>
    <row r="14" spans="1:14" s="369" customFormat="1" ht="42.75" x14ac:dyDescent="0.2">
      <c r="A14" s="90">
        <v>2</v>
      </c>
      <c r="B14" s="788" t="s">
        <v>370</v>
      </c>
      <c r="C14" s="91" t="s">
        <v>66</v>
      </c>
      <c r="D14" s="92">
        <v>20</v>
      </c>
      <c r="E14" s="92">
        <f>D14+2</f>
        <v>22</v>
      </c>
      <c r="F14" s="92">
        <v>6</v>
      </c>
      <c r="G14" s="93">
        <f>K14*Dados!$I$62</f>
        <v>15.75</v>
      </c>
      <c r="H14" s="105">
        <f t="shared" ref="H14:H21" si="0">((G14*E14)/F14)*20</f>
        <v>1155</v>
      </c>
      <c r="I14" s="105">
        <f t="shared" ref="I14:I21" si="1">H14/20</f>
        <v>57.75</v>
      </c>
      <c r="J14" s="97"/>
      <c r="K14" s="787">
        <v>15.75</v>
      </c>
      <c r="L14" s="97"/>
      <c r="M14" s="97"/>
      <c r="N14" s="97"/>
    </row>
    <row r="15" spans="1:14" s="369" customFormat="1" ht="14.25" x14ac:dyDescent="0.2">
      <c r="A15" s="90">
        <v>3</v>
      </c>
      <c r="B15" s="788" t="s">
        <v>443</v>
      </c>
      <c r="C15" s="91" t="s">
        <v>66</v>
      </c>
      <c r="D15" s="92">
        <v>5</v>
      </c>
      <c r="E15" s="92">
        <f>D15+2</f>
        <v>7</v>
      </c>
      <c r="F15" s="92">
        <v>60</v>
      </c>
      <c r="G15" s="93">
        <f>K15*Dados!$I$62</f>
        <v>387.36</v>
      </c>
      <c r="H15" s="105">
        <f t="shared" si="0"/>
        <v>903.84</v>
      </c>
      <c r="I15" s="105">
        <f t="shared" si="1"/>
        <v>45.19</v>
      </c>
      <c r="J15" s="97"/>
      <c r="K15" s="787">
        <v>387.36</v>
      </c>
      <c r="L15" s="97"/>
      <c r="M15" s="97"/>
      <c r="N15" s="97"/>
    </row>
    <row r="16" spans="1:14" s="369" customFormat="1" ht="71.25" x14ac:dyDescent="0.2">
      <c r="A16" s="90">
        <v>4</v>
      </c>
      <c r="B16" s="788" t="s">
        <v>444</v>
      </c>
      <c r="C16" s="91" t="s">
        <v>66</v>
      </c>
      <c r="D16" s="92">
        <f>D15*3</f>
        <v>15</v>
      </c>
      <c r="E16" s="92">
        <f>D16+6</f>
        <v>21</v>
      </c>
      <c r="F16" s="92">
        <v>6</v>
      </c>
      <c r="G16" s="93">
        <f>K16*Dados!$I$62</f>
        <v>35.01</v>
      </c>
      <c r="H16" s="105">
        <f t="shared" si="0"/>
        <v>2450.6999999999998</v>
      </c>
      <c r="I16" s="105">
        <f t="shared" si="1"/>
        <v>122.54</v>
      </c>
      <c r="J16" s="97"/>
      <c r="K16" s="787">
        <v>35.01</v>
      </c>
      <c r="L16" s="97"/>
      <c r="M16" s="97"/>
      <c r="N16" s="97"/>
    </row>
    <row r="17" spans="1:14" s="369" customFormat="1" ht="28.5" x14ac:dyDescent="0.2">
      <c r="A17" s="90">
        <v>4</v>
      </c>
      <c r="B17" s="788" t="s">
        <v>559</v>
      </c>
      <c r="C17" s="91" t="s">
        <v>66</v>
      </c>
      <c r="D17" s="92">
        <v>55</v>
      </c>
      <c r="E17" s="92">
        <f>D17+11</f>
        <v>66</v>
      </c>
      <c r="F17" s="92">
        <v>12</v>
      </c>
      <c r="G17" s="93">
        <f>K17*Dados!$I$62</f>
        <v>3.86</v>
      </c>
      <c r="H17" s="105">
        <f t="shared" si="0"/>
        <v>424.6</v>
      </c>
      <c r="I17" s="105">
        <f t="shared" si="1"/>
        <v>21.23</v>
      </c>
      <c r="J17" s="97"/>
      <c r="K17" s="787">
        <v>3.86</v>
      </c>
      <c r="L17" s="97"/>
      <c r="M17" s="97"/>
      <c r="N17" s="97"/>
    </row>
    <row r="18" spans="1:14" s="369" customFormat="1" ht="28.5" x14ac:dyDescent="0.2">
      <c r="A18" s="90">
        <v>5</v>
      </c>
      <c r="B18" s="788" t="s">
        <v>372</v>
      </c>
      <c r="C18" s="91" t="s">
        <v>66</v>
      </c>
      <c r="D18" s="92">
        <v>20</v>
      </c>
      <c r="E18" s="92">
        <f>D18+2</f>
        <v>22</v>
      </c>
      <c r="F18" s="92">
        <v>6</v>
      </c>
      <c r="G18" s="93">
        <f>K18*Dados!$I$62</f>
        <v>22.32</v>
      </c>
      <c r="H18" s="105">
        <f t="shared" si="0"/>
        <v>1636.8</v>
      </c>
      <c r="I18" s="105">
        <f t="shared" si="1"/>
        <v>81.84</v>
      </c>
      <c r="J18" s="97"/>
      <c r="K18" s="787">
        <v>22.32</v>
      </c>
      <c r="L18" s="97"/>
      <c r="M18" s="97"/>
      <c r="N18" s="97"/>
    </row>
    <row r="19" spans="1:14" s="369" customFormat="1" ht="57" x14ac:dyDescent="0.2">
      <c r="A19" s="90">
        <v>6</v>
      </c>
      <c r="B19" s="788" t="s">
        <v>373</v>
      </c>
      <c r="C19" s="91" t="s">
        <v>66</v>
      </c>
      <c r="D19" s="92">
        <v>10</v>
      </c>
      <c r="E19" s="92">
        <f>D19+1</f>
        <v>11</v>
      </c>
      <c r="F19" s="92">
        <v>12</v>
      </c>
      <c r="G19" s="93">
        <f>K19*Dados!$I$62</f>
        <v>34.200000000000003</v>
      </c>
      <c r="H19" s="105">
        <f t="shared" si="0"/>
        <v>627</v>
      </c>
      <c r="I19" s="105">
        <f t="shared" si="1"/>
        <v>31.35</v>
      </c>
      <c r="J19" s="97"/>
      <c r="K19" s="787">
        <v>34.200000000000003</v>
      </c>
      <c r="L19" s="97"/>
      <c r="M19" s="97"/>
      <c r="N19" s="97"/>
    </row>
    <row r="20" spans="1:14" s="101" customFormat="1" ht="28.5" x14ac:dyDescent="0.2">
      <c r="A20" s="90">
        <v>7</v>
      </c>
      <c r="B20" s="788" t="s">
        <v>375</v>
      </c>
      <c r="C20" s="91" t="s">
        <v>66</v>
      </c>
      <c r="D20" s="92">
        <v>20</v>
      </c>
      <c r="E20" s="92">
        <f>D20+2</f>
        <v>22</v>
      </c>
      <c r="F20" s="92">
        <v>12</v>
      </c>
      <c r="G20" s="93">
        <f>K20*Dados!$I$62</f>
        <v>17.100000000000001</v>
      </c>
      <c r="H20" s="105">
        <f t="shared" si="0"/>
        <v>627</v>
      </c>
      <c r="I20" s="105">
        <f t="shared" si="1"/>
        <v>31.35</v>
      </c>
      <c r="J20" s="789"/>
      <c r="K20" s="787">
        <v>17.100000000000001</v>
      </c>
      <c r="L20" s="789"/>
      <c r="M20" s="789"/>
      <c r="N20" s="789"/>
    </row>
    <row r="21" spans="1:14" s="101" customFormat="1" ht="28.5" x14ac:dyDescent="0.2">
      <c r="A21" s="90">
        <v>8</v>
      </c>
      <c r="B21" s="788" t="s">
        <v>376</v>
      </c>
      <c r="C21" s="91" t="s">
        <v>66</v>
      </c>
      <c r="D21" s="92">
        <v>20</v>
      </c>
      <c r="E21" s="92">
        <f>D21+2</f>
        <v>22</v>
      </c>
      <c r="F21" s="92">
        <v>60</v>
      </c>
      <c r="G21" s="93">
        <f>K21*Dados!$I$62</f>
        <v>24.21</v>
      </c>
      <c r="H21" s="105">
        <f t="shared" si="0"/>
        <v>177.54</v>
      </c>
      <c r="I21" s="105">
        <f t="shared" si="1"/>
        <v>8.8800000000000008</v>
      </c>
      <c r="J21" s="789"/>
      <c r="K21" s="787">
        <v>24.21</v>
      </c>
      <c r="L21" s="789"/>
      <c r="M21" s="789"/>
      <c r="N21" s="789"/>
    </row>
    <row r="22" spans="1:14" s="101" customFormat="1" ht="14.25" x14ac:dyDescent="0.2">
      <c r="A22" s="1086" t="s">
        <v>41</v>
      </c>
      <c r="B22" s="1087"/>
      <c r="C22" s="1087"/>
      <c r="D22" s="1087"/>
      <c r="E22" s="1087"/>
      <c r="F22" s="1087"/>
      <c r="G22" s="1087"/>
      <c r="H22" s="1088"/>
      <c r="I22" s="273">
        <f>SUM(I13:I21)</f>
        <v>458.63</v>
      </c>
      <c r="J22" s="789"/>
      <c r="K22" s="787"/>
      <c r="L22" s="789"/>
      <c r="M22" s="789"/>
      <c r="N22" s="789"/>
    </row>
    <row r="23" spans="1:14" s="101" customFormat="1" ht="14.25" x14ac:dyDescent="0.2">
      <c r="A23" s="1086" t="s">
        <v>367</v>
      </c>
      <c r="B23" s="1087"/>
      <c r="C23" s="1087"/>
      <c r="D23" s="1087"/>
      <c r="E23" s="1087"/>
      <c r="F23" s="1087"/>
      <c r="G23" s="1087"/>
      <c r="H23" s="1088"/>
      <c r="I23" s="272">
        <v>22</v>
      </c>
      <c r="J23" s="789"/>
      <c r="K23" s="787"/>
      <c r="L23" s="789"/>
      <c r="M23" s="789"/>
      <c r="N23" s="789"/>
    </row>
    <row r="24" spans="1:14" s="101" customFormat="1" ht="14.25" x14ac:dyDescent="0.2">
      <c r="A24" s="1086" t="s">
        <v>368</v>
      </c>
      <c r="B24" s="1087"/>
      <c r="C24" s="1087"/>
      <c r="D24" s="1087"/>
      <c r="E24" s="1087"/>
      <c r="F24" s="1087"/>
      <c r="G24" s="1087"/>
      <c r="H24" s="1088"/>
      <c r="I24" s="273">
        <f>I22/I23</f>
        <v>20.85</v>
      </c>
      <c r="J24" s="789"/>
      <c r="K24" s="787"/>
      <c r="L24" s="789"/>
      <c r="M24" s="789"/>
      <c r="N24" s="789"/>
    </row>
    <row r="25" spans="1:14" s="101" customFormat="1" ht="14.25" x14ac:dyDescent="0.2">
      <c r="A25" s="1089" t="s">
        <v>380</v>
      </c>
      <c r="B25" s="1090"/>
      <c r="C25" s="1090"/>
      <c r="D25" s="1090"/>
      <c r="E25" s="1090"/>
      <c r="F25" s="1090"/>
      <c r="G25" s="1090"/>
      <c r="H25" s="1090"/>
      <c r="I25" s="1091"/>
      <c r="J25" s="789"/>
      <c r="K25" s="787"/>
      <c r="L25" s="789"/>
      <c r="M25" s="789"/>
      <c r="N25" s="789"/>
    </row>
    <row r="26" spans="1:14" s="101" customFormat="1" ht="28.5" x14ac:dyDescent="0.2">
      <c r="A26" s="90">
        <v>9</v>
      </c>
      <c r="B26" s="788" t="s">
        <v>374</v>
      </c>
      <c r="C26" s="91" t="s">
        <v>66</v>
      </c>
      <c r="D26" s="92">
        <v>15</v>
      </c>
      <c r="E26" s="92">
        <f>D26+5</f>
        <v>20</v>
      </c>
      <c r="F26" s="92">
        <v>1</v>
      </c>
      <c r="G26" s="93">
        <f>K26*Dados!$I$63</f>
        <v>42</v>
      </c>
      <c r="H26" s="105">
        <f>((G26*E26)/F26)*20</f>
        <v>16800</v>
      </c>
      <c r="I26" s="105">
        <f>H26/20</f>
        <v>840</v>
      </c>
      <c r="J26" s="99"/>
      <c r="K26" s="787">
        <v>42</v>
      </c>
      <c r="L26" s="789"/>
      <c r="M26" s="790">
        <f>(I24+I30)</f>
        <v>47.23</v>
      </c>
      <c r="N26" s="789"/>
    </row>
    <row r="27" spans="1:14" s="101" customFormat="1" ht="28.5" x14ac:dyDescent="0.2">
      <c r="A27" s="90">
        <v>10</v>
      </c>
      <c r="B27" s="788" t="s">
        <v>378</v>
      </c>
      <c r="C27" s="91" t="s">
        <v>66</v>
      </c>
      <c r="D27" s="92">
        <v>26</v>
      </c>
      <c r="E27" s="92">
        <f>D27+6</f>
        <v>32</v>
      </c>
      <c r="F27" s="92">
        <v>12</v>
      </c>
      <c r="G27" s="93">
        <f>K27*Dados!$I$63</f>
        <v>1.5</v>
      </c>
      <c r="H27" s="105">
        <f>((G27*E27)/F27)*20</f>
        <v>80</v>
      </c>
      <c r="I27" s="105">
        <f>H27/20</f>
        <v>4</v>
      </c>
      <c r="J27" s="789"/>
      <c r="K27" s="787">
        <v>1.5</v>
      </c>
      <c r="L27" s="789"/>
      <c r="M27" s="789"/>
      <c r="N27" s="789"/>
    </row>
    <row r="28" spans="1:14" s="101" customFormat="1" ht="18" customHeight="1" x14ac:dyDescent="0.2">
      <c r="A28" s="1086" t="s">
        <v>41</v>
      </c>
      <c r="B28" s="1087"/>
      <c r="C28" s="1087"/>
      <c r="D28" s="1087"/>
      <c r="E28" s="1087"/>
      <c r="F28" s="1087"/>
      <c r="G28" s="1087"/>
      <c r="H28" s="1088"/>
      <c r="I28" s="273">
        <f>SUM(I26:I27)</f>
        <v>844</v>
      </c>
      <c r="J28" s="789"/>
      <c r="K28" s="166"/>
      <c r="L28" s="789"/>
      <c r="M28" s="789"/>
      <c r="N28" s="789"/>
    </row>
    <row r="29" spans="1:14" s="101" customFormat="1" ht="18" customHeight="1" x14ac:dyDescent="0.2">
      <c r="A29" s="1086" t="s">
        <v>367</v>
      </c>
      <c r="B29" s="1087"/>
      <c r="C29" s="1087"/>
      <c r="D29" s="1087"/>
      <c r="E29" s="1087"/>
      <c r="F29" s="1087"/>
      <c r="G29" s="1087"/>
      <c r="H29" s="1088"/>
      <c r="I29" s="272">
        <v>32</v>
      </c>
      <c r="J29" s="789"/>
      <c r="K29" s="166"/>
      <c r="L29" s="789"/>
      <c r="M29" s="789"/>
      <c r="N29" s="789"/>
    </row>
    <row r="30" spans="1:14" s="101" customFormat="1" ht="18" customHeight="1" x14ac:dyDescent="0.2">
      <c r="A30" s="1086" t="s">
        <v>368</v>
      </c>
      <c r="B30" s="1087"/>
      <c r="C30" s="1087"/>
      <c r="D30" s="1087"/>
      <c r="E30" s="1087"/>
      <c r="F30" s="1087"/>
      <c r="G30" s="1087"/>
      <c r="H30" s="1088"/>
      <c r="I30" s="273">
        <f>I28/I29</f>
        <v>26.38</v>
      </c>
      <c r="J30" s="789"/>
      <c r="K30" s="166"/>
      <c r="L30" s="790"/>
      <c r="M30" s="789"/>
      <c r="N30" s="789"/>
    </row>
    <row r="31" spans="1:14" s="98" customFormat="1" ht="18" customHeight="1" x14ac:dyDescent="0.2">
      <c r="A31" s="95"/>
      <c r="B31" s="96"/>
      <c r="C31" s="97"/>
      <c r="D31" s="97"/>
      <c r="E31" s="97"/>
      <c r="F31" s="97"/>
      <c r="G31" s="96"/>
      <c r="H31" s="96"/>
      <c r="K31" s="271"/>
      <c r="L31" s="669"/>
    </row>
    <row r="32" spans="1:14" s="98" customFormat="1" ht="18" customHeight="1" x14ac:dyDescent="0.2">
      <c r="A32" s="95"/>
      <c r="B32" s="96"/>
      <c r="C32" s="97"/>
      <c r="D32" s="97"/>
      <c r="E32" s="97"/>
      <c r="F32" s="97"/>
      <c r="G32" s="96"/>
      <c r="H32" s="96"/>
      <c r="K32" s="271"/>
      <c r="L32" s="669"/>
      <c r="M32" s="669"/>
    </row>
  </sheetData>
  <mergeCells count="14">
    <mergeCell ref="A29:H29"/>
    <mergeCell ref="A30:H30"/>
    <mergeCell ref="A12:I12"/>
    <mergeCell ref="A22:H22"/>
    <mergeCell ref="A23:H23"/>
    <mergeCell ref="A24:H24"/>
    <mergeCell ref="A25:I25"/>
    <mergeCell ref="A28:H28"/>
    <mergeCell ref="A9:I9"/>
    <mergeCell ref="A2:I2"/>
    <mergeCell ref="A3:I3"/>
    <mergeCell ref="A4:I4"/>
    <mergeCell ref="A5:I5"/>
    <mergeCell ref="A8:I8"/>
  </mergeCells>
  <printOptions horizontalCentered="1"/>
  <pageMargins left="0.51181102362204722" right="0.39370078740157483" top="1.6535433070866143" bottom="0.35433070866141736" header="0.19685039370078741" footer="0.27559055118110237"/>
  <pageSetup paperSize="9" scale="47" fitToHeight="0" orientation="portrait" r:id="rId1"/>
  <headerFooter>
    <oddHeader>&amp;L&amp;"+,Negrito"&amp;8PROPOSTA Nº 053/2020 - CJF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16</vt:i4>
      </vt:variant>
      <vt:variant>
        <vt:lpstr>Intervalos Nomeados</vt:lpstr>
      </vt:variant>
      <vt:variant>
        <vt:i4>16</vt:i4>
      </vt:variant>
    </vt:vector>
  </HeadingPairs>
  <TitlesOfParts>
    <vt:vector size="32" baseType="lpstr">
      <vt:lpstr>Dados</vt:lpstr>
      <vt:lpstr>Proposta</vt:lpstr>
      <vt:lpstr>Item 01</vt:lpstr>
      <vt:lpstr>Item 02</vt:lpstr>
      <vt:lpstr>Item 03</vt:lpstr>
      <vt:lpstr>Item 4 Inserido após o II TA </vt:lpstr>
      <vt:lpstr>Uniformes</vt:lpstr>
      <vt:lpstr>Uniformes II TA</vt:lpstr>
      <vt:lpstr>Mat. e Equip. II TA</vt:lpstr>
      <vt:lpstr>Mat. e Equip.</vt:lpstr>
      <vt:lpstr>Local</vt:lpstr>
      <vt:lpstr>Mem.Submódulo 2.3</vt:lpstr>
      <vt:lpstr>Mem.Encargos</vt:lpstr>
      <vt:lpstr>Mem.Módulo 6</vt:lpstr>
      <vt:lpstr>Resumo</vt:lpstr>
      <vt:lpstr>Cálculo art. 65 §1º 25%</vt:lpstr>
      <vt:lpstr>'Cálculo art. 65 §1º 25%'!Area_de_impressao</vt:lpstr>
      <vt:lpstr>Dados!Area_de_impressao</vt:lpstr>
      <vt:lpstr>'Item 01'!Area_de_impressao</vt:lpstr>
      <vt:lpstr>'Item 02'!Area_de_impressao</vt:lpstr>
      <vt:lpstr>'Item 03'!Area_de_impressao</vt:lpstr>
      <vt:lpstr>'Item 4 Inserido após o II TA '!Area_de_impressao</vt:lpstr>
      <vt:lpstr>Local!Area_de_impressao</vt:lpstr>
      <vt:lpstr>'Mat. e Equip.'!Area_de_impressao</vt:lpstr>
      <vt:lpstr>'Mat. e Equip. II TA'!Area_de_impressao</vt:lpstr>
      <vt:lpstr>Mem.Encargos!Area_de_impressao</vt:lpstr>
      <vt:lpstr>'Mem.Módulo 6'!Area_de_impressao</vt:lpstr>
      <vt:lpstr>'Mem.Submódulo 2.3'!Area_de_impressao</vt:lpstr>
      <vt:lpstr>Proposta!Area_de_impressao</vt:lpstr>
      <vt:lpstr>Resumo!Area_de_impressao</vt:lpstr>
      <vt:lpstr>Uniformes!Area_de_impressao</vt:lpstr>
      <vt:lpstr>'Uniformes II TA'!Area_de_impressao</vt:lpstr>
    </vt:vector>
  </TitlesOfParts>
  <Company>Dep Nac Prod Mineral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Ednaldo Rodrigues da Cunha</dc:creator>
  <cp:lastModifiedBy>Eliaquin Vieira dos Santos</cp:lastModifiedBy>
  <cp:lastPrinted>2020-06-30T21:38:36Z</cp:lastPrinted>
  <dcterms:created xsi:type="dcterms:W3CDTF">2003-01-09T15:21:37Z</dcterms:created>
  <dcterms:modified xsi:type="dcterms:W3CDTF">2022-03-17T19:50:21Z</dcterms:modified>
</cp:coreProperties>
</file>