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W:\SUCOP\SECCON\2023\CONTRATOS VIGENTES\Brasfort 015-2020 SEI 0000793-29.2020.4.90.8000 (Próxima Alteração observar o Despacho SEI n. 0408583)\"/>
    </mc:Choice>
  </mc:AlternateContent>
  <xr:revisionPtr revIDLastSave="0" documentId="8_{91344944-5C97-4A1A-9D8F-912E6C88CB1B}" xr6:coauthVersionLast="47" xr6:coauthVersionMax="47" xr10:uidLastSave="{00000000-0000-0000-0000-000000000000}"/>
  <bookViews>
    <workbookView xWindow="28680" yWindow="-120" windowWidth="29040" windowHeight="15840" tabRatio="759" activeTab="14" xr2:uid="{00000000-000D-0000-FFFF-FFFF00000000}"/>
  </bookViews>
  <sheets>
    <sheet name="Dados" sheetId="8" r:id="rId1"/>
    <sheet name="Proposta" sheetId="9" state="hidden" r:id="rId2"/>
    <sheet name="Item 01" sheetId="18" r:id="rId3"/>
    <sheet name="Item 02" sheetId="37" r:id="rId4"/>
    <sheet name="Item 03" sheetId="38" r:id="rId5"/>
    <sheet name="Item 4 Inserido após o II TA " sheetId="39" r:id="rId6"/>
    <sheet name="Uniformes" sheetId="21" state="hidden" r:id="rId7"/>
    <sheet name="Uniformes III TA" sheetId="42" r:id="rId8"/>
    <sheet name="Mat. e Equip. II TA" sheetId="43" r:id="rId9"/>
    <sheet name="Mat. e Equip." sheetId="35" state="hidden" r:id="rId10"/>
    <sheet name="Local" sheetId="34" r:id="rId11"/>
    <sheet name="Mem.Submódulo 2.3" sheetId="13" r:id="rId12"/>
    <sheet name="Mem.Encargos" sheetId="15" r:id="rId13"/>
    <sheet name="Mem.Módulo 6" sheetId="28" r:id="rId14"/>
    <sheet name="Resumo" sheetId="10" r:id="rId15"/>
    <sheet name="Garantia" sheetId="45" state="hidden" r:id="rId16"/>
    <sheet name="Cálculo art. 65 §1º 25%" sheetId="44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0" hidden="1">Dados!$L$72:$U$76</definedName>
    <definedName name="_xlnm.Print_Area" localSheetId="16">'Cálculo art. 65 §1º 25%'!$A$1:$H$24</definedName>
    <definedName name="_xlnm.Print_Area" localSheetId="0">Dados!$A$1:$U$112</definedName>
    <definedName name="_xlnm.Print_Area" localSheetId="2">'Item 01'!$A$1:$AC$187</definedName>
    <definedName name="_xlnm.Print_Area" localSheetId="3">'Item 02'!$A$1:$H$187</definedName>
    <definedName name="_xlnm.Print_Area" localSheetId="4">'Item 03'!$A$1:$AE$187</definedName>
    <definedName name="_xlnm.Print_Area" localSheetId="5">'Item 4 Inserido após o II TA '!$A$1:$G$187</definedName>
    <definedName name="_xlnm.Print_Area" localSheetId="10">Local!$A$1:$H$45</definedName>
    <definedName name="_xlnm.Print_Area" localSheetId="9">'Mat. e Equip.'!$A$1:$H$38</definedName>
    <definedName name="_xlnm.Print_Area" localSheetId="8">'Mat. e Equip. II TA'!$A$1:$I$38</definedName>
    <definedName name="_xlnm.Print_Area" localSheetId="12">Mem.Encargos!$A$1:$W$55</definedName>
    <definedName name="_xlnm.Print_Area" localSheetId="13">'Mem.Módulo 6'!$A$1:$E$25</definedName>
    <definedName name="_xlnm.Print_Area" localSheetId="11">'Mem.Submódulo 2.3'!$A$1:$W$71</definedName>
    <definedName name="_xlnm.Print_Area" localSheetId="1">Proposta!$A$1:$K$80</definedName>
    <definedName name="_xlnm.Print_Area" localSheetId="14">Resumo!$A$1:$H$52</definedName>
    <definedName name="_xlnm.Print_Area" localSheetId="6">Uniformes!$A$1:$H$53</definedName>
    <definedName name="_xlnm.Print_Area" localSheetId="7">'Uniformes III TA'!$A$1:$H$53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10">#REF!</definedName>
    <definedName name="Excel_BuiltIn_Print_Area_1_1" localSheetId="9">#REF!</definedName>
    <definedName name="Excel_BuiltIn_Print_Area_1_1" localSheetId="8">#REF!</definedName>
    <definedName name="Excel_BuiltIn_Print_Area_1_1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10">#REF!</definedName>
    <definedName name="Excel_BuiltIn_Print_Area_1_1_1" localSheetId="9">#REF!</definedName>
    <definedName name="Excel_BuiltIn_Print_Area_1_1_1" localSheetId="8">#REF!</definedName>
    <definedName name="Excel_BuiltIn_Print_Area_1_1_1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10">#REF!</definedName>
    <definedName name="Excel_BuiltIn_Print_Area_5" localSheetId="9">#REF!</definedName>
    <definedName name="Excel_BuiltIn_Print_Area_5" localSheetId="8">#REF!</definedName>
    <definedName name="Excel_BuiltIn_Print_Area_5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10">#REF!</definedName>
    <definedName name="Excel_BuiltIn_Print_Area_5_1" localSheetId="9">#REF!</definedName>
    <definedName name="Excel_BuiltIn_Print_Area_5_1" localSheetId="8">#REF!</definedName>
    <definedName name="Excel_BuiltIn_Print_Area_5_1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10">#REF!</definedName>
    <definedName name="Excel_BuiltIn_Print_Area_6" localSheetId="9">#REF!</definedName>
    <definedName name="Excel_BuiltIn_Print_Area_6" localSheetId="8">#REF!</definedName>
    <definedName name="Excel_BuiltIn_Print_Area_6">#REF!</definedName>
    <definedName name="Tipo_de_Joranda_de_Trabalho" localSheetId="13">OFFSET([1]Apoio!$A$1,1,0,COUNTA([1]Apoio!$A:$A)-1,1)</definedName>
    <definedName name="Tipo_de_Joranda_de_Trabalho">OFFSET([2]Apoio!$A$1,1,0,COUNTA([2]Apoio!$A$1:$A$65536)-1,1)</definedName>
    <definedName name="UN" localSheetId="3">#REF!</definedName>
    <definedName name="UN" localSheetId="4">#REF!</definedName>
    <definedName name="UN" localSheetId="5">#REF!</definedName>
    <definedName name="UN" localSheetId="10">#REF!</definedName>
    <definedName name="UN" localSheetId="9">#REF!</definedName>
    <definedName name="UN" localSheetId="8">#REF!</definedName>
    <definedName name="UN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0" l="1"/>
  <c r="G117" i="10" s="1"/>
  <c r="H117" i="10" s="1"/>
  <c r="D116" i="10"/>
  <c r="D115" i="10"/>
  <c r="G115" i="10" s="1"/>
  <c r="H115" i="10" s="1"/>
  <c r="D114" i="10"/>
  <c r="G114" i="10" s="1"/>
  <c r="H114" i="10" s="1"/>
  <c r="E118" i="10"/>
  <c r="B117" i="10"/>
  <c r="F116" i="10"/>
  <c r="B116" i="10"/>
  <c r="B115" i="10"/>
  <c r="B114" i="10"/>
  <c r="AK179" i="18"/>
  <c r="G116" i="10" l="1"/>
  <c r="H116" i="10" s="1"/>
  <c r="H118" i="10" s="1"/>
  <c r="F118" i="10"/>
  <c r="O131" i="39"/>
  <c r="O130" i="39"/>
  <c r="AK131" i="18"/>
  <c r="G118" i="10" l="1"/>
  <c r="D104" i="10"/>
  <c r="E107" i="10"/>
  <c r="F105" i="10"/>
  <c r="F107" i="10" s="1"/>
  <c r="G104" i="10"/>
  <c r="H104" i="10" s="1"/>
  <c r="N68" i="39"/>
  <c r="O68" i="39" s="1"/>
  <c r="O153" i="39"/>
  <c r="O152" i="39"/>
  <c r="O151" i="39"/>
  <c r="O129" i="39"/>
  <c r="O128" i="39"/>
  <c r="O127" i="39"/>
  <c r="O126" i="39"/>
  <c r="O115" i="39"/>
  <c r="O114" i="39"/>
  <c r="O113" i="39"/>
  <c r="O112" i="39"/>
  <c r="O110" i="39"/>
  <c r="O109" i="39"/>
  <c r="O87" i="39"/>
  <c r="O86" i="39"/>
  <c r="O73" i="39"/>
  <c r="O72" i="39"/>
  <c r="O71" i="39"/>
  <c r="O70" i="39"/>
  <c r="O69" i="39"/>
  <c r="O67" i="39"/>
  <c r="O66" i="39"/>
  <c r="O50" i="39"/>
  <c r="O49" i="39"/>
  <c r="N29" i="39"/>
  <c r="N27" i="39"/>
  <c r="N167" i="39"/>
  <c r="O146" i="39"/>
  <c r="N132" i="39"/>
  <c r="N131" i="39"/>
  <c r="N116" i="39"/>
  <c r="O94" i="39"/>
  <c r="O93" i="39"/>
  <c r="O92" i="39"/>
  <c r="N51" i="39"/>
  <c r="AK152" i="38"/>
  <c r="AK151" i="38"/>
  <c r="AK145" i="38"/>
  <c r="AK130" i="38"/>
  <c r="AK129" i="38"/>
  <c r="AK128" i="38"/>
  <c r="AK127" i="38"/>
  <c r="AK126" i="38"/>
  <c r="AK115" i="38"/>
  <c r="AK114" i="38"/>
  <c r="AK113" i="38"/>
  <c r="AK112" i="38"/>
  <c r="AK110" i="38"/>
  <c r="AK109" i="38"/>
  <c r="AK87" i="38"/>
  <c r="AK86" i="38"/>
  <c r="AK73" i="38"/>
  <c r="AK72" i="38"/>
  <c r="AK71" i="38"/>
  <c r="AK70" i="38"/>
  <c r="AK69" i="38"/>
  <c r="AK68" i="38"/>
  <c r="AK67" i="38"/>
  <c r="AK66" i="38"/>
  <c r="AK50" i="38"/>
  <c r="AK49" i="38"/>
  <c r="AK38" i="38"/>
  <c r="AJ29" i="38"/>
  <c r="AJ27" i="38"/>
  <c r="AJ26" i="38"/>
  <c r="AK153" i="38"/>
  <c r="AJ132" i="38"/>
  <c r="AJ116" i="38"/>
  <c r="AJ74" i="38"/>
  <c r="AJ51" i="38"/>
  <c r="AD165" i="37"/>
  <c r="AD164" i="37"/>
  <c r="AD163" i="37"/>
  <c r="AD161" i="37"/>
  <c r="AD160" i="37"/>
  <c r="AD152" i="37"/>
  <c r="AD155" i="37" s="1"/>
  <c r="AD179" i="37" s="1"/>
  <c r="AD151" i="37"/>
  <c r="AD132" i="37"/>
  <c r="AD130" i="37"/>
  <c r="AD129" i="37"/>
  <c r="AD128" i="37"/>
  <c r="AD127" i="37"/>
  <c r="AD126" i="37"/>
  <c r="AD116" i="37"/>
  <c r="AD115" i="37"/>
  <c r="AD114" i="37"/>
  <c r="AD113" i="37"/>
  <c r="AD112" i="37"/>
  <c r="AD110" i="37"/>
  <c r="AD109" i="37"/>
  <c r="AD90" i="37"/>
  <c r="AD87" i="37"/>
  <c r="AD86" i="37"/>
  <c r="AD85" i="37"/>
  <c r="AD84" i="37"/>
  <c r="AD73" i="37"/>
  <c r="AD72" i="37"/>
  <c r="AD71" i="37"/>
  <c r="AD70" i="37"/>
  <c r="AD69" i="37"/>
  <c r="AD68" i="37"/>
  <c r="AD67" i="37"/>
  <c r="AD66" i="37"/>
  <c r="AD51" i="37"/>
  <c r="AD50" i="37"/>
  <c r="AD49" i="37"/>
  <c r="AC167" i="37"/>
  <c r="AD153" i="37"/>
  <c r="AC116" i="37"/>
  <c r="AC74" i="37"/>
  <c r="AB20" i="15"/>
  <c r="AB26" i="15" s="1"/>
  <c r="AB51" i="15"/>
  <c r="AB38" i="15"/>
  <c r="AB13" i="15"/>
  <c r="AK152" i="18"/>
  <c r="AK151" i="18"/>
  <c r="AK87" i="18"/>
  <c r="AK86" i="18"/>
  <c r="AK84" i="18"/>
  <c r="AM59" i="13"/>
  <c r="AL59" i="13"/>
  <c r="AN36" i="13"/>
  <c r="AN37" i="13"/>
  <c r="AN35" i="13"/>
  <c r="AM36" i="13"/>
  <c r="AM37" i="13"/>
  <c r="AM35" i="13"/>
  <c r="O155" i="39" l="1"/>
  <c r="O179" i="39" s="1"/>
  <c r="AK155" i="38"/>
  <c r="AK179" i="38" s="1"/>
  <c r="AB54" i="15"/>
  <c r="AM51" i="13"/>
  <c r="AN51" i="13" s="1"/>
  <c r="AN47" i="13"/>
  <c r="AN46" i="13"/>
  <c r="AM40" i="13"/>
  <c r="AN40" i="13" s="1"/>
  <c r="AK130" i="18"/>
  <c r="AK129" i="18"/>
  <c r="AK128" i="18"/>
  <c r="AK127" i="18"/>
  <c r="AK126" i="18"/>
  <c r="AK115" i="18"/>
  <c r="AK114" i="18"/>
  <c r="AK113" i="18"/>
  <c r="AK112" i="18"/>
  <c r="AK111" i="18"/>
  <c r="AK110" i="18"/>
  <c r="AK109" i="18"/>
  <c r="AK73" i="18"/>
  <c r="AK72" i="18"/>
  <c r="AK71" i="18"/>
  <c r="AK70" i="18"/>
  <c r="AK69" i="18"/>
  <c r="AK68" i="18"/>
  <c r="AK67" i="18"/>
  <c r="AK66" i="18"/>
  <c r="AK50" i="18"/>
  <c r="AK49" i="18"/>
  <c r="AJ167" i="18"/>
  <c r="AK153" i="18"/>
  <c r="AJ116" i="18"/>
  <c r="AJ74" i="18"/>
  <c r="H15" i="42"/>
  <c r="AN52" i="13" l="1"/>
  <c r="AK155" i="18"/>
  <c r="AG151" i="18"/>
  <c r="AC59" i="13"/>
  <c r="AH53" i="42"/>
  <c r="M151" i="39" s="1"/>
  <c r="K151" i="39"/>
  <c r="E96" i="10"/>
  <c r="F94" i="10"/>
  <c r="I152" i="39"/>
  <c r="I153" i="39" s="1"/>
  <c r="I90" i="39"/>
  <c r="I88" i="39"/>
  <c r="I87" i="39"/>
  <c r="I86" i="39"/>
  <c r="H68" i="39"/>
  <c r="I35" i="39"/>
  <c r="H30" i="39"/>
  <c r="H28" i="39"/>
  <c r="H167" i="39"/>
  <c r="I146" i="39"/>
  <c r="H131" i="39"/>
  <c r="H132" i="39" s="1"/>
  <c r="H116" i="39"/>
  <c r="I94" i="39"/>
  <c r="I93" i="39"/>
  <c r="I92" i="39"/>
  <c r="H51" i="39"/>
  <c r="AA152" i="38"/>
  <c r="AA153" i="38" s="1"/>
  <c r="AA175" i="38"/>
  <c r="AA147" i="38"/>
  <c r="AA178" i="38" s="1"/>
  <c r="AA132" i="38"/>
  <c r="Z132" i="38"/>
  <c r="Z116" i="38"/>
  <c r="AA105" i="38"/>
  <c r="AA176" i="38" s="1"/>
  <c r="AA96" i="38"/>
  <c r="AA74" i="38"/>
  <c r="Z74" i="38"/>
  <c r="AA62" i="38"/>
  <c r="AA51" i="38"/>
  <c r="Z51" i="38"/>
  <c r="AA41" i="38"/>
  <c r="S167" i="37"/>
  <c r="T152" i="37"/>
  <c r="T153" i="37" s="1"/>
  <c r="S116" i="37"/>
  <c r="T87" i="37"/>
  <c r="T88" i="37"/>
  <c r="T90" i="37"/>
  <c r="T92" i="37"/>
  <c r="T93" i="37"/>
  <c r="T94" i="37"/>
  <c r="T86" i="37"/>
  <c r="S74" i="37"/>
  <c r="AA176" i="18"/>
  <c r="AA178" i="18"/>
  <c r="AA175" i="18"/>
  <c r="Z167" i="18"/>
  <c r="AA153" i="18"/>
  <c r="AA152" i="18"/>
  <c r="AA131" i="18"/>
  <c r="AA115" i="18"/>
  <c r="AA114" i="18"/>
  <c r="AA113" i="18"/>
  <c r="AA112" i="18"/>
  <c r="AA110" i="18"/>
  <c r="AA109" i="18"/>
  <c r="AA116" i="18" s="1"/>
  <c r="AA86" i="18"/>
  <c r="AA87" i="18"/>
  <c r="AA90" i="18"/>
  <c r="AA92" i="18"/>
  <c r="AA93" i="18"/>
  <c r="AA94" i="18"/>
  <c r="AA95" i="18"/>
  <c r="B74" i="10"/>
  <c r="B84" i="10" s="1"/>
  <c r="B95" i="10" s="1"/>
  <c r="B106" i="10" s="1"/>
  <c r="F83" i="10"/>
  <c r="F85" i="10" s="1"/>
  <c r="E85" i="10"/>
  <c r="F73" i="10"/>
  <c r="E75" i="10"/>
  <c r="E64" i="10"/>
  <c r="F63" i="10"/>
  <c r="F64" i="10" s="1"/>
  <c r="E55" i="10"/>
  <c r="M152" i="39"/>
  <c r="K152" i="39"/>
  <c r="K153" i="39" s="1"/>
  <c r="AC152" i="18"/>
  <c r="F96" i="10" l="1"/>
  <c r="F75" i="10"/>
  <c r="K35" i="39" l="1"/>
  <c r="L167" i="39"/>
  <c r="M146" i="39"/>
  <c r="L131" i="39"/>
  <c r="L132" i="39" s="1"/>
  <c r="L116" i="39"/>
  <c r="M94" i="39"/>
  <c r="M93" i="39"/>
  <c r="M92" i="39"/>
  <c r="L51" i="39"/>
  <c r="J167" i="39"/>
  <c r="K146" i="39"/>
  <c r="J131" i="39"/>
  <c r="J116" i="39"/>
  <c r="K94" i="39"/>
  <c r="K93" i="39"/>
  <c r="K92" i="39"/>
  <c r="J67" i="39"/>
  <c r="L67" i="39" s="1"/>
  <c r="N67" i="39" s="1"/>
  <c r="J66" i="39"/>
  <c r="L66" i="39" s="1"/>
  <c r="N66" i="39" s="1"/>
  <c r="R13" i="43"/>
  <c r="S13" i="43"/>
  <c r="Q13" i="43"/>
  <c r="J51" i="39"/>
  <c r="AH132" i="38"/>
  <c r="AH116" i="38"/>
  <c r="AH74" i="38"/>
  <c r="AH51" i="38"/>
  <c r="AF132" i="38"/>
  <c r="AF116" i="38"/>
  <c r="AF51" i="38"/>
  <c r="AE91" i="38"/>
  <c r="AE90" i="38"/>
  <c r="AE89" i="38"/>
  <c r="AE88" i="38"/>
  <c r="AD132" i="38"/>
  <c r="AD116" i="38"/>
  <c r="AD51" i="38"/>
  <c r="Y152" i="38"/>
  <c r="AC132" i="38"/>
  <c r="AB132" i="38"/>
  <c r="AB116" i="38"/>
  <c r="AC147" i="38"/>
  <c r="AC178" i="38" s="1"/>
  <c r="AC105" i="38"/>
  <c r="AC176" i="38" s="1"/>
  <c r="AC96" i="38"/>
  <c r="AC74" i="38"/>
  <c r="AB74" i="38"/>
  <c r="AC62" i="38"/>
  <c r="AC51" i="38"/>
  <c r="AB51" i="38"/>
  <c r="AC41" i="38"/>
  <c r="AC175" i="38" s="1"/>
  <c r="AB152" i="37"/>
  <c r="AB153" i="37" s="1"/>
  <c r="AG53" i="42"/>
  <c r="Z152" i="37"/>
  <c r="AA167" i="37"/>
  <c r="AA116" i="37"/>
  <c r="AA74" i="37"/>
  <c r="V152" i="37"/>
  <c r="V153" i="37" s="1"/>
  <c r="X152" i="37"/>
  <c r="Y167" i="37"/>
  <c r="Y116" i="37"/>
  <c r="Y74" i="37"/>
  <c r="U167" i="37"/>
  <c r="U116" i="37"/>
  <c r="V90" i="37"/>
  <c r="V88" i="37"/>
  <c r="V87" i="37"/>
  <c r="V86" i="37"/>
  <c r="U74" i="37"/>
  <c r="X53" i="42"/>
  <c r="X45" i="42"/>
  <c r="X44" i="42"/>
  <c r="X43" i="42"/>
  <c r="X42" i="42"/>
  <c r="X41" i="42"/>
  <c r="X35" i="42"/>
  <c r="X34" i="42"/>
  <c r="X33" i="42"/>
  <c r="X32" i="42"/>
  <c r="X23" i="42"/>
  <c r="X22" i="42"/>
  <c r="X21" i="42"/>
  <c r="X20" i="42"/>
  <c r="X19" i="42"/>
  <c r="X18" i="42"/>
  <c r="X17" i="42"/>
  <c r="X16" i="42"/>
  <c r="X15" i="42"/>
  <c r="AG15" i="42"/>
  <c r="AG16" i="42"/>
  <c r="AG17" i="42"/>
  <c r="AG18" i="42"/>
  <c r="M35" i="39" l="1"/>
  <c r="AD59" i="13"/>
  <c r="K90" i="39" s="1"/>
  <c r="K36" i="39"/>
  <c r="K41" i="39" s="1"/>
  <c r="J132" i="39"/>
  <c r="AF74" i="38"/>
  <c r="K2" i="43"/>
  <c r="I1" i="43"/>
  <c r="H13" i="43"/>
  <c r="I13" i="43"/>
  <c r="R14" i="43"/>
  <c r="M36" i="39" l="1"/>
  <c r="M41" i="39" s="1"/>
  <c r="M60" i="39" s="1"/>
  <c r="K175" i="39"/>
  <c r="O36" i="39"/>
  <c r="O41" i="39" s="1"/>
  <c r="K50" i="39"/>
  <c r="M49" i="39"/>
  <c r="M50" i="39"/>
  <c r="K49" i="39"/>
  <c r="K60" i="39"/>
  <c r="H14" i="43"/>
  <c r="K7" i="43"/>
  <c r="K8" i="43" s="1"/>
  <c r="I14" i="43"/>
  <c r="H7" i="43"/>
  <c r="H6" i="43"/>
  <c r="K3" i="43"/>
  <c r="J3" i="43"/>
  <c r="Q14" i="43"/>
  <c r="J8" i="43"/>
  <c r="J7" i="43"/>
  <c r="S6" i="43"/>
  <c r="R16" i="43"/>
  <c r="T3" i="43"/>
  <c r="T6" i="43" s="1"/>
  <c r="AG89" i="18"/>
  <c r="AG88" i="18"/>
  <c r="AK88" i="18" s="1"/>
  <c r="AF167" i="18"/>
  <c r="AF116" i="18"/>
  <c r="AF74" i="18"/>
  <c r="AG35" i="18"/>
  <c r="Y152" i="18"/>
  <c r="I38" i="43"/>
  <c r="AK27" i="43"/>
  <c r="AK26" i="43"/>
  <c r="AK13" i="43"/>
  <c r="AL13" i="43" s="1"/>
  <c r="AA13" i="43"/>
  <c r="AB13" i="43" s="1"/>
  <c r="Y27" i="43"/>
  <c r="Y26" i="43"/>
  <c r="Y21" i="43"/>
  <c r="Y20" i="43"/>
  <c r="Y19" i="43"/>
  <c r="Y18" i="43"/>
  <c r="Y17" i="43"/>
  <c r="X16" i="43"/>
  <c r="Y16" i="43" s="1"/>
  <c r="Y15" i="43"/>
  <c r="Y14" i="43"/>
  <c r="Y13" i="43"/>
  <c r="AI27" i="43"/>
  <c r="AI26" i="43"/>
  <c r="AI21" i="43"/>
  <c r="AI20" i="43"/>
  <c r="AI19" i="43"/>
  <c r="AI18" i="43"/>
  <c r="AI17" i="43"/>
  <c r="AH16" i="43"/>
  <c r="AI16" i="43" s="1"/>
  <c r="AI15" i="43"/>
  <c r="AI14" i="43"/>
  <c r="AI13" i="43"/>
  <c r="AE5" i="43"/>
  <c r="AE4" i="43"/>
  <c r="G13" i="43"/>
  <c r="O36" i="43"/>
  <c r="O37" i="43" s="1"/>
  <c r="O16" i="43"/>
  <c r="L5" i="43"/>
  <c r="L4" i="43"/>
  <c r="AG45" i="42"/>
  <c r="AG44" i="42"/>
  <c r="AG43" i="42"/>
  <c r="AG42" i="42"/>
  <c r="AG41" i="42"/>
  <c r="AG35" i="42"/>
  <c r="AG34" i="42"/>
  <c r="AG33" i="42"/>
  <c r="AG32" i="42"/>
  <c r="AG23" i="42"/>
  <c r="AG22" i="42"/>
  <c r="AG21" i="42"/>
  <c r="AG20" i="42"/>
  <c r="AG19" i="42"/>
  <c r="G32" i="42"/>
  <c r="AC115" i="18"/>
  <c r="AC114" i="18"/>
  <c r="AC113" i="18"/>
  <c r="AC112" i="18"/>
  <c r="AC110" i="18"/>
  <c r="AC109" i="18"/>
  <c r="AC41" i="18"/>
  <c r="B41" i="10"/>
  <c r="F54" i="10"/>
  <c r="F55" i="10" s="1"/>
  <c r="O60" i="39" l="1"/>
  <c r="O175" i="39"/>
  <c r="K51" i="39"/>
  <c r="M175" i="39"/>
  <c r="O51" i="39"/>
  <c r="M51" i="39"/>
  <c r="M61" i="39" s="1"/>
  <c r="M62" i="39" s="1"/>
  <c r="AK36" i="18"/>
  <c r="AK41" i="18" s="1"/>
  <c r="B52" i="10"/>
  <c r="B61" i="10" s="1"/>
  <c r="B71" i="10"/>
  <c r="B81" i="10" s="1"/>
  <c r="B92" i="10" s="1"/>
  <c r="B103" i="10" s="1"/>
  <c r="AC116" i="18"/>
  <c r="AC177" i="18" s="1"/>
  <c r="K61" i="39"/>
  <c r="K62" i="39" s="1"/>
  <c r="K102" i="39"/>
  <c r="Q32" i="42"/>
  <c r="AH32" i="42" s="1"/>
  <c r="AG36" i="18"/>
  <c r="AG41" i="18" s="1"/>
  <c r="AC13" i="43"/>
  <c r="AM13" i="43"/>
  <c r="K130" i="39" l="1"/>
  <c r="O111" i="39"/>
  <c r="M66" i="39"/>
  <c r="K115" i="39"/>
  <c r="M102" i="39"/>
  <c r="M130" i="39"/>
  <c r="K128" i="39"/>
  <c r="M67" i="39"/>
  <c r="M114" i="39"/>
  <c r="K110" i="39"/>
  <c r="M128" i="39"/>
  <c r="K129" i="39"/>
  <c r="K112" i="39"/>
  <c r="K109" i="39"/>
  <c r="M115" i="39"/>
  <c r="M109" i="39"/>
  <c r="M111" i="39"/>
  <c r="K127" i="39"/>
  <c r="K67" i="39"/>
  <c r="O61" i="39"/>
  <c r="O62" i="39" s="1"/>
  <c r="O102" i="39"/>
  <c r="K66" i="39"/>
  <c r="M126" i="39"/>
  <c r="M129" i="39"/>
  <c r="K113" i="39"/>
  <c r="M131" i="39"/>
  <c r="M110" i="39"/>
  <c r="K131" i="39"/>
  <c r="K126" i="39"/>
  <c r="K111" i="39"/>
  <c r="M127" i="39"/>
  <c r="M113" i="39"/>
  <c r="M112" i="39"/>
  <c r="AK60" i="18"/>
  <c r="AK175" i="18"/>
  <c r="K114" i="39"/>
  <c r="AI32" i="42"/>
  <c r="Y32" i="42"/>
  <c r="Z32" i="42" s="1"/>
  <c r="AG60" i="18"/>
  <c r="AG175" i="18"/>
  <c r="Y34" i="15"/>
  <c r="K132" i="39" l="1"/>
  <c r="K145" i="39" s="1"/>
  <c r="K147" i="39" s="1"/>
  <c r="K178" i="39" s="1"/>
  <c r="O116" i="39"/>
  <c r="O177" i="39" s="1"/>
  <c r="O132" i="39"/>
  <c r="O145" i="39" s="1"/>
  <c r="O147" i="39" s="1"/>
  <c r="O178" i="39" s="1"/>
  <c r="M132" i="39"/>
  <c r="M145" i="39" s="1"/>
  <c r="M147" i="39" s="1"/>
  <c r="M178" i="39" s="1"/>
  <c r="K116" i="39"/>
  <c r="K177" i="39" s="1"/>
  <c r="M116" i="39"/>
  <c r="M177" i="39" s="1"/>
  <c r="AE35" i="38"/>
  <c r="Z166" i="37"/>
  <c r="AB166" i="37" s="1"/>
  <c r="AD166" i="37" s="1"/>
  <c r="Z133" i="37"/>
  <c r="AB133" i="37" s="1"/>
  <c r="AD133" i="37" s="1"/>
  <c r="Z134" i="37"/>
  <c r="AB134" i="37" s="1"/>
  <c r="AD134" i="37" s="1"/>
  <c r="Z135" i="37"/>
  <c r="AB135" i="37" s="1"/>
  <c r="AD135" i="37" s="1"/>
  <c r="Z136" i="37"/>
  <c r="AB136" i="37" s="1"/>
  <c r="AD136" i="37" s="1"/>
  <c r="Z137" i="37"/>
  <c r="AB137" i="37" s="1"/>
  <c r="AD137" i="37" s="1"/>
  <c r="Z138" i="37"/>
  <c r="AB138" i="37" s="1"/>
  <c r="AD138" i="37" s="1"/>
  <c r="Z139" i="37"/>
  <c r="AB139" i="37" s="1"/>
  <c r="AD139" i="37" s="1"/>
  <c r="Z140" i="37"/>
  <c r="AB140" i="37" s="1"/>
  <c r="AD140" i="37" s="1"/>
  <c r="Z141" i="37"/>
  <c r="AB141" i="37" s="1"/>
  <c r="AD141" i="37" s="1"/>
  <c r="Z142" i="37"/>
  <c r="AB142" i="37" s="1"/>
  <c r="AD142" i="37" s="1"/>
  <c r="Z88" i="37"/>
  <c r="AB88" i="37" s="1"/>
  <c r="AD88" i="37" s="1"/>
  <c r="Z89" i="37"/>
  <c r="AB89" i="37" s="1"/>
  <c r="Z91" i="37"/>
  <c r="AB91" i="37" s="1"/>
  <c r="W167" i="37"/>
  <c r="Z153" i="37"/>
  <c r="X153" i="37"/>
  <c r="W116" i="37"/>
  <c r="X90" i="37"/>
  <c r="Z90" i="37" s="1"/>
  <c r="AB90" i="37" s="1"/>
  <c r="W74" i="37"/>
  <c r="AE91" i="18"/>
  <c r="AE90" i="18"/>
  <c r="AE87" i="18"/>
  <c r="AE51" i="13"/>
  <c r="AE87" i="38" s="1"/>
  <c r="AG87" i="38" s="1"/>
  <c r="AI87" i="38" s="1"/>
  <c r="AD51" i="13"/>
  <c r="AE52" i="13" s="1"/>
  <c r="AE47" i="13"/>
  <c r="X86" i="37" s="1"/>
  <c r="Z86" i="37" s="1"/>
  <c r="AB86" i="37" s="1"/>
  <c r="AE46" i="13"/>
  <c r="AE86" i="38" s="1"/>
  <c r="AG86" i="38" s="1"/>
  <c r="AI86" i="38" s="1"/>
  <c r="AD40" i="13"/>
  <c r="AE40" i="13" s="1"/>
  <c r="AH167" i="18"/>
  <c r="AH116" i="18"/>
  <c r="AH74" i="18"/>
  <c r="F29" i="39"/>
  <c r="P53" i="42"/>
  <c r="P45" i="42"/>
  <c r="P44" i="42"/>
  <c r="P43" i="42"/>
  <c r="P42" i="42"/>
  <c r="P41" i="42"/>
  <c r="P35" i="42"/>
  <c r="P34" i="42"/>
  <c r="P33" i="42"/>
  <c r="P32" i="42"/>
  <c r="P18" i="42"/>
  <c r="AD74" i="18"/>
  <c r="U20" i="15"/>
  <c r="U51" i="15"/>
  <c r="U38" i="15"/>
  <c r="U13" i="15"/>
  <c r="A2" i="10"/>
  <c r="AD167" i="18"/>
  <c r="AD116" i="18"/>
  <c r="AE89" i="18"/>
  <c r="AE88" i="18"/>
  <c r="AI88" i="18" s="1"/>
  <c r="J29" i="39" l="1"/>
  <c r="H29" i="39"/>
  <c r="J68" i="39"/>
  <c r="AD68" i="38"/>
  <c r="AD74" i="38" s="1"/>
  <c r="U26" i="15"/>
  <c r="K87" i="39"/>
  <c r="M87" i="39" s="1"/>
  <c r="X87" i="37"/>
  <c r="Z87" i="37" s="1"/>
  <c r="AB87" i="37" s="1"/>
  <c r="K86" i="39"/>
  <c r="M86" i="39" s="1"/>
  <c r="AG49" i="13"/>
  <c r="AE86" i="18"/>
  <c r="AI86" i="18" s="1"/>
  <c r="AI87" i="18"/>
  <c r="AG87" i="18"/>
  <c r="U54" i="15"/>
  <c r="AG35" i="38"/>
  <c r="AI35" i="38" s="1"/>
  <c r="AE36" i="38"/>
  <c r="AK36" i="38" l="1"/>
  <c r="L68" i="39"/>
  <c r="K68" i="39"/>
  <c r="AG86" i="18"/>
  <c r="AI36" i="38"/>
  <c r="AE38" i="38"/>
  <c r="AG38" i="38" s="1"/>
  <c r="AI38" i="38" s="1"/>
  <c r="AG36" i="38"/>
  <c r="M68" i="39" l="1"/>
  <c r="AK41" i="38"/>
  <c r="AK175" i="38" s="1"/>
  <c r="AI41" i="38"/>
  <c r="AG41" i="38"/>
  <c r="AG60" i="38" s="1"/>
  <c r="AE41" i="38"/>
  <c r="AG175" i="38"/>
  <c r="T40" i="13"/>
  <c r="V40" i="13" s="1"/>
  <c r="W40" i="13" s="1"/>
  <c r="T37" i="13"/>
  <c r="T36" i="13"/>
  <c r="T35" i="13"/>
  <c r="U59" i="13"/>
  <c r="H66" i="34"/>
  <c r="F65" i="34"/>
  <c r="F63" i="34"/>
  <c r="F62" i="34"/>
  <c r="F61" i="34"/>
  <c r="A41" i="34"/>
  <c r="A40" i="34"/>
  <c r="A39" i="34"/>
  <c r="A38" i="34"/>
  <c r="H77" i="34"/>
  <c r="H75" i="34"/>
  <c r="H72" i="34"/>
  <c r="F64" i="34"/>
  <c r="E26" i="43"/>
  <c r="AK60" i="38" l="1"/>
  <c r="AK51" i="38"/>
  <c r="AG49" i="38"/>
  <c r="AI49" i="38"/>
  <c r="AI51" i="38" s="1"/>
  <c r="AG50" i="38"/>
  <c r="AI50" i="38"/>
  <c r="AE49" i="38"/>
  <c r="AE175" i="38"/>
  <c r="AE50" i="38"/>
  <c r="AE60" i="38"/>
  <c r="AI60" i="38"/>
  <c r="AI175" i="38"/>
  <c r="H76" i="34"/>
  <c r="H73" i="34"/>
  <c r="AK102" i="38" l="1"/>
  <c r="AK61" i="38"/>
  <c r="AK62" i="38" s="1"/>
  <c r="AE51" i="38"/>
  <c r="AE102" i="38" s="1"/>
  <c r="AI61" i="38"/>
  <c r="AI62" i="38" s="1"/>
  <c r="AI102" i="38"/>
  <c r="AG51" i="38"/>
  <c r="E27" i="43"/>
  <c r="E21" i="43"/>
  <c r="E20" i="43"/>
  <c r="E19" i="43"/>
  <c r="E18" i="43"/>
  <c r="E17" i="43"/>
  <c r="E15" i="43"/>
  <c r="E14" i="43"/>
  <c r="E13" i="43"/>
  <c r="F16" i="44"/>
  <c r="B16" i="44"/>
  <c r="B15" i="44"/>
  <c r="F14" i="44"/>
  <c r="E14" i="44"/>
  <c r="E18" i="44" s="1"/>
  <c r="B14" i="44"/>
  <c r="F7" i="44"/>
  <c r="E7" i="44"/>
  <c r="B7" i="44"/>
  <c r="F6" i="44"/>
  <c r="E6" i="44"/>
  <c r="B6" i="44"/>
  <c r="F5" i="44"/>
  <c r="E5" i="44"/>
  <c r="B5" i="44"/>
  <c r="F43" i="10"/>
  <c r="G27" i="43"/>
  <c r="G26" i="43"/>
  <c r="Q26" i="43" s="1"/>
  <c r="AA26" i="43" s="1"/>
  <c r="AB26" i="43" s="1"/>
  <c r="AC26" i="43" s="1"/>
  <c r="G21" i="43"/>
  <c r="Q21" i="43" s="1"/>
  <c r="AA21" i="43" s="1"/>
  <c r="AB21" i="43" s="1"/>
  <c r="AC21" i="43" s="1"/>
  <c r="G20" i="43"/>
  <c r="G19" i="43"/>
  <c r="G18" i="43"/>
  <c r="G17" i="43"/>
  <c r="G16" i="43"/>
  <c r="D16" i="43"/>
  <c r="E16" i="43" s="1"/>
  <c r="G15" i="43"/>
  <c r="G14" i="43"/>
  <c r="AA14" i="43" s="1"/>
  <c r="AB14" i="43" s="1"/>
  <c r="AC14" i="43" s="1"/>
  <c r="A5" i="43"/>
  <c r="A4" i="43"/>
  <c r="A3" i="43"/>
  <c r="L3" i="43" s="1"/>
  <c r="AE3" i="43" s="1"/>
  <c r="A2" i="43"/>
  <c r="L2" i="43" s="1"/>
  <c r="AE2" i="43" s="1"/>
  <c r="F42" i="42"/>
  <c r="F43" i="42"/>
  <c r="F44" i="42"/>
  <c r="F45" i="42"/>
  <c r="F41" i="42"/>
  <c r="F33" i="42"/>
  <c r="F34" i="42"/>
  <c r="F35" i="42"/>
  <c r="F32" i="42"/>
  <c r="F16" i="42"/>
  <c r="F17" i="42"/>
  <c r="F18" i="42"/>
  <c r="F19" i="42"/>
  <c r="F20" i="42"/>
  <c r="F21" i="42"/>
  <c r="F22" i="42"/>
  <c r="F23" i="42"/>
  <c r="F15" i="42"/>
  <c r="G52" i="42"/>
  <c r="G45" i="42"/>
  <c r="G44" i="42"/>
  <c r="G43" i="42"/>
  <c r="G42" i="42"/>
  <c r="G41" i="42"/>
  <c r="G35" i="42"/>
  <c r="G34" i="42"/>
  <c r="G33" i="42"/>
  <c r="R32" i="42"/>
  <c r="G23" i="42"/>
  <c r="G22" i="42"/>
  <c r="G21" i="42"/>
  <c r="G20" i="42"/>
  <c r="G19" i="42"/>
  <c r="G18" i="42"/>
  <c r="G17" i="42"/>
  <c r="G16" i="42"/>
  <c r="G15" i="42"/>
  <c r="A5" i="42"/>
  <c r="A4" i="42"/>
  <c r="A3" i="42"/>
  <c r="A2" i="42"/>
  <c r="A59" i="21"/>
  <c r="A58" i="21"/>
  <c r="A57" i="21"/>
  <c r="A56" i="21"/>
  <c r="G106" i="21"/>
  <c r="G99" i="21"/>
  <c r="F99" i="21"/>
  <c r="G98" i="21"/>
  <c r="F98" i="21"/>
  <c r="G97" i="21"/>
  <c r="H97" i="21" s="1"/>
  <c r="F97" i="21"/>
  <c r="G96" i="21"/>
  <c r="F96" i="21"/>
  <c r="G95" i="21"/>
  <c r="H95" i="21" s="1"/>
  <c r="F95" i="21"/>
  <c r="G89" i="21"/>
  <c r="F89" i="21"/>
  <c r="G88" i="21"/>
  <c r="F88" i="21"/>
  <c r="G87" i="21"/>
  <c r="F87" i="21"/>
  <c r="G86" i="21"/>
  <c r="F86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H72" i="21" s="1"/>
  <c r="G71" i="21"/>
  <c r="F71" i="21"/>
  <c r="G70" i="21"/>
  <c r="F70" i="21"/>
  <c r="H70" i="21" s="1"/>
  <c r="G69" i="21"/>
  <c r="F69" i="21"/>
  <c r="B23" i="10"/>
  <c r="E23" i="10"/>
  <c r="E33" i="10"/>
  <c r="O165" i="37"/>
  <c r="O164" i="37"/>
  <c r="O163" i="37"/>
  <c r="O161" i="37"/>
  <c r="O160" i="37"/>
  <c r="O131" i="37"/>
  <c r="O126" i="37"/>
  <c r="O116" i="37"/>
  <c r="O94" i="37"/>
  <c r="O93" i="37"/>
  <c r="O92" i="37"/>
  <c r="O91" i="37"/>
  <c r="O90" i="37"/>
  <c r="O89" i="37"/>
  <c r="O88" i="37"/>
  <c r="O87" i="37"/>
  <c r="O86" i="37"/>
  <c r="O84" i="37"/>
  <c r="O73" i="37"/>
  <c r="O72" i="37"/>
  <c r="O71" i="37"/>
  <c r="O70" i="37"/>
  <c r="O69" i="37"/>
  <c r="O67" i="37"/>
  <c r="O66" i="37"/>
  <c r="O50" i="37"/>
  <c r="O49" i="37"/>
  <c r="V29" i="18"/>
  <c r="V27" i="18"/>
  <c r="V26" i="18"/>
  <c r="X29" i="38"/>
  <c r="AD29" i="38" s="1"/>
  <c r="X28" i="38"/>
  <c r="X27" i="38"/>
  <c r="AD27" i="38" s="1"/>
  <c r="X26" i="38"/>
  <c r="AD26" i="38" s="1"/>
  <c r="V29" i="38"/>
  <c r="V28" i="38"/>
  <c r="V27" i="38"/>
  <c r="V26" i="38"/>
  <c r="N29" i="38"/>
  <c r="L165" i="37"/>
  <c r="L164" i="37"/>
  <c r="L163" i="37"/>
  <c r="L161" i="37"/>
  <c r="L160" i="37"/>
  <c r="L131" i="37"/>
  <c r="L126" i="37"/>
  <c r="L85" i="37"/>
  <c r="L94" i="37"/>
  <c r="L93" i="37"/>
  <c r="L92" i="37"/>
  <c r="L91" i="37"/>
  <c r="L90" i="37"/>
  <c r="L89" i="37"/>
  <c r="L88" i="37"/>
  <c r="L87" i="37"/>
  <c r="L86" i="37"/>
  <c r="L84" i="37"/>
  <c r="L73" i="37"/>
  <c r="L72" i="37"/>
  <c r="L71" i="37"/>
  <c r="L70" i="37"/>
  <c r="L69" i="37"/>
  <c r="L67" i="37"/>
  <c r="L66" i="37"/>
  <c r="L50" i="37"/>
  <c r="L49" i="37"/>
  <c r="AE61" i="38" l="1"/>
  <c r="AE62" i="38" s="1"/>
  <c r="AG61" i="38"/>
  <c r="AG62" i="38" s="1"/>
  <c r="AG102" i="38"/>
  <c r="AI66" i="38"/>
  <c r="AE127" i="38"/>
  <c r="AG69" i="38"/>
  <c r="AI71" i="38"/>
  <c r="AE130" i="38"/>
  <c r="AE109" i="38"/>
  <c r="AG109" i="38" s="1"/>
  <c r="AG71" i="38"/>
  <c r="AI73" i="38"/>
  <c r="AE128" i="38"/>
  <c r="AE114" i="38"/>
  <c r="AG114" i="38" s="1"/>
  <c r="AI114" i="38" s="1"/>
  <c r="AG68" i="38"/>
  <c r="AE112" i="38"/>
  <c r="AG112" i="38" s="1"/>
  <c r="AI112" i="38" s="1"/>
  <c r="AG66" i="38"/>
  <c r="AE126" i="38"/>
  <c r="AE110" i="38"/>
  <c r="AG110" i="38" s="1"/>
  <c r="AI110" i="38" s="1"/>
  <c r="AG72" i="38"/>
  <c r="AE115" i="38"/>
  <c r="AG115" i="38" s="1"/>
  <c r="AI115" i="38" s="1"/>
  <c r="AI72" i="38"/>
  <c r="AE129" i="38"/>
  <c r="AE113" i="38"/>
  <c r="AG113" i="38" s="1"/>
  <c r="AI113" i="38" s="1"/>
  <c r="AG67" i="38"/>
  <c r="AG70" i="38"/>
  <c r="AI70" i="38"/>
  <c r="AE131" i="38"/>
  <c r="AE111" i="38"/>
  <c r="AG111" i="38" s="1"/>
  <c r="AI111" i="38" s="1"/>
  <c r="AK111" i="38" s="1"/>
  <c r="AG73" i="38"/>
  <c r="AI69" i="38"/>
  <c r="AI68" i="38"/>
  <c r="AI67" i="38"/>
  <c r="Q15" i="42"/>
  <c r="Q22" i="42"/>
  <c r="Q43" i="42"/>
  <c r="Q21" i="42"/>
  <c r="Q42" i="42"/>
  <c r="Q23" i="42"/>
  <c r="Q44" i="42"/>
  <c r="R44" i="42" s="1"/>
  <c r="Q17" i="42"/>
  <c r="Q33" i="42"/>
  <c r="Q16" i="42"/>
  <c r="Q45" i="42"/>
  <c r="Q18" i="42"/>
  <c r="Q34" i="42"/>
  <c r="Q19" i="42"/>
  <c r="Q35" i="42"/>
  <c r="Q20" i="42"/>
  <c r="Q41" i="42"/>
  <c r="H15" i="43"/>
  <c r="I15" i="43" s="1"/>
  <c r="H17" i="43"/>
  <c r="I17" i="43" s="1"/>
  <c r="Q15" i="43"/>
  <c r="AA15" i="43" s="1"/>
  <c r="AB15" i="43" s="1"/>
  <c r="AC15" i="43" s="1"/>
  <c r="AL26" i="43"/>
  <c r="AM26" i="43" s="1"/>
  <c r="R26" i="43"/>
  <c r="Q19" i="43"/>
  <c r="AA19" i="43" s="1"/>
  <c r="AB19" i="43" s="1"/>
  <c r="AC19" i="43" s="1"/>
  <c r="Q20" i="43"/>
  <c r="AA20" i="43" s="1"/>
  <c r="AB20" i="43" s="1"/>
  <c r="AC20" i="43" s="1"/>
  <c r="AC22" i="43" s="1"/>
  <c r="AC24" i="43" s="1"/>
  <c r="AK14" i="43"/>
  <c r="AL14" i="43" s="1"/>
  <c r="AM14" i="43" s="1"/>
  <c r="S14" i="43"/>
  <c r="Q16" i="43"/>
  <c r="AA16" i="43" s="1"/>
  <c r="AB16" i="43" s="1"/>
  <c r="AC16" i="43" s="1"/>
  <c r="AK21" i="43"/>
  <c r="AL21" i="43" s="1"/>
  <c r="AM21" i="43" s="1"/>
  <c r="R21" i="43"/>
  <c r="S21" i="43" s="1"/>
  <c r="Q17" i="43"/>
  <c r="AA17" i="43" s="1"/>
  <c r="AB17" i="43" s="1"/>
  <c r="AC17" i="43" s="1"/>
  <c r="Q18" i="43"/>
  <c r="AA18" i="43" s="1"/>
  <c r="AB18" i="43" s="1"/>
  <c r="AC18" i="43" s="1"/>
  <c r="H27" i="43"/>
  <c r="I27" i="43" s="1"/>
  <c r="Q27" i="43"/>
  <c r="AA27" i="43" s="1"/>
  <c r="AB27" i="43" s="1"/>
  <c r="AC27" i="43" s="1"/>
  <c r="AC28" i="43" s="1"/>
  <c r="AC30" i="43" s="1"/>
  <c r="H26" i="43"/>
  <c r="I26" i="43" s="1"/>
  <c r="H20" i="43"/>
  <c r="I20" i="43" s="1"/>
  <c r="H19" i="43"/>
  <c r="I19" i="43" s="1"/>
  <c r="H21" i="43"/>
  <c r="I21" i="43" s="1"/>
  <c r="H18" i="43"/>
  <c r="I18" i="43" s="1"/>
  <c r="H16" i="43"/>
  <c r="I16" i="43" s="1"/>
  <c r="F18" i="44"/>
  <c r="E8" i="44"/>
  <c r="F8" i="44"/>
  <c r="H19" i="42"/>
  <c r="H21" i="42"/>
  <c r="H22" i="42"/>
  <c r="H17" i="42"/>
  <c r="H16" i="42"/>
  <c r="H41" i="42"/>
  <c r="H42" i="42"/>
  <c r="H18" i="42"/>
  <c r="H35" i="42"/>
  <c r="H20" i="42"/>
  <c r="H45" i="42"/>
  <c r="H23" i="42"/>
  <c r="H43" i="42"/>
  <c r="H33" i="42"/>
  <c r="H34" i="42"/>
  <c r="H32" i="42"/>
  <c r="H44" i="42"/>
  <c r="H99" i="21"/>
  <c r="H88" i="21"/>
  <c r="H89" i="21"/>
  <c r="H86" i="21"/>
  <c r="H73" i="21"/>
  <c r="H74" i="21"/>
  <c r="H75" i="21"/>
  <c r="H69" i="21"/>
  <c r="H78" i="21" s="1"/>
  <c r="H79" i="21" s="1"/>
  <c r="H77" i="21"/>
  <c r="H98" i="21"/>
  <c r="H100" i="21" s="1"/>
  <c r="H101" i="21" s="1"/>
  <c r="H105" i="21" s="1"/>
  <c r="H71" i="21"/>
  <c r="H87" i="21"/>
  <c r="H76" i="21"/>
  <c r="H96" i="21"/>
  <c r="O167" i="37"/>
  <c r="O74" i="37"/>
  <c r="O51" i="37"/>
  <c r="L167" i="37"/>
  <c r="L116" i="37"/>
  <c r="L74" i="37"/>
  <c r="L51" i="37"/>
  <c r="AK131" i="38" l="1"/>
  <c r="AG74" i="38"/>
  <c r="AG103" i="38" s="1"/>
  <c r="AE70" i="38"/>
  <c r="AE66" i="38"/>
  <c r="AE73" i="38"/>
  <c r="AE67" i="38"/>
  <c r="AE69" i="38"/>
  <c r="AE72" i="38"/>
  <c r="AE71" i="38"/>
  <c r="AE68" i="38"/>
  <c r="AI74" i="38"/>
  <c r="AI103" i="38" s="1"/>
  <c r="AE132" i="38"/>
  <c r="AE145" i="38" s="1"/>
  <c r="AI109" i="38"/>
  <c r="AG116" i="38"/>
  <c r="AG177" i="38" s="1"/>
  <c r="AI129" i="38"/>
  <c r="AG128" i="38"/>
  <c r="AI126" i="38"/>
  <c r="AI131" i="38"/>
  <c r="AI128" i="38"/>
  <c r="AG129" i="38"/>
  <c r="AI130" i="38"/>
  <c r="AG127" i="38"/>
  <c r="AI127" i="38"/>
  <c r="AG130" i="38"/>
  <c r="AG131" i="38"/>
  <c r="AG126" i="38"/>
  <c r="AH20" i="42"/>
  <c r="AI20" i="42" s="1"/>
  <c r="Y20" i="42"/>
  <c r="AH17" i="42"/>
  <c r="Y17" i="42"/>
  <c r="Y19" i="42"/>
  <c r="AH19" i="42"/>
  <c r="AI19" i="42" s="1"/>
  <c r="AH18" i="42"/>
  <c r="AI18" i="42" s="1"/>
  <c r="Y18" i="42"/>
  <c r="Z18" i="42" s="1"/>
  <c r="AH21" i="42"/>
  <c r="AI21" i="42" s="1"/>
  <c r="Y21" i="42"/>
  <c r="H24" i="42"/>
  <c r="H25" i="42" s="1"/>
  <c r="Y23" i="42"/>
  <c r="AH23" i="42"/>
  <c r="AI23" i="42" s="1"/>
  <c r="Y16" i="42"/>
  <c r="Z16" i="42" s="1"/>
  <c r="AH16" i="42"/>
  <c r="AI16" i="42" s="1"/>
  <c r="AH22" i="42"/>
  <c r="AI22" i="42" s="1"/>
  <c r="Y22" i="42"/>
  <c r="Z22" i="42" s="1"/>
  <c r="R15" i="42"/>
  <c r="Y15" i="42"/>
  <c r="Z15" i="42" s="1"/>
  <c r="AH15" i="42"/>
  <c r="AG152" i="38"/>
  <c r="AG152" i="18"/>
  <c r="AG153" i="18" s="1"/>
  <c r="AH34" i="42"/>
  <c r="AI34" i="42" s="1"/>
  <c r="Y34" i="42"/>
  <c r="Z34" i="42" s="1"/>
  <c r="AH45" i="42"/>
  <c r="AI45" i="42" s="1"/>
  <c r="Y45" i="42"/>
  <c r="Z45" i="42" s="1"/>
  <c r="AH42" i="42"/>
  <c r="AI42" i="42" s="1"/>
  <c r="Y42" i="42"/>
  <c r="Z42" i="42" s="1"/>
  <c r="AH41" i="42"/>
  <c r="AI41" i="42" s="1"/>
  <c r="Y41" i="42"/>
  <c r="Z41" i="42" s="1"/>
  <c r="AH33" i="42"/>
  <c r="AI33" i="42" s="1"/>
  <c r="Y33" i="42"/>
  <c r="Z33" i="42" s="1"/>
  <c r="AH43" i="42"/>
  <c r="AI43" i="42" s="1"/>
  <c r="Y43" i="42"/>
  <c r="Z43" i="42" s="1"/>
  <c r="AH35" i="42"/>
  <c r="AI35" i="42" s="1"/>
  <c r="Y35" i="42"/>
  <c r="Z35" i="42" s="1"/>
  <c r="AH44" i="42"/>
  <c r="AI44" i="42" s="1"/>
  <c r="Y44" i="42"/>
  <c r="Z44" i="42" s="1"/>
  <c r="Z21" i="42"/>
  <c r="R21" i="42"/>
  <c r="Z20" i="42"/>
  <c r="AI17" i="42"/>
  <c r="Z17" i="42"/>
  <c r="Z19" i="42"/>
  <c r="Z23" i="42"/>
  <c r="AI15" i="42"/>
  <c r="R45" i="42"/>
  <c r="R35" i="42"/>
  <c r="R20" i="42"/>
  <c r="R18" i="42"/>
  <c r="R17" i="42"/>
  <c r="R42" i="42"/>
  <c r="R19" i="42"/>
  <c r="R16" i="42"/>
  <c r="R23" i="42"/>
  <c r="R43" i="42"/>
  <c r="R41" i="42"/>
  <c r="R34" i="42"/>
  <c r="R33" i="42"/>
  <c r="R22" i="42"/>
  <c r="I28" i="43"/>
  <c r="I30" i="43" s="1"/>
  <c r="G152" i="39" s="1"/>
  <c r="G153" i="39" s="1"/>
  <c r="R27" i="43"/>
  <c r="S27" i="43" s="1"/>
  <c r="AL27" i="43"/>
  <c r="AM27" i="43" s="1"/>
  <c r="AM28" i="43" s="1"/>
  <c r="AM30" i="43" s="1"/>
  <c r="AK16" i="43"/>
  <c r="AL16" i="43" s="1"/>
  <c r="AM16" i="43" s="1"/>
  <c r="S16" i="43"/>
  <c r="AK20" i="43"/>
  <c r="AL20" i="43" s="1"/>
  <c r="AM20" i="43" s="1"/>
  <c r="R20" i="43"/>
  <c r="S20" i="43" s="1"/>
  <c r="AK18" i="43"/>
  <c r="AL18" i="43" s="1"/>
  <c r="AM18" i="43" s="1"/>
  <c r="R18" i="43"/>
  <c r="S18" i="43" s="1"/>
  <c r="AK15" i="43"/>
  <c r="AL15" i="43" s="1"/>
  <c r="AM15" i="43" s="1"/>
  <c r="R15" i="43"/>
  <c r="S15" i="43" s="1"/>
  <c r="R19" i="43"/>
  <c r="S19" i="43" s="1"/>
  <c r="AK19" i="43"/>
  <c r="AL19" i="43" s="1"/>
  <c r="AM19" i="43" s="1"/>
  <c r="AK17" i="43"/>
  <c r="AL17" i="43" s="1"/>
  <c r="AM17" i="43" s="1"/>
  <c r="R17" i="43"/>
  <c r="S17" i="43" s="1"/>
  <c r="S26" i="43"/>
  <c r="H90" i="21"/>
  <c r="H91" i="21" s="1"/>
  <c r="H104" i="21" s="1"/>
  <c r="Q152" i="37"/>
  <c r="Q153" i="37" s="1"/>
  <c r="I22" i="43"/>
  <c r="H36" i="42"/>
  <c r="H37" i="42" s="1"/>
  <c r="H50" i="42" s="1"/>
  <c r="H46" i="42"/>
  <c r="H47" i="42" s="1"/>
  <c r="H51" i="42" s="1"/>
  <c r="H106" i="21"/>
  <c r="AK74" i="38" l="1"/>
  <c r="AK103" i="38" s="1"/>
  <c r="AI116" i="38"/>
  <c r="AI177" i="38" s="1"/>
  <c r="AK116" i="38"/>
  <c r="AK177" i="38" s="1"/>
  <c r="AK132" i="38"/>
  <c r="AA151" i="38"/>
  <c r="AA155" i="38" s="1"/>
  <c r="AA179" i="38" s="1"/>
  <c r="AA151" i="18"/>
  <c r="AA155" i="18" s="1"/>
  <c r="AA179" i="18" s="1"/>
  <c r="AI132" i="38"/>
  <c r="AE147" i="38"/>
  <c r="AE178" i="38" s="1"/>
  <c r="AG145" i="38"/>
  <c r="AG132" i="38"/>
  <c r="H52" i="42"/>
  <c r="AI36" i="42"/>
  <c r="AI24" i="42"/>
  <c r="Z24" i="42"/>
  <c r="Z25" i="42" s="1"/>
  <c r="R24" i="42"/>
  <c r="AG153" i="38"/>
  <c r="Z46" i="42"/>
  <c r="Z47" i="42" s="1"/>
  <c r="Y52" i="42" s="1"/>
  <c r="AI46" i="42"/>
  <c r="Z36" i="42"/>
  <c r="Z37" i="42" s="1"/>
  <c r="Y51" i="42" s="1"/>
  <c r="R36" i="42"/>
  <c r="R46" i="42"/>
  <c r="R47" i="42" s="1"/>
  <c r="Q52" i="42" s="1"/>
  <c r="S22" i="43"/>
  <c r="S24" i="43" s="1"/>
  <c r="AM22" i="43"/>
  <c r="AM24" i="43" s="1"/>
  <c r="S28" i="43"/>
  <c r="S30" i="43" s="1"/>
  <c r="AI47" i="42" l="1"/>
  <c r="AH52" i="42" s="1"/>
  <c r="AI37" i="42"/>
  <c r="AH51" i="42" s="1"/>
  <c r="T151" i="37"/>
  <c r="T155" i="37" s="1"/>
  <c r="T179" i="37" s="1"/>
  <c r="I151" i="39"/>
  <c r="I155" i="39" s="1"/>
  <c r="I179" i="39" s="1"/>
  <c r="AI25" i="42"/>
  <c r="AI151" i="38" s="1"/>
  <c r="AG147" i="38"/>
  <c r="AG178" i="38" s="1"/>
  <c r="AI145" i="38"/>
  <c r="R25" i="42"/>
  <c r="AC151" i="38" s="1"/>
  <c r="AE151" i="38" s="1"/>
  <c r="AG151" i="38"/>
  <c r="AG155" i="38" s="1"/>
  <c r="AG179" i="38" s="1"/>
  <c r="AG155" i="18"/>
  <c r="AG179" i="18" s="1"/>
  <c r="AC152" i="38"/>
  <c r="AI152" i="38"/>
  <c r="AI152" i="18"/>
  <c r="AI153" i="18" s="1"/>
  <c r="Y53" i="42"/>
  <c r="R37" i="42"/>
  <c r="Q155" i="37"/>
  <c r="I165" i="37"/>
  <c r="I164" i="37"/>
  <c r="I163" i="37"/>
  <c r="I161" i="37"/>
  <c r="I160" i="37"/>
  <c r="I131" i="37"/>
  <c r="I126" i="37"/>
  <c r="I85" i="37"/>
  <c r="I94" i="37"/>
  <c r="I93" i="37"/>
  <c r="I92" i="37"/>
  <c r="I91" i="37"/>
  <c r="I90" i="37"/>
  <c r="I89" i="37"/>
  <c r="I88" i="37"/>
  <c r="I87" i="37"/>
  <c r="I86" i="37"/>
  <c r="I84" i="37"/>
  <c r="I73" i="37"/>
  <c r="I72" i="37"/>
  <c r="I71" i="37"/>
  <c r="I70" i="37"/>
  <c r="I69" i="37"/>
  <c r="I67" i="37"/>
  <c r="I66" i="37"/>
  <c r="I50" i="37"/>
  <c r="I49" i="37"/>
  <c r="AI147" i="38" l="1"/>
  <c r="AI178" i="38" s="1"/>
  <c r="AK147" i="38"/>
  <c r="AK178" i="38" s="1"/>
  <c r="AB151" i="37"/>
  <c r="AB155" i="37" s="1"/>
  <c r="AB179" i="37" s="1"/>
  <c r="AI151" i="18"/>
  <c r="AI155" i="18" s="1"/>
  <c r="AI179" i="18" s="1"/>
  <c r="Z151" i="37"/>
  <c r="Z155" i="37" s="1"/>
  <c r="Z179" i="37" s="1"/>
  <c r="AC151" i="18"/>
  <c r="AC153" i="18"/>
  <c r="AE152" i="18"/>
  <c r="AE153" i="18" s="1"/>
  <c r="AC153" i="38"/>
  <c r="AC155" i="38" s="1"/>
  <c r="AC179" i="38" s="1"/>
  <c r="AE152" i="38"/>
  <c r="AI153" i="38"/>
  <c r="AI155" i="38" s="1"/>
  <c r="AI179" i="38" s="1"/>
  <c r="Q51" i="42"/>
  <c r="Q53" i="42" s="1"/>
  <c r="V151" i="37" s="1"/>
  <c r="AE151" i="18"/>
  <c r="I167" i="37"/>
  <c r="I74" i="37"/>
  <c r="I51" i="37"/>
  <c r="AC155" i="18" l="1"/>
  <c r="AC179" i="18" s="1"/>
  <c r="AC180" i="18" s="1"/>
  <c r="AC160" i="18" s="1"/>
  <c r="AC161" i="18" s="1"/>
  <c r="X151" i="37"/>
  <c r="X155" i="37" s="1"/>
  <c r="X179" i="37" s="1"/>
  <c r="V155" i="37"/>
  <c r="V179" i="37" s="1"/>
  <c r="AE153" i="38"/>
  <c r="AE155" i="38" s="1"/>
  <c r="AE179" i="38" s="1"/>
  <c r="AE155" i="18"/>
  <c r="AE179" i="18" s="1"/>
  <c r="J146" i="37"/>
  <c r="A1" i="37"/>
  <c r="A2" i="37"/>
  <c r="A5" i="37"/>
  <c r="A6" i="37"/>
  <c r="A8" i="37"/>
  <c r="C12" i="37"/>
  <c r="C13" i="37"/>
  <c r="A14" i="37"/>
  <c r="F17" i="37"/>
  <c r="F18" i="37"/>
  <c r="F19" i="37"/>
  <c r="A23" i="37"/>
  <c r="C23" i="37"/>
  <c r="E84" i="37" s="1"/>
  <c r="D23" i="37"/>
  <c r="E23" i="37"/>
  <c r="F23" i="37"/>
  <c r="F26" i="37"/>
  <c r="F27" i="37"/>
  <c r="F28" i="37"/>
  <c r="F29" i="37"/>
  <c r="B94" i="37" s="1"/>
  <c r="F30" i="37"/>
  <c r="F31" i="37"/>
  <c r="B36" i="37"/>
  <c r="F36" i="37"/>
  <c r="F38" i="37"/>
  <c r="B49" i="37"/>
  <c r="F49" i="37"/>
  <c r="B50" i="37"/>
  <c r="F50" i="37"/>
  <c r="B60" i="37"/>
  <c r="B61" i="37"/>
  <c r="B66" i="37"/>
  <c r="F66" i="37"/>
  <c r="B67" i="37"/>
  <c r="F67" i="37"/>
  <c r="B68" i="37"/>
  <c r="B69" i="37"/>
  <c r="F69" i="37"/>
  <c r="B70" i="37"/>
  <c r="F70" i="37"/>
  <c r="B71" i="37"/>
  <c r="F71" i="37"/>
  <c r="B72" i="37"/>
  <c r="F72" i="37"/>
  <c r="B73" i="37"/>
  <c r="F73" i="37"/>
  <c r="B85" i="37"/>
  <c r="F85" i="37"/>
  <c r="F86" i="37"/>
  <c r="F88" i="37"/>
  <c r="F89" i="37"/>
  <c r="F90" i="37"/>
  <c r="G90" i="37" s="1"/>
  <c r="F91" i="37"/>
  <c r="F92" i="37"/>
  <c r="G92" i="37" s="1"/>
  <c r="F93" i="37"/>
  <c r="G93" i="37" s="1"/>
  <c r="F94" i="37"/>
  <c r="G94" i="37" s="1"/>
  <c r="B102" i="37"/>
  <c r="B103" i="37"/>
  <c r="B104" i="37"/>
  <c r="B109" i="37"/>
  <c r="B110" i="37"/>
  <c r="B111" i="37"/>
  <c r="B112" i="37"/>
  <c r="B113" i="37"/>
  <c r="B114" i="37"/>
  <c r="B115" i="37"/>
  <c r="B126" i="37"/>
  <c r="F126" i="37"/>
  <c r="B127" i="37"/>
  <c r="B128" i="37"/>
  <c r="B129" i="37"/>
  <c r="B130" i="37"/>
  <c r="B131" i="37"/>
  <c r="F131" i="37"/>
  <c r="G138" i="37"/>
  <c r="G139" i="37" s="1"/>
  <c r="G146" i="37" s="1"/>
  <c r="B145" i="37"/>
  <c r="B146" i="37"/>
  <c r="B151" i="37"/>
  <c r="B152" i="37"/>
  <c r="B153" i="37"/>
  <c r="F153" i="37"/>
  <c r="F160" i="37"/>
  <c r="F161" i="37"/>
  <c r="F163" i="37"/>
  <c r="F164" i="37"/>
  <c r="F165" i="37"/>
  <c r="B175" i="37"/>
  <c r="B176" i="37"/>
  <c r="B177" i="37"/>
  <c r="B178" i="37"/>
  <c r="B179" i="37"/>
  <c r="B181" i="37"/>
  <c r="N28" i="38"/>
  <c r="Y147" i="38"/>
  <c r="Y178" i="38" s="1"/>
  <c r="Y132" i="38"/>
  <c r="Y105" i="38"/>
  <c r="Y176" i="38" s="1"/>
  <c r="Y96" i="38"/>
  <c r="Y74" i="38"/>
  <c r="Y62" i="38"/>
  <c r="Y112" i="38" s="1"/>
  <c r="Y51" i="38"/>
  <c r="Y41" i="38"/>
  <c r="Y175" i="38" s="1"/>
  <c r="X132" i="38"/>
  <c r="X116" i="38"/>
  <c r="X74" i="38"/>
  <c r="X51" i="38"/>
  <c r="N27" i="18"/>
  <c r="N29" i="18"/>
  <c r="X165" i="18"/>
  <c r="AB165" i="18" s="1"/>
  <c r="X164" i="18"/>
  <c r="AB164" i="18" s="1"/>
  <c r="X163" i="18"/>
  <c r="AB163" i="18" s="1"/>
  <c r="X161" i="18"/>
  <c r="X160" i="18"/>
  <c r="N26" i="18"/>
  <c r="Y115" i="18"/>
  <c r="Y114" i="18"/>
  <c r="Y113" i="18"/>
  <c r="Y112" i="18"/>
  <c r="Y110" i="18"/>
  <c r="Y109" i="18"/>
  <c r="V84" i="37" l="1"/>
  <c r="T84" i="37"/>
  <c r="K155" i="39"/>
  <c r="K179" i="39" s="1"/>
  <c r="AC163" i="18"/>
  <c r="AC165" i="18"/>
  <c r="AB167" i="18"/>
  <c r="AC164" i="18"/>
  <c r="X84" i="37"/>
  <c r="Z84" i="37" s="1"/>
  <c r="AB84" i="37" s="1"/>
  <c r="G91" i="37"/>
  <c r="M91" i="37"/>
  <c r="Q91" i="37"/>
  <c r="G89" i="37"/>
  <c r="Q89" i="37"/>
  <c r="M89" i="37"/>
  <c r="Q35" i="37"/>
  <c r="M35" i="37"/>
  <c r="G35" i="37"/>
  <c r="G36" i="37" s="1"/>
  <c r="G41" i="37" s="1"/>
  <c r="J35" i="37"/>
  <c r="J89" i="37"/>
  <c r="J91" i="37"/>
  <c r="E86" i="37"/>
  <c r="B92" i="37"/>
  <c r="G23" i="37"/>
  <c r="F167" i="37"/>
  <c r="B93" i="37"/>
  <c r="F51" i="37"/>
  <c r="X167" i="18"/>
  <c r="Y116" i="18"/>
  <c r="Y177" i="18" s="1"/>
  <c r="AA177" i="18" s="1"/>
  <c r="AA180" i="18" s="1"/>
  <c r="E41" i="10"/>
  <c r="E45" i="10" s="1"/>
  <c r="B43" i="10"/>
  <c r="B42" i="10"/>
  <c r="B181" i="39"/>
  <c r="B179" i="39"/>
  <c r="B178" i="39"/>
  <c r="B177" i="39"/>
  <c r="B176" i="39"/>
  <c r="B175" i="39"/>
  <c r="F165" i="39"/>
  <c r="F164" i="39"/>
  <c r="F163" i="39"/>
  <c r="F161" i="39"/>
  <c r="F160" i="39"/>
  <c r="F153" i="39"/>
  <c r="M153" i="39" s="1"/>
  <c r="B153" i="39"/>
  <c r="B152" i="39"/>
  <c r="B151" i="39"/>
  <c r="B146" i="39"/>
  <c r="B145" i="39"/>
  <c r="G138" i="39"/>
  <c r="G139" i="39" s="1"/>
  <c r="G146" i="39" s="1"/>
  <c r="F131" i="39"/>
  <c r="B131" i="39"/>
  <c r="B130" i="39"/>
  <c r="B129" i="39"/>
  <c r="B128" i="39"/>
  <c r="B127" i="39"/>
  <c r="F126" i="39"/>
  <c r="B126" i="39"/>
  <c r="B115" i="39"/>
  <c r="B114" i="39"/>
  <c r="B113" i="39"/>
  <c r="B112" i="39"/>
  <c r="B111" i="39"/>
  <c r="B110" i="39"/>
  <c r="B109" i="39"/>
  <c r="B104" i="39"/>
  <c r="B103" i="39"/>
  <c r="B102" i="39"/>
  <c r="F94" i="39"/>
  <c r="G94" i="39" s="1"/>
  <c r="F93" i="39"/>
  <c r="G93" i="39" s="1"/>
  <c r="F92" i="39"/>
  <c r="G92" i="39" s="1"/>
  <c r="F91" i="39"/>
  <c r="G91" i="39" s="1"/>
  <c r="I91" i="39" s="1"/>
  <c r="F90" i="39"/>
  <c r="F89" i="39"/>
  <c r="G89" i="39" s="1"/>
  <c r="I89" i="39" s="1"/>
  <c r="F88" i="39"/>
  <c r="F86" i="39"/>
  <c r="F85" i="39"/>
  <c r="B85" i="39"/>
  <c r="F73" i="39"/>
  <c r="B73" i="39"/>
  <c r="F72" i="39"/>
  <c r="B72" i="39"/>
  <c r="F71" i="39"/>
  <c r="B71" i="39"/>
  <c r="F70" i="39"/>
  <c r="B70" i="39"/>
  <c r="F69" i="39"/>
  <c r="B69" i="39"/>
  <c r="B68" i="39"/>
  <c r="F67" i="39"/>
  <c r="H67" i="39" s="1"/>
  <c r="B67" i="39"/>
  <c r="F66" i="39"/>
  <c r="H66" i="39" s="1"/>
  <c r="B66" i="39"/>
  <c r="B61" i="39"/>
  <c r="B60" i="39"/>
  <c r="F50" i="39"/>
  <c r="B50" i="39"/>
  <c r="F49" i="39"/>
  <c r="B49" i="39"/>
  <c r="F38" i="39"/>
  <c r="F36" i="39"/>
  <c r="B36" i="39"/>
  <c r="F31" i="39"/>
  <c r="B94" i="39"/>
  <c r="F27" i="39"/>
  <c r="G23" i="39"/>
  <c r="D23" i="39"/>
  <c r="C23" i="39"/>
  <c r="E86" i="39" s="1"/>
  <c r="F19" i="39"/>
  <c r="F18" i="39"/>
  <c r="F17" i="39"/>
  <c r="A14" i="39"/>
  <c r="C13" i="39"/>
  <c r="C12" i="39"/>
  <c r="A8" i="39"/>
  <c r="A6" i="39"/>
  <c r="A5" i="39"/>
  <c r="A2" i="39"/>
  <c r="A1" i="39"/>
  <c r="B85" i="38"/>
  <c r="J27" i="39" l="1"/>
  <c r="H27" i="39"/>
  <c r="J72" i="39"/>
  <c r="H72" i="39"/>
  <c r="J69" i="39"/>
  <c r="L69" i="39" s="1"/>
  <c r="N69" i="39" s="1"/>
  <c r="H69" i="39"/>
  <c r="J73" i="39"/>
  <c r="K73" i="39" s="1"/>
  <c r="H73" i="39"/>
  <c r="J70" i="39"/>
  <c r="H70" i="39"/>
  <c r="M155" i="39"/>
  <c r="M179" i="39" s="1"/>
  <c r="J71" i="39"/>
  <c r="L71" i="39" s="1"/>
  <c r="H71" i="39"/>
  <c r="AA160" i="18"/>
  <c r="AA164" i="18" s="1"/>
  <c r="AA161" i="18"/>
  <c r="AA165" i="18" s="1"/>
  <c r="B53" i="10"/>
  <c r="B62" i="10" s="1"/>
  <c r="B72" i="10"/>
  <c r="B82" i="10" s="1"/>
  <c r="B93" i="10" s="1"/>
  <c r="B104" i="10" s="1"/>
  <c r="B54" i="10"/>
  <c r="B63" i="10" s="1"/>
  <c r="B73" i="10"/>
  <c r="B83" i="10" s="1"/>
  <c r="B94" i="10" s="1"/>
  <c r="B105" i="10" s="1"/>
  <c r="V89" i="37"/>
  <c r="T89" i="37"/>
  <c r="V91" i="37"/>
  <c r="T91" i="37"/>
  <c r="V35" i="37"/>
  <c r="T35" i="37"/>
  <c r="T85" i="37" s="1"/>
  <c r="T96" i="37" s="1"/>
  <c r="L70" i="39"/>
  <c r="K70" i="39"/>
  <c r="L72" i="39"/>
  <c r="K72" i="39"/>
  <c r="AC167" i="18"/>
  <c r="AC181" i="18" s="1"/>
  <c r="AC182" i="18" s="1"/>
  <c r="D52" i="10" s="1"/>
  <c r="G52" i="10" s="1"/>
  <c r="X35" i="37"/>
  <c r="Z35" i="37" s="1"/>
  <c r="AB35" i="37" s="1"/>
  <c r="M36" i="37"/>
  <c r="M41" i="37" s="1"/>
  <c r="Q36" i="37"/>
  <c r="J36" i="37"/>
  <c r="J41" i="37" s="1"/>
  <c r="G86" i="37"/>
  <c r="G60" i="37"/>
  <c r="G175" i="37"/>
  <c r="G50" i="37"/>
  <c r="G49" i="37"/>
  <c r="F167" i="39"/>
  <c r="B93" i="39"/>
  <c r="B92" i="39"/>
  <c r="F74" i="39"/>
  <c r="G36" i="39"/>
  <c r="F51" i="39"/>
  <c r="E84" i="39"/>
  <c r="K69" i="39" l="1"/>
  <c r="K74" i="39" s="1"/>
  <c r="K103" i="39" s="1"/>
  <c r="H74" i="39"/>
  <c r="L73" i="39"/>
  <c r="N73" i="39" s="1"/>
  <c r="M71" i="39"/>
  <c r="N71" i="39"/>
  <c r="O84" i="39"/>
  <c r="I84" i="39"/>
  <c r="J74" i="39"/>
  <c r="M72" i="39"/>
  <c r="N72" i="39"/>
  <c r="K71" i="39"/>
  <c r="G41" i="39"/>
  <c r="G175" i="39" s="1"/>
  <c r="I36" i="39"/>
  <c r="I41" i="39" s="1"/>
  <c r="M70" i="39"/>
  <c r="N70" i="39"/>
  <c r="AD36" i="37"/>
  <c r="AD41" i="37" s="1"/>
  <c r="AA163" i="18"/>
  <c r="AA167" i="18" s="1"/>
  <c r="AA181" i="18" s="1"/>
  <c r="AA182" i="18" s="1"/>
  <c r="Q60" i="37"/>
  <c r="Q49" i="37"/>
  <c r="T36" i="37"/>
  <c r="V36" i="37"/>
  <c r="V41" i="37" s="1"/>
  <c r="AB36" i="37"/>
  <c r="AB41" i="37" s="1"/>
  <c r="H52" i="10"/>
  <c r="K84" i="39"/>
  <c r="K85" i="39" s="1"/>
  <c r="K96" i="39" s="1"/>
  <c r="K104" i="39" s="1"/>
  <c r="M84" i="39"/>
  <c r="M85" i="39" s="1"/>
  <c r="M96" i="39" s="1"/>
  <c r="M104" i="39" s="1"/>
  <c r="M69" i="39"/>
  <c r="Q41" i="37"/>
  <c r="T41" i="37" s="1"/>
  <c r="T175" i="37" s="1"/>
  <c r="X36" i="37"/>
  <c r="X41" i="37" s="1"/>
  <c r="X85" i="37"/>
  <c r="Z85" i="37" s="1"/>
  <c r="AB85" i="37" s="1"/>
  <c r="V85" i="37"/>
  <c r="V96" i="37" s="1"/>
  <c r="Z36" i="37"/>
  <c r="Z41" i="37" s="1"/>
  <c r="Q175" i="37"/>
  <c r="M175" i="37"/>
  <c r="M60" i="37"/>
  <c r="Q50" i="37"/>
  <c r="M50" i="37"/>
  <c r="M49" i="37"/>
  <c r="J49" i="37"/>
  <c r="J50" i="37"/>
  <c r="J60" i="37"/>
  <c r="J175" i="37"/>
  <c r="G51" i="37"/>
  <c r="G61" i="37" s="1"/>
  <c r="G62" i="37" s="1"/>
  <c r="G60" i="39" l="1"/>
  <c r="M73" i="39"/>
  <c r="L74" i="39"/>
  <c r="I60" i="39"/>
  <c r="I175" i="39"/>
  <c r="I85" i="39"/>
  <c r="I96" i="39" s="1"/>
  <c r="I104" i="39" s="1"/>
  <c r="M74" i="39"/>
  <c r="M103" i="39" s="1"/>
  <c r="M105" i="39" s="1"/>
  <c r="M176" i="39" s="1"/>
  <c r="M180" i="39" s="1"/>
  <c r="G49" i="39"/>
  <c r="G50" i="39"/>
  <c r="I50" i="39" s="1"/>
  <c r="O85" i="39"/>
  <c r="O96" i="39" s="1"/>
  <c r="O104" i="39" s="1"/>
  <c r="N74" i="39"/>
  <c r="O74" i="39"/>
  <c r="O103" i="39" s="1"/>
  <c r="AD60" i="37"/>
  <c r="AD175" i="37"/>
  <c r="AB96" i="37"/>
  <c r="AB104" i="37" s="1"/>
  <c r="AD96" i="37"/>
  <c r="AD104" i="37" s="1"/>
  <c r="D71" i="10"/>
  <c r="G71" i="10" s="1"/>
  <c r="T60" i="37"/>
  <c r="T50" i="37"/>
  <c r="T49" i="37"/>
  <c r="T51" i="37" s="1"/>
  <c r="T61" i="37" s="1"/>
  <c r="AB175" i="37"/>
  <c r="AB60" i="37"/>
  <c r="X96" i="37"/>
  <c r="X104" i="37" s="1"/>
  <c r="Z96" i="37"/>
  <c r="Z104" i="37" s="1"/>
  <c r="M51" i="37"/>
  <c r="M102" i="37" s="1"/>
  <c r="K105" i="39"/>
  <c r="K176" i="39" s="1"/>
  <c r="K180" i="39" s="1"/>
  <c r="X175" i="37"/>
  <c r="X60" i="37"/>
  <c r="X49" i="37"/>
  <c r="Z49" i="37" s="1"/>
  <c r="AB49" i="37" s="1"/>
  <c r="X50" i="37"/>
  <c r="Z50" i="37" s="1"/>
  <c r="AB50" i="37" s="1"/>
  <c r="V50" i="37"/>
  <c r="V175" i="37"/>
  <c r="V60" i="37"/>
  <c r="V49" i="37"/>
  <c r="Z175" i="37"/>
  <c r="Z60" i="37"/>
  <c r="M61" i="37"/>
  <c r="M62" i="37" s="1"/>
  <c r="Q109" i="37" s="1"/>
  <c r="Q51" i="37"/>
  <c r="J51" i="37"/>
  <c r="G102" i="37"/>
  <c r="G67" i="37"/>
  <c r="G70" i="37"/>
  <c r="G131" i="37"/>
  <c r="G73" i="37"/>
  <c r="G126" i="37"/>
  <c r="G72" i="37"/>
  <c r="G71" i="37"/>
  <c r="G66" i="37"/>
  <c r="G69" i="37"/>
  <c r="O105" i="39" l="1"/>
  <c r="O176" i="39" s="1"/>
  <c r="O180" i="39" s="1"/>
  <c r="I49" i="39"/>
  <c r="I51" i="39" s="1"/>
  <c r="G51" i="39"/>
  <c r="H71" i="10"/>
  <c r="X51" i="37"/>
  <c r="Z51" i="37" s="1"/>
  <c r="Z102" i="37" s="1"/>
  <c r="V51" i="37"/>
  <c r="V102" i="37" s="1"/>
  <c r="T62" i="37"/>
  <c r="K160" i="39"/>
  <c r="M161" i="39" s="1"/>
  <c r="M160" i="39"/>
  <c r="Q126" i="37"/>
  <c r="V126" i="37" s="1"/>
  <c r="Q102" i="37"/>
  <c r="T102" i="37" s="1"/>
  <c r="Q61" i="37"/>
  <c r="Q62" i="37" s="1"/>
  <c r="Q131" i="37" s="1"/>
  <c r="V131" i="37" s="1"/>
  <c r="M113" i="37"/>
  <c r="M126" i="37"/>
  <c r="M114" i="37"/>
  <c r="Q114" i="37"/>
  <c r="V114" i="37" s="1"/>
  <c r="M112" i="37"/>
  <c r="Q113" i="37"/>
  <c r="V113" i="37" s="1"/>
  <c r="Q112" i="37"/>
  <c r="V112" i="37" s="1"/>
  <c r="M109" i="37"/>
  <c r="M131" i="37"/>
  <c r="J102" i="37"/>
  <c r="J61" i="37"/>
  <c r="J62" i="37" s="1"/>
  <c r="Q66" i="37" s="1"/>
  <c r="O160" i="39" l="1"/>
  <c r="O161" i="39" s="1"/>
  <c r="G102" i="39"/>
  <c r="G61" i="39"/>
  <c r="G62" i="39" s="1"/>
  <c r="I102" i="39"/>
  <c r="I61" i="39"/>
  <c r="I62" i="39" s="1"/>
  <c r="V61" i="37"/>
  <c r="V62" i="37" s="1"/>
  <c r="V109" i="37" s="1"/>
  <c r="X102" i="37"/>
  <c r="AB51" i="37"/>
  <c r="X61" i="37"/>
  <c r="X62" i="37" s="1"/>
  <c r="X128" i="37" s="1"/>
  <c r="Z128" i="37" s="1"/>
  <c r="AB128" i="37" s="1"/>
  <c r="X110" i="37"/>
  <c r="Z110" i="37" s="1"/>
  <c r="AB110" i="37" s="1"/>
  <c r="Z61" i="37"/>
  <c r="Z62" i="37" s="1"/>
  <c r="T109" i="37"/>
  <c r="T114" i="37"/>
  <c r="T127" i="37"/>
  <c r="T110" i="37"/>
  <c r="T128" i="37"/>
  <c r="T111" i="37"/>
  <c r="T129" i="37"/>
  <c r="T112" i="37"/>
  <c r="T130" i="37"/>
  <c r="T113" i="37"/>
  <c r="T131" i="37"/>
  <c r="T115" i="37"/>
  <c r="X130" i="37"/>
  <c r="Z130" i="37" s="1"/>
  <c r="AB130" i="37" s="1"/>
  <c r="X115" i="37"/>
  <c r="Z115" i="37" s="1"/>
  <c r="AB115" i="37" s="1"/>
  <c r="X67" i="37"/>
  <c r="Z67" i="37" s="1"/>
  <c r="AB67" i="37" s="1"/>
  <c r="X73" i="37"/>
  <c r="Z73" i="37" s="1"/>
  <c r="AB73" i="37" s="1"/>
  <c r="T68" i="37"/>
  <c r="T69" i="37"/>
  <c r="T70" i="37"/>
  <c r="T66" i="37"/>
  <c r="T67" i="37"/>
  <c r="T71" i="37"/>
  <c r="T72" i="37"/>
  <c r="T126" i="37"/>
  <c r="T73" i="37"/>
  <c r="X126" i="37"/>
  <c r="X109" i="37"/>
  <c r="Z109" i="37" s="1"/>
  <c r="AB109" i="37" s="1"/>
  <c r="X68" i="37"/>
  <c r="Z68" i="37" s="1"/>
  <c r="AB68" i="37" s="1"/>
  <c r="X114" i="37"/>
  <c r="Z114" i="37" s="1"/>
  <c r="AB114" i="37" s="1"/>
  <c r="K161" i="39"/>
  <c r="K163" i="39" s="1"/>
  <c r="M162" i="39"/>
  <c r="V73" i="37"/>
  <c r="V66" i="37"/>
  <c r="V68" i="37"/>
  <c r="V69" i="37"/>
  <c r="V67" i="37"/>
  <c r="V72" i="37"/>
  <c r="V70" i="37"/>
  <c r="V71" i="37"/>
  <c r="X72" i="37"/>
  <c r="Z72" i="37" s="1"/>
  <c r="AB72" i="37" s="1"/>
  <c r="X69" i="37"/>
  <c r="Z69" i="37" s="1"/>
  <c r="X113" i="37"/>
  <c r="Z113" i="37" s="1"/>
  <c r="AB113" i="37" s="1"/>
  <c r="X111" i="37"/>
  <c r="Z111" i="37" s="1"/>
  <c r="AB111" i="37" s="1"/>
  <c r="AD111" i="37" s="1"/>
  <c r="X129" i="37"/>
  <c r="Z129" i="37" s="1"/>
  <c r="AB129" i="37" s="1"/>
  <c r="X127" i="37"/>
  <c r="Z127" i="37" s="1"/>
  <c r="AB127" i="37" s="1"/>
  <c r="X71" i="37"/>
  <c r="Z71" i="37" s="1"/>
  <c r="AB71" i="37" s="1"/>
  <c r="M72" i="37"/>
  <c r="M71" i="37"/>
  <c r="M70" i="37"/>
  <c r="Q115" i="37"/>
  <c r="V115" i="37" s="1"/>
  <c r="Q72" i="37"/>
  <c r="Q73" i="37"/>
  <c r="M69" i="37"/>
  <c r="M68" i="37"/>
  <c r="M73" i="37"/>
  <c r="Q71" i="37"/>
  <c r="M67" i="37"/>
  <c r="Q70" i="37"/>
  <c r="M66" i="37"/>
  <c r="Q69" i="37"/>
  <c r="Q111" i="37"/>
  <c r="V111" i="37" s="1"/>
  <c r="Q68" i="37"/>
  <c r="Q110" i="37"/>
  <c r="V110" i="37" s="1"/>
  <c r="Q67" i="37"/>
  <c r="J131" i="37"/>
  <c r="J126" i="37"/>
  <c r="J113" i="37"/>
  <c r="J73" i="37"/>
  <c r="J72" i="37"/>
  <c r="J71" i="37"/>
  <c r="J70" i="37"/>
  <c r="J69" i="37"/>
  <c r="J68" i="37"/>
  <c r="J67" i="37"/>
  <c r="J66" i="37"/>
  <c r="O163" i="39" l="1"/>
  <c r="O164" i="39"/>
  <c r="O162" i="39"/>
  <c r="O165" i="39"/>
  <c r="I129" i="39"/>
  <c r="I114" i="39"/>
  <c r="I73" i="39"/>
  <c r="I128" i="39"/>
  <c r="I130" i="39"/>
  <c r="I115" i="39"/>
  <c r="I66" i="39"/>
  <c r="I131" i="39"/>
  <c r="I109" i="39"/>
  <c r="I67" i="39"/>
  <c r="I126" i="39"/>
  <c r="I68" i="39"/>
  <c r="I72" i="39"/>
  <c r="I110" i="39"/>
  <c r="I69" i="39"/>
  <c r="I111" i="39"/>
  <c r="I70" i="39"/>
  <c r="I127" i="39"/>
  <c r="I112" i="39"/>
  <c r="I71" i="39"/>
  <c r="I113" i="39"/>
  <c r="G73" i="39"/>
  <c r="G69" i="39"/>
  <c r="G72" i="39"/>
  <c r="G68" i="39"/>
  <c r="G126" i="39"/>
  <c r="G112" i="39"/>
  <c r="G66" i="39"/>
  <c r="G113" i="39"/>
  <c r="G114" i="39"/>
  <c r="G131" i="39"/>
  <c r="G70" i="39"/>
  <c r="G67" i="39"/>
  <c r="G71" i="39"/>
  <c r="AB102" i="37"/>
  <c r="V116" i="37"/>
  <c r="V177" i="37" s="1"/>
  <c r="AB61" i="37"/>
  <c r="AB62" i="37" s="1"/>
  <c r="X131" i="37"/>
  <c r="Z131" i="37" s="1"/>
  <c r="AB131" i="37" s="1"/>
  <c r="AD131" i="37" s="1"/>
  <c r="X112" i="37"/>
  <c r="Z112" i="37" s="1"/>
  <c r="AB112" i="37" s="1"/>
  <c r="X66" i="37"/>
  <c r="Z66" i="37" s="1"/>
  <c r="AB66" i="37" s="1"/>
  <c r="X70" i="37"/>
  <c r="Z70" i="37" s="1"/>
  <c r="AB70" i="37" s="1"/>
  <c r="X132" i="37"/>
  <c r="X145" i="37" s="1"/>
  <c r="X147" i="37" s="1"/>
  <c r="X178" i="37" s="1"/>
  <c r="T132" i="37"/>
  <c r="T145" i="37" s="1"/>
  <c r="T147" i="37" s="1"/>
  <c r="T116" i="37"/>
  <c r="T177" i="37" s="1"/>
  <c r="M163" i="39"/>
  <c r="K164" i="39"/>
  <c r="T74" i="37"/>
  <c r="Z126" i="37"/>
  <c r="AB126" i="37" s="1"/>
  <c r="Z74" i="37"/>
  <c r="Z103" i="37" s="1"/>
  <c r="Z105" i="37" s="1"/>
  <c r="Z176" i="37" s="1"/>
  <c r="AB69" i="37"/>
  <c r="K162" i="39"/>
  <c r="M165" i="39"/>
  <c r="M164" i="39"/>
  <c r="K165" i="39"/>
  <c r="X116" i="37"/>
  <c r="X177" i="37" s="1"/>
  <c r="V74" i="37"/>
  <c r="M74" i="37"/>
  <c r="M103" i="37" s="1"/>
  <c r="Q116" i="37"/>
  <c r="Q177" i="37" s="1"/>
  <c r="Q74" i="37"/>
  <c r="Q103" i="37" s="1"/>
  <c r="J74" i="37"/>
  <c r="J103" i="37" s="1"/>
  <c r="O167" i="39" l="1"/>
  <c r="O181" i="39" s="1"/>
  <c r="O182" i="39" s="1"/>
  <c r="D106" i="10" s="1"/>
  <c r="G106" i="10" s="1"/>
  <c r="H106" i="10" s="1"/>
  <c r="I74" i="39"/>
  <c r="I103" i="39" s="1"/>
  <c r="I105" i="39" s="1"/>
  <c r="I176" i="39" s="1"/>
  <c r="G74" i="39"/>
  <c r="G103" i="39" s="1"/>
  <c r="I132" i="39"/>
  <c r="I145" i="39" s="1"/>
  <c r="I147" i="39" s="1"/>
  <c r="I178" i="39" s="1"/>
  <c r="I116" i="39"/>
  <c r="I177" i="39" s="1"/>
  <c r="AD74" i="37"/>
  <c r="AD103" i="37" s="1"/>
  <c r="X74" i="37"/>
  <c r="X103" i="37" s="1"/>
  <c r="X105" i="37" s="1"/>
  <c r="X176" i="37" s="1"/>
  <c r="AB74" i="37"/>
  <c r="AB103" i="37" s="1"/>
  <c r="AB105" i="37" s="1"/>
  <c r="AB176" i="37" s="1"/>
  <c r="AD61" i="37"/>
  <c r="AD62" i="37" s="1"/>
  <c r="AD102" i="37"/>
  <c r="Z132" i="37"/>
  <c r="Z145" i="37" s="1"/>
  <c r="Z147" i="37" s="1"/>
  <c r="Z178" i="37" s="1"/>
  <c r="X180" i="37"/>
  <c r="X160" i="37" s="1"/>
  <c r="Z161" i="37" s="1"/>
  <c r="Z116" i="37"/>
  <c r="AB116" i="37" s="1"/>
  <c r="M167" i="39"/>
  <c r="M181" i="39" s="1"/>
  <c r="M182" i="39" s="1"/>
  <c r="D95" i="10" s="1"/>
  <c r="G95" i="10" s="1"/>
  <c r="K167" i="39"/>
  <c r="K181" i="39" s="1"/>
  <c r="K182" i="39" s="1"/>
  <c r="D84" i="10" s="1"/>
  <c r="G84" i="10" s="1"/>
  <c r="H84" i="10" s="1"/>
  <c r="V103" i="37"/>
  <c r="T103" i="37"/>
  <c r="AB132" i="37"/>
  <c r="E60" i="13"/>
  <c r="E59" i="13"/>
  <c r="E58" i="13"/>
  <c r="E57" i="13"/>
  <c r="F31" i="38"/>
  <c r="F31" i="18"/>
  <c r="F30" i="38"/>
  <c r="F30" i="18"/>
  <c r="J49" i="8"/>
  <c r="G72" i="8"/>
  <c r="H72" i="8" s="1"/>
  <c r="J45" i="8"/>
  <c r="F13" i="35"/>
  <c r="F14" i="35"/>
  <c r="F15" i="35"/>
  <c r="F16" i="35"/>
  <c r="F17" i="35"/>
  <c r="F18" i="35"/>
  <c r="F19" i="35"/>
  <c r="F20" i="35"/>
  <c r="F21" i="35"/>
  <c r="F26" i="35"/>
  <c r="F27" i="35"/>
  <c r="G93" i="8"/>
  <c r="G90" i="8"/>
  <c r="G103" i="8"/>
  <c r="G102" i="8"/>
  <c r="G101" i="8"/>
  <c r="G100" i="8"/>
  <c r="G82" i="8"/>
  <c r="F68" i="37" s="1"/>
  <c r="I180" i="39" l="1"/>
  <c r="I160" i="39" s="1"/>
  <c r="Z177" i="37"/>
  <c r="Z180" i="37" s="1"/>
  <c r="AB177" i="37"/>
  <c r="AD177" i="37"/>
  <c r="AD105" i="37"/>
  <c r="AD176" i="37" s="1"/>
  <c r="AB145" i="37"/>
  <c r="AB147" i="37" s="1"/>
  <c r="AD145" i="37"/>
  <c r="H95" i="10"/>
  <c r="K95" i="10"/>
  <c r="X161" i="37"/>
  <c r="X163" i="37" s="1"/>
  <c r="L130" i="37"/>
  <c r="O130" i="37"/>
  <c r="G95" i="8"/>
  <c r="O127" i="37"/>
  <c r="L127" i="37"/>
  <c r="L129" i="37"/>
  <c r="O129" i="37"/>
  <c r="L128" i="37"/>
  <c r="O128" i="37"/>
  <c r="I114" i="37"/>
  <c r="F114" i="37"/>
  <c r="I109" i="37"/>
  <c r="F109" i="37"/>
  <c r="F109" i="39"/>
  <c r="G109" i="39" s="1"/>
  <c r="I128" i="37"/>
  <c r="J128" i="37" s="1"/>
  <c r="F128" i="37"/>
  <c r="F128" i="39"/>
  <c r="G128" i="39" s="1"/>
  <c r="F84" i="37"/>
  <c r="Q84" i="37" s="1"/>
  <c r="F84" i="39"/>
  <c r="G84" i="39" s="1"/>
  <c r="G85" i="39" s="1"/>
  <c r="G96" i="39" s="1"/>
  <c r="G104" i="39" s="1"/>
  <c r="G105" i="39" s="1"/>
  <c r="G176" i="39" s="1"/>
  <c r="F87" i="37"/>
  <c r="G87" i="37" s="1"/>
  <c r="F87" i="39"/>
  <c r="I130" i="37"/>
  <c r="J130" i="37" s="1"/>
  <c r="F130" i="37"/>
  <c r="F130" i="39"/>
  <c r="G130" i="39" s="1"/>
  <c r="I112" i="37"/>
  <c r="F112" i="37"/>
  <c r="I129" i="37"/>
  <c r="J129" i="37" s="1"/>
  <c r="F129" i="37"/>
  <c r="F129" i="39"/>
  <c r="G129" i="39" s="1"/>
  <c r="F74" i="37"/>
  <c r="G68" i="37"/>
  <c r="G74" i="37" s="1"/>
  <c r="G103" i="37" s="1"/>
  <c r="I127" i="37"/>
  <c r="J127" i="37" s="1"/>
  <c r="F127" i="37"/>
  <c r="F127" i="39"/>
  <c r="G91" i="8"/>
  <c r="G92" i="8"/>
  <c r="I161" i="39" l="1"/>
  <c r="I162" i="39" s="1"/>
  <c r="Z160" i="37"/>
  <c r="Z165" i="37" s="1"/>
  <c r="AD178" i="37"/>
  <c r="AD180" i="37" s="1"/>
  <c r="AD147" i="37"/>
  <c r="AB178" i="37"/>
  <c r="AB180" i="37" s="1"/>
  <c r="Z164" i="37"/>
  <c r="Z163" i="37"/>
  <c r="X164" i="37"/>
  <c r="X165" i="37"/>
  <c r="X167" i="37" s="1"/>
  <c r="Q127" i="37"/>
  <c r="V127" i="37" s="1"/>
  <c r="Q128" i="37"/>
  <c r="V128" i="37" s="1"/>
  <c r="M128" i="37"/>
  <c r="M129" i="37"/>
  <c r="Q129" i="37"/>
  <c r="V129" i="37" s="1"/>
  <c r="L132" i="37"/>
  <c r="M127" i="37"/>
  <c r="O132" i="37"/>
  <c r="M130" i="37"/>
  <c r="Q130" i="37"/>
  <c r="V130" i="37" s="1"/>
  <c r="M84" i="37"/>
  <c r="F132" i="37"/>
  <c r="G127" i="37"/>
  <c r="G128" i="37"/>
  <c r="F132" i="39"/>
  <c r="G127" i="39"/>
  <c r="G132" i="39" s="1"/>
  <c r="G145" i="39" s="1"/>
  <c r="J84" i="37"/>
  <c r="G84" i="37"/>
  <c r="G109" i="37"/>
  <c r="I132" i="37"/>
  <c r="J109" i="37"/>
  <c r="G129" i="37"/>
  <c r="J112" i="37"/>
  <c r="G112" i="37"/>
  <c r="I111" i="37"/>
  <c r="M111" i="37" s="1"/>
  <c r="F111" i="37"/>
  <c r="F111" i="39"/>
  <c r="G111" i="39" s="1"/>
  <c r="J114" i="37"/>
  <c r="G114" i="37"/>
  <c r="I110" i="37"/>
  <c r="M110" i="37" s="1"/>
  <c r="F110" i="37"/>
  <c r="F110" i="39"/>
  <c r="G110" i="39" s="1"/>
  <c r="G130" i="37"/>
  <c r="G88" i="8"/>
  <c r="G94" i="8" s="1"/>
  <c r="G78" i="8"/>
  <c r="G96" i="8" s="1"/>
  <c r="T74" i="8"/>
  <c r="F23" i="10" s="1"/>
  <c r="T75" i="8"/>
  <c r="T73" i="8"/>
  <c r="R76" i="8"/>
  <c r="G105" i="8"/>
  <c r="M59" i="13"/>
  <c r="I165" i="39" l="1"/>
  <c r="I163" i="39"/>
  <c r="I164" i="39"/>
  <c r="Z167" i="37"/>
  <c r="AB160" i="37"/>
  <c r="AB164" i="37" s="1"/>
  <c r="AB161" i="37"/>
  <c r="AB163" i="37" s="1"/>
  <c r="V132" i="37"/>
  <c r="V145" i="37" s="1"/>
  <c r="V147" i="37" s="1"/>
  <c r="G147" i="39"/>
  <c r="G178" i="39" s="1"/>
  <c r="X181" i="37"/>
  <c r="X182" i="37" s="1"/>
  <c r="D62" i="10" s="1"/>
  <c r="G62" i="10" s="1"/>
  <c r="H62" i="10" s="1"/>
  <c r="M132" i="37"/>
  <c r="M145" i="37" s="1"/>
  <c r="M147" i="37" s="1"/>
  <c r="M178" i="37" s="1"/>
  <c r="Q132" i="37"/>
  <c r="Q145" i="37" s="1"/>
  <c r="Q147" i="37" s="1"/>
  <c r="Q178" i="37" s="1"/>
  <c r="F41" i="10"/>
  <c r="F45" i="10" s="1"/>
  <c r="I24" i="43"/>
  <c r="M85" i="37"/>
  <c r="M96" i="37" s="1"/>
  <c r="M104" i="37" s="1"/>
  <c r="M105" i="37" s="1"/>
  <c r="M176" i="37" s="1"/>
  <c r="Q85" i="37"/>
  <c r="Q96" i="37" s="1"/>
  <c r="Q104" i="37" s="1"/>
  <c r="T104" i="37" s="1"/>
  <c r="T105" i="37" s="1"/>
  <c r="T176" i="37" s="1"/>
  <c r="T180" i="37" s="1"/>
  <c r="G85" i="37"/>
  <c r="G96" i="37" s="1"/>
  <c r="G104" i="37" s="1"/>
  <c r="G105" i="37" s="1"/>
  <c r="G176" i="37" s="1"/>
  <c r="J85" i="37"/>
  <c r="J96" i="37" s="1"/>
  <c r="J104" i="37" s="1"/>
  <c r="J105" i="37" s="1"/>
  <c r="J176" i="37" s="1"/>
  <c r="J111" i="37"/>
  <c r="G111" i="37"/>
  <c r="I115" i="37"/>
  <c r="F115" i="37"/>
  <c r="F115" i="39"/>
  <c r="G115" i="39" s="1"/>
  <c r="G116" i="39" s="1"/>
  <c r="G177" i="39" s="1"/>
  <c r="G97" i="8"/>
  <c r="G106" i="8" s="1"/>
  <c r="F113" i="37"/>
  <c r="G113" i="37" s="1"/>
  <c r="G132" i="37"/>
  <c r="G145" i="37" s="1"/>
  <c r="G147" i="37" s="1"/>
  <c r="G178" i="37" s="1"/>
  <c r="J110" i="37"/>
  <c r="G110" i="37"/>
  <c r="J132" i="37"/>
  <c r="J145" i="37" s="1"/>
  <c r="J147" i="37" s="1"/>
  <c r="J178" i="37" s="1"/>
  <c r="T76" i="8"/>
  <c r="N27" i="38"/>
  <c r="F27" i="38"/>
  <c r="N26" i="38"/>
  <c r="F26" i="38"/>
  <c r="F27" i="18"/>
  <c r="F26" i="18"/>
  <c r="K12" i="18"/>
  <c r="K13" i="18"/>
  <c r="I14" i="18"/>
  <c r="I167" i="39" l="1"/>
  <c r="I181" i="39" s="1"/>
  <c r="I182" i="39" s="1"/>
  <c r="D74" i="10" s="1"/>
  <c r="G74" i="10" s="1"/>
  <c r="H74" i="10" s="1"/>
  <c r="AD167" i="37"/>
  <c r="AD181" i="37" s="1"/>
  <c r="AD182" i="37" s="1"/>
  <c r="AB165" i="37"/>
  <c r="T160" i="37"/>
  <c r="AB167" i="37"/>
  <c r="AB181" i="37" s="1"/>
  <c r="AB182" i="37" s="1"/>
  <c r="D93" i="10" s="1"/>
  <c r="Z181" i="37"/>
  <c r="Q105" i="37"/>
  <c r="Q176" i="37" s="1"/>
  <c r="V104" i="37"/>
  <c r="V105" i="37" s="1"/>
  <c r="V176" i="37" s="1"/>
  <c r="V180" i="37" s="1"/>
  <c r="V160" i="37" s="1"/>
  <c r="Y153" i="18"/>
  <c r="I116" i="37"/>
  <c r="M115" i="37"/>
  <c r="M116" i="37" s="1"/>
  <c r="M177" i="37" s="1"/>
  <c r="J115" i="37"/>
  <c r="J116" i="37" s="1"/>
  <c r="J177" i="37" s="1"/>
  <c r="G115" i="37"/>
  <c r="G116" i="37" s="1"/>
  <c r="G177" i="37" s="1"/>
  <c r="F116" i="39"/>
  <c r="F116" i="37"/>
  <c r="W155" i="38"/>
  <c r="W179" i="38" s="1"/>
  <c r="W147" i="38"/>
  <c r="W178" i="38" s="1"/>
  <c r="W132" i="38"/>
  <c r="V132" i="38"/>
  <c r="W105" i="38"/>
  <c r="W176" i="38" s="1"/>
  <c r="W96" i="38"/>
  <c r="W74" i="38"/>
  <c r="V74" i="38"/>
  <c r="W62" i="38"/>
  <c r="W51" i="38"/>
  <c r="V51" i="38"/>
  <c r="W41" i="38"/>
  <c r="W175" i="38" s="1"/>
  <c r="AA114" i="38" l="1"/>
  <c r="AA113" i="38"/>
  <c r="AA112" i="38"/>
  <c r="AA116" i="38" s="1"/>
  <c r="AA177" i="38" s="1"/>
  <c r="AA180" i="38" s="1"/>
  <c r="T161" i="37"/>
  <c r="T163" i="37" s="1"/>
  <c r="Z182" i="37"/>
  <c r="D82" i="10" s="1"/>
  <c r="G82" i="10" s="1"/>
  <c r="H82" i="10" s="1"/>
  <c r="G93" i="10"/>
  <c r="K93" i="10" s="1"/>
  <c r="AC113" i="38"/>
  <c r="AE116" i="38"/>
  <c r="AE177" i="38" s="1"/>
  <c r="AC112" i="38"/>
  <c r="AC114" i="38"/>
  <c r="V161" i="37"/>
  <c r="Y153" i="38"/>
  <c r="Y155" i="38" s="1"/>
  <c r="Y179" i="38" s="1"/>
  <c r="Y113" i="38"/>
  <c r="Y114" i="38"/>
  <c r="W115" i="18"/>
  <c r="W110" i="18"/>
  <c r="W109" i="18"/>
  <c r="Q14" i="18"/>
  <c r="S13" i="18"/>
  <c r="S12" i="18"/>
  <c r="M17" i="15"/>
  <c r="G30" i="15"/>
  <c r="G17" i="15"/>
  <c r="G10" i="15"/>
  <c r="AA160" i="38" l="1"/>
  <c r="AA161" i="38" s="1"/>
  <c r="Y116" i="38"/>
  <c r="Y177" i="38" s="1"/>
  <c r="Y180" i="38" s="1"/>
  <c r="T164" i="37"/>
  <c r="T165" i="37"/>
  <c r="H93" i="10"/>
  <c r="AC116" i="38"/>
  <c r="AC177" i="38" s="1"/>
  <c r="AC180" i="38" s="1"/>
  <c r="V164" i="37"/>
  <c r="V161" i="18"/>
  <c r="V160" i="18"/>
  <c r="AA164" i="38" l="1"/>
  <c r="AA165" i="38"/>
  <c r="AA163" i="38"/>
  <c r="T167" i="37"/>
  <c r="T181" i="37" s="1"/>
  <c r="T182" i="37" s="1"/>
  <c r="D72" i="10" s="1"/>
  <c r="G72" i="10" s="1"/>
  <c r="AC160" i="38"/>
  <c r="V163" i="37"/>
  <c r="V165" i="37"/>
  <c r="Y160" i="38"/>
  <c r="Y161" i="38" s="1"/>
  <c r="Y164" i="38" s="1"/>
  <c r="M44" i="15"/>
  <c r="G44" i="15"/>
  <c r="M10" i="15"/>
  <c r="O9" i="15"/>
  <c r="M3" i="15"/>
  <c r="M2" i="15"/>
  <c r="M5" i="15"/>
  <c r="M4" i="15"/>
  <c r="G3" i="15"/>
  <c r="G2" i="15"/>
  <c r="AA167" i="38" l="1"/>
  <c r="AA181" i="38" s="1"/>
  <c r="AA182" i="38" s="1"/>
  <c r="H72" i="10"/>
  <c r="V167" i="37"/>
  <c r="V181" i="37" s="1"/>
  <c r="V182" i="37" s="1"/>
  <c r="D53" i="10" s="1"/>
  <c r="G53" i="10" s="1"/>
  <c r="H53" i="10" s="1"/>
  <c r="AC161" i="38"/>
  <c r="AC163" i="38" s="1"/>
  <c r="Y163" i="38"/>
  <c r="Y165" i="38"/>
  <c r="I9" i="15"/>
  <c r="G5" i="15"/>
  <c r="G4" i="15"/>
  <c r="O38" i="15"/>
  <c r="D73" i="10" l="1"/>
  <c r="G73" i="10" s="1"/>
  <c r="AC165" i="38"/>
  <c r="AC164" i="38"/>
  <c r="Y167" i="38"/>
  <c r="B34" i="10"/>
  <c r="B33" i="10"/>
  <c r="B32" i="10"/>
  <c r="V116" i="38"/>
  <c r="W114" i="38"/>
  <c r="W113" i="38"/>
  <c r="W112" i="38"/>
  <c r="W116" i="38" s="1"/>
  <c r="W177" i="38" s="1"/>
  <c r="W180" i="38" s="1"/>
  <c r="H73" i="10" l="1"/>
  <c r="H75" i="10" s="1"/>
  <c r="G75" i="10"/>
  <c r="AC167" i="38"/>
  <c r="AC181" i="38" s="1"/>
  <c r="AC182" i="38" s="1"/>
  <c r="D54" i="10" s="1"/>
  <c r="G54" i="10" s="1"/>
  <c r="W160" i="38"/>
  <c r="W114" i="18"/>
  <c r="W113" i="18"/>
  <c r="W112" i="18"/>
  <c r="Q2" i="18"/>
  <c r="Q1" i="18"/>
  <c r="Q2" i="38"/>
  <c r="Q1" i="38"/>
  <c r="J36" i="38"/>
  <c r="H54" i="10" l="1"/>
  <c r="H55" i="10" s="1"/>
  <c r="G55" i="10"/>
  <c r="W116" i="18"/>
  <c r="W177" i="18" s="1"/>
  <c r="W180" i="18" s="1"/>
  <c r="W161" i="38"/>
  <c r="B24" i="10"/>
  <c r="B22" i="10"/>
  <c r="W160" i="18" l="1"/>
  <c r="W161" i="18" s="1"/>
  <c r="N161" i="38"/>
  <c r="N160" i="38"/>
  <c r="J153" i="38"/>
  <c r="J152" i="38"/>
  <c r="J151" i="38"/>
  <c r="J85" i="38"/>
  <c r="I14" i="38"/>
  <c r="K13" i="38"/>
  <c r="K12" i="38"/>
  <c r="I2" i="38"/>
  <c r="I1" i="38"/>
  <c r="J181" i="38"/>
  <c r="J179" i="38"/>
  <c r="J178" i="38"/>
  <c r="J177" i="38"/>
  <c r="J176" i="38"/>
  <c r="J175" i="38"/>
  <c r="N151" i="38"/>
  <c r="J146" i="38"/>
  <c r="J145" i="38"/>
  <c r="O138" i="38"/>
  <c r="O139" i="38" s="1"/>
  <c r="O146" i="38" s="1"/>
  <c r="J104" i="38"/>
  <c r="J103" i="38"/>
  <c r="J102" i="38"/>
  <c r="N94" i="38"/>
  <c r="O94" i="38" s="1"/>
  <c r="N93" i="38"/>
  <c r="O93" i="38" s="1"/>
  <c r="N92" i="38"/>
  <c r="O92" i="38" s="1"/>
  <c r="N91" i="38"/>
  <c r="N90" i="38"/>
  <c r="N89" i="38"/>
  <c r="N88" i="38"/>
  <c r="N87" i="38"/>
  <c r="N86" i="38"/>
  <c r="N84" i="38"/>
  <c r="J61" i="38"/>
  <c r="J60" i="38"/>
  <c r="I2" i="18"/>
  <c r="I1" i="18"/>
  <c r="A1" i="18"/>
  <c r="O113" i="18"/>
  <c r="Y181" i="38" l="1"/>
  <c r="Y182" i="38" s="1"/>
  <c r="D43" i="10" s="1"/>
  <c r="J85" i="18"/>
  <c r="J36" i="18"/>
  <c r="N161" i="18" l="1"/>
  <c r="N160" i="18"/>
  <c r="J153" i="18"/>
  <c r="J152" i="18"/>
  <c r="J151" i="18"/>
  <c r="J181" i="18"/>
  <c r="J179" i="18"/>
  <c r="J178" i="18"/>
  <c r="J177" i="18"/>
  <c r="J176" i="18"/>
  <c r="J175" i="18"/>
  <c r="N151" i="18"/>
  <c r="J146" i="18"/>
  <c r="J145" i="18"/>
  <c r="O138" i="18"/>
  <c r="O139" i="18" s="1"/>
  <c r="O146" i="18" s="1"/>
  <c r="J104" i="18"/>
  <c r="J103" i="18"/>
  <c r="J102" i="18"/>
  <c r="N94" i="18"/>
  <c r="O94" i="18" s="1"/>
  <c r="N93" i="18"/>
  <c r="O93" i="18" s="1"/>
  <c r="N92" i="18"/>
  <c r="O92" i="18" s="1"/>
  <c r="N91" i="18"/>
  <c r="N90" i="18"/>
  <c r="N89" i="18"/>
  <c r="N88" i="18"/>
  <c r="N87" i="18"/>
  <c r="N86" i="18"/>
  <c r="N84" i="18"/>
  <c r="J61" i="18"/>
  <c r="J60" i="18"/>
  <c r="N38" i="18"/>
  <c r="G42" i="21" l="1"/>
  <c r="G43" i="21"/>
  <c r="G44" i="21"/>
  <c r="G45" i="21"/>
  <c r="G41" i="21"/>
  <c r="G33" i="21"/>
  <c r="G34" i="21"/>
  <c r="G35" i="21"/>
  <c r="G32" i="21"/>
  <c r="G15" i="21" l="1"/>
  <c r="A79" i="9" l="1"/>
  <c r="D16" i="35" l="1"/>
  <c r="G16" i="35" l="1"/>
  <c r="H16" i="35" s="1"/>
  <c r="F23" i="38" l="1"/>
  <c r="A23" i="38"/>
  <c r="B181" i="38"/>
  <c r="B179" i="38"/>
  <c r="B178" i="38"/>
  <c r="B177" i="38"/>
  <c r="B176" i="38"/>
  <c r="B175" i="38"/>
  <c r="F161" i="38"/>
  <c r="F160" i="38"/>
  <c r="F153" i="38"/>
  <c r="B153" i="38"/>
  <c r="B152" i="38"/>
  <c r="B151" i="38"/>
  <c r="B146" i="38"/>
  <c r="B145" i="38"/>
  <c r="G138" i="38"/>
  <c r="G139" i="38" s="1"/>
  <c r="G146" i="38" s="1"/>
  <c r="B104" i="38"/>
  <c r="B103" i="38"/>
  <c r="B102" i="38"/>
  <c r="B61" i="38"/>
  <c r="B60" i="38"/>
  <c r="B36" i="38"/>
  <c r="D23" i="38"/>
  <c r="C23" i="38"/>
  <c r="F19" i="38"/>
  <c r="F18" i="38"/>
  <c r="A14" i="38"/>
  <c r="C13" i="38"/>
  <c r="C12" i="38"/>
  <c r="A8" i="38"/>
  <c r="A6" i="38"/>
  <c r="A5" i="38"/>
  <c r="A2" i="38"/>
  <c r="A1" i="38"/>
  <c r="B36" i="18"/>
  <c r="H37" i="15" l="1"/>
  <c r="J115" i="38"/>
  <c r="J115" i="18"/>
  <c r="B37" i="15"/>
  <c r="B115" i="38"/>
  <c r="B115" i="18"/>
  <c r="F42" i="21" l="1"/>
  <c r="F43" i="21"/>
  <c r="F44" i="21"/>
  <c r="F45" i="21"/>
  <c r="F41" i="21"/>
  <c r="F33" i="21"/>
  <c r="F34" i="21"/>
  <c r="F35" i="21"/>
  <c r="F32" i="21"/>
  <c r="F16" i="21"/>
  <c r="F17" i="21"/>
  <c r="F18" i="21"/>
  <c r="F19" i="21"/>
  <c r="F20" i="21"/>
  <c r="F21" i="21"/>
  <c r="F22" i="21"/>
  <c r="F23" i="21"/>
  <c r="F15" i="21"/>
  <c r="G16" i="21"/>
  <c r="H16" i="21" l="1"/>
  <c r="G18" i="35"/>
  <c r="H18" i="35" s="1"/>
  <c r="G52" i="21"/>
  <c r="H45" i="21"/>
  <c r="H44" i="21"/>
  <c r="H43" i="21"/>
  <c r="H42" i="21"/>
  <c r="H41" i="21"/>
  <c r="H35" i="21"/>
  <c r="H34" i="21"/>
  <c r="H33" i="21"/>
  <c r="H32" i="2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H15" i="21"/>
  <c r="G27" i="35"/>
  <c r="H27" i="35" s="1"/>
  <c r="G26" i="35"/>
  <c r="H26" i="35" s="1"/>
  <c r="G14" i="35"/>
  <c r="H14" i="35" s="1"/>
  <c r="G15" i="35"/>
  <c r="H15" i="35" s="1"/>
  <c r="G17" i="35"/>
  <c r="H17" i="35" s="1"/>
  <c r="G19" i="35"/>
  <c r="H19" i="35" s="1"/>
  <c r="G20" i="35"/>
  <c r="H20" i="35" s="1"/>
  <c r="G21" i="35"/>
  <c r="H21" i="35" s="1"/>
  <c r="G13" i="35"/>
  <c r="H13" i="35" s="1"/>
  <c r="H22" i="35" l="1"/>
  <c r="H28" i="35"/>
  <c r="H24" i="21"/>
  <c r="H46" i="21"/>
  <c r="H47" i="21" s="1"/>
  <c r="H51" i="21" s="1"/>
  <c r="H36" i="21"/>
  <c r="H37" i="21" s="1"/>
  <c r="H50" i="21" s="1"/>
  <c r="A5" i="35"/>
  <c r="A4" i="35"/>
  <c r="A3" i="35"/>
  <c r="A2" i="35"/>
  <c r="H36" i="34"/>
  <c r="H34" i="34"/>
  <c r="H52" i="21" l="1"/>
  <c r="J61" i="8" s="1"/>
  <c r="F151" i="37" l="1"/>
  <c r="F151" i="39"/>
  <c r="E34" i="10"/>
  <c r="E24" i="10"/>
  <c r="E23" i="38"/>
  <c r="B47" i="13"/>
  <c r="M151" i="37" l="1"/>
  <c r="G151" i="37"/>
  <c r="J151" i="37"/>
  <c r="E32" i="10"/>
  <c r="E22" i="10"/>
  <c r="G23" i="38"/>
  <c r="H25" i="34" l="1"/>
  <c r="E14" i="10" l="1"/>
  <c r="F24" i="34"/>
  <c r="H35" i="34" s="1"/>
  <c r="H31" i="34"/>
  <c r="H32" i="34" s="1"/>
  <c r="A5" i="34"/>
  <c r="A4" i="34"/>
  <c r="A3" i="34"/>
  <c r="A2" i="34"/>
  <c r="B36" i="13"/>
  <c r="B37" i="13"/>
  <c r="B13" i="13"/>
  <c r="F34" i="10" l="1"/>
  <c r="F24" i="10"/>
  <c r="E35" i="10"/>
  <c r="E25" i="10"/>
  <c r="E13" i="10"/>
  <c r="F14" i="10"/>
  <c r="F33" i="10" l="1"/>
  <c r="N153" i="38"/>
  <c r="N153" i="18"/>
  <c r="F13" i="10"/>
  <c r="E47" i="13"/>
  <c r="E52" i="13" s="1"/>
  <c r="F24" i="9"/>
  <c r="G24" i="9"/>
  <c r="F25" i="9"/>
  <c r="G25" i="9"/>
  <c r="B13" i="10"/>
  <c r="B14" i="10"/>
  <c r="B24" i="9"/>
  <c r="B25" i="9"/>
  <c r="G138" i="18" l="1"/>
  <c r="F153" i="18" l="1"/>
  <c r="B153" i="18"/>
  <c r="B152" i="18"/>
  <c r="A5" i="10" l="1"/>
  <c r="A4" i="10"/>
  <c r="A5" i="28"/>
  <c r="A4" i="28"/>
  <c r="A5" i="15"/>
  <c r="A4" i="15"/>
  <c r="A5" i="13"/>
  <c r="A4" i="13"/>
  <c r="A5" i="21"/>
  <c r="A4" i="21"/>
  <c r="A6" i="18"/>
  <c r="A5" i="18"/>
  <c r="F28" i="18" l="1"/>
  <c r="Y35" i="18" s="1"/>
  <c r="AA35" i="18" s="1"/>
  <c r="AA41" i="18" s="1"/>
  <c r="D35" i="13"/>
  <c r="L35" i="13"/>
  <c r="H28" i="34"/>
  <c r="H13" i="34"/>
  <c r="H27" i="34"/>
  <c r="H14" i="34"/>
  <c r="H29" i="34"/>
  <c r="H15" i="34"/>
  <c r="B12" i="13"/>
  <c r="B46" i="13"/>
  <c r="A7" i="9"/>
  <c r="C23" i="18"/>
  <c r="Y41" i="18" l="1"/>
  <c r="AE35" i="18"/>
  <c r="M86" i="38"/>
  <c r="M84" i="38"/>
  <c r="W35" i="18"/>
  <c r="W41" i="18" s="1"/>
  <c r="O35" i="18"/>
  <c r="M84" i="18"/>
  <c r="M86" i="18"/>
  <c r="E86" i="38"/>
  <c r="E84" i="38"/>
  <c r="AK84" i="38" s="1"/>
  <c r="D13" i="13"/>
  <c r="AK85" i="38" l="1"/>
  <c r="AK96" i="38" s="1"/>
  <c r="AK104" i="38" s="1"/>
  <c r="AK105" i="38" s="1"/>
  <c r="AK176" i="38" s="1"/>
  <c r="AK180" i="38" s="1"/>
  <c r="AE84" i="38"/>
  <c r="AG84" i="38"/>
  <c r="AI84" i="38"/>
  <c r="AE85" i="38"/>
  <c r="AE96" i="38" s="1"/>
  <c r="AE104" i="38" s="1"/>
  <c r="AI35" i="18"/>
  <c r="AE36" i="18"/>
  <c r="AE41" i="18" s="1"/>
  <c r="B61" i="18"/>
  <c r="B60" i="18"/>
  <c r="AK160" i="38" l="1"/>
  <c r="AK51" i="18"/>
  <c r="AE49" i="18"/>
  <c r="AI85" i="38"/>
  <c r="AI96" i="38" s="1"/>
  <c r="AI104" i="38" s="1"/>
  <c r="AI105" i="38" s="1"/>
  <c r="AI176" i="38" s="1"/>
  <c r="AI180" i="38" s="1"/>
  <c r="AG85" i="38"/>
  <c r="AG96" i="38" s="1"/>
  <c r="AG104" i="38" s="1"/>
  <c r="AG105" i="38" s="1"/>
  <c r="AG176" i="38" s="1"/>
  <c r="AG180" i="38" s="1"/>
  <c r="AG160" i="38" s="1"/>
  <c r="AG50" i="18"/>
  <c r="AG49" i="18"/>
  <c r="AI36" i="18"/>
  <c r="AI41" i="18" s="1"/>
  <c r="AE60" i="18"/>
  <c r="AE175" i="18"/>
  <c r="AI49" i="18"/>
  <c r="AE50" i="18"/>
  <c r="AI50" i="18"/>
  <c r="F93" i="18"/>
  <c r="A44" i="15"/>
  <c r="A30" i="15"/>
  <c r="A17" i="15"/>
  <c r="A10" i="15"/>
  <c r="AK161" i="38" l="1"/>
  <c r="AK163" i="38" s="1"/>
  <c r="AK102" i="18"/>
  <c r="AK61" i="18"/>
  <c r="AK62" i="18" s="1"/>
  <c r="AG161" i="38"/>
  <c r="AG164" i="38" s="1"/>
  <c r="AI160" i="38"/>
  <c r="AG51" i="18"/>
  <c r="AG102" i="18" s="1"/>
  <c r="AI51" i="18"/>
  <c r="AE51" i="18"/>
  <c r="AI60" i="18"/>
  <c r="AI175" i="18"/>
  <c r="N85" i="38"/>
  <c r="N85" i="18"/>
  <c r="F88" i="38"/>
  <c r="G88" i="38" s="1"/>
  <c r="F88" i="18"/>
  <c r="F91" i="38"/>
  <c r="G91" i="38" s="1"/>
  <c r="F89" i="38"/>
  <c r="G89" i="38" s="1"/>
  <c r="F85" i="38"/>
  <c r="F92" i="38"/>
  <c r="G92" i="38" s="1"/>
  <c r="F90" i="38"/>
  <c r="G90" i="38" s="1"/>
  <c r="F93" i="38"/>
  <c r="G93" i="38" s="1"/>
  <c r="F87" i="38"/>
  <c r="G87" i="38" s="1"/>
  <c r="F94" i="38"/>
  <c r="G94" i="38" s="1"/>
  <c r="F94" i="18"/>
  <c r="G94" i="18" s="1"/>
  <c r="F92" i="18"/>
  <c r="G92" i="18" s="1"/>
  <c r="F90" i="18"/>
  <c r="G90" i="18" s="1"/>
  <c r="F87" i="18"/>
  <c r="F89" i="18"/>
  <c r="F91" i="18"/>
  <c r="G93" i="18"/>
  <c r="AK164" i="38" l="1"/>
  <c r="AK165" i="38"/>
  <c r="AG165" i="38"/>
  <c r="AG163" i="38"/>
  <c r="AI161" i="38"/>
  <c r="AG61" i="18"/>
  <c r="AG62" i="18" s="1"/>
  <c r="AE61" i="18"/>
  <c r="AE62" i="18" s="1"/>
  <c r="AE102" i="18"/>
  <c r="AI61" i="18"/>
  <c r="AI62" i="18" s="1"/>
  <c r="AI102" i="18"/>
  <c r="W91" i="18"/>
  <c r="O91" i="18"/>
  <c r="O88" i="18"/>
  <c r="W88" i="18"/>
  <c r="O89" i="18"/>
  <c r="W89" i="18"/>
  <c r="G89" i="18"/>
  <c r="Y89" i="18" s="1"/>
  <c r="AA89" i="18" s="1"/>
  <c r="G91" i="18"/>
  <c r="Y91" i="18" s="1"/>
  <c r="AA91" i="18" s="1"/>
  <c r="G88" i="18"/>
  <c r="Y88" i="18" s="1"/>
  <c r="AA88" i="18" s="1"/>
  <c r="B181" i="18"/>
  <c r="B179" i="18"/>
  <c r="B178" i="18"/>
  <c r="B177" i="18"/>
  <c r="B176" i="18"/>
  <c r="B175" i="18"/>
  <c r="B146" i="18"/>
  <c r="B145" i="18"/>
  <c r="G139" i="18"/>
  <c r="G146" i="18" s="1"/>
  <c r="B104" i="18"/>
  <c r="B103" i="18"/>
  <c r="B102" i="18"/>
  <c r="AK167" i="38" l="1"/>
  <c r="AK181" i="38" s="1"/>
  <c r="AK182" i="38" s="1"/>
  <c r="D105" i="10" s="1"/>
  <c r="G105" i="10" s="1"/>
  <c r="H105" i="10" s="1"/>
  <c r="AE127" i="18"/>
  <c r="AI164" i="38"/>
  <c r="AI163" i="38"/>
  <c r="AI165" i="38"/>
  <c r="AG128" i="18"/>
  <c r="AG111" i="18"/>
  <c r="AG69" i="18"/>
  <c r="AG127" i="18"/>
  <c r="AG110" i="18"/>
  <c r="AG68" i="18"/>
  <c r="AG70" i="18"/>
  <c r="AG126" i="18"/>
  <c r="AG109" i="18"/>
  <c r="AG67" i="18"/>
  <c r="AG66" i="18"/>
  <c r="AG129" i="18"/>
  <c r="AG112" i="18"/>
  <c r="AG115" i="18"/>
  <c r="AG73" i="18"/>
  <c r="AG131" i="18"/>
  <c r="AG114" i="18"/>
  <c r="AG72" i="18"/>
  <c r="AG130" i="18"/>
  <c r="AG113" i="18"/>
  <c r="AG71" i="18"/>
  <c r="AE109" i="18"/>
  <c r="AI129" i="18"/>
  <c r="AI112" i="18"/>
  <c r="AI71" i="18"/>
  <c r="AE126" i="18"/>
  <c r="AE72" i="18"/>
  <c r="AE113" i="18"/>
  <c r="AI113" i="18"/>
  <c r="AE110" i="18"/>
  <c r="AI128" i="18"/>
  <c r="AI111" i="18"/>
  <c r="AI70" i="18"/>
  <c r="AE71" i="18"/>
  <c r="AE70" i="18"/>
  <c r="AE69" i="18"/>
  <c r="AE68" i="18"/>
  <c r="AI72" i="18"/>
  <c r="AI127" i="18"/>
  <c r="AI110" i="18"/>
  <c r="AI69" i="18"/>
  <c r="AE115" i="18"/>
  <c r="AE130" i="18"/>
  <c r="AI130" i="18"/>
  <c r="AI126" i="18"/>
  <c r="AI109" i="18"/>
  <c r="AI68" i="18"/>
  <c r="AE131" i="18"/>
  <c r="AE114" i="18"/>
  <c r="AI67" i="18"/>
  <c r="AI115" i="18"/>
  <c r="AI66" i="18"/>
  <c r="AE129" i="18"/>
  <c r="AE112" i="18"/>
  <c r="AE67" i="18"/>
  <c r="AI131" i="18"/>
  <c r="AI114" i="18"/>
  <c r="AI73" i="18"/>
  <c r="AE128" i="18"/>
  <c r="AE111" i="18"/>
  <c r="AE66" i="18"/>
  <c r="AE73" i="18"/>
  <c r="N25" i="15"/>
  <c r="H25" i="15"/>
  <c r="J73" i="38"/>
  <c r="J73" i="18"/>
  <c r="N22" i="15"/>
  <c r="H22" i="15"/>
  <c r="J70" i="38"/>
  <c r="J70" i="18"/>
  <c r="N21" i="15"/>
  <c r="H21" i="15"/>
  <c r="J69" i="38"/>
  <c r="J69" i="18"/>
  <c r="N24" i="15"/>
  <c r="H24" i="15"/>
  <c r="J72" i="38"/>
  <c r="J72" i="18"/>
  <c r="N20" i="15"/>
  <c r="H20" i="15"/>
  <c r="J68" i="38"/>
  <c r="J68" i="18"/>
  <c r="N23" i="15"/>
  <c r="H23" i="15"/>
  <c r="J71" i="38"/>
  <c r="J71" i="18"/>
  <c r="N19" i="15"/>
  <c r="H19" i="15"/>
  <c r="J67" i="38"/>
  <c r="J67" i="18"/>
  <c r="B73" i="38"/>
  <c r="B70" i="38"/>
  <c r="B69" i="38"/>
  <c r="B72" i="38"/>
  <c r="B68" i="38"/>
  <c r="B71" i="38"/>
  <c r="B67" i="38"/>
  <c r="AK74" i="18" l="1"/>
  <c r="AK103" i="18" s="1"/>
  <c r="AK132" i="18"/>
  <c r="AK145" i="18" s="1"/>
  <c r="AK147" i="18" s="1"/>
  <c r="AK178" i="18" s="1"/>
  <c r="AK116" i="18"/>
  <c r="AK177" i="18" s="1"/>
  <c r="AI167" i="38"/>
  <c r="AI181" i="38" s="1"/>
  <c r="AI182" i="38" s="1"/>
  <c r="D94" i="10" s="1"/>
  <c r="G94" i="10" s="1"/>
  <c r="AG74" i="18"/>
  <c r="AG103" i="18" s="1"/>
  <c r="AG116" i="18"/>
  <c r="AG177" i="18" s="1"/>
  <c r="AG132" i="18"/>
  <c r="AG145" i="18" s="1"/>
  <c r="AG147" i="18" s="1"/>
  <c r="AG178" i="18" s="1"/>
  <c r="AI74" i="18"/>
  <c r="AI103" i="18" s="1"/>
  <c r="AE132" i="18"/>
  <c r="AE145" i="18" s="1"/>
  <c r="AE147" i="18" s="1"/>
  <c r="AE178" i="18" s="1"/>
  <c r="AE74" i="18"/>
  <c r="AE103" i="18" s="1"/>
  <c r="AI116" i="18"/>
  <c r="AI177" i="18" s="1"/>
  <c r="AE116" i="18"/>
  <c r="AE177" i="18" s="1"/>
  <c r="AI132" i="18"/>
  <c r="AI145" i="18" s="1"/>
  <c r="AI147" i="18" s="1"/>
  <c r="AI178" i="18" s="1"/>
  <c r="B17" i="15"/>
  <c r="N17" i="15"/>
  <c r="H17" i="15"/>
  <c r="B30" i="15"/>
  <c r="H30" i="15"/>
  <c r="B10" i="15"/>
  <c r="N10" i="15"/>
  <c r="H10" i="15"/>
  <c r="B44" i="15"/>
  <c r="H44" i="15"/>
  <c r="N44" i="15"/>
  <c r="H94" i="10" l="1"/>
  <c r="K94" i="10"/>
  <c r="N11" i="15"/>
  <c r="H11" i="15"/>
  <c r="J49" i="38"/>
  <c r="B49" i="18"/>
  <c r="J49" i="18"/>
  <c r="H45" i="15"/>
  <c r="N45" i="15"/>
  <c r="J126" i="38"/>
  <c r="J126" i="18"/>
  <c r="N12" i="15"/>
  <c r="H12" i="15"/>
  <c r="J50" i="38"/>
  <c r="J50" i="18"/>
  <c r="N49" i="15"/>
  <c r="H49" i="15"/>
  <c r="J130" i="38"/>
  <c r="J130" i="18"/>
  <c r="N18" i="15"/>
  <c r="H18" i="15"/>
  <c r="J66" i="38"/>
  <c r="J66" i="18"/>
  <c r="N48" i="15"/>
  <c r="H48" i="15"/>
  <c r="J129" i="38"/>
  <c r="J129" i="18"/>
  <c r="H32" i="15"/>
  <c r="J110" i="38"/>
  <c r="J110" i="18"/>
  <c r="N47" i="15"/>
  <c r="H47" i="15"/>
  <c r="J128" i="38"/>
  <c r="J128" i="18"/>
  <c r="H31" i="15"/>
  <c r="J109" i="38"/>
  <c r="J109" i="18"/>
  <c r="H35" i="15"/>
  <c r="J113" i="38"/>
  <c r="J113" i="18"/>
  <c r="H46" i="15"/>
  <c r="N46" i="15"/>
  <c r="J127" i="38"/>
  <c r="J127" i="18"/>
  <c r="H33" i="15"/>
  <c r="J111" i="38"/>
  <c r="J111" i="18"/>
  <c r="H36" i="15"/>
  <c r="J114" i="38"/>
  <c r="J114" i="18"/>
  <c r="H34" i="15"/>
  <c r="J112" i="38"/>
  <c r="J112" i="18"/>
  <c r="H50" i="15"/>
  <c r="N50" i="15"/>
  <c r="J131" i="38"/>
  <c r="J131" i="18"/>
  <c r="B50" i="38"/>
  <c r="B109" i="38"/>
  <c r="B111" i="38"/>
  <c r="B129" i="38"/>
  <c r="B114" i="38"/>
  <c r="B128" i="38"/>
  <c r="B110" i="38"/>
  <c r="B49" i="38"/>
  <c r="B113" i="38"/>
  <c r="B126" i="38"/>
  <c r="B127" i="38"/>
  <c r="B66" i="38"/>
  <c r="B112" i="38"/>
  <c r="B130" i="38"/>
  <c r="B131" i="38"/>
  <c r="A14" i="18"/>
  <c r="A12" i="9"/>
  <c r="C13" i="18" l="1"/>
  <c r="V165" i="18" l="1"/>
  <c r="N165" i="38"/>
  <c r="N165" i="18"/>
  <c r="V163" i="18"/>
  <c r="N163" i="38"/>
  <c r="N163" i="18"/>
  <c r="F165" i="38"/>
  <c r="A74" i="9"/>
  <c r="F17" i="38"/>
  <c r="F163" i="38"/>
  <c r="A5" i="9" l="1"/>
  <c r="A6" i="9"/>
  <c r="C12" i="28" l="1"/>
  <c r="C11" i="28"/>
  <c r="A3" i="28"/>
  <c r="A2" i="28"/>
  <c r="F28" i="38" l="1"/>
  <c r="O35" i="38" s="1"/>
  <c r="D37" i="13"/>
  <c r="F37" i="13" s="1"/>
  <c r="L37" i="13"/>
  <c r="D36" i="13"/>
  <c r="F36" i="13" s="1"/>
  <c r="L36" i="13"/>
  <c r="H30" i="34"/>
  <c r="H17" i="34"/>
  <c r="H18" i="34"/>
  <c r="H16" i="34"/>
  <c r="H20" i="34"/>
  <c r="H24" i="34"/>
  <c r="H21" i="34"/>
  <c r="H19" i="34"/>
  <c r="H22" i="34"/>
  <c r="H23" i="34"/>
  <c r="G35" i="38" l="1"/>
  <c r="F29" i="18"/>
  <c r="F29" i="38"/>
  <c r="C47" i="9"/>
  <c r="B85" i="18"/>
  <c r="D12" i="13"/>
  <c r="F17" i="18"/>
  <c r="C42" i="13"/>
  <c r="E46" i="13"/>
  <c r="E51" i="13" s="1"/>
  <c r="B93" i="38" l="1"/>
  <c r="B94" i="38"/>
  <c r="B92" i="38"/>
  <c r="J92" i="38"/>
  <c r="J88" i="38"/>
  <c r="J84" i="38"/>
  <c r="J91" i="38"/>
  <c r="J87" i="38"/>
  <c r="J94" i="38"/>
  <c r="J90" i="38"/>
  <c r="J93" i="38"/>
  <c r="J86" i="38"/>
  <c r="J89" i="38"/>
  <c r="C9" i="15"/>
  <c r="G51" i="13" l="1"/>
  <c r="G52" i="13"/>
  <c r="J93" i="18" l="1"/>
  <c r="J89" i="18"/>
  <c r="J94" i="18"/>
  <c r="J90" i="18"/>
  <c r="J84" i="18"/>
  <c r="J92" i="18"/>
  <c r="J88" i="18"/>
  <c r="J91" i="18"/>
  <c r="J87" i="18"/>
  <c r="J86" i="18"/>
  <c r="B93" i="18"/>
  <c r="B94" i="18"/>
  <c r="B92" i="18"/>
  <c r="E84" i="18"/>
  <c r="N38" i="38"/>
  <c r="AG84" i="18" l="1"/>
  <c r="AG85" i="18"/>
  <c r="AG96" i="18" s="1"/>
  <c r="AG104" i="18" s="1"/>
  <c r="AG105" i="18" s="1"/>
  <c r="AG176" i="18" s="1"/>
  <c r="AG180" i="18" s="1"/>
  <c r="AG160" i="18" s="1"/>
  <c r="AI84" i="18"/>
  <c r="AE84" i="18"/>
  <c r="V164" i="18"/>
  <c r="N164" i="38"/>
  <c r="N167" i="38" s="1"/>
  <c r="N164" i="18"/>
  <c r="N167" i="18" s="1"/>
  <c r="N36" i="38"/>
  <c r="O36" i="38" s="1"/>
  <c r="O38" i="38" s="1"/>
  <c r="N36" i="18"/>
  <c r="F164" i="38"/>
  <c r="F167" i="38" s="1"/>
  <c r="F38" i="38"/>
  <c r="F36" i="38"/>
  <c r="G36" i="38" s="1"/>
  <c r="C43" i="13"/>
  <c r="C50" i="9"/>
  <c r="F165" i="18"/>
  <c r="C18" i="28"/>
  <c r="F164" i="18"/>
  <c r="C15" i="28"/>
  <c r="F163" i="18"/>
  <c r="C16" i="28"/>
  <c r="AK85" i="18" l="1"/>
  <c r="AK96" i="18" s="1"/>
  <c r="AK104" i="18" s="1"/>
  <c r="AK105" i="18" s="1"/>
  <c r="AK176" i="18" s="1"/>
  <c r="AK180" i="18" s="1"/>
  <c r="AG161" i="18"/>
  <c r="AG163" i="18" s="1"/>
  <c r="AE85" i="18"/>
  <c r="AE96" i="18" s="1"/>
  <c r="AE104" i="18" s="1"/>
  <c r="AE105" i="18" s="1"/>
  <c r="AE176" i="18" s="1"/>
  <c r="AE180" i="18" s="1"/>
  <c r="AI85" i="18"/>
  <c r="V167" i="18"/>
  <c r="O41" i="38"/>
  <c r="G38" i="38"/>
  <c r="G41" i="38" s="1"/>
  <c r="F86" i="38"/>
  <c r="G86" i="38" s="1"/>
  <c r="G46" i="13"/>
  <c r="G47" i="13"/>
  <c r="F86" i="18"/>
  <c r="AK160" i="18" l="1"/>
  <c r="AG165" i="18"/>
  <c r="AI96" i="18"/>
  <c r="AI104" i="18" s="1"/>
  <c r="AI105" i="18" s="1"/>
  <c r="AI176" i="18" s="1"/>
  <c r="AI180" i="18" s="1"/>
  <c r="AG164" i="18"/>
  <c r="AE160" i="18"/>
  <c r="O175" i="38"/>
  <c r="O60" i="38"/>
  <c r="G175" i="38"/>
  <c r="G60" i="38"/>
  <c r="F38" i="18"/>
  <c r="AK161" i="18" l="1"/>
  <c r="AK165" i="18" s="1"/>
  <c r="AI160" i="18"/>
  <c r="AI161" i="18" s="1"/>
  <c r="AI164" i="18" s="1"/>
  <c r="AE161" i="18"/>
  <c r="AE163" i="18" s="1"/>
  <c r="B35" i="13"/>
  <c r="AK164" i="18" l="1"/>
  <c r="AK163" i="18"/>
  <c r="AI165" i="18"/>
  <c r="AI163" i="18"/>
  <c r="AE165" i="18"/>
  <c r="AE164" i="18"/>
  <c r="A2" i="18"/>
  <c r="F23" i="18"/>
  <c r="AK167" i="18" l="1"/>
  <c r="AK181" i="18" s="1"/>
  <c r="AK182" i="18" s="1"/>
  <c r="D103" i="10" s="1"/>
  <c r="G103" i="10" s="1"/>
  <c r="AI167" i="18"/>
  <c r="AI181" i="18" s="1"/>
  <c r="AI182" i="18" s="1"/>
  <c r="D92" i="10" s="1"/>
  <c r="G92" i="10" s="1"/>
  <c r="AE167" i="18"/>
  <c r="AE181" i="18" s="1"/>
  <c r="AE182" i="18" s="1"/>
  <c r="D61" i="10" s="1"/>
  <c r="G61" i="10" s="1"/>
  <c r="C20" i="15"/>
  <c r="E86" i="18"/>
  <c r="G87" i="18" s="1"/>
  <c r="G107" i="10" l="1"/>
  <c r="H103" i="10"/>
  <c r="H107" i="10" s="1"/>
  <c r="B12" i="45" s="1"/>
  <c r="B13" i="45" s="1"/>
  <c r="K92" i="10"/>
  <c r="H92" i="10"/>
  <c r="H96" i="10" s="1"/>
  <c r="B4" i="45" s="1"/>
  <c r="B5" i="45" s="1"/>
  <c r="G96" i="10"/>
  <c r="H61" i="10"/>
  <c r="I33" i="15"/>
  <c r="N111" i="38"/>
  <c r="N111" i="18"/>
  <c r="O19" i="15"/>
  <c r="I19" i="15"/>
  <c r="N67" i="38"/>
  <c r="N67" i="18"/>
  <c r="I36" i="15"/>
  <c r="N114" i="38"/>
  <c r="N114" i="18"/>
  <c r="F131" i="18"/>
  <c r="O50" i="15"/>
  <c r="I50" i="15"/>
  <c r="N131" i="38"/>
  <c r="N131" i="18"/>
  <c r="F127" i="18"/>
  <c r="I46" i="15"/>
  <c r="O46" i="15"/>
  <c r="N127" i="38"/>
  <c r="N127" i="18"/>
  <c r="O25" i="15"/>
  <c r="I25" i="15"/>
  <c r="N73" i="38"/>
  <c r="N73" i="18"/>
  <c r="F128" i="18"/>
  <c r="O47" i="15"/>
  <c r="I47" i="15"/>
  <c r="N128" i="38"/>
  <c r="N128" i="18"/>
  <c r="I31" i="15"/>
  <c r="N109" i="38"/>
  <c r="N109" i="18"/>
  <c r="F129" i="18"/>
  <c r="I48" i="15"/>
  <c r="O48" i="15"/>
  <c r="N129" i="38"/>
  <c r="N129" i="18"/>
  <c r="O21" i="15"/>
  <c r="I21" i="15"/>
  <c r="N69" i="38"/>
  <c r="N69" i="18"/>
  <c r="O23" i="15"/>
  <c r="I23" i="15"/>
  <c r="N71" i="38"/>
  <c r="N71" i="18"/>
  <c r="O18" i="15"/>
  <c r="I18" i="15"/>
  <c r="N66" i="38"/>
  <c r="N66" i="18"/>
  <c r="I45" i="15"/>
  <c r="O45" i="15"/>
  <c r="N126" i="38"/>
  <c r="N126" i="18"/>
  <c r="O11" i="15"/>
  <c r="I11" i="15"/>
  <c r="N49" i="38"/>
  <c r="N49" i="18"/>
  <c r="O24" i="15"/>
  <c r="I24" i="15"/>
  <c r="N72" i="38"/>
  <c r="N72" i="18"/>
  <c r="F130" i="18"/>
  <c r="O49" i="15"/>
  <c r="I49" i="15"/>
  <c r="N130" i="38"/>
  <c r="N130" i="18"/>
  <c r="O22" i="15"/>
  <c r="I22" i="15"/>
  <c r="N70" i="38"/>
  <c r="N70" i="18"/>
  <c r="O12" i="15"/>
  <c r="I12" i="15"/>
  <c r="N50" i="38"/>
  <c r="O50" i="38" s="1"/>
  <c r="N50" i="18"/>
  <c r="I34" i="15"/>
  <c r="C34" i="15"/>
  <c r="N112" i="38"/>
  <c r="N112" i="18"/>
  <c r="C37" i="15"/>
  <c r="I37" i="15"/>
  <c r="N115" i="38"/>
  <c r="N115" i="18"/>
  <c r="F115" i="18"/>
  <c r="F129" i="38"/>
  <c r="F67" i="38"/>
  <c r="F73" i="38"/>
  <c r="F68" i="38"/>
  <c r="F70" i="38"/>
  <c r="F71" i="38"/>
  <c r="F112" i="38"/>
  <c r="F127" i="38"/>
  <c r="F126" i="38"/>
  <c r="F49" i="38"/>
  <c r="F109" i="38"/>
  <c r="F72" i="38"/>
  <c r="F69" i="38"/>
  <c r="C33" i="15"/>
  <c r="F111" i="38"/>
  <c r="F131" i="38"/>
  <c r="F130" i="38"/>
  <c r="F50" i="18"/>
  <c r="F50" i="38"/>
  <c r="G50" i="38" s="1"/>
  <c r="C36" i="15"/>
  <c r="F114" i="38"/>
  <c r="F66" i="38"/>
  <c r="F128" i="38"/>
  <c r="F115" i="38"/>
  <c r="F126" i="18"/>
  <c r="A23" i="18"/>
  <c r="B6" i="45" l="1"/>
  <c r="B11" i="45"/>
  <c r="B14" i="45" s="1"/>
  <c r="F32" i="10"/>
  <c r="F35" i="10" s="1"/>
  <c r="F22" i="10"/>
  <c r="F25" i="10" s="1"/>
  <c r="N51" i="18"/>
  <c r="O51" i="15"/>
  <c r="I51" i="15"/>
  <c r="I32" i="15"/>
  <c r="I38" i="15" s="1"/>
  <c r="N110" i="38"/>
  <c r="N110" i="18"/>
  <c r="N116" i="18" s="1"/>
  <c r="N51" i="38"/>
  <c r="O49" i="38"/>
  <c r="O51" i="38" s="1"/>
  <c r="I13" i="15"/>
  <c r="N74" i="18"/>
  <c r="O13" i="15"/>
  <c r="N74" i="38"/>
  <c r="N132" i="18"/>
  <c r="I26" i="15"/>
  <c r="N132" i="38"/>
  <c r="O26" i="15"/>
  <c r="F74" i="38"/>
  <c r="F132" i="38"/>
  <c r="C32" i="15"/>
  <c r="F110" i="38"/>
  <c r="F51" i="38"/>
  <c r="G49" i="38"/>
  <c r="G51" i="38" s="1"/>
  <c r="H23" i="35"/>
  <c r="H24" i="35" s="1"/>
  <c r="J62" i="8" s="1"/>
  <c r="H29" i="35"/>
  <c r="H30" i="35" s="1"/>
  <c r="G86" i="18"/>
  <c r="J63" i="8" l="1"/>
  <c r="C35" i="15"/>
  <c r="F113" i="18"/>
  <c r="N116" i="38"/>
  <c r="O102" i="38"/>
  <c r="O61" i="38"/>
  <c r="O62" i="38" s="1"/>
  <c r="O110" i="38" s="1"/>
  <c r="F113" i="38"/>
  <c r="F116" i="38" s="1"/>
  <c r="F152" i="38"/>
  <c r="G61" i="38"/>
  <c r="G62" i="38" s="1"/>
  <c r="G66" i="38" s="1"/>
  <c r="G102" i="38"/>
  <c r="F152" i="18"/>
  <c r="E12" i="13"/>
  <c r="F12" i="13" s="1"/>
  <c r="F152" i="37" l="1"/>
  <c r="F152" i="39"/>
  <c r="O152" i="18"/>
  <c r="W152" i="18"/>
  <c r="G152" i="38"/>
  <c r="O152" i="38"/>
  <c r="O72" i="38"/>
  <c r="O113" i="38"/>
  <c r="O73" i="38"/>
  <c r="O127" i="38"/>
  <c r="O68" i="38"/>
  <c r="O129" i="38"/>
  <c r="O70" i="38"/>
  <c r="O66" i="38"/>
  <c r="O69" i="38"/>
  <c r="O130" i="38"/>
  <c r="O71" i="38"/>
  <c r="O126" i="38"/>
  <c r="O67" i="38"/>
  <c r="O128" i="38"/>
  <c r="O114" i="38"/>
  <c r="O115" i="38"/>
  <c r="O109" i="38"/>
  <c r="O112" i="38"/>
  <c r="O131" i="38"/>
  <c r="O111" i="38"/>
  <c r="G152" i="18"/>
  <c r="F84" i="38"/>
  <c r="G127" i="38"/>
  <c r="G130" i="38"/>
  <c r="G72" i="38"/>
  <c r="G73" i="38"/>
  <c r="G126" i="38"/>
  <c r="G68" i="38"/>
  <c r="G69" i="38"/>
  <c r="G70" i="38"/>
  <c r="G71" i="38"/>
  <c r="G131" i="38"/>
  <c r="G128" i="38"/>
  <c r="G129" i="38"/>
  <c r="G67" i="38"/>
  <c r="G114" i="38"/>
  <c r="G115" i="38"/>
  <c r="G109" i="38"/>
  <c r="G111" i="38"/>
  <c r="G112" i="38"/>
  <c r="G110" i="38"/>
  <c r="G113" i="38"/>
  <c r="F84" i="18"/>
  <c r="G13" i="13"/>
  <c r="E36" i="13" s="1"/>
  <c r="G12" i="13"/>
  <c r="D23" i="18"/>
  <c r="E23" i="18"/>
  <c r="C12" i="18"/>
  <c r="Y84" i="18" l="1"/>
  <c r="AA84" i="18" s="1"/>
  <c r="AC84" i="18"/>
  <c r="Q179" i="37"/>
  <c r="M152" i="37"/>
  <c r="G155" i="39"/>
  <c r="G179" i="39" s="1"/>
  <c r="G180" i="39" s="1"/>
  <c r="J152" i="37"/>
  <c r="G152" i="37"/>
  <c r="M153" i="37" s="1"/>
  <c r="O74" i="38"/>
  <c r="O103" i="38" s="1"/>
  <c r="O116" i="38"/>
  <c r="O177" i="38" s="1"/>
  <c r="O132" i="38"/>
  <c r="O145" i="38" s="1"/>
  <c r="O147" i="38" s="1"/>
  <c r="O178" i="38" s="1"/>
  <c r="G153" i="38"/>
  <c r="O153" i="38"/>
  <c r="W84" i="18"/>
  <c r="O84" i="18"/>
  <c r="G84" i="38"/>
  <c r="G85" i="38" s="1"/>
  <c r="G96" i="38" s="1"/>
  <c r="G104" i="38" s="1"/>
  <c r="O84" i="38"/>
  <c r="W153" i="18"/>
  <c r="O153" i="18"/>
  <c r="G84" i="18"/>
  <c r="G153" i="18"/>
  <c r="G116" i="38"/>
  <c r="G74" i="38"/>
  <c r="G103" i="38" s="1"/>
  <c r="G132" i="38"/>
  <c r="G145" i="38" s="1"/>
  <c r="G147" i="38" s="1"/>
  <c r="G36" i="13"/>
  <c r="E37" i="13"/>
  <c r="G37" i="13" s="1"/>
  <c r="G23" i="18"/>
  <c r="E29" i="13"/>
  <c r="E30" i="13" s="1"/>
  <c r="F29" i="13"/>
  <c r="F30" i="13" s="1"/>
  <c r="G29" i="13"/>
  <c r="G30" i="13" s="1"/>
  <c r="M155" i="37" l="1"/>
  <c r="J153" i="37"/>
  <c r="J155" i="37" s="1"/>
  <c r="J179" i="37" s="1"/>
  <c r="J180" i="37" s="1"/>
  <c r="G153" i="37"/>
  <c r="G155" i="37" s="1"/>
  <c r="G179" i="37" s="1"/>
  <c r="G180" i="37" s="1"/>
  <c r="G160" i="39"/>
  <c r="G161" i="39" s="1"/>
  <c r="G165" i="39" s="1"/>
  <c r="O85" i="38"/>
  <c r="O96" i="38" s="1"/>
  <c r="O104" i="38" s="1"/>
  <c r="O105" i="38" s="1"/>
  <c r="O176" i="38" s="1"/>
  <c r="G178" i="38"/>
  <c r="G177" i="38"/>
  <c r="G105" i="38"/>
  <c r="F36" i="18"/>
  <c r="B23" i="9"/>
  <c r="B12" i="10"/>
  <c r="G163" i="39" l="1"/>
  <c r="G164" i="39"/>
  <c r="J160" i="37"/>
  <c r="Q180" i="37"/>
  <c r="M179" i="37"/>
  <c r="M180" i="37" s="1"/>
  <c r="G160" i="37"/>
  <c r="G162" i="39"/>
  <c r="G176" i="38"/>
  <c r="F19" i="18"/>
  <c r="A3" i="21"/>
  <c r="A2" i="21"/>
  <c r="B127" i="18"/>
  <c r="B128" i="18"/>
  <c r="B129" i="18"/>
  <c r="B130" i="18"/>
  <c r="B131" i="18"/>
  <c r="B126" i="18"/>
  <c r="F112" i="18"/>
  <c r="B110" i="18"/>
  <c r="B111" i="18"/>
  <c r="B112" i="18"/>
  <c r="B113" i="18"/>
  <c r="B114" i="18"/>
  <c r="F109" i="18"/>
  <c r="B109" i="18"/>
  <c r="B50" i="18"/>
  <c r="F49" i="18"/>
  <c r="F67" i="18"/>
  <c r="F68" i="18"/>
  <c r="F69" i="18"/>
  <c r="F70" i="18"/>
  <c r="F71" i="18"/>
  <c r="F72" i="18"/>
  <c r="F73" i="18"/>
  <c r="B67" i="18"/>
  <c r="B68" i="18"/>
  <c r="B69" i="18"/>
  <c r="B70" i="18"/>
  <c r="B71" i="18"/>
  <c r="B72" i="18"/>
  <c r="B73" i="18"/>
  <c r="B66" i="18"/>
  <c r="B46" i="15"/>
  <c r="B47" i="15"/>
  <c r="B48" i="15"/>
  <c r="B49" i="15"/>
  <c r="B50" i="15"/>
  <c r="B45" i="15"/>
  <c r="C45" i="15"/>
  <c r="C46" i="15"/>
  <c r="C47" i="15"/>
  <c r="C48" i="15"/>
  <c r="C49" i="15"/>
  <c r="C50" i="15"/>
  <c r="C19" i="15"/>
  <c r="C21" i="15"/>
  <c r="C22" i="15"/>
  <c r="C23" i="15"/>
  <c r="C24" i="15"/>
  <c r="C25" i="15"/>
  <c r="B19" i="15"/>
  <c r="B20" i="15"/>
  <c r="B21" i="15"/>
  <c r="B22" i="15"/>
  <c r="B23" i="15"/>
  <c r="B24" i="15"/>
  <c r="B25" i="15"/>
  <c r="B18" i="15"/>
  <c r="C11" i="15"/>
  <c r="B12" i="15"/>
  <c r="B11" i="15"/>
  <c r="C31" i="15"/>
  <c r="C38" i="15" s="1"/>
  <c r="B32" i="15"/>
  <c r="B33" i="15"/>
  <c r="B34" i="15"/>
  <c r="B35" i="15"/>
  <c r="B36" i="15"/>
  <c r="B31" i="15"/>
  <c r="G23" i="9"/>
  <c r="F114" i="18"/>
  <c r="F111" i="18"/>
  <c r="F18" i="18"/>
  <c r="D29" i="13"/>
  <c r="D30" i="13" s="1"/>
  <c r="G31" i="13" s="1"/>
  <c r="F161" i="18"/>
  <c r="F160" i="18"/>
  <c r="A3" i="10"/>
  <c r="E12" i="10"/>
  <c r="A2" i="15"/>
  <c r="A3" i="15"/>
  <c r="A2" i="13"/>
  <c r="A3" i="13"/>
  <c r="A8" i="18"/>
  <c r="F85" i="18"/>
  <c r="B151" i="18"/>
  <c r="A1" i="9"/>
  <c r="A4" i="9"/>
  <c r="B11" i="9"/>
  <c r="F23" i="9"/>
  <c r="AC85" i="18" l="1"/>
  <c r="AC96" i="18" s="1"/>
  <c r="Y85" i="18"/>
  <c r="AA85" i="18" s="1"/>
  <c r="AA96" i="18" s="1"/>
  <c r="G167" i="39"/>
  <c r="G181" i="39" s="1"/>
  <c r="G182" i="39" s="1"/>
  <c r="D17" i="44" s="1"/>
  <c r="G17" i="44" s="1"/>
  <c r="Q160" i="37"/>
  <c r="J161" i="37"/>
  <c r="J164" i="37" s="1"/>
  <c r="M160" i="37"/>
  <c r="M161" i="37" s="1"/>
  <c r="G161" i="37"/>
  <c r="G162" i="37" s="1"/>
  <c r="Y96" i="18"/>
  <c r="W85" i="18"/>
  <c r="W96" i="18" s="1"/>
  <c r="W104" i="18" s="1"/>
  <c r="O85" i="18"/>
  <c r="O96" i="18" s="1"/>
  <c r="W164" i="38"/>
  <c r="W165" i="38"/>
  <c r="W163" i="38"/>
  <c r="W165" i="18"/>
  <c r="W164" i="18"/>
  <c r="W163" i="18"/>
  <c r="G35" i="18"/>
  <c r="G36" i="18" s="1"/>
  <c r="E15" i="10"/>
  <c r="F26" i="9"/>
  <c r="F51" i="18"/>
  <c r="F110" i="18"/>
  <c r="H25" i="21"/>
  <c r="J60" i="8" s="1"/>
  <c r="E35" i="13"/>
  <c r="F35" i="13"/>
  <c r="F12" i="10"/>
  <c r="F167" i="18"/>
  <c r="C51" i="15"/>
  <c r="J162" i="37" l="1"/>
  <c r="Y104" i="18"/>
  <c r="AA104" i="18" s="1"/>
  <c r="AC104" i="18"/>
  <c r="J165" i="37"/>
  <c r="J163" i="37"/>
  <c r="H17" i="44"/>
  <c r="G184" i="39"/>
  <c r="D44" i="10"/>
  <c r="G44" i="10" s="1"/>
  <c r="H44" i="10" s="1"/>
  <c r="Q161" i="37"/>
  <c r="Q165" i="37" s="1"/>
  <c r="M162" i="37"/>
  <c r="M163" i="37"/>
  <c r="M164" i="37"/>
  <c r="M165" i="37"/>
  <c r="G164" i="37"/>
  <c r="G163" i="37"/>
  <c r="G165" i="37"/>
  <c r="W167" i="38"/>
  <c r="W181" i="38" s="1"/>
  <c r="W182" i="38" s="1"/>
  <c r="G85" i="18"/>
  <c r="G96" i="18" s="1"/>
  <c r="G104" i="18" s="1"/>
  <c r="W167" i="18"/>
  <c r="W181" i="18" s="1"/>
  <c r="W182" i="18" s="1"/>
  <c r="D32" i="10" s="1"/>
  <c r="O104" i="18"/>
  <c r="O36" i="18"/>
  <c r="O41" i="18" s="1"/>
  <c r="AC49" i="18" s="1"/>
  <c r="F151" i="18"/>
  <c r="Y155" i="18" s="1"/>
  <c r="Y179" i="18" s="1"/>
  <c r="Y180" i="18" s="1"/>
  <c r="F151" i="38"/>
  <c r="F15" i="10"/>
  <c r="G41" i="18"/>
  <c r="G35" i="13"/>
  <c r="Y160" i="18" l="1"/>
  <c r="Y161" i="18" s="1"/>
  <c r="Y49" i="18"/>
  <c r="AA49" i="18" s="1"/>
  <c r="AA51" i="18" s="1"/>
  <c r="AC50" i="18"/>
  <c r="Q163" i="37"/>
  <c r="Q164" i="37"/>
  <c r="M167" i="37"/>
  <c r="M181" i="37" s="1"/>
  <c r="M182" i="37" s="1"/>
  <c r="M186" i="37" s="1"/>
  <c r="D33" i="10" s="1"/>
  <c r="G33" i="10" s="1"/>
  <c r="H33" i="10" s="1"/>
  <c r="G167" i="37"/>
  <c r="G181" i="37" s="1"/>
  <c r="G182" i="37" s="1"/>
  <c r="G184" i="37" s="1"/>
  <c r="D34" i="10"/>
  <c r="G34" i="10" s="1"/>
  <c r="H34" i="10" s="1"/>
  <c r="G43" i="10"/>
  <c r="H43" i="10" s="1"/>
  <c r="J167" i="37"/>
  <c r="J181" i="37" s="1"/>
  <c r="J182" i="37" s="1"/>
  <c r="J186" i="37" s="1"/>
  <c r="Y60" i="18"/>
  <c r="AA60" i="18" s="1"/>
  <c r="Y50" i="18"/>
  <c r="AA50" i="18" s="1"/>
  <c r="G32" i="10"/>
  <c r="H32" i="10" s="1"/>
  <c r="G151" i="38"/>
  <c r="G155" i="38" s="1"/>
  <c r="O151" i="38"/>
  <c r="O155" i="38" s="1"/>
  <c r="O179" i="38" s="1"/>
  <c r="O180" i="38" s="1"/>
  <c r="O151" i="18"/>
  <c r="W151" i="18"/>
  <c r="W60" i="18"/>
  <c r="O49" i="18"/>
  <c r="W50" i="18"/>
  <c r="O50" i="18"/>
  <c r="W49" i="18"/>
  <c r="G151" i="18"/>
  <c r="G155" i="18" s="1"/>
  <c r="O175" i="18"/>
  <c r="O60" i="18"/>
  <c r="G26" i="9"/>
  <c r="G60" i="18"/>
  <c r="G49" i="18"/>
  <c r="G175" i="18"/>
  <c r="AC60" i="18" l="1"/>
  <c r="AC51" i="18"/>
  <c r="D23" i="10"/>
  <c r="G23" i="10" s="1"/>
  <c r="H23" i="10" s="1"/>
  <c r="D6" i="44"/>
  <c r="Y165" i="18"/>
  <c r="Y163" i="18"/>
  <c r="H35" i="10"/>
  <c r="Y164" i="18"/>
  <c r="Q167" i="37"/>
  <c r="Q181" i="37" s="1"/>
  <c r="Q182" i="37" s="1"/>
  <c r="R186" i="37" s="1"/>
  <c r="G35" i="10"/>
  <c r="G179" i="38"/>
  <c r="G180" i="38" s="1"/>
  <c r="G160" i="38" s="1"/>
  <c r="W155" i="18"/>
  <c r="O155" i="18"/>
  <c r="O160" i="38"/>
  <c r="O161" i="38" s="1"/>
  <c r="O51" i="18"/>
  <c r="D13" i="10"/>
  <c r="G13" i="10" s="1"/>
  <c r="H13" i="10" s="1"/>
  <c r="G179" i="18"/>
  <c r="AC102" i="18" l="1"/>
  <c r="Y102" i="18"/>
  <c r="AA102" i="18" s="1"/>
  <c r="D15" i="44"/>
  <c r="G15" i="44" s="1"/>
  <c r="G6" i="44"/>
  <c r="D42" i="10"/>
  <c r="G42" i="10" s="1"/>
  <c r="H42" i="10" s="1"/>
  <c r="Y167" i="18"/>
  <c r="Y181" i="18" s="1"/>
  <c r="Y182" i="18" s="1"/>
  <c r="D41" i="10" s="1"/>
  <c r="G41" i="10" s="1"/>
  <c r="H41" i="10" s="1"/>
  <c r="W102" i="18"/>
  <c r="Y61" i="18"/>
  <c r="AA61" i="18" s="1"/>
  <c r="AA62" i="18" s="1"/>
  <c r="O163" i="38"/>
  <c r="O164" i="38"/>
  <c r="O165" i="38"/>
  <c r="O61" i="18"/>
  <c r="O62" i="18" s="1"/>
  <c r="O102" i="18"/>
  <c r="O162" i="38"/>
  <c r="W61" i="18"/>
  <c r="G161" i="38"/>
  <c r="G162" i="38" s="1"/>
  <c r="E24" i="9"/>
  <c r="H24" i="9" s="1"/>
  <c r="J24" i="9" s="1"/>
  <c r="C18" i="15"/>
  <c r="C26" i="15" s="1"/>
  <c r="F66" i="18"/>
  <c r="F74" i="18" s="1"/>
  <c r="W70" i="18" l="1"/>
  <c r="Y126" i="18"/>
  <c r="AA126" i="18" s="1"/>
  <c r="AC61" i="18"/>
  <c r="O72" i="18"/>
  <c r="AC131" i="18"/>
  <c r="AC70" i="18"/>
  <c r="AC129" i="18"/>
  <c r="AC66" i="18"/>
  <c r="AC71" i="18"/>
  <c r="AC72" i="18"/>
  <c r="AC127" i="18"/>
  <c r="AC128" i="18"/>
  <c r="AC73" i="18"/>
  <c r="AC130" i="18"/>
  <c r="AC67" i="18"/>
  <c r="AC68" i="18"/>
  <c r="AC126" i="18"/>
  <c r="AC69" i="18"/>
  <c r="H6" i="44"/>
  <c r="H15" i="44"/>
  <c r="H45" i="10"/>
  <c r="G45" i="10"/>
  <c r="O115" i="18"/>
  <c r="O69" i="18"/>
  <c r="O127" i="18"/>
  <c r="W72" i="18"/>
  <c r="W129" i="18"/>
  <c r="O128" i="18"/>
  <c r="O114" i="18"/>
  <c r="W67" i="18"/>
  <c r="O110" i="18"/>
  <c r="O66" i="18"/>
  <c r="O68" i="18"/>
  <c r="O70" i="18"/>
  <c r="W127" i="18"/>
  <c r="Y69" i="18"/>
  <c r="AA69" i="18" s="1"/>
  <c r="Y68" i="18"/>
  <c r="AA68" i="18" s="1"/>
  <c r="Y67" i="18"/>
  <c r="AA67" i="18" s="1"/>
  <c r="Y66" i="18"/>
  <c r="AA66" i="18" s="1"/>
  <c r="AA74" i="18" s="1"/>
  <c r="Y71" i="18"/>
  <c r="AA71" i="18" s="1"/>
  <c r="Y130" i="18"/>
  <c r="AA130" i="18" s="1"/>
  <c r="Y129" i="18"/>
  <c r="AA129" i="18" s="1"/>
  <c r="Y128" i="18"/>
  <c r="AA128" i="18" s="1"/>
  <c r="Y127" i="18"/>
  <c r="AA127" i="18" s="1"/>
  <c r="Y73" i="18"/>
  <c r="AA73" i="18" s="1"/>
  <c r="Y72" i="18"/>
  <c r="AA72" i="18" s="1"/>
  <c r="Y70" i="18"/>
  <c r="AA70" i="18" s="1"/>
  <c r="W66" i="18"/>
  <c r="W126" i="18"/>
  <c r="W128" i="18"/>
  <c r="W130" i="18"/>
  <c r="W71" i="18"/>
  <c r="W73" i="18"/>
  <c r="O126" i="18"/>
  <c r="O112" i="18"/>
  <c r="W68" i="18"/>
  <c r="O67" i="18"/>
  <c r="O71" i="18"/>
  <c r="O167" i="38"/>
  <c r="O181" i="38" s="1"/>
  <c r="O182" i="38" s="1"/>
  <c r="O129" i="18"/>
  <c r="O73" i="18"/>
  <c r="O130" i="18"/>
  <c r="W69" i="18"/>
  <c r="O109" i="18"/>
  <c r="G163" i="38"/>
  <c r="G164" i="38"/>
  <c r="G165" i="38"/>
  <c r="C12" i="15"/>
  <c r="C13" i="15" s="1"/>
  <c r="AC132" i="18" l="1"/>
  <c r="AC145" i="18" s="1"/>
  <c r="AC147" i="18" s="1"/>
  <c r="AC74" i="18"/>
  <c r="D24" i="10"/>
  <c r="G24" i="10" s="1"/>
  <c r="H24" i="10" s="1"/>
  <c r="D7" i="44"/>
  <c r="O74" i="18"/>
  <c r="W74" i="18"/>
  <c r="Y74" i="18"/>
  <c r="G167" i="38"/>
  <c r="G181" i="38" s="1"/>
  <c r="G182" i="38" s="1"/>
  <c r="G184" i="38" s="1"/>
  <c r="G50" i="18"/>
  <c r="W103" i="18" l="1"/>
  <c r="W105" i="18" s="1"/>
  <c r="AC103" i="18"/>
  <c r="AC105" i="18" s="1"/>
  <c r="G7" i="44"/>
  <c r="D16" i="44"/>
  <c r="G16" i="44" s="1"/>
  <c r="Y103" i="18"/>
  <c r="D14" i="10"/>
  <c r="F116" i="18"/>
  <c r="G51" i="18"/>
  <c r="G61" i="18" s="1"/>
  <c r="G62" i="18" s="1"/>
  <c r="Y105" i="18" l="1"/>
  <c r="AA103" i="18"/>
  <c r="AA105" i="18" s="1"/>
  <c r="H16" i="44"/>
  <c r="H7" i="44"/>
  <c r="O131" i="18"/>
  <c r="Y132" i="18" s="1"/>
  <c r="AA132" i="18" s="1"/>
  <c r="O111" i="18"/>
  <c r="E25" i="9"/>
  <c r="H25" i="9" s="1"/>
  <c r="J25" i="9" s="1"/>
  <c r="G14" i="10"/>
  <c r="H14" i="10" s="1"/>
  <c r="G127" i="18"/>
  <c r="G128" i="18"/>
  <c r="G126" i="18"/>
  <c r="G129" i="18"/>
  <c r="G130" i="18"/>
  <c r="G131" i="18"/>
  <c r="G115" i="18"/>
  <c r="G111" i="18"/>
  <c r="G114" i="18"/>
  <c r="G112" i="18"/>
  <c r="G110" i="18"/>
  <c r="G113" i="18"/>
  <c r="G66" i="18"/>
  <c r="G109" i="18"/>
  <c r="G102" i="18"/>
  <c r="W132" i="18" l="1"/>
  <c r="O132" i="18"/>
  <c r="Y145" i="18" s="1"/>
  <c r="AA145" i="18" s="1"/>
  <c r="O116" i="18"/>
  <c r="O177" i="18" s="1"/>
  <c r="O103" i="18"/>
  <c r="G116" i="18"/>
  <c r="G177" i="18" s="1"/>
  <c r="O145" i="18" l="1"/>
  <c r="Y147" i="18" s="1"/>
  <c r="AA147" i="18" s="1"/>
  <c r="W145" i="18"/>
  <c r="O105" i="18"/>
  <c r="O176" i="18" s="1"/>
  <c r="G72" i="18"/>
  <c r="W147" i="18" l="1"/>
  <c r="O147" i="18"/>
  <c r="O178" i="18" s="1"/>
  <c r="G68" i="18"/>
  <c r="G67" i="18"/>
  <c r="G73" i="18"/>
  <c r="G69" i="18"/>
  <c r="G71" i="18"/>
  <c r="G70" i="18"/>
  <c r="G74" i="18" l="1"/>
  <c r="G103" i="18" s="1"/>
  <c r="G105" i="18" s="1"/>
  <c r="G176" i="18" l="1"/>
  <c r="F132" i="18" l="1"/>
  <c r="G132" i="18"/>
  <c r="G145" i="18" s="1"/>
  <c r="G147" i="18" s="1"/>
  <c r="G178" i="18" l="1"/>
  <c r="G180" i="18" s="1"/>
  <c r="G160" i="18" l="1"/>
  <c r="G161" i="18" l="1"/>
  <c r="G165" i="18" s="1"/>
  <c r="G162" i="18" l="1"/>
  <c r="G163" i="18"/>
  <c r="G164" i="18"/>
  <c r="G167" i="18" l="1"/>
  <c r="G181" i="18" s="1"/>
  <c r="G182" i="18" s="1"/>
  <c r="G184" i="18" s="1"/>
  <c r="D12" i="10" s="1"/>
  <c r="E23" i="9" l="1"/>
  <c r="H23" i="9" s="1"/>
  <c r="H26" i="9" s="1"/>
  <c r="G12" i="10"/>
  <c r="G15" i="10" s="1"/>
  <c r="J23" i="9" l="1"/>
  <c r="J26" i="9" s="1"/>
  <c r="H12" i="10"/>
  <c r="H15" i="10" s="1"/>
  <c r="N152" i="18" l="1"/>
  <c r="N152" i="38"/>
  <c r="O179" i="18"/>
  <c r="O180" i="18" s="1"/>
  <c r="O160" i="18" l="1"/>
  <c r="O161" i="18" l="1"/>
  <c r="O165" i="18" s="1"/>
  <c r="O164" i="18" l="1"/>
  <c r="O163" i="18"/>
  <c r="O162" i="18"/>
  <c r="O167" i="18" l="1"/>
  <c r="O181" i="18" s="1"/>
  <c r="O182" i="18" s="1"/>
  <c r="D22" i="10" l="1"/>
  <c r="G22" i="10" s="1"/>
  <c r="H22" i="10" s="1"/>
  <c r="H25" i="10" s="1"/>
  <c r="D5" i="44"/>
  <c r="G25" i="10" l="1"/>
  <c r="D14" i="44"/>
  <c r="G14" i="44" s="1"/>
  <c r="G5" i="44"/>
  <c r="H5" i="44" l="1"/>
  <c r="H8" i="44" s="1"/>
  <c r="G8" i="44"/>
  <c r="H14" i="44"/>
  <c r="H18" i="44" s="1"/>
  <c r="G18" i="44"/>
  <c r="K17" i="44" l="1"/>
  <c r="K19" i="44" s="1"/>
  <c r="K21" i="44" s="1"/>
  <c r="AG167" i="18"/>
  <c r="AG181" i="18" s="1"/>
  <c r="AG182" i="18" s="1"/>
  <c r="D81" i="10" s="1"/>
  <c r="G81" i="10" s="1"/>
  <c r="H81" i="10" l="1"/>
  <c r="AE74" i="38"/>
  <c r="AE103" i="38" s="1"/>
  <c r="AE105" i="38" s="1"/>
  <c r="AE176" i="38" s="1"/>
  <c r="AE180" i="38" s="1"/>
  <c r="AE160" i="38" s="1"/>
  <c r="AE161" i="38" l="1"/>
  <c r="AE165" i="38" l="1"/>
  <c r="AE164" i="38"/>
  <c r="AE163" i="38"/>
  <c r="AE167" i="38" l="1"/>
  <c r="AE181" i="38" s="1"/>
  <c r="AE182" i="38" s="1"/>
  <c r="D63" i="10" s="1"/>
  <c r="G63" i="10" s="1"/>
  <c r="G64" i="10" s="1"/>
  <c r="AG167" i="38"/>
  <c r="AG181" i="38" s="1"/>
  <c r="AG182" i="38" s="1"/>
  <c r="D83" i="10" s="1"/>
  <c r="G83" i="10" s="1"/>
  <c r="H83" i="10" l="1"/>
  <c r="H85" i="10" s="1"/>
  <c r="G85" i="10"/>
  <c r="H63" i="10"/>
  <c r="H64" i="10" s="1"/>
</calcChain>
</file>

<file path=xl/sharedStrings.xml><?xml version="1.0" encoding="utf-8"?>
<sst xmlns="http://schemas.openxmlformats.org/spreadsheetml/2006/main" count="4702" uniqueCount="618">
  <si>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</si>
  <si>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</si>
  <si>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</si>
  <si>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</si>
  <si>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</si>
  <si>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</si>
  <si>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</si>
  <si>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</si>
  <si>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</si>
  <si>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</si>
  <si>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Data base da categoria (dia/mês/ano)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</si>
  <si>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</si>
  <si>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</si>
  <si>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</si>
  <si>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</si>
  <si>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</si>
  <si>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</si>
  <si>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</si>
  <si>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</si>
  <si>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</si>
  <si>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</si>
  <si>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</si>
  <si>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Benefícios Mensais e Diários</t>
  </si>
  <si>
    <t>Custos Indiretos, Tributos e Lucro</t>
  </si>
  <si>
    <t>Custos indiretos</t>
  </si>
  <si>
    <t>Módulo 1 - Composição da Remuneração</t>
  </si>
  <si>
    <t>Nº PROCESSO:</t>
  </si>
  <si>
    <t>DATA LICITAÇÃO:</t>
  </si>
  <si>
    <t>HORAS:</t>
  </si>
  <si>
    <t>MUNICÍPIO:</t>
  </si>
  <si>
    <t>Brasília - DF</t>
  </si>
  <si>
    <t>TIPO DE SERVIÇO:</t>
  </si>
  <si>
    <t>UNIDADE MEDIDA (UM):</t>
  </si>
  <si>
    <t>QUANT. A CONTRATAR EM FUNÇÃO DA U.M</t>
  </si>
  <si>
    <t>Nº MESES EXEC. CONTR.:</t>
  </si>
  <si>
    <t>Reserva Técnica</t>
  </si>
  <si>
    <t>INSUMOS DA MÃO-DE-OBRA (BENEFÍCIOS MENSAIS E DIÁRIOS)</t>
  </si>
  <si>
    <t>INSUMOS DIVERSOS</t>
  </si>
  <si>
    <t>CATEGORIA</t>
  </si>
  <si>
    <t xml:space="preserve">QTDE. POSTOS </t>
  </si>
  <si>
    <t>QTDE. PROF.</t>
  </si>
  <si>
    <t>TOTAL</t>
  </si>
  <si>
    <t>4.1</t>
  </si>
  <si>
    <t>SINDICATOS UTILIZADOS NA ELABORAÇÃO DA PROPOSTA</t>
  </si>
  <si>
    <t>SINDICATO</t>
  </si>
  <si>
    <t>VIGÊNCIA ATUAL</t>
  </si>
  <si>
    <t>DATA-BASE</t>
  </si>
  <si>
    <t>4.2</t>
  </si>
  <si>
    <t>SUBTOTAL</t>
  </si>
  <si>
    <t>PROVISÕES PARA RESCISÃO</t>
  </si>
  <si>
    <t>Aviso Prévio Indenizado </t>
  </si>
  <si>
    <t>Outros (especificar)</t>
  </si>
  <si>
    <t>TOTAL GERAL</t>
  </si>
  <si>
    <t>TOTAIS</t>
  </si>
  <si>
    <t>---</t>
  </si>
  <si>
    <t>Declarações:</t>
  </si>
  <si>
    <t>Regime de tributação:</t>
  </si>
  <si>
    <t>Condições de pagamento:</t>
  </si>
  <si>
    <t>Sindicatos:</t>
  </si>
  <si>
    <t>Dados da empresa:</t>
  </si>
  <si>
    <t>Representante legal:</t>
  </si>
  <si>
    <t>C.I nº: 257.787/SSP-DF</t>
  </si>
  <si>
    <t>Validade da proposta:</t>
  </si>
  <si>
    <t>Item</t>
  </si>
  <si>
    <t>Quantidade de Postos</t>
  </si>
  <si>
    <t>--</t>
  </si>
  <si>
    <t>Unidade</t>
  </si>
  <si>
    <t>Quantidade</t>
  </si>
  <si>
    <t>Valor Unitário</t>
  </si>
  <si>
    <t xml:space="preserve">Valor Total Mensal </t>
  </si>
  <si>
    <t>Inicial</t>
  </si>
  <si>
    <t>6º mês</t>
  </si>
  <si>
    <t>Soma Anual</t>
  </si>
  <si>
    <t>Par</t>
  </si>
  <si>
    <t>Quantidade de Profissionais</t>
  </si>
  <si>
    <t>LICITAÇÃO Nº:</t>
  </si>
  <si>
    <t>Tipo de serviço (mesmo serviço com características distintas)</t>
  </si>
  <si>
    <t>Composição da Remuneração</t>
  </si>
  <si>
    <t>Transporte</t>
  </si>
  <si>
    <t>Insumos Diversos</t>
  </si>
  <si>
    <t>Memória de Cálculo</t>
  </si>
  <si>
    <t>Fundamento</t>
  </si>
  <si>
    <t>----</t>
  </si>
  <si>
    <t>Depreciação e manutenção dos equipamentos</t>
  </si>
  <si>
    <t>Provisão para Rescisão</t>
  </si>
  <si>
    <t>Descrição</t>
  </si>
  <si>
    <t>Declaramos que nos preços propostos estão incluídos todos os custos e despesas, taxas e impostos, ônus trabalhistas e sociais, auxílio alimentação, vale transporte, uniforme, seguro de vida em grupo, frete, todos os materiais, equipamentos e demais despesas de qualquer natureza que possam incidir, direta ou indiretamente, sobre o objeto a ser contratado.</t>
  </si>
  <si>
    <t>Uniformes</t>
  </si>
  <si>
    <t>Valor Unitário               [b]</t>
  </si>
  <si>
    <t>Custo do Transporte                [d] = [c x a]</t>
  </si>
  <si>
    <t xml:space="preserve">CÁLCULO DE DIAS ÚTEIS </t>
  </si>
  <si>
    <t>MÊS/ANO</t>
  </si>
  <si>
    <t>Nº DE DIAS DE 2ª A 6ª FEIRA</t>
  </si>
  <si>
    <t>Nº DE SÁBADOS</t>
  </si>
  <si>
    <t>Nº DE DIAS DOMINGOS</t>
  </si>
  <si>
    <t>Nº DE DIAS DE FERIADOS</t>
  </si>
  <si>
    <t>DEDUÇÃO LEGAL DO VALE TRANSPORTE - LEI Nº 7418-85</t>
  </si>
  <si>
    <t>Categoria</t>
  </si>
  <si>
    <t>Valor Unitário                 [b]</t>
  </si>
  <si>
    <t>Custo do Alimentação                      [c] = [a] x [b]</t>
  </si>
  <si>
    <t>Plano de Saúde</t>
  </si>
  <si>
    <t>Valor Diário                      (ida e volta)                    [c] = [b x 2]</t>
  </si>
  <si>
    <t>Unidade de Medida</t>
  </si>
  <si>
    <t>Licitação nº:</t>
  </si>
  <si>
    <t>Nº do Processo:</t>
  </si>
  <si>
    <t>Data da apresentação da proposta (dia/mês/ano)</t>
  </si>
  <si>
    <t>Nº de meses de execução contratual</t>
  </si>
  <si>
    <t>Valor (R$)</t>
  </si>
  <si>
    <t>Salário Base                                [e]</t>
  </si>
  <si>
    <t>O pagamento deverá ser efetuado conforme estabelecido no Edital.</t>
  </si>
  <si>
    <t>Incidência do FGTS sobre aviso prévio indenizado</t>
  </si>
  <si>
    <t>Quantidade de dias                              [a]</t>
  </si>
  <si>
    <t>(a)</t>
  </si>
  <si>
    <t>(b)</t>
  </si>
  <si>
    <t>(c ) = (a) x (b)</t>
  </si>
  <si>
    <t>CCT UTILIZADA PARA ELABORAÇÃO DA PROPOSTA</t>
  </si>
  <si>
    <t>Valores do VT</t>
  </si>
  <si>
    <t>ITEM</t>
  </si>
  <si>
    <t>RESUMO DOS SERVIÇOS</t>
  </si>
  <si>
    <t xml:space="preserve">SALÁRIO </t>
  </si>
  <si>
    <t>Vale Transporte</t>
  </si>
  <si>
    <t>FUNÇÃO</t>
  </si>
  <si>
    <t>Feriados Trabalhados</t>
  </si>
  <si>
    <t xml:space="preserve">Auxílio Alimentação </t>
  </si>
  <si>
    <t>Cidade Satélite</t>
  </si>
  <si>
    <t>Contribuição Assistencial Patronal</t>
  </si>
  <si>
    <t>ALÍQUOTAS DOS TRIBUTOS</t>
  </si>
  <si>
    <t>I</t>
  </si>
  <si>
    <t>Adicional de Insalubridade 1</t>
  </si>
  <si>
    <t xml:space="preserve">Adicional de Periculosidade </t>
  </si>
  <si>
    <t>SAL.NORMAT.</t>
  </si>
  <si>
    <t>SAL.MÍNIMO</t>
  </si>
  <si>
    <t xml:space="preserve">Treinamento/capacitação/reciclagem </t>
  </si>
  <si>
    <t>Nº REG. M.T.E</t>
  </si>
  <si>
    <t>Memória dias úteis mensal (Número de dias úteis dividido por 12 meses = 250 / 12 = 21 dias úteis)</t>
  </si>
  <si>
    <t>MÉDIA / MÊS</t>
  </si>
  <si>
    <t>Obs.: Considerando o desconto do VT do Supervisor ser maior que o valor do transporte recebido, deixa de ser viável ao empregado optar pelo VT. Sendo assim, o valor na planilha foi zerado.</t>
  </si>
  <si>
    <t>Postos de Serviços</t>
  </si>
  <si>
    <t>TIPO DE SERVIÇO</t>
  </si>
  <si>
    <t>PROF. P/ POSTO</t>
  </si>
  <si>
    <t>Escala 12x36 horas</t>
  </si>
  <si>
    <t>44 horas semanais - 5x2</t>
  </si>
  <si>
    <t>Tipo de Jornada de Trabalho</t>
  </si>
  <si>
    <t>Jornada de Trabalho Mensal</t>
  </si>
  <si>
    <t xml:space="preserve">Dias Trabalhados </t>
  </si>
  <si>
    <t>180 horas</t>
  </si>
  <si>
    <t>220 horas</t>
  </si>
  <si>
    <t>ISSQN/ISS</t>
  </si>
  <si>
    <t>Jornada de Trabalho</t>
  </si>
  <si>
    <t>Qtde de empregados por Posto</t>
  </si>
  <si>
    <t>Percurso - Residência x Local de Trabalho                                                            (vice e versa)</t>
  </si>
  <si>
    <t>Art. 22, Inciso I, da Lei nº 8.212/91</t>
  </si>
  <si>
    <t>Decreto n.º 2.318/86.</t>
  </si>
  <si>
    <t>Art. 1º, Inciso I, Decreto Lei n.º 1.146/70.</t>
  </si>
  <si>
    <t>Salário Educação</t>
  </si>
  <si>
    <t>Art. 15, Lei nº 8.036/90 e Art. 7º, Inciso III, CF/88.</t>
  </si>
  <si>
    <t>Art. 22, Inciso II, alíneas "b" e "c", Lei nº 8.212/91, Decreto nº 6.042/07 e Decreto nº 6.957/09. (Alíquotas do SAT em função do FAP).</t>
  </si>
  <si>
    <t xml:space="preserve">13º (décimo terceiro) salário  </t>
  </si>
  <si>
    <t>Aviso Prévio Trabalhado</t>
  </si>
  <si>
    <t>Total</t>
  </si>
  <si>
    <t>Provisionamento da Conta Vinculada</t>
  </si>
  <si>
    <t>Seguro de Vida e Assistência Funeral</t>
  </si>
  <si>
    <t>Descrição/Fundamento</t>
  </si>
  <si>
    <t>Adicional de Intervalo Intrajornada</t>
  </si>
  <si>
    <t>Gratificação 1</t>
  </si>
  <si>
    <t>Meias</t>
  </si>
  <si>
    <t>Camisas</t>
  </si>
  <si>
    <t>Sapatos</t>
  </si>
  <si>
    <t>Adicional de Horas Extras 1</t>
  </si>
  <si>
    <t>UASG/ID Nº:</t>
  </si>
  <si>
    <t>ANO CONV. COLETIVA:</t>
  </si>
  <si>
    <t>Adicional Motorizado</t>
  </si>
  <si>
    <t>Quantidade de dias                             [a]</t>
  </si>
  <si>
    <t>SINDICATO/CCT:</t>
  </si>
  <si>
    <t>VIGÊNCIA ATUAL:</t>
  </si>
  <si>
    <t>Tributação</t>
  </si>
  <si>
    <t>DATA DE APRESENTAÇÃO DA PROPOSTA:</t>
  </si>
  <si>
    <t>Desconto Legal sobre o salário</t>
  </si>
  <si>
    <t>Salário Base</t>
  </si>
  <si>
    <t>Valor Total por Empregado</t>
  </si>
  <si>
    <t xml:space="preserve">Custo do Transporte               [d] </t>
  </si>
  <si>
    <t>Contribuição do Empregado            [f] = [e x 6%]</t>
  </si>
  <si>
    <t>Custo Real do Vale Transporte                           [g] = [d] - [f]</t>
  </si>
  <si>
    <t>Custos Indiretos</t>
  </si>
  <si>
    <t>São os gastos com estrutura administrativa, organizacional e gerencialmento, despesas com preposto, materiais e equipamentos de escritório, ponto eletrônico, Seguros, Taxas Administrativas (água, luz, telefone, impostos, etc.), entre outros.</t>
  </si>
  <si>
    <t>Art. 3º CTN, Lei nº 5.172/66.</t>
  </si>
  <si>
    <t xml:space="preserve">Tributos Federais  (exceto IRPJ, CSLL e CPMF) </t>
  </si>
  <si>
    <t xml:space="preserve">Tributos Estaduais/Municipais </t>
  </si>
  <si>
    <t>ISSQN ou ISS</t>
  </si>
  <si>
    <t>É o ganho decorrente da exploração da atividade econômica.</t>
  </si>
  <si>
    <t>Nota 1.: Empresa optante pelo LUCRO REAL</t>
  </si>
  <si>
    <t>Nota 2.: Proposta elaborada com a utilização da apuração mensal dos percentuais dos tributos PIS e COFINS no período de 12 meses, conforme Sistema Público de Escrituração Digital (SPED) e Declaração e Recibo de Débitos e Créditos Tributários Federais (DCTF).</t>
  </si>
  <si>
    <t>MEMÓRIA DE CÁLCULO - ENCARGOS SOCIAIS E TRABALHISTAS</t>
  </si>
  <si>
    <t>Preço Unitário (R$)</t>
  </si>
  <si>
    <t>Valor Total Mensal                          (R$)</t>
  </si>
  <si>
    <t>Ref.:</t>
  </si>
  <si>
    <t>Preço Unitário</t>
  </si>
  <si>
    <t>Valor Total Mensal           (R$)</t>
  </si>
  <si>
    <t>Lei nº 10.637/02 // IN SRF 387/2004 // Decreto nº 6.022/07.</t>
  </si>
  <si>
    <t>Lei nº 10.833/03 // IN SRF 387/2004 // Decreto nº 6.022/07.</t>
  </si>
  <si>
    <t>Seguro Acidente do Trabalho - SAT = RAT x FAP</t>
  </si>
  <si>
    <t>Mão-de-obra vinculada à execução contratual (valor por empregado)</t>
  </si>
  <si>
    <t>Classificação Brasileira de Ocupações (CBO)</t>
  </si>
  <si>
    <t>CBO</t>
  </si>
  <si>
    <t>IDENTIFICAÇÃO DO SERVIÇO</t>
  </si>
  <si>
    <t>DISCRIMINAÇÃO DOS SERVIÇOS (DADOS REFERENTES À CONTRATAÇÃO)</t>
  </si>
  <si>
    <t>Adicional de Hora Noturna Reduzida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</si>
  <si>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Módulo 1 refere-se ao </t>
    </r>
    <r>
      <rPr>
        <b/>
        <sz val="11"/>
        <rFont val="Cambria"/>
        <family val="1"/>
        <scheme val="major"/>
      </rPr>
      <t>valor mensal devido ao empregado</t>
    </r>
    <r>
      <rPr>
        <sz val="11"/>
        <rFont val="Cambria"/>
        <family val="1"/>
        <scheme val="major"/>
      </rPr>
      <t xml:space="preserve"> pela prestação do serviço no período de 12 meses.</t>
    </r>
  </si>
  <si>
    <r>
      <rPr>
        <b/>
        <sz val="11"/>
        <rFont val="Cambria"/>
        <family val="1"/>
        <scheme val="major"/>
      </rPr>
      <t xml:space="preserve">Nota 2: </t>
    </r>
    <r>
      <rPr>
        <sz val="11"/>
        <rFont val="Cambria"/>
        <family val="1"/>
        <scheme val="major"/>
      </rPr>
      <t xml:space="preserve">Para o empregado que labora a jornada 12x36, em caso da não concessão ou concessão parcial do </t>
    </r>
    <r>
      <rPr>
        <b/>
        <sz val="11"/>
        <rFont val="Cambria"/>
        <family val="1"/>
        <scheme val="major"/>
      </rPr>
      <t>intervalo intrajornada</t>
    </r>
    <r>
      <rPr>
        <sz val="11"/>
        <rFont val="Cambria"/>
        <family val="1"/>
        <scheme val="major"/>
      </rPr>
      <t xml:space="preserve"> (§ 4º do art. 71 da CLT), o valor a ser pago será inserido na remuneração utilizando a alínea “G”.</t>
    </r>
  </si>
  <si>
    <t>Módulo 2 - Encargos e Benefícios Anuais, Mensais e Diários</t>
  </si>
  <si>
    <t>2.2</t>
  </si>
  <si>
    <t>2.1</t>
  </si>
  <si>
    <t>13º SALÁRIO, FÉRIAS E ADICIONAL DE FÉRIAS</t>
  </si>
  <si>
    <t>3.</t>
  </si>
  <si>
    <t>ENCARGOS PREVIDENCIÁRIOS (GPS), FUNDO DE GARANTIA POR TEMPO DE SERVIÇO (FGTS) E OUTRAS CONTRIBUIÇÕES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</si>
  <si>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Como a planilha de custos e formação de preços é calculada </t>
    </r>
    <r>
      <rPr>
        <u/>
        <sz val="11"/>
        <rFont val="Cambria"/>
        <family val="1"/>
        <scheme val="major"/>
      </rPr>
      <t>mensalmente</t>
    </r>
    <r>
      <rPr>
        <sz val="11"/>
        <rFont val="Cambria"/>
        <family val="1"/>
        <scheme val="major"/>
      </rPr>
      <t>, provisiona-se proporcionalmente 1/12 (um doze avos) dos valores referentes a gratificação natalina e adicional de férias.</t>
    </r>
  </si>
  <si>
    <t>Submódulo 2.1 - 13º (décimo terceiro) Salário, Férias e Adicional de Férias</t>
  </si>
  <si>
    <t>Submódulo 2.2 - Encargos Previdenciários (GPS), Fundo de Garantia por Tempo de Serviço (FGTS) e outras contribuições</t>
  </si>
  <si>
    <t>Submódulo 2.3 - Benefícios Mensais e Diários</t>
  </si>
  <si>
    <t>2.3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</si>
  <si>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valor informado deverá ser o custo real do benefício (descontado o valor eventualmente pago pelo empregado).</t>
    </r>
  </si>
  <si>
    <t>GPS, FGTS e outras contribuições</t>
  </si>
  <si>
    <t>Percentual %</t>
  </si>
  <si>
    <t>13º (décimo terceiro) Salário, Férias e Adicional de Férias</t>
  </si>
  <si>
    <t>Férias e Adicional de Férias</t>
  </si>
  <si>
    <t>Quadro-Resumo do Módulo 2 - Encargos e Benefícios Anuais, Mensais e Diários</t>
  </si>
  <si>
    <t>Encargos e Benefícios Anuais, Mensais e Diários</t>
  </si>
  <si>
    <t>Módulo 3 - Provisão para Rescisão</t>
  </si>
  <si>
    <t>Módulo 4 - Custo de Reposição do Profissional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</si>
  <si>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Quando houver a necessidade de reposição de um empregado durante sua ausência nos casos de intervalo para repouso ou alimentação deve-se contemplar o Submódulo 4.2.</t>
    </r>
  </si>
  <si>
    <t>Custo de Reposição do Profissional Ausente</t>
  </si>
  <si>
    <t>Quadro-Resumo do Módulo 4 - Custo de Reposição do Profissional Ausente</t>
  </si>
  <si>
    <t>Esses percentuais incidem sobre o Módulo 1 (Remuneração)</t>
  </si>
  <si>
    <t>Módulo 5 - Insumos Diversos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</si>
  <si>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Valores mensais por empregado.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</si>
  <si>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valor referente a tributos é obtido aplicando-se o percentual sobre o valor do faturamento.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</si>
  <si>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Custos Indiretos, Tributos e Lucro por empregado.</t>
    </r>
  </si>
  <si>
    <t>Módulo 6 - Custos Indiretos, Tributos e Lucro</t>
  </si>
  <si>
    <t>Subtotal (A + B + C + D + E)</t>
  </si>
  <si>
    <t xml:space="preserve">Art. 129 e 130, da CLT. </t>
  </si>
  <si>
    <r>
      <t xml:space="preserve">Esta empresa é optante do </t>
    </r>
    <r>
      <rPr>
        <b/>
        <sz val="14"/>
        <rFont val="Arial Narrow"/>
        <family val="2"/>
      </rPr>
      <t>LUCRO REAL</t>
    </r>
    <r>
      <rPr>
        <sz val="14"/>
        <rFont val="Arial Narrow"/>
        <family val="2"/>
      </rPr>
      <t>.</t>
    </r>
  </si>
  <si>
    <t xml:space="preserve">Total </t>
  </si>
  <si>
    <t>SINDESV/SINDESP-DF</t>
  </si>
  <si>
    <t>Vigilante</t>
  </si>
  <si>
    <t>Fundo para Indenização Decorrente de Aposentadoria por invalidez por doença</t>
  </si>
  <si>
    <t>Fundo Social e Odontológico</t>
  </si>
  <si>
    <t>BRASFORT EMPRESA DE SEGURANÇA LTDA</t>
  </si>
  <si>
    <t>Esses percentuais incidem sobre o somatório do Módulo 1 (Remuneração) com o Submódulo 2.1 (13º, Férias e Adicional).</t>
  </si>
  <si>
    <t>Vigilância</t>
  </si>
  <si>
    <t>REAL SEGURANÇA</t>
  </si>
  <si>
    <t>Adicional Noturno 4</t>
  </si>
  <si>
    <t>Carta/Com nº</t>
  </si>
  <si>
    <t>DATA DE APRESENTAÇÃO DA CARTA :</t>
  </si>
  <si>
    <t>Ao</t>
  </si>
  <si>
    <t>Percentual %</t>
  </si>
  <si>
    <t>Adicional de Insalubridade</t>
  </si>
  <si>
    <t>(Instrução Normativa nº 07, de 20 de Setembro de 2018)</t>
  </si>
  <si>
    <t>Incidência de GPS, FGTS e outras contribuições sobre o aviso prévio trabalhado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</si>
  <si>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</si>
  <si>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4.1 - Subtituto nas Ausências Legais</t>
  </si>
  <si>
    <t>Substituto na cobertura de Férias</t>
  </si>
  <si>
    <t>SUBSTITUTO NAS AUSÊNCIAS LEGAIS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</si>
  <si>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</si>
  <si>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</si>
  <si>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</si>
  <si>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</si>
  <si>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</si>
  <si>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</si>
  <si>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Substituto na cobertura de intervalo para repouso ou alimentação</t>
  </si>
  <si>
    <t>Substituto nas Ausências Legais</t>
  </si>
  <si>
    <t>Declaramos que não será atendida em cláusula contratual a Nota 3 do Submódulo 2.1 - 13º (décimo terceiro) Salário, Férias e Adicional de Férias, onde determina que a rubrica férias quando da prorrogação contratual, torna-se custo não renovável.</t>
  </si>
  <si>
    <t>C.1</t>
  </si>
  <si>
    <t>C.2</t>
  </si>
  <si>
    <t>Calculado mediante incidência percentual sobre  o somatório da Remuneração, Encargos e Benefícios Anuais, Mensais e Diários, Provisão para Rescisão, Custos de Reposição do Profissional e Insumos Diversos. (Módulo 1 + Módulo 2 + Módulo 3 + Módulo 4 + Módulo 5) x Percentual de Custos Indiretos</t>
  </si>
  <si>
    <t>Calculado mediante incidência percentual sobre  o somatório da Remuneração, Encargos e Benefícios Anuais, Mensais e Diários, Provisão para Rescisão, Custos de Reposição do Profissional, Insumos Diversos e Custos Indiretos. (Módulo 1 + Módulo 2 + Módulo 3 + Módulo 4 + Módulo 5 + Custos Indiretos) x Percentual de Lucro</t>
  </si>
  <si>
    <r>
      <t xml:space="preserve">Recolhimento de impostos e contribuições incidentes sobre o faturamento. (Módulo 1 + Módulo 2 + Módulo 3 + Módulo 4 + Módulo 5 + Custos Indiretos + Lucro) </t>
    </r>
    <r>
      <rPr>
        <sz val="11"/>
        <color indexed="8"/>
        <rFont val="Calibri"/>
        <family val="2"/>
      </rPr>
      <t>÷</t>
    </r>
    <r>
      <rPr>
        <sz val="11"/>
        <color indexed="8"/>
        <rFont val="Cambria"/>
        <family val="1"/>
        <scheme val="major"/>
      </rPr>
      <t xml:space="preserve"> (1 – Soma dos percentuais de tributos)</t>
    </r>
  </si>
  <si>
    <t>MEMÓRIA DE CÁLCULO - CUSTOS INDIRETOS, LUCRO E TRIBUTOS (MÓDULO 6)</t>
  </si>
  <si>
    <t>MEMÓRIA DE CÁLCULO - BENEFÍCIOS MENSAIS E DIÁRIOS (SUBMÓDULO 2.3)</t>
  </si>
  <si>
    <t>OUTROS BENEFÍCIOS MENSAIS E DIÁRIOS - SUBMÓDULO 2.3</t>
  </si>
  <si>
    <t>Desconto de coparticipação do empregado</t>
  </si>
  <si>
    <t>DESCONTO DE COPARTICIPAÇÃO DO EMPREGADO DO VALE ALIMENTAÇÃO</t>
  </si>
  <si>
    <t>Custo do Desconto do Alimentação                      [c] = - [b] x [a]</t>
  </si>
  <si>
    <t>J</t>
  </si>
  <si>
    <t>Auxílio Lazer/Cultura</t>
  </si>
  <si>
    <t xml:space="preserve"> A empresa resguarda o direito a repactuação das novas datas-base 2019/2019, tão logo que sejam registradas nos termos legais.</t>
  </si>
  <si>
    <t xml:space="preserve">{[(7 ÷ 30)] ÷ 12} x 100 </t>
  </si>
  <si>
    <t xml:space="preserve">{[(5÷30)÷12] x 0,01} x 100 </t>
  </si>
  <si>
    <t xml:space="preserve">{[(15÷30)÷12] x 0,003} x 100 </t>
  </si>
  <si>
    <t>CONTRATO Nº __________/201__ - CONTRATANTE - PRESTAÇÃO DE SERVIÇOS --------</t>
  </si>
  <si>
    <t xml:space="preserve">REPACTUAÇÃO CONTRATUAL 20___ - </t>
  </si>
  <si>
    <t>Auxílio Alimentação - Cláusula 12ª da CCT</t>
  </si>
  <si>
    <t>Desconto do Auxílio Alimentação - Cláusula 12ª § 2º da CCT</t>
  </si>
  <si>
    <t>Auxílio Transporte - Cláusula 13ª da CCT</t>
  </si>
  <si>
    <t>Fundo Social e Odontológico - Cláusula 15ª da CCT</t>
  </si>
  <si>
    <t>Seguro de Vida - Cláusula 16ª da CCT</t>
  </si>
  <si>
    <t>Fundo Ind.Aposent. Ou Doença - Cláusula 17ª da CCT</t>
  </si>
  <si>
    <t>Treinamento/capacitação/reciclagem - Cláusula 27ª da CCT</t>
  </si>
  <si>
    <t>Contribuição Assistencial Patronal - Cláusula 52ª da CCT</t>
  </si>
  <si>
    <t xml:space="preserve">Multa sobre FGTS sobre o aviso prévio indenizado </t>
  </si>
  <si>
    <t xml:space="preserve">Multa sobre FGTS sobre o aviso prévio trabalhado </t>
  </si>
  <si>
    <t>01/01/2020 a 31/12/2020</t>
  </si>
  <si>
    <t>2020/2020</t>
  </si>
  <si>
    <t>DF000040/2020</t>
  </si>
  <si>
    <t>Os documentos complementares a proposta, estão apensos aos Documentos de Habilitação.</t>
  </si>
  <si>
    <t>Observação:</t>
  </si>
  <si>
    <t>PROPOSTA Nº 053/2020</t>
  </si>
  <si>
    <t>CONSELHO DA JUSTIÇA FEDERAL - CJF</t>
  </si>
  <si>
    <t>Poder Judiciário</t>
  </si>
  <si>
    <t>0000793-29.2020.4.90.8000</t>
  </si>
  <si>
    <t>PREGÃO ELETRÔNICO Nº 09/2020 - CJF</t>
  </si>
  <si>
    <t>PLANILHA DE CUSTOS E FORMAÇÃO DE PREÇOS - CJF</t>
  </si>
  <si>
    <t>Apresentamos proposta de preços para prestação de serviços terceirizados de continuados de vigilância armada e desarmada, por meio de postos de trabalho, incluindo o fornecimento de equipamentos (armamentos, rádios de comunicação, etc...) e EPI’s, a serem realizados nas dependências do Conselho da Justiça Federal, em Brasília/DF, conforme especificações, quantidades e condições estipuladas no Edital e seus anexos.</t>
  </si>
  <si>
    <t>Declaramos que conhecemos e aceitamos todas as condições contidas no Edital do Pregão Eletrônico n.º 09/2020 e seus anexos.</t>
  </si>
  <si>
    <t>Declaramos ciência de que o CJF realizará o contingenciamento das obrigações trabalhistas, conforme previsto na Resolução CNJ n. 169/2013 e alterações, bem como na IN CJF nº 01/2016, nos termos estabelecidos na cláusula da minuta do contrato.</t>
  </si>
  <si>
    <t>A validade da presente proposta é de 90 (noventa) dias, a contar da data de sua apresentação.</t>
  </si>
  <si>
    <t>SEDE – CONSELHO DA JUSTIÇA FEDERAL</t>
  </si>
  <si>
    <t>Cargo</t>
  </si>
  <si>
    <t>Turno</t>
  </si>
  <si>
    <t>Local</t>
  </si>
  <si>
    <t>Horário</t>
  </si>
  <si>
    <t>Qtd de Profissionais</t>
  </si>
  <si>
    <t>Salário R$</t>
  </si>
  <si>
    <t>Operacional Armado</t>
  </si>
  <si>
    <t>Diurno</t>
  </si>
  <si>
    <t>12 X 36</t>
  </si>
  <si>
    <t>Ronda</t>
  </si>
  <si>
    <t>Noturno</t>
  </si>
  <si>
    <t>Terno/Tailleur Desar.</t>
  </si>
  <si>
    <t>5 X 2</t>
  </si>
  <si>
    <t>Portaria Principal</t>
  </si>
  <si>
    <t>Garagem Principal</t>
  </si>
  <si>
    <t>COORDENADORIA DE SERVIÇOS GRÁFICOS</t>
  </si>
  <si>
    <t>Guarita Principal</t>
  </si>
  <si>
    <t>Guarita Fundos</t>
  </si>
  <si>
    <t>07h00 às 19h00</t>
  </si>
  <si>
    <t>Guarita NE - ALFA 2</t>
  </si>
  <si>
    <t>Guarita NE - ALFA 3</t>
  </si>
  <si>
    <t>19h00 às 07h00</t>
  </si>
  <si>
    <t>09h00 às 19h00</t>
  </si>
  <si>
    <t>11h00 às 21h00</t>
  </si>
  <si>
    <t>10h00 às 20h00</t>
  </si>
  <si>
    <t>Guarita NE – ALFA 2</t>
  </si>
  <si>
    <t>09/2020</t>
  </si>
  <si>
    <t>90026</t>
  </si>
  <si>
    <t>Vigilante Armado, 12 horas diunas em escala 12x36, das 07h às 19h</t>
  </si>
  <si>
    <t>Vigilância Diurna 12x36</t>
  </si>
  <si>
    <t>Vigilância Diurna 5x2</t>
  </si>
  <si>
    <t>Vigilância Noturna 12x36</t>
  </si>
  <si>
    <t>Qtd de Postos</t>
  </si>
  <si>
    <t>Vigilante Armado, 12 horas noturnas em escala 12x36, das 19h às 07h</t>
  </si>
  <si>
    <t>5173-30</t>
  </si>
  <si>
    <t>(d) = (c ) x 20</t>
  </si>
  <si>
    <t xml:space="preserve">Valor Total </t>
  </si>
  <si>
    <t>Valor Total             (R$)</t>
  </si>
  <si>
    <t>Total de Postos 12x36 Diurno</t>
  </si>
  <si>
    <t>Total de Postos 5x2 Diurno</t>
  </si>
  <si>
    <t>Total de Postos 12x36 Noturno</t>
  </si>
  <si>
    <t>Senhor Márcio Gomes da Silva - Pregoeiro</t>
  </si>
  <si>
    <t>Senhor Márcio,</t>
  </si>
  <si>
    <t>Setor de Clubes Sul - SCES, Trecho III, Polo 8, Lote 9, Edifício Sede - Brasília/DF</t>
  </si>
  <si>
    <t>Vigilante Desarmado Diurno, 44 horas semanais, sendo 8h48 trabalhadas de 2ª a 6ª feira, entre das 07h e 21h</t>
  </si>
  <si>
    <t>ANEXO I</t>
  </si>
  <si>
    <t>EFETIVO DE PESSOAL EXIGIDO / POSTOS DE TRABALHO / ESCALA</t>
  </si>
  <si>
    <t>ANEXO II</t>
  </si>
  <si>
    <t>EQUIPAMENTOS E MATERIAIS NECESSÁRIOS À EXECUÇÃO DOS SERVIÇOS DE VIGILÂNCIA</t>
  </si>
  <si>
    <t>Tipo</t>
  </si>
  <si>
    <t>Vida Útil (meses)</t>
  </si>
  <si>
    <t>Quantidade de profissionais para rateio dos custos</t>
  </si>
  <si>
    <t xml:space="preserve">Custo rateado por profissional </t>
  </si>
  <si>
    <t>Quantidade Fornecida</t>
  </si>
  <si>
    <t>Coldres para revólveres calibre 38, interno de cintura, com presilha ou passador de cinta em cordura, modelo panqueca. Prazo de troca: o equipamento deve ser trocado a cada 6 meses independente do estado de uso.</t>
  </si>
  <si>
    <t>Munições para revolver calibre 38, sendo 30 (trinta) para o carregamento total dos 05 (cinco) revolveres, 05 (cinco) munições em cada baleiros totalizando 25 munições.</t>
  </si>
  <si>
    <t>Cintos de “nylon” ou couro, para cassetetes e com baleiro; Prazo de troca: o equipamento deve ser trocado a cada 6 meses independente do estado de uso.</t>
  </si>
  <si>
    <t>Lanternas vigilight, de mão, tipo farolete, com lâmpada halógena de 55 w/luz auxiliar – lâmpada de 5w, alça metálica para transporte manual e alça de nylon a tiracolo. Dimensões 12,5cm x 18cm x 9,2cm (L x P x A), tensão do carregador: 220v, peso máximo: 3,5 kg, de longo alcance; O equipamento deve ser trocado quando houver necessidade observando suas condições de uso.</t>
  </si>
  <si>
    <t>Rádios de comunicação digital, com chamada individual ou em grupo; O equipamento deve ser trocado quando houver necessidade observando suas condições de uso.</t>
  </si>
  <si>
    <t>Apitos de aço com cordão; O equipamento deve ser trocado quando houver necessidade observando suas condições de uso.</t>
  </si>
  <si>
    <t>Cassetetes; O equipamento deve ser trocado quando houver necessidade observado suas condições de uso.</t>
  </si>
  <si>
    <t>Revólveres calibre 38, cano curto, 06 tiros, e seus respectivos acessórios. Prazo de manutenção: a empresa deverá realizar manutenção das armas a cada 6 meses. Caso seja necessário realizar a troca do equipamento ou a manutenção fora das dependências do CJF, a empresa deverá deixar outra arma enquanto providencia o conserto/troca.</t>
  </si>
  <si>
    <t>Crachás de identificação da empresa com os dados do vigilante; O equipamento deve ser trocado quando houver necessidade observando suas condições de uso.</t>
  </si>
  <si>
    <t>POSTO ARMADO</t>
  </si>
  <si>
    <t>PARA TODOS OS POSTOS</t>
  </si>
  <si>
    <t>Materiais e Equipamentos</t>
  </si>
  <si>
    <t>Armado</t>
  </si>
  <si>
    <t>Em comum</t>
  </si>
  <si>
    <t>ANEXO III</t>
  </si>
  <si>
    <t>QUANTITATIVO ANUAL/SEMESTRAL E ESPECIFICAÇÕES DOS UNIFORMES</t>
  </si>
  <si>
    <t>Camisa de mangas compridas  (Não compõe uniforme aprovado pela Polícia Federal)</t>
  </si>
  <si>
    <t>Custo Unitário</t>
  </si>
  <si>
    <t>Custo Total</t>
  </si>
  <si>
    <t>CUSTO ANUAL DO UNIFORME PARA UM PROFISSIONAL</t>
  </si>
  <si>
    <t>CUSTO MENSAL DO UNIFORME PARA UM PROFISSIONAL</t>
  </si>
  <si>
    <t>Terno (Calça + Paletó)</t>
  </si>
  <si>
    <t>Meia-calça transparente</t>
  </si>
  <si>
    <t>Valor Mensal</t>
  </si>
  <si>
    <t xml:space="preserve">Custo Médio Mensal </t>
  </si>
  <si>
    <t>Feminino</t>
  </si>
  <si>
    <t>Masculino</t>
  </si>
  <si>
    <t>Calças, conforme padrão da CONTRATADA registrado no Departamento de Polícia Federal</t>
  </si>
  <si>
    <t>Bonés, conforme padrão da CONTRATADA</t>
  </si>
  <si>
    <t>Camisas de mangas curtas, conforme padrão da CONTRATADA registrado no Departamento de Polícia Federal, com dois bolsos</t>
  </si>
  <si>
    <t>Meias social na cor preta</t>
  </si>
  <si>
    <t xml:space="preserve">Cinto, conforme padrão da CONTRATADA, registrado no Departamento de Polícia Federal </t>
  </si>
  <si>
    <t>Japona, conforme padrão da CONTRATADA registrado no Departamento de Polícia Federal</t>
  </si>
  <si>
    <t>Coturnos; cano médio para serviços de rotina, cabedal em couro nobuk hidrofugado, espessura de 2mm, dublado com tecido de poliéster e colarinho de couro pelica. Forração interna de acrílico automotivo com termoplástico leve e resistente, no bico e no calcanhar. Cadarço e linhas em poliéster e poliamida hidrofugados. Solado de borracha modelo vibram, outdoor, resistente a corrente elétrica. Vedação resistente a água ou 100% impermeável, cor preta.</t>
  </si>
  <si>
    <t>Capa de chuva impermeável em PVC, mangas longas, capuz acoplado na capa e fecho da frente com botões de pressão de alta durabilidade, com certificado de aprovação do Ministério da Economia.</t>
  </si>
  <si>
    <t xml:space="preserve">Armado </t>
  </si>
  <si>
    <t>Desarmado</t>
  </si>
  <si>
    <r>
      <t xml:space="preserve">Tipo: </t>
    </r>
    <r>
      <rPr>
        <sz val="11"/>
        <rFont val="Cambria"/>
        <family val="1"/>
      </rPr>
      <t>Sexo Masculino de terno</t>
    </r>
  </si>
  <si>
    <r>
      <t xml:space="preserve">Tipo: </t>
    </r>
    <r>
      <rPr>
        <sz val="11"/>
        <rFont val="Cambria"/>
        <family val="1"/>
      </rPr>
      <t>Sexo Feminino Tailleur</t>
    </r>
  </si>
  <si>
    <r>
      <t xml:space="preserve">CATEGORIA: </t>
    </r>
    <r>
      <rPr>
        <sz val="11"/>
        <rFont val="Cambria"/>
        <family val="1"/>
        <scheme val="major"/>
      </rPr>
      <t xml:space="preserve">Vigilantes Terno/Tailleur (06 Vigilantes) </t>
    </r>
  </si>
  <si>
    <r>
      <t>CATEGORIA:</t>
    </r>
    <r>
      <rPr>
        <sz val="11"/>
        <rFont val="Cambria"/>
        <family val="1"/>
      </rPr>
      <t xml:space="preserve"> Vigilantes Operacional (20 Vigilantes)</t>
    </r>
  </si>
  <si>
    <t>Saias retas/calças</t>
  </si>
  <si>
    <t>Blazeres, mangas compridas, com bolsos laterais, na mesma tonalidade da saia/calça</t>
  </si>
  <si>
    <t>Blusas/camisas, mangas curtas, bolso no lado esquerdo</t>
  </si>
  <si>
    <t>Sapatos social</t>
  </si>
  <si>
    <t>Dados para composição dos custos referente a mão de obra</t>
  </si>
  <si>
    <t>Salário da Categoria Profissional</t>
  </si>
  <si>
    <t>Sindicato da Categoria Profissional (vinculada à execução contratual)</t>
  </si>
  <si>
    <t>Nº da Convenção Coletiva de Trabalho (CCT)</t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</si>
  <si>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Levando em consideração a vigência contratual prevista no art. 57 da Lei nº 8.666, de 23 de junho de 1993, a rubrica férias tem como objetivo principal suprir a necessidade do pagamento das férias remuneradas ao final do contrato de 12 meses.</t>
    </r>
  </si>
  <si>
    <t>Base de Cálculo do Submódulo 2.2 - Módulo 3 - Submódulo 4.1</t>
  </si>
  <si>
    <t xml:space="preserve">[(40% x 8,00% x 0,90)] x (1 + 9,09% + 12,12%) 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</si>
  <si>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 percentual de 1,94% indicado no Aviso Prévio Trabalhado torna-se custo não renovável decorridos 12 meses.</t>
    </r>
  </si>
  <si>
    <r>
      <rPr>
        <b/>
        <sz val="11"/>
        <rFont val="Cambria"/>
        <family val="1"/>
        <scheme val="major"/>
      </rPr>
      <t>Nota 2: </t>
    </r>
    <r>
      <rPr>
        <sz val="11"/>
        <rFont val="Cambria"/>
        <family val="1"/>
        <scheme val="major"/>
      </rPr>
      <t>Os percentuais do Módulo 3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</si>
  <si>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Os percentuais do Submódulo 4.1 já incidem sobre remuneração, 13º salário, férias e adicional de férias.</t>
    </r>
  </si>
  <si>
    <t>Substituto na Intrajornada</t>
  </si>
  <si>
    <t>Tributos (C.1 + C.2 + C.3)</t>
  </si>
  <si>
    <t>Tributos Federais (PIS)</t>
  </si>
  <si>
    <t>C.3</t>
  </si>
  <si>
    <t>Contribuição Previdenciária sobre a Receita Bruta - CPRB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</si>
  <si>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Os percentuais dos encargos previdenciários, do FGTS e demais contribuições são aqueles estabelecidos pela legislação vigente.</t>
    </r>
  </si>
  <si>
    <r>
      <rPr>
        <b/>
        <sz val="11"/>
        <rFont val="Cambria"/>
        <family val="1"/>
        <scheme val="major"/>
      </rPr>
      <t>Nota 5: </t>
    </r>
    <r>
      <rPr>
        <sz val="11"/>
        <rFont val="Cambria"/>
        <family val="1"/>
        <scheme val="major"/>
      </rPr>
      <t>Os percentuais do Submódulo 2.2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</si>
  <si>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percentual do INSS poderá sofrer alteração de acordo com a "Desoneração da Folha de Pagamento" (Lei 12.546/2011).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</si>
  <si>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A empresa que indicar "desoneração" do Submódulo 2.2 deverá incluir uma rubrica para tributação da Contribuição Previdenciária sobre a Receita Bruta - CPRB.</t>
    </r>
  </si>
  <si>
    <t>QUADRO-RESUMO DO CUSTO POR EMPREGADO</t>
  </si>
  <si>
    <t>Prazo de Prestação dos Serviços:</t>
  </si>
  <si>
    <t>Valor do Plano de Saúde - Pago por Ressarcimento</t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</si>
  <si>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52,5 x 60) x 15 dias</t>
    </r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</si>
  <si>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52,3 x 60) x 15 dias</t>
    </r>
  </si>
  <si>
    <t>CNPJ Nº 00.508.903/0001-88</t>
  </si>
  <si>
    <t>Incidência do FGTS sobre aviso prévio indenizado.</t>
  </si>
  <si>
    <t>((1,94% + (40% x 1,94%)) 8% x 1,94%</t>
  </si>
  <si>
    <t>Em atendimento ao Edital</t>
  </si>
  <si>
    <t>Coletes balísticos</t>
  </si>
  <si>
    <t>Capa resistente na cor preta com ajuste por velcro nos ombros e nas laterais e suporte para placas balísticas, individual, modelo social discreto com proteção frontal, dorsal e lateral, nível II NIJ 0101-04 ou superior, com fibras de aramida ou polietileno. Para cada colete balístico a empresa deverá providenciar mais 3 (três) capas além do especificado acima. Prazo de troca: o equipamento deve ser trocado a cada 6 meses independente do estado de uso.</t>
  </si>
  <si>
    <t>PROPOSTA LANCE FINAL</t>
  </si>
  <si>
    <t>Razão Social: BRASFORT EMPRESA DE SEGURANÇA LTDA</t>
  </si>
  <si>
    <t>CNPJ: 03.497.401/0001-97</t>
  </si>
  <si>
    <t>Inscrição Estadual: 07.328.028/001-25</t>
  </si>
  <si>
    <t>Endereço: SAA/Norte Quadra 03 nº 1.230 e 1.240</t>
  </si>
  <si>
    <t>Cidade: Brasília/DF                   CEP: 70.632-300</t>
  </si>
  <si>
    <t xml:space="preserve">Telefone: (61) 3878-3434          Fax: (61) 3878-3433                     </t>
  </si>
  <si>
    <t>Dados Bancários: Banco: Banco do Brasil, Agência nº 3382-0, Conta Corrente nº 435.247-5</t>
  </si>
  <si>
    <t>E-mail: brasfort@brasfort.com.br // comercial@brasfort.com.br</t>
  </si>
  <si>
    <t>Nome: Robério Bandeira de Negreiros</t>
  </si>
  <si>
    <t>Cargo: Sócio Administrador</t>
  </si>
  <si>
    <t>Robério Bandeira de Negreiros</t>
  </si>
  <si>
    <t>[(1÷12) x 0,03] x 100</t>
  </si>
  <si>
    <t>((0,25% + (40% x 0,25%)) 8% x 0,25%</t>
  </si>
  <si>
    <t xml:space="preserve">{(8,33% x 4) + (12,12% x 4)} ÷12 x 0,001 x 100 </t>
  </si>
  <si>
    <t>07h00 às 17h00</t>
  </si>
  <si>
    <t>Arts. 83 e 473 da CLT. Estimativa de 5 (cinco) dias de licença por ano, para 1% dos empregados.</t>
  </si>
  <si>
    <t>Art. 7º, inciso XVIII, CF/88, Regulado pela Lei nº 8.213/1991, Art. 72. Estima-se que 0,10% das empregadas usufruem os 4 (meses) meses de licença a cada ano de execução contratual.</t>
  </si>
  <si>
    <t>(*) O Auxílio Saúde - Será pago por ressarcimento (subitem 4.66.1 TR)</t>
  </si>
  <si>
    <t>20 (vinte) meses, contados da assinatura do contrato.</t>
  </si>
  <si>
    <t>Art. 30 da Lei n. 8.036/1990 e art. 1º da Lei n. 8.154/1990.</t>
  </si>
  <si>
    <t>Lei n. 8.029/1990, alterada pela Lei n. 8.154/1990.</t>
  </si>
  <si>
    <t>Art. 3º, inciso I, do Decreto n. 87.043/1982, Lei n. 9.424/1996.</t>
  </si>
  <si>
    <t>§1º do art. 487 da CLT. Estima-se que cerca de 3% do pessoal é demitido pelo empregador, antes do término do contrato de trabalho.</t>
  </si>
  <si>
    <t xml:space="preserve">O art. 12 da Lei n. 13.932/2019 extiguiu a cobraça da contribuição de 10% devida pelos empregadores em caso de despedida sem justa causa (art. 1º da Lei Complementar 110/2001). </t>
  </si>
  <si>
    <t>CF, art. 7º inciso XIX, combinado com o art. 10, §1º, ADCT. Estimativa de 1% dos empregados usufruindo 5 (cinco) dias da licença por ano.</t>
  </si>
  <si>
    <t>Art.131 da CLT, Lei nº 8.213/91, Decreto nº 3.048/99. Estimativa de 1 (uma) licença de 15 (quinze) dias por ano para 0,30% (trinta décimos por cento) dos empregados.</t>
  </si>
  <si>
    <t>Art. 7º, Inciso VIII, CF/88, Art. 1º ao 3º, Lei nº 4.090/62, Art. 1º, parágrafo único, Lei nº 7.787/89. Resoluções. CNJ ns. 98/2009 e 169/2013. Instrução Normativa CJF n. 001/2016.</t>
  </si>
  <si>
    <t>Art. 7º, Inciso VIII, CF/88 e Inciso XVII do art. 7º da Constituição Federal e art. 142 da CLT. Resoluções. CNJ ns. 98/2009 e 169/2013. Instrução Normativa CJF n. 001/2016.</t>
  </si>
  <si>
    <t>Resoluções. CNJ ns. 98/2009 e 169/2013. Instrução Normativa CJF n. 001/2016 - Provisionamento da Conta Vinculada</t>
  </si>
  <si>
    <t>MÓDULO II</t>
  </si>
  <si>
    <t>Art. 488, da CLT. Acórdão TCU n. 1.904/2007.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</si>
  <si>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</si>
  <si>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</si>
  <si>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</si>
  <si>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</si>
  <si>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</si>
  <si>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</si>
  <si>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t>Multa FGTS - rescisão sem justa causa</t>
  </si>
  <si>
    <t>Tributos Federais (COFINS)</t>
  </si>
  <si>
    <t>Incidência do submódulo 2.2 sobre aviso prévio trabalhado.</t>
  </si>
  <si>
    <t>Tributos Municipais (ISS)</t>
  </si>
  <si>
    <t>RAT x FAP = (3% x 0,8563) = 2,57%</t>
  </si>
  <si>
    <t>Repactuação data-base 2021</t>
  </si>
  <si>
    <t>0,71%</t>
  </si>
  <si>
    <t>RESUMO DO I TERMO ADITIVO AO CONTRATO N. 015/2020-CJF</t>
  </si>
  <si>
    <t>DF000680/2020</t>
  </si>
  <si>
    <t>Adicional de Periculosidade  - Salário base x 30%</t>
  </si>
  <si>
    <t>Adicional Noturno - Salário base + Adicional de Periculosidade x 20% x (7 ÷ 52,5 x 60) x 15 dias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</si>
  <si>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</si>
  <si>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</si>
  <si>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4: Esses percentuais incidem sobre o Módulo 1, o Submódulo 2.1.</t>
  </si>
  <si>
    <t>Nota 5: Os percentuais do Submódulo 2.2 já incidem sobre remuneração, 13º salário, férias e adicional de férias.</t>
  </si>
  <si>
    <t>Base de Cálculo: Módulo 1 + Submódulo 2.1</t>
  </si>
  <si>
    <t>Auxílio Saúde - Cláusula 14ª da CCT (Pago por ressarcimento)</t>
  </si>
  <si>
    <t>Nota 1: O valor informado deverá ser o custo real do benefício (descontado o valor eventualmente pago pelo empregado).</t>
  </si>
  <si>
    <t>Nota 1: O percentual de 1,94% indicado no Aviso Prévio Trabalhado torna-se custo não renovável decorridos 12 meses.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</si>
  <si>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</si>
  <si>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</si>
  <si>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Nota: Quando houver a necessidade de reposição de um empregado durante sua ausência nos casos de intervalo para repouso ou alimentação deve-se contemplar o Submódulo 4.2.</t>
  </si>
  <si>
    <t>Nota: Valores mensais por empregado.</t>
  </si>
  <si>
    <t>Nota 1: Custos Indiretos, Tributos e Lucro por empregado.</t>
  </si>
  <si>
    <t>Nota 2: O valor referente a tributos é obtido aplicando-se o percentual sobre o valor do faturamento.</t>
  </si>
  <si>
    <t>Adicional Noturno - Salário base + Adicional de Periculosidade x 20% x (7 ÷ 52,3 x 60) x 15 dias</t>
  </si>
  <si>
    <t>(0,3637 x 0,00194) x 100</t>
  </si>
  <si>
    <t>( 0,08 x 0,0025 ) x 100</t>
  </si>
  <si>
    <t>((0,194% + (40% x 0,194%)) 8% x 0,194%</t>
  </si>
  <si>
    <t>0,07%</t>
  </si>
  <si>
    <t xml:space="preserve">{[(7 ÷ 30) ÷ 12] x 100}x10% </t>
  </si>
  <si>
    <t>Art. 488, da CLT. Acórdãos TCU n. 1.904/2007 e n. 1.186/2017.</t>
  </si>
  <si>
    <t>Auxílio Saúde - Cláusula 14ª da CCT (*)</t>
  </si>
  <si>
    <t>01/01/2021 a 31/12/2021</t>
  </si>
  <si>
    <t>Redução do percentual do aviso prévio trabalhado</t>
  </si>
  <si>
    <t>Valor inicial(R$)</t>
  </si>
  <si>
    <t>Valor I T.A. Repactuação 1º/1/2021</t>
  </si>
  <si>
    <t>Valor I T.A. Redução % aviso prévio trabalhado 1º/8/2021</t>
  </si>
  <si>
    <t>Valor inicial (R$)</t>
  </si>
  <si>
    <t xml:space="preserve">[(1 ÷ 11) x 100] </t>
  </si>
  <si>
    <t>( 0,3637 x 0,0194 ) x 100</t>
  </si>
  <si>
    <t>( 0,3629 x 0,0194 ) x 100</t>
  </si>
  <si>
    <t>- Valor Total Mensal: R$ 176.680,44 (cento e setenta e seis mil, seiscentos e oitenta reais e quarenta e quatro centavos)</t>
  </si>
  <si>
    <t>- Valor Total para 20 (vinte) meses: R$ 3.533.608,80 (três milhões, quinhentos e trinta e três mil, seiscentos e oito reais e oitenta centavos)</t>
  </si>
  <si>
    <t>RAT x FAP = (3% x 0,8298) = 2,49%</t>
  </si>
  <si>
    <t>Desconto do Auxílio Alimentação-Cláusula 12ª §2º da CCT</t>
  </si>
  <si>
    <t>Auxílio Transporte-Cláusula 13ª da CCT</t>
  </si>
  <si>
    <t>Auxílio Alimentação-Cláusula 12ª da CCT</t>
  </si>
  <si>
    <t>Auxílio Saúde Cláusula 14ª da CCT (pago por ressarcimento)</t>
  </si>
  <si>
    <t>Fundo Ind.Aposent.Ou Doença-Cláusula 17ª da CCT</t>
  </si>
  <si>
    <t>Seguro de Vida-Cláusula 16ª da CCT</t>
  </si>
  <si>
    <t>Fundo Assistencial e Odontológico-Cláusula 15ª da CCT</t>
  </si>
  <si>
    <t>Supervisor Diurno 5x2</t>
  </si>
  <si>
    <t>Supervisor, 44 horas semanais, sendo 8h48 trabalhadas de 2ª a 6ª feira, entre 07h e 21h</t>
  </si>
  <si>
    <t>RESUMO DO II TERMO ADITIVO AO CONTRATO N. 015/2020-CJF</t>
  </si>
  <si>
    <t>Cálculo do percentual de acréscimo - Art. 65, §1º, da Lei 8.666/1993</t>
  </si>
  <si>
    <t>Valor II T.A. Acréscimo/Prorrogação 1º/4/2022</t>
  </si>
  <si>
    <t>Soma para os 20 meses</t>
  </si>
  <si>
    <t>Soma para 20 meses</t>
  </si>
  <si>
    <t>Quantidade fornecida com acréscimo</t>
  </si>
  <si>
    <t>CUSTO DO CONTRATO PARA UM PROFISSIONAL (20 MESES)</t>
  </si>
  <si>
    <t>Valor inicial atualizado com a repactuação</t>
  </si>
  <si>
    <t>Valor inicial atualizado com a repactuação acrescido</t>
  </si>
  <si>
    <t>Supervisor de Vigilância</t>
  </si>
  <si>
    <t>ANEXO I - Segundo Termo Aditivo - A partir de 1º/04/2022</t>
  </si>
  <si>
    <t>Guarita NE - ALFA 4</t>
  </si>
  <si>
    <t>Prorrogação e Acréscimo</t>
  </si>
  <si>
    <r>
      <rPr>
        <b/>
        <sz val="11"/>
        <rFont val="Cambria"/>
        <family val="1"/>
        <scheme val="major"/>
      </rP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</si>
  <si>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r>
      <rPr>
        <b/>
        <sz val="11"/>
        <rFont val="Cambria"/>
        <family val="1"/>
        <scheme val="major"/>
      </rPr>
      <t>Base de Cálculo:</t>
    </r>
    <r>
      <rPr>
        <sz val="11"/>
        <rFont val="Cambria"/>
        <family val="1"/>
        <scheme val="major"/>
      </rPr>
      <t xml:space="preserve"> Módulo 1 + Submódulo 2.1</t>
    </r>
  </si>
  <si>
    <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</si>
  <si>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t>COM EFEITOS A PARTIR DE 1º/04/2022</t>
  </si>
  <si>
    <t>Munições para revolver calibre 38, sendo 36 (trinta e seis) para o carregamento total dos 06 (seis) revolveres, 05 (cinco) munições em cada baleiros totalizando 30 munições.</t>
  </si>
  <si>
    <t>Supervisor, 44 horas semanais, sendo 8h48 trabalhadas de 2ª a 6ª feira, entre das 07h e 21h</t>
  </si>
  <si>
    <t>DF000101/2022</t>
  </si>
  <si>
    <t>Alteração FAP Web (exercício 2022)</t>
  </si>
  <si>
    <t>Valor III T.A. 
reajuste 1º/8/2022</t>
  </si>
  <si>
    <t>01/01/2022 a 31/12/2022</t>
  </si>
  <si>
    <t>Fundo Social e Odontológico - Cláusula 16ª da CCT</t>
  </si>
  <si>
    <t>Vigiliante</t>
  </si>
  <si>
    <t>Reajuste, efeito financeiro 1º/8/2021</t>
  </si>
  <si>
    <t>reajuste, efeito financeiro em 1º/8/2022</t>
  </si>
  <si>
    <t>III T.A (reajuste, efeito financeiro em 1º/8/2021)</t>
  </si>
  <si>
    <t>III T.A (reajuste, efeito financeiro em 1º/4/2022 - após acréscimo II T.A)</t>
  </si>
  <si>
    <t>Reajuste, efeito financeiro 1º/8/2022</t>
  </si>
  <si>
    <t>Soma para os 12 meses</t>
  </si>
  <si>
    <t>Soma para 12 meses</t>
  </si>
  <si>
    <t>CUSTO DO CONTRATO PARA UM PROFISSIONAL (12 MESES)</t>
  </si>
  <si>
    <t>CUSTO DO CONTRATO PARA UM PROFISSIONAL (20MESES)</t>
  </si>
  <si>
    <t>-</t>
  </si>
  <si>
    <t>DF000101/2022 e DF0001038/2022</t>
  </si>
  <si>
    <t>Efeito financeiro 1º/4/2022</t>
  </si>
  <si>
    <t>Soma para 12  meses</t>
  </si>
  <si>
    <t>ANEXO III - SEGUNDO TERMO ADITIVO (retificação)</t>
  </si>
  <si>
    <t>Reajuste, efeito financeiro 1º/4/2022 (após acréscimo / prorrogação / retificação)</t>
  </si>
  <si>
    <t>II T.TA
Valor inicial (R$)</t>
  </si>
  <si>
    <t>RESUMO DO III TERMO ADITIVO AO CONTRATO N. 015/2020-CJF</t>
  </si>
  <si>
    <t>COM EFEITOS A PARTIR DE 1º/08/2021</t>
  </si>
  <si>
    <t>,</t>
  </si>
  <si>
    <t>COM EFEITOS A PARTIR DE 1º/04/2022 (Reajuste 2021 - após acrescimo II TA e reajuste/repactuação)</t>
  </si>
  <si>
    <t>COM EFEITOS A PARTIR DE 1º/01/2022 (repactuação 2022)</t>
  </si>
  <si>
    <t>COM EFEITOS A PARTIR DE 1º/08/2022 (Reajuste 2022)</t>
  </si>
  <si>
    <t>COM EFEITOS A PARTIR DE 1º/04/2022 (RETIFICAÇÃO do Anexo II - sem repactuação/reajuste)</t>
  </si>
  <si>
    <t>Garantia contratual</t>
  </si>
  <si>
    <t>Valor total prorrogação/repactuação/reajuste</t>
  </si>
  <si>
    <t>II T.A (atual)</t>
  </si>
  <si>
    <t xml:space="preserve">Valor da Garantia contratual (III T.A) </t>
  </si>
  <si>
    <t xml:space="preserve">Valor da Garantia complementar </t>
  </si>
  <si>
    <t>Seguro de Vida - Cláusula 15ª da CCT</t>
  </si>
  <si>
    <t>Valor III T.A.  retificação 1º/4/2022</t>
  </si>
  <si>
    <t>Valor III T.A. reajuste  1º/8/2021</t>
  </si>
  <si>
    <t>Valor III T.A. 
Repactuação 1º/1/2022</t>
  </si>
  <si>
    <t>Valor III T.A. 
Reajuste 2021, (após acrescimo II TA)  1º/4/2022</t>
  </si>
  <si>
    <t>Valor III T.A. 
Reajuste 2021, (após acrescimo II TA) 1º/4/2022</t>
  </si>
  <si>
    <t>DF000178/2023</t>
  </si>
  <si>
    <t>01/01/2023 a 31/12/2023</t>
  </si>
  <si>
    <t>IV Termo Aditivo - Repactuação</t>
  </si>
  <si>
    <t>RAT x FAP = (3% x 1,1348) = 3,40%</t>
  </si>
  <si>
    <t>Valor IV T.A. 
Repactuação 1º/1/2023</t>
  </si>
  <si>
    <t>Valor III T.A. 
reajuste 1º/8/2021</t>
  </si>
  <si>
    <t>Valor III T.A. 
Reajuste (após acréscimo II TA) 1º/4/2022</t>
  </si>
  <si>
    <t>Valor III T.A. 
Reajuste 1º/8/2022</t>
  </si>
  <si>
    <t>Valor III T.A. 
Repactuação 1º/1/022</t>
  </si>
  <si>
    <r>
      <t xml:space="preserve">Valor III T.A. 
</t>
    </r>
    <r>
      <rPr>
        <sz val="11"/>
        <rFont val="Cambria"/>
        <family val="1"/>
        <scheme val="major"/>
      </rPr>
      <t>Reajuste 2021 (após acréscimo) e retificação</t>
    </r>
    <r>
      <rPr>
        <b/>
        <sz val="11"/>
        <rFont val="Cambria"/>
        <family val="1"/>
        <scheme val="major"/>
      </rPr>
      <t xml:space="preserve"> 1º/4/2022</t>
    </r>
  </si>
  <si>
    <t>Valor III T.A. 
retificação
1º/4/2022</t>
  </si>
  <si>
    <t>Valor III T.A. 
Repactuação / Reajuste / retificação
1º/4/2022</t>
  </si>
  <si>
    <t>RESUMO DO IV TERMO ADITIVO AO CONTRATO N. 015/2020-CJF</t>
  </si>
  <si>
    <t>Valor total prorrogação/repactuação/reajuste/repactuação</t>
  </si>
  <si>
    <t>III T.A (atual)</t>
  </si>
  <si>
    <t xml:space="preserve">Valor da Garantia contratual (IV T.A) </t>
  </si>
  <si>
    <t>COM EFEITOS A PARTIR DE 01º/01/2021</t>
  </si>
  <si>
    <t>COM EFEITOS A PARTIR DE 1º/01/2023 (Repactuação 2023)</t>
  </si>
  <si>
    <t>Alteração FAP Web (exercício 2023)</t>
  </si>
  <si>
    <t>Valor IV T.A. 
Repactuação 1º/01/2023</t>
  </si>
  <si>
    <t>RESUMO DO V TERMO ADITIVO AO CONTRATO N. 015/2020-CJF</t>
  </si>
  <si>
    <t>COM EFEITOS A PARTIR DE 1º/12/2023 (Prorrogação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</si>
</sst>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8" formatCode="&quot;R$&quot;#,##0.00;[Red]\-&quot;R$&quot;#,##0.00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&quot;R$ &quot;#,##0.00"/>
    <numFmt numFmtId="169" formatCode="00"/>
    <numFmt numFmtId="170" formatCode="[$-F800]dddd\,\ mmmm\ dd\,\ yyyy"/>
    <numFmt numFmtId="171" formatCode="_-[$R$-416]\ * #,##0.00_-;\-[$R$-416]\ * #,##0.00_-;_-[$R$-416]\ * &quot;-&quot;??_-;_-@_-"/>
    <numFmt numFmtId="172" formatCode="[$-416]mmm\-yy;@"/>
    <numFmt numFmtId="173" formatCode="#,##0_ ;\-#,##0\ "/>
    <numFmt numFmtId="174" formatCode="00.00"/>
    <numFmt numFmtId="175" formatCode="[$-416]d\-mmm;@"/>
    <numFmt numFmtId="176" formatCode="[$-416]General"/>
    <numFmt numFmtId="177" formatCode="000000"/>
    <numFmt numFmtId="178" formatCode="[$R$-416]&quot; &quot;#,##0.00;[Red]&quot;-&quot;[$R$-416]&quot; &quot;#,##0.00"/>
    <numFmt numFmtId="179" formatCode="0.0000%"/>
    <numFmt numFmtId="180" formatCode="0.000%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name val="Cambria"/>
      <family val="1"/>
      <scheme val="major"/>
    </font>
    <font>
      <sz val="11"/>
      <color indexed="12"/>
      <name val="Cambria"/>
      <family val="1"/>
      <scheme val="major"/>
    </font>
    <font>
      <u/>
      <sz val="11"/>
      <name val="Cambria"/>
      <family val="1"/>
      <scheme val="major"/>
    </font>
    <font>
      <u/>
      <sz val="10"/>
      <color theme="10"/>
      <name val="Arial"/>
      <family val="2"/>
    </font>
    <font>
      <b/>
      <sz val="12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4"/>
      <color rgb="FFFF0000"/>
      <name val="Arial Narrow"/>
      <family val="2"/>
    </font>
    <font>
      <b/>
      <i/>
      <sz val="11"/>
      <name val="Cambria"/>
      <family val="1"/>
      <scheme val="major"/>
    </font>
    <font>
      <sz val="10"/>
      <name val="Arial"/>
      <family val="2"/>
    </font>
    <font>
      <sz val="11"/>
      <name val="Cambria"/>
      <family val="1"/>
    </font>
    <font>
      <i/>
      <sz val="14"/>
      <name val="Arial Narrow"/>
      <family val="2"/>
    </font>
    <font>
      <i/>
      <sz val="10"/>
      <name val="Arial Narrow"/>
      <family val="2"/>
    </font>
    <font>
      <sz val="11"/>
      <name val="Calibri"/>
      <family val="2"/>
    </font>
    <font>
      <u/>
      <sz val="14"/>
      <name val="Arial Narrow"/>
      <family val="2"/>
    </font>
    <font>
      <u/>
      <sz val="10"/>
      <name val="Arial"/>
      <family val="2"/>
    </font>
    <font>
      <sz val="11"/>
      <name val="Times New Roman"/>
      <family val="2"/>
    </font>
    <font>
      <sz val="11"/>
      <color rgb="FF00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0" fontId="10" fillId="0" borderId="0"/>
    <xf numFmtId="0" fontId="40" fillId="0" borderId="0" applyNumberFormat="0" applyFill="0" applyBorder="0" applyAlignment="0" applyProtection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167" fontId="7" fillId="0" borderId="0" applyFont="0" applyFill="0" applyBorder="0" applyAlignment="0" applyProtection="0"/>
    <xf numFmtId="0" fontId="1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5" fillId="0" borderId="0" applyNumberFormat="0" applyBorder="0" applyProtection="0">
      <alignment horizontal="center"/>
    </xf>
    <xf numFmtId="176" fontId="45" fillId="0" borderId="0">
      <alignment horizontal="center"/>
    </xf>
    <xf numFmtId="176" fontId="45" fillId="0" borderId="0" applyNumberFormat="0" applyBorder="0" applyProtection="0">
      <alignment horizontal="center" textRotation="90"/>
    </xf>
    <xf numFmtId="176" fontId="45" fillId="0" borderId="0">
      <alignment horizontal="center" textRotation="90"/>
    </xf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176" fontId="4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177" fontId="47" fillId="0" borderId="0"/>
    <xf numFmtId="177" fontId="47" fillId="0" borderId="0"/>
    <xf numFmtId="0" fontId="11" fillId="0" borderId="0"/>
    <xf numFmtId="9" fontId="11" fillId="0" borderId="0" applyFont="0" applyFill="0" applyBorder="0" applyAlignment="0" applyProtection="0"/>
    <xf numFmtId="176" fontId="48" fillId="0" borderId="0" applyNumberFormat="0" applyBorder="0" applyProtection="0"/>
    <xf numFmtId="176" fontId="48" fillId="0" borderId="0"/>
    <xf numFmtId="178" fontId="48" fillId="0" borderId="0" applyBorder="0" applyProtection="0"/>
    <xf numFmtId="178" fontId="48" fillId="0" borderId="0"/>
    <xf numFmtId="166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6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47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5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59">
    <xf numFmtId="0" fontId="0" fillId="0" borderId="0" xfId="0"/>
    <xf numFmtId="0" fontId="29" fillId="2" borderId="2" xfId="15" applyFont="1" applyFill="1" applyBorder="1" applyAlignment="1">
      <alignment horizontal="center" vertical="center" wrapText="1"/>
    </xf>
    <xf numFmtId="3" fontId="27" fillId="0" borderId="2" xfId="28" applyNumberFormat="1" applyFont="1" applyBorder="1" applyAlignment="1">
      <alignment horizontal="center" vertical="center"/>
    </xf>
    <xf numFmtId="164" fontId="27" fillId="0" borderId="2" xfId="15" applyNumberFormat="1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169" fontId="31" fillId="0" borderId="2" xfId="0" applyNumberFormat="1" applyFont="1" applyBorder="1" applyAlignment="1">
      <alignment horizontal="center" vertical="center"/>
    </xf>
    <xf numFmtId="169" fontId="27" fillId="0" borderId="2" xfId="0" applyNumberFormat="1" applyFont="1" applyBorder="1" applyAlignment="1">
      <alignment horizontal="center" vertical="center"/>
    </xf>
    <xf numFmtId="169" fontId="30" fillId="2" borderId="2" xfId="0" applyNumberFormat="1" applyFont="1" applyFill="1" applyBorder="1" applyAlignment="1">
      <alignment horizontal="center" vertical="center"/>
    </xf>
    <xf numFmtId="165" fontId="27" fillId="0" borderId="2" xfId="6" applyFont="1" applyBorder="1" applyAlignment="1">
      <alignment vertical="center"/>
    </xf>
    <xf numFmtId="165" fontId="27" fillId="0" borderId="2" xfId="15" applyNumberFormat="1" applyFont="1" applyBorder="1" applyAlignment="1">
      <alignment vertical="center"/>
    </xf>
    <xf numFmtId="0" fontId="27" fillId="0" borderId="0" xfId="15" applyFont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 wrapText="1"/>
    </xf>
    <xf numFmtId="3" fontId="27" fillId="0" borderId="0" xfId="28" applyNumberFormat="1" applyFont="1" applyBorder="1" applyAlignment="1">
      <alignment horizontal="center" vertical="center"/>
    </xf>
    <xf numFmtId="165" fontId="27" fillId="0" borderId="0" xfId="6" applyFont="1" applyBorder="1" applyAlignment="1">
      <alignment horizontal="center" vertical="center" wrapText="1"/>
    </xf>
    <xf numFmtId="164" fontId="27" fillId="0" borderId="0" xfId="15" applyNumberFormat="1" applyFont="1" applyBorder="1" applyAlignment="1">
      <alignment horizontal="center" vertical="center" wrapText="1"/>
    </xf>
    <xf numFmtId="0" fontId="27" fillId="0" borderId="0" xfId="15" applyFont="1" applyFill="1" applyAlignment="1">
      <alignment horizontal="center" vertical="center"/>
    </xf>
    <xf numFmtId="0" fontId="27" fillId="0" borderId="0" xfId="15" applyFont="1" applyFill="1" applyAlignment="1">
      <alignment vertical="center"/>
    </xf>
    <xf numFmtId="0" fontId="27" fillId="0" borderId="0" xfId="15" applyFont="1" applyAlignment="1">
      <alignment vertical="center"/>
    </xf>
    <xf numFmtId="0" fontId="29" fillId="0" borderId="0" xfId="15" applyFont="1" applyFill="1" applyAlignment="1">
      <alignment horizontal="center" vertical="center"/>
    </xf>
    <xf numFmtId="0" fontId="28" fillId="0" borderId="0" xfId="8" applyFont="1" applyFill="1" applyAlignment="1">
      <alignment vertical="center" wrapText="1"/>
    </xf>
    <xf numFmtId="169" fontId="27" fillId="0" borderId="2" xfId="15" applyNumberFormat="1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vertical="center"/>
    </xf>
    <xf numFmtId="169" fontId="29" fillId="0" borderId="0" xfId="15" applyNumberFormat="1" applyFont="1" applyFill="1" applyBorder="1" applyAlignment="1">
      <alignment horizontal="center" vertical="center"/>
    </xf>
    <xf numFmtId="0" fontId="27" fillId="0" borderId="2" xfId="15" applyFont="1" applyFill="1" applyBorder="1" applyAlignment="1">
      <alignment vertical="center"/>
    </xf>
    <xf numFmtId="0" fontId="27" fillId="0" borderId="2" xfId="15" applyFont="1" applyFill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justify" vertical="center"/>
    </xf>
    <xf numFmtId="0" fontId="27" fillId="0" borderId="0" xfId="8" applyFont="1" applyAlignment="1">
      <alignment vertical="center"/>
    </xf>
    <xf numFmtId="2" fontId="29" fillId="0" borderId="0" xfId="8" applyNumberFormat="1" applyFont="1" applyFill="1" applyBorder="1" applyAlignment="1">
      <alignment vertical="center"/>
    </xf>
    <xf numFmtId="165" fontId="27" fillId="0" borderId="0" xfId="6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/>
    </xf>
    <xf numFmtId="171" fontId="27" fillId="0" borderId="0" xfId="6" applyNumberFormat="1" applyFont="1" applyFill="1" applyBorder="1" applyAlignment="1">
      <alignment vertical="center"/>
    </xf>
    <xf numFmtId="0" fontId="29" fillId="0" borderId="0" xfId="8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8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9" fillId="0" borderId="0" xfId="10" applyFont="1"/>
    <xf numFmtId="0" fontId="19" fillId="0" borderId="0" xfId="10" applyFont="1" applyBorder="1"/>
    <xf numFmtId="0" fontId="20" fillId="0" borderId="0" xfId="10" applyFont="1"/>
    <xf numFmtId="0" fontId="17" fillId="0" borderId="0" xfId="10" applyFont="1" applyAlignment="1">
      <alignment horizontal="left" vertical="center"/>
    </xf>
    <xf numFmtId="0" fontId="18" fillId="0" borderId="0" xfId="10" applyFont="1" applyAlignment="1">
      <alignment horizontal="left" vertical="center"/>
    </xf>
    <xf numFmtId="0" fontId="21" fillId="0" borderId="0" xfId="10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 vertical="center"/>
    </xf>
    <xf numFmtId="165" fontId="22" fillId="0" borderId="0" xfId="10" applyNumberFormat="1" applyFont="1" applyFill="1" applyAlignment="1">
      <alignment horizontal="center" vertical="center"/>
    </xf>
    <xf numFmtId="0" fontId="17" fillId="2" borderId="3" xfId="8" quotePrefix="1" applyFont="1" applyFill="1" applyBorder="1" applyAlignment="1">
      <alignment horizontal="center" vertical="center" wrapText="1"/>
    </xf>
    <xf numFmtId="0" fontId="17" fillId="2" borderId="3" xfId="10" quotePrefix="1" applyFont="1" applyFill="1" applyBorder="1" applyAlignment="1">
      <alignment horizontal="center" vertical="center"/>
    </xf>
    <xf numFmtId="167" fontId="18" fillId="0" borderId="2" xfId="4" applyFont="1" applyFill="1" applyBorder="1" applyAlignment="1">
      <alignment horizontal="center" vertical="center"/>
    </xf>
    <xf numFmtId="169" fontId="18" fillId="0" borderId="2" xfId="10" applyNumberFormat="1" applyFont="1" applyFill="1" applyBorder="1" applyAlignment="1">
      <alignment horizontal="center" vertical="center"/>
    </xf>
    <xf numFmtId="43" fontId="23" fillId="0" borderId="0" xfId="10" applyNumberFormat="1" applyFont="1" applyFill="1" applyAlignment="1">
      <alignment vertical="center"/>
    </xf>
    <xf numFmtId="165" fontId="23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vertical="center"/>
    </xf>
    <xf numFmtId="167" fontId="17" fillId="2" borderId="2" xfId="10" quotePrefix="1" applyNumberFormat="1" applyFont="1" applyFill="1" applyBorder="1" applyAlignment="1">
      <alignment horizontal="center" vertical="center"/>
    </xf>
    <xf numFmtId="169" fontId="17" fillId="2" borderId="2" xfId="10" applyNumberFormat="1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8" fillId="0" borderId="0" xfId="10" applyFont="1"/>
    <xf numFmtId="0" fontId="19" fillId="0" borderId="0" xfId="10" applyFont="1" applyAlignment="1">
      <alignment horizontal="justify" vertical="justify"/>
    </xf>
    <xf numFmtId="0" fontId="18" fillId="0" borderId="0" xfId="10" applyFont="1" applyAlignment="1"/>
    <xf numFmtId="0" fontId="18" fillId="0" borderId="0" xfId="10" applyFont="1" applyAlignment="1">
      <alignment horizontal="right" vertical="center"/>
    </xf>
    <xf numFmtId="14" fontId="18" fillId="0" borderId="0" xfId="10" applyNumberFormat="1" applyFont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4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 wrapText="1"/>
    </xf>
    <xf numFmtId="0" fontId="27" fillId="0" borderId="0" xfId="14" applyFont="1" applyAlignment="1">
      <alignment horizontal="center" vertical="center" wrapText="1"/>
    </xf>
    <xf numFmtId="0" fontId="39" fillId="0" borderId="0" xfId="14" applyFont="1" applyAlignment="1">
      <alignment vertical="center"/>
    </xf>
    <xf numFmtId="0" fontId="39" fillId="0" borderId="0" xfId="14" applyFont="1" applyFill="1" applyAlignment="1">
      <alignment vertical="center"/>
    </xf>
    <xf numFmtId="0" fontId="39" fillId="0" borderId="0" xfId="14" applyFont="1" applyFill="1" applyAlignment="1">
      <alignment horizontal="center" vertical="center"/>
    </xf>
    <xf numFmtId="0" fontId="27" fillId="0" borderId="0" xfId="14" applyFont="1" applyAlignment="1">
      <alignment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1" fontId="27" fillId="0" borderId="2" xfId="6" applyNumberFormat="1" applyFont="1" applyFill="1" applyBorder="1" applyAlignment="1">
      <alignment horizontal="center" vertical="center" wrapText="1"/>
    </xf>
    <xf numFmtId="169" fontId="27" fillId="0" borderId="2" xfId="6" applyNumberFormat="1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horizontal="center" vertical="center" wrapText="1"/>
    </xf>
    <xf numFmtId="0" fontId="29" fillId="0" borderId="0" xfId="14" applyFont="1" applyFill="1" applyBorder="1" applyAlignment="1">
      <alignment horizontal="left" vertical="center" wrapText="1"/>
    </xf>
    <xf numFmtId="0" fontId="29" fillId="0" borderId="0" xfId="14" applyFont="1" applyAlignment="1">
      <alignment horizontal="left" vertical="center"/>
    </xf>
    <xf numFmtId="0" fontId="27" fillId="0" borderId="0" xfId="14" applyFont="1" applyFill="1" applyAlignment="1">
      <alignment vertical="center" wrapText="1"/>
    </xf>
    <xf numFmtId="0" fontId="27" fillId="0" borderId="0" xfId="14" applyFont="1" applyFill="1" applyAlignment="1">
      <alignment horizontal="center" vertical="center" wrapText="1"/>
    </xf>
    <xf numFmtId="0" fontId="27" fillId="0" borderId="0" xfId="14" applyFont="1" applyAlignment="1">
      <alignment vertical="center" wrapText="1"/>
    </xf>
    <xf numFmtId="0" fontId="27" fillId="0" borderId="0" xfId="14" applyFont="1" applyFill="1" applyAlignment="1">
      <alignment vertical="center"/>
    </xf>
    <xf numFmtId="0" fontId="27" fillId="0" borderId="0" xfId="14" applyFont="1" applyFill="1" applyAlignment="1">
      <alignment horizontal="center" vertical="center"/>
    </xf>
    <xf numFmtId="0" fontId="27" fillId="0" borderId="0" xfId="14" applyFont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9" fontId="27" fillId="0" borderId="2" xfId="8" applyNumberFormat="1" applyFont="1" applyFill="1" applyBorder="1" applyAlignment="1">
      <alignment horizontal="center" vertical="center"/>
    </xf>
    <xf numFmtId="165" fontId="27" fillId="0" borderId="2" xfId="6" applyFont="1" applyFill="1" applyBorder="1" applyAlignment="1">
      <alignment horizontal="center" vertical="center"/>
    </xf>
    <xf numFmtId="169" fontId="29" fillId="2" borderId="2" xfId="8" quotePrefix="1" applyNumberFormat="1" applyFont="1" applyFill="1" applyBorder="1" applyAlignment="1">
      <alignment horizontal="center" vertical="center"/>
    </xf>
    <xf numFmtId="169" fontId="29" fillId="2" borderId="2" xfId="8" applyNumberFormat="1" applyFont="1" applyFill="1" applyBorder="1" applyAlignment="1">
      <alignment horizontal="center" vertical="center"/>
    </xf>
    <xf numFmtId="165" fontId="29" fillId="2" borderId="2" xfId="8" quotePrefix="1" applyNumberFormat="1" applyFont="1" applyFill="1" applyBorder="1" applyAlignment="1">
      <alignment horizontal="center" vertical="center"/>
    </xf>
    <xf numFmtId="169" fontId="18" fillId="0" borderId="45" xfId="1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8" applyFont="1" applyFill="1" applyBorder="1" applyAlignment="1">
      <alignment vertical="center"/>
    </xf>
    <xf numFmtId="165" fontId="29" fillId="0" borderId="0" xfId="6" applyFont="1" applyFill="1" applyBorder="1" applyAlignment="1">
      <alignment vertical="center"/>
    </xf>
    <xf numFmtId="0" fontId="27" fillId="0" borderId="39" xfId="8" applyFont="1" applyFill="1" applyBorder="1" applyAlignment="1">
      <alignment horizontal="left" vertical="center" wrapText="1"/>
    </xf>
    <xf numFmtId="169" fontId="27" fillId="0" borderId="3" xfId="6" applyNumberFormat="1" applyFont="1" applyFill="1" applyBorder="1" applyAlignment="1">
      <alignment horizontal="center" vertical="center" wrapText="1"/>
    </xf>
    <xf numFmtId="165" fontId="27" fillId="0" borderId="49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40" xfId="9" applyFont="1" applyFill="1" applyBorder="1" applyAlignment="1">
      <alignment horizontal="center" vertical="center"/>
    </xf>
    <xf numFmtId="0" fontId="27" fillId="0" borderId="0" xfId="9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0" fontId="29" fillId="0" borderId="0" xfId="7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vertical="center"/>
    </xf>
    <xf numFmtId="0" fontId="27" fillId="0" borderId="4" xfId="9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169" fontId="29" fillId="0" borderId="17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7" fillId="0" borderId="17" xfId="9" applyFont="1" applyFill="1" applyBorder="1" applyAlignment="1">
      <alignment vertical="center"/>
    </xf>
    <xf numFmtId="0" fontId="27" fillId="0" borderId="0" xfId="8" applyFont="1" applyFill="1" applyBorder="1" applyAlignment="1">
      <alignment wrapText="1"/>
    </xf>
    <xf numFmtId="0" fontId="29" fillId="0" borderId="0" xfId="8" applyFont="1" applyFill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169" fontId="27" fillId="0" borderId="48" xfId="0" applyNumberFormat="1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169" fontId="27" fillId="0" borderId="54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2" fontId="29" fillId="0" borderId="33" xfId="0" applyNumberFormat="1" applyFont="1" applyFill="1" applyBorder="1" applyAlignment="1">
      <alignment horizontal="center" vertical="center"/>
    </xf>
    <xf numFmtId="0" fontId="27" fillId="0" borderId="48" xfId="9" applyFont="1" applyFill="1" applyBorder="1" applyAlignment="1">
      <alignment horizontal="center" vertical="center"/>
    </xf>
    <xf numFmtId="0" fontId="27" fillId="0" borderId="47" xfId="9" applyFont="1" applyFill="1" applyBorder="1" applyAlignment="1">
      <alignment vertical="center"/>
    </xf>
    <xf numFmtId="0" fontId="27" fillId="0" borderId="21" xfId="9" applyFont="1" applyFill="1" applyBorder="1" applyAlignment="1">
      <alignment vertical="center"/>
    </xf>
    <xf numFmtId="0" fontId="27" fillId="0" borderId="54" xfId="9" applyFont="1" applyFill="1" applyBorder="1" applyAlignment="1">
      <alignment horizontal="center" vertical="center"/>
    </xf>
    <xf numFmtId="169" fontId="35" fillId="2" borderId="2" xfId="0" applyNumberFormat="1" applyFont="1" applyFill="1" applyBorder="1" applyAlignment="1">
      <alignment horizontal="center" vertical="center"/>
    </xf>
    <xf numFmtId="167" fontId="29" fillId="0" borderId="0" xfId="5" applyFont="1" applyFill="1" applyBorder="1" applyAlignment="1">
      <alignment vertical="center"/>
    </xf>
    <xf numFmtId="2" fontId="29" fillId="0" borderId="0" xfId="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6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Fill="1" applyBorder="1" applyAlignment="1">
      <alignment horizontal="center" vertical="center"/>
    </xf>
    <xf numFmtId="0" fontId="27" fillId="5" borderId="2" xfId="15" quotePrefix="1" applyNumberFormat="1" applyFont="1" applyFill="1" applyBorder="1" applyAlignment="1">
      <alignment horizontal="center" vertical="center"/>
    </xf>
    <xf numFmtId="0" fontId="29" fillId="0" borderId="0" xfId="15" applyNumberFormat="1" applyFont="1" applyFill="1" applyBorder="1" applyAlignment="1">
      <alignment horizontal="center" vertical="center"/>
    </xf>
    <xf numFmtId="0" fontId="27" fillId="0" borderId="0" xfId="15" applyNumberFormat="1" applyFont="1" applyFill="1" applyBorder="1" applyAlignment="1">
      <alignment vertical="center"/>
    </xf>
    <xf numFmtId="10" fontId="27" fillId="5" borderId="2" xfId="43" quotePrefix="1" applyNumberFormat="1" applyFont="1" applyFill="1" applyBorder="1" applyAlignment="1">
      <alignment horizontal="center" vertical="center"/>
    </xf>
    <xf numFmtId="0" fontId="27" fillId="0" borderId="2" xfId="4" applyNumberFormat="1" applyFont="1" applyFill="1" applyBorder="1" applyAlignment="1">
      <alignment horizontal="center" vertical="center" wrapText="1"/>
    </xf>
    <xf numFmtId="0" fontId="29" fillId="0" borderId="0" xfId="15" applyFont="1" applyFill="1" applyBorder="1" applyAlignment="1">
      <alignment vertical="center"/>
    </xf>
    <xf numFmtId="2" fontId="27" fillId="0" borderId="0" xfId="10" applyNumberFormat="1" applyFont="1" applyFill="1" applyBorder="1" applyAlignment="1">
      <alignment vertical="center" wrapText="1"/>
    </xf>
    <xf numFmtId="0" fontId="31" fillId="0" borderId="6" xfId="1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27" fillId="0" borderId="38" xfId="4" applyFont="1" applyFill="1" applyBorder="1" applyAlignment="1">
      <alignment vertical="center"/>
    </xf>
    <xf numFmtId="0" fontId="31" fillId="0" borderId="4" xfId="10" applyFont="1" applyBorder="1" applyAlignment="1">
      <alignment vertical="center"/>
    </xf>
    <xf numFmtId="0" fontId="36" fillId="0" borderId="0" xfId="0" applyFont="1" applyFill="1" applyBorder="1" applyAlignment="1">
      <alignment horizontal="justify" vertical="center" wrapText="1"/>
    </xf>
    <xf numFmtId="14" fontId="36" fillId="0" borderId="0" xfId="0" applyNumberFormat="1" applyFont="1" applyFill="1" applyBorder="1" applyAlignment="1">
      <alignment horizontal="justify" vertical="center" wrapText="1"/>
    </xf>
    <xf numFmtId="167" fontId="27" fillId="0" borderId="0" xfId="4" applyFont="1" applyFill="1" applyBorder="1" applyAlignment="1">
      <alignment vertical="center"/>
    </xf>
    <xf numFmtId="167" fontId="31" fillId="0" borderId="2" xfId="4" applyFont="1" applyBorder="1" applyAlignment="1">
      <alignment vertical="center"/>
    </xf>
    <xf numFmtId="0" fontId="29" fillId="2" borderId="2" xfId="43" applyFont="1" applyFill="1" applyBorder="1" applyAlignment="1">
      <alignment horizontal="center" vertical="center" wrapText="1"/>
    </xf>
    <xf numFmtId="0" fontId="27" fillId="0" borderId="0" xfId="49" applyFont="1" applyFill="1" applyAlignment="1">
      <alignment horizontal="center" vertical="center"/>
    </xf>
    <xf numFmtId="0" fontId="27" fillId="2" borderId="2" xfId="43" applyFont="1" applyFill="1" applyBorder="1" applyAlignment="1">
      <alignment horizontal="center" vertical="center"/>
    </xf>
    <xf numFmtId="0" fontId="32" fillId="2" borderId="6" xfId="43" applyFont="1" applyFill="1" applyBorder="1" applyAlignment="1">
      <alignment horizontal="center" vertical="center" wrapText="1"/>
    </xf>
    <xf numFmtId="0" fontId="32" fillId="2" borderId="2" xfId="43" applyFont="1" applyFill="1" applyBorder="1" applyAlignment="1">
      <alignment horizontal="center" vertical="center" wrapText="1"/>
    </xf>
    <xf numFmtId="0" fontId="27" fillId="0" borderId="2" xfId="53" applyFont="1" applyFill="1" applyBorder="1" applyAlignment="1">
      <alignment horizontal="center" vertical="center" wrapText="1"/>
    </xf>
    <xf numFmtId="0" fontId="27" fillId="0" borderId="6" xfId="53" applyFont="1" applyFill="1" applyBorder="1" applyAlignment="1">
      <alignment vertical="center" wrapText="1"/>
    </xf>
    <xf numFmtId="10" fontId="31" fillId="0" borderId="2" xfId="53" applyNumberFormat="1" applyFont="1" applyBorder="1" applyAlignment="1">
      <alignment horizontal="center" vertical="center" wrapText="1"/>
    </xf>
    <xf numFmtId="0" fontId="31" fillId="0" borderId="2" xfId="53" quotePrefix="1" applyFont="1" applyBorder="1" applyAlignment="1">
      <alignment horizontal="justify" vertical="center" wrapText="1"/>
    </xf>
    <xf numFmtId="0" fontId="31" fillId="0" borderId="2" xfId="53" applyFont="1" applyBorder="1" applyAlignment="1">
      <alignment horizontal="justify" vertical="center" wrapText="1"/>
    </xf>
    <xf numFmtId="0" fontId="31" fillId="0" borderId="2" xfId="53" applyFont="1" applyBorder="1" applyAlignment="1">
      <alignment horizontal="left" vertical="center" wrapText="1"/>
    </xf>
    <xf numFmtId="0" fontId="31" fillId="5" borderId="2" xfId="53" applyFont="1" applyFill="1" applyBorder="1" applyAlignment="1">
      <alignment horizontal="justify" vertical="center" wrapText="1"/>
    </xf>
    <xf numFmtId="0" fontId="27" fillId="0" borderId="0" xfId="49" applyFont="1" applyFill="1" applyBorder="1" applyAlignment="1">
      <alignment vertical="center" wrapText="1"/>
    </xf>
    <xf numFmtId="0" fontId="27" fillId="0" borderId="0" xfId="49" applyFont="1" applyFill="1" applyBorder="1" applyAlignment="1">
      <alignment horizontal="center" vertical="center" wrapText="1"/>
    </xf>
    <xf numFmtId="165" fontId="27" fillId="0" borderId="0" xfId="50" applyFont="1" applyFill="1" applyBorder="1" applyAlignment="1">
      <alignment vertical="center" wrapText="1"/>
    </xf>
    <xf numFmtId="0" fontId="27" fillId="0" borderId="0" xfId="54" applyFont="1" applyFill="1" applyBorder="1" applyAlignment="1">
      <alignment vertical="center" wrapText="1"/>
    </xf>
    <xf numFmtId="0" fontId="27" fillId="0" borderId="0" xfId="54" applyFont="1" applyFill="1" applyBorder="1" applyAlignment="1">
      <alignment horizontal="center" vertical="center" wrapText="1"/>
    </xf>
    <xf numFmtId="167" fontId="27" fillId="0" borderId="0" xfId="55" applyFont="1" applyFill="1" applyBorder="1" applyAlignment="1">
      <alignment vertical="center" wrapText="1"/>
    </xf>
    <xf numFmtId="0" fontId="29" fillId="2" borderId="3" xfId="49" quotePrefix="1" applyFont="1" applyFill="1" applyBorder="1" applyAlignment="1">
      <alignment horizontal="center" vertical="center" wrapText="1"/>
    </xf>
    <xf numFmtId="0" fontId="29" fillId="2" borderId="3" xfId="49" quotePrefix="1" applyFont="1" applyFill="1" applyBorder="1" applyAlignment="1">
      <alignment horizontal="center" vertical="center"/>
    </xf>
    <xf numFmtId="10" fontId="27" fillId="0" borderId="0" xfId="19" quotePrefix="1" applyNumberFormat="1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 wrapText="1"/>
    </xf>
    <xf numFmtId="0" fontId="29" fillId="0" borderId="0" xfId="8" applyFont="1" applyFill="1" applyBorder="1" applyAlignment="1" applyProtection="1">
      <alignment vertical="center"/>
      <protection locked="0"/>
    </xf>
    <xf numFmtId="0" fontId="27" fillId="0" borderId="0" xfId="8" applyFont="1" applyFill="1" applyBorder="1" applyAlignment="1" applyProtection="1">
      <alignment vertical="center"/>
      <protection locked="0"/>
    </xf>
    <xf numFmtId="0" fontId="17" fillId="2" borderId="45" xfId="10" applyFont="1" applyFill="1" applyBorder="1" applyAlignment="1">
      <alignment horizontal="center" vertical="center" wrapText="1"/>
    </xf>
    <xf numFmtId="0" fontId="18" fillId="0" borderId="0" xfId="49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27" fillId="0" borderId="0" xfId="0" applyFont="1" applyFill="1" applyAlignment="1">
      <alignment horizontal="left" vertical="center"/>
    </xf>
    <xf numFmtId="10" fontId="27" fillId="0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2" fontId="29" fillId="0" borderId="2" xfId="15" applyNumberFormat="1" applyFont="1" applyFill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left" vertical="center"/>
    </xf>
    <xf numFmtId="167" fontId="27" fillId="0" borderId="61" xfId="4" applyFont="1" applyFill="1" applyBorder="1" applyAlignment="1">
      <alignment horizontal="center" vertical="center" wrapText="1"/>
    </xf>
    <xf numFmtId="0" fontId="27" fillId="0" borderId="0" xfId="49" applyFont="1" applyAlignment="1">
      <alignment vertical="center"/>
    </xf>
    <xf numFmtId="0" fontId="18" fillId="0" borderId="0" xfId="49" applyFont="1" applyAlignment="1">
      <alignment horizontal="justify" vertical="center" wrapText="1"/>
    </xf>
    <xf numFmtId="172" fontId="30" fillId="0" borderId="2" xfId="0" applyNumberFormat="1" applyFont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27" fillId="0" borderId="2" xfId="15" applyFont="1" applyBorder="1" applyAlignment="1">
      <alignment horizontal="center" vertical="center"/>
    </xf>
    <xf numFmtId="0" fontId="28" fillId="0" borderId="0" xfId="49" applyFont="1" applyFill="1" applyAlignment="1">
      <alignment horizontal="center" vertical="center" wrapText="1"/>
    </xf>
    <xf numFmtId="14" fontId="27" fillId="0" borderId="56" xfId="8" applyNumberFormat="1" applyFont="1" applyFill="1" applyBorder="1" applyAlignment="1">
      <alignment horizontal="center" vertical="center" shrinkToFit="1"/>
    </xf>
    <xf numFmtId="175" fontId="27" fillId="0" borderId="52" xfId="8" applyNumberFormat="1" applyFont="1" applyFill="1" applyBorder="1" applyAlignment="1">
      <alignment horizontal="center" vertical="center" shrinkToFit="1"/>
    </xf>
    <xf numFmtId="0" fontId="27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0" fontId="27" fillId="0" borderId="7" xfId="10" applyFont="1" applyBorder="1" applyAlignment="1">
      <alignment vertical="center"/>
    </xf>
    <xf numFmtId="0" fontId="33" fillId="0" borderId="0" xfId="52" applyFont="1" applyAlignment="1">
      <alignment vertical="center"/>
    </xf>
    <xf numFmtId="0" fontId="27" fillId="0" borderId="0" xfId="49" applyFont="1" applyFill="1" applyAlignment="1">
      <alignment vertical="center"/>
    </xf>
    <xf numFmtId="0" fontId="29" fillId="0" borderId="0" xfId="54" applyFont="1" applyFill="1" applyAlignment="1">
      <alignment vertical="center"/>
    </xf>
    <xf numFmtId="0" fontId="29" fillId="0" borderId="0" xfId="8" applyFont="1" applyAlignment="1">
      <alignment vertical="center" wrapText="1"/>
    </xf>
    <xf numFmtId="0" fontId="35" fillId="0" borderId="0" xfId="8" applyFont="1" applyAlignment="1">
      <alignment vertical="center"/>
    </xf>
    <xf numFmtId="14" fontId="35" fillId="0" borderId="0" xfId="8" applyNumberFormat="1" applyFont="1" applyAlignment="1">
      <alignment vertical="center"/>
    </xf>
    <xf numFmtId="0" fontId="17" fillId="0" borderId="0" xfId="49" applyFont="1" applyAlignment="1">
      <alignment vertical="center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0" fontId="27" fillId="0" borderId="36" xfId="20" applyNumberFormat="1" applyFont="1" applyFill="1" applyBorder="1" applyAlignment="1">
      <alignment horizontal="center" vertical="center"/>
    </xf>
    <xf numFmtId="0" fontId="49" fillId="0" borderId="0" xfId="49" applyFont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0" fontId="18" fillId="0" borderId="0" xfId="49" applyFont="1" applyAlignment="1">
      <alignment horizontal="justify" vertical="center" wrapText="1"/>
    </xf>
    <xf numFmtId="10" fontId="27" fillId="0" borderId="9" xfId="19" applyNumberFormat="1" applyFont="1" applyFill="1" applyBorder="1" applyAlignment="1">
      <alignment horizontal="center" vertical="center"/>
    </xf>
    <xf numFmtId="169" fontId="18" fillId="0" borderId="5" xfId="10" applyNumberFormat="1" applyFont="1" applyFill="1" applyBorder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7" fillId="0" borderId="2" xfId="15" applyFont="1" applyBorder="1" applyAlignment="1">
      <alignment horizontal="center" vertical="center"/>
    </xf>
    <xf numFmtId="169" fontId="27" fillId="0" borderId="71" xfId="50" applyNumberFormat="1" applyFont="1" applyFill="1" applyBorder="1" applyAlignment="1">
      <alignment horizontal="center" vertical="center" wrapText="1"/>
    </xf>
    <xf numFmtId="169" fontId="27" fillId="0" borderId="38" xfId="5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/>
    </xf>
    <xf numFmtId="0" fontId="27" fillId="0" borderId="0" xfId="14" applyFont="1" applyAlignment="1">
      <alignment horizontal="center" vertical="center"/>
    </xf>
    <xf numFmtId="0" fontId="39" fillId="0" borderId="0" xfId="14" applyFont="1" applyAlignment="1">
      <alignment horizontal="center" vertical="center"/>
    </xf>
    <xf numFmtId="0" fontId="27" fillId="0" borderId="0" xfId="14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169" fontId="31" fillId="0" borderId="75" xfId="0" applyNumberFormat="1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vertical="center"/>
    </xf>
    <xf numFmtId="0" fontId="27" fillId="0" borderId="59" xfId="8" applyFont="1" applyFill="1" applyBorder="1" applyAlignment="1">
      <alignment horizontal="left" vertical="center" wrapText="1"/>
    </xf>
    <xf numFmtId="169" fontId="27" fillId="0" borderId="57" xfId="6" applyNumberFormat="1" applyFont="1" applyFill="1" applyBorder="1" applyAlignment="1">
      <alignment horizontal="center" vertical="center" wrapText="1"/>
    </xf>
    <xf numFmtId="165" fontId="27" fillId="0" borderId="71" xfId="6" applyFont="1" applyFill="1" applyBorder="1" applyAlignment="1">
      <alignment horizontal="center" vertical="center" wrapText="1"/>
    </xf>
    <xf numFmtId="169" fontId="29" fillId="0" borderId="34" xfId="8" applyNumberFormat="1" applyFont="1" applyFill="1" applyBorder="1" applyAlignment="1">
      <alignment horizontal="center" vertical="center" wrapText="1"/>
    </xf>
    <xf numFmtId="169" fontId="29" fillId="0" borderId="34" xfId="8" quotePrefix="1" applyNumberFormat="1" applyFont="1" applyFill="1" applyBorder="1" applyAlignment="1">
      <alignment horizontal="center" vertical="center" wrapText="1"/>
    </xf>
    <xf numFmtId="165" fontId="29" fillId="0" borderId="35" xfId="6" quotePrefix="1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167" fontId="27" fillId="0" borderId="75" xfId="4" applyFont="1" applyBorder="1" applyAlignment="1">
      <alignment horizontal="center" vertical="center" wrapText="1"/>
    </xf>
    <xf numFmtId="49" fontId="43" fillId="0" borderId="0" xfId="0" quotePrefix="1" applyNumberFormat="1" applyFont="1" applyFill="1" applyBorder="1" applyAlignment="1">
      <alignment horizontal="left" vertical="center"/>
    </xf>
    <xf numFmtId="10" fontId="27" fillId="0" borderId="0" xfId="19" applyNumberFormat="1" applyFont="1" applyFill="1" applyBorder="1" applyAlignment="1">
      <alignment horizontal="left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3" borderId="6" xfId="14" applyFont="1" applyFill="1" applyBorder="1" applyAlignment="1">
      <alignment horizontal="justify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67" fontId="27" fillId="0" borderId="0" xfId="4" applyFont="1" applyAlignment="1">
      <alignment vertical="center"/>
    </xf>
    <xf numFmtId="167" fontId="27" fillId="0" borderId="0" xfId="4" applyFont="1" applyAlignment="1">
      <alignment horizontal="center" vertical="center" wrapText="1"/>
    </xf>
    <xf numFmtId="167" fontId="27" fillId="0" borderId="0" xfId="4" applyFont="1" applyBorder="1" applyAlignment="1">
      <alignment vertical="center"/>
    </xf>
    <xf numFmtId="167" fontId="27" fillId="0" borderId="0" xfId="4" applyFont="1" applyAlignment="1">
      <alignment vertical="center" wrapText="1"/>
    </xf>
    <xf numFmtId="169" fontId="29" fillId="0" borderId="2" xfId="6" applyNumberFormat="1" applyFont="1" applyFill="1" applyBorder="1" applyAlignment="1">
      <alignment horizontal="center" vertical="center" wrapText="1"/>
    </xf>
    <xf numFmtId="165" fontId="29" fillId="0" borderId="2" xfId="6" applyFont="1" applyFill="1" applyBorder="1" applyAlignment="1">
      <alignment horizontal="center" vertical="center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/>
    </xf>
    <xf numFmtId="0" fontId="27" fillId="0" borderId="6" xfId="49" applyFont="1" applyFill="1" applyBorder="1" applyAlignment="1">
      <alignment vertical="center" wrapText="1"/>
    </xf>
    <xf numFmtId="167" fontId="29" fillId="0" borderId="2" xfId="4" applyFont="1" applyFill="1" applyBorder="1" applyAlignment="1">
      <alignment horizontal="center" vertical="center"/>
    </xf>
    <xf numFmtId="10" fontId="29" fillId="0" borderId="2" xfId="18" applyNumberFormat="1" applyFont="1" applyFill="1" applyBorder="1" applyAlignment="1">
      <alignment horizontal="center" vertical="center"/>
    </xf>
    <xf numFmtId="10" fontId="27" fillId="0" borderId="2" xfId="18" applyNumberFormat="1" applyFont="1" applyFill="1" applyBorder="1" applyAlignment="1">
      <alignment horizontal="center"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0" fontId="29" fillId="0" borderId="0" xfId="49" applyFont="1" applyFill="1" applyAlignment="1">
      <alignment horizontal="left" vertical="center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0" fontId="27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left" vertical="center"/>
    </xf>
    <xf numFmtId="167" fontId="27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6" xfId="0" applyFont="1" applyFill="1" applyBorder="1" applyAlignment="1">
      <alignment horizontal="left" vertical="center"/>
    </xf>
    <xf numFmtId="10" fontId="27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 applyProtection="1">
      <alignment vertical="center"/>
      <protection locked="0"/>
    </xf>
    <xf numFmtId="0" fontId="27" fillId="0" borderId="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 applyProtection="1">
      <alignment vertical="center"/>
      <protection locked="0"/>
    </xf>
    <xf numFmtId="0" fontId="27" fillId="0" borderId="4" xfId="0" applyFont="1" applyFill="1" applyBorder="1" applyAlignment="1" applyProtection="1">
      <alignment vertical="center" wrapText="1"/>
      <protection locked="0"/>
    </xf>
    <xf numFmtId="10" fontId="27" fillId="0" borderId="2" xfId="0" applyNumberFormat="1" applyFont="1" applyFill="1" applyBorder="1" applyAlignment="1" applyProtection="1">
      <alignment horizontal="center" vertical="center" wrapText="1"/>
    </xf>
    <xf numFmtId="10" fontId="27" fillId="0" borderId="2" xfId="18" applyNumberFormat="1" applyFont="1" applyFill="1" applyBorder="1" applyAlignment="1">
      <alignment horizontal="center" vertical="center" wrapText="1"/>
    </xf>
    <xf numFmtId="167" fontId="27" fillId="0" borderId="2" xfId="4" applyFont="1" applyFill="1" applyBorder="1" applyAlignment="1">
      <alignment horizontal="right" vertical="center"/>
    </xf>
    <xf numFmtId="10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justify" vertical="center" wrapText="1"/>
    </xf>
    <xf numFmtId="0" fontId="38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>
      <alignment horizontal="left" vertical="center" shrinkToFit="1"/>
    </xf>
    <xf numFmtId="0" fontId="27" fillId="0" borderId="4" xfId="0" applyFont="1" applyFill="1" applyBorder="1" applyAlignment="1">
      <alignment horizontal="left" vertical="center" shrinkToFit="1"/>
    </xf>
    <xf numFmtId="169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9" fillId="4" borderId="2" xfId="0" applyNumberFormat="1" applyFont="1" applyFill="1" applyBorder="1" applyAlignment="1">
      <alignment horizontal="center" vertical="center"/>
    </xf>
    <xf numFmtId="10" fontId="27" fillId="0" borderId="45" xfId="0" applyNumberFormat="1" applyFont="1" applyFill="1" applyBorder="1" applyAlignment="1" applyProtection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 wrapText="1"/>
    </xf>
    <xf numFmtId="0" fontId="27" fillId="0" borderId="46" xfId="9" applyFont="1" applyFill="1" applyBorder="1" applyAlignment="1">
      <alignment vertical="center"/>
    </xf>
    <xf numFmtId="0" fontId="27" fillId="0" borderId="23" xfId="9" applyFont="1" applyFill="1" applyBorder="1" applyAlignment="1">
      <alignment vertical="center"/>
    </xf>
    <xf numFmtId="0" fontId="27" fillId="0" borderId="5" xfId="9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justify" vertical="center"/>
    </xf>
    <xf numFmtId="0" fontId="27" fillId="0" borderId="6" xfId="0" applyFont="1" applyFill="1" applyBorder="1" applyAlignment="1">
      <alignment horizontal="justify" vertical="center"/>
    </xf>
    <xf numFmtId="0" fontId="53" fillId="0" borderId="0" xfId="10" applyFont="1" applyAlignment="1">
      <alignment vertical="center"/>
    </xf>
    <xf numFmtId="0" fontId="54" fillId="0" borderId="0" xfId="10" applyFont="1"/>
    <xf numFmtId="10" fontId="43" fillId="0" borderId="0" xfId="19" applyNumberFormat="1" applyFont="1" applyFill="1" applyBorder="1" applyAlignment="1">
      <alignment vertical="center"/>
    </xf>
    <xf numFmtId="10" fontId="27" fillId="0" borderId="12" xfId="19" applyNumberFormat="1" applyFont="1" applyFill="1" applyBorder="1" applyAlignment="1">
      <alignment horizontal="center" vertical="center"/>
    </xf>
    <xf numFmtId="0" fontId="27" fillId="0" borderId="2" xfId="9" applyFont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10" fontId="27" fillId="0" borderId="0" xfId="15" applyNumberFormat="1" applyFont="1" applyFill="1" applyAlignment="1">
      <alignment vertical="center"/>
    </xf>
    <xf numFmtId="10" fontId="29" fillId="0" borderId="0" xfId="15" applyNumberFormat="1" applyFont="1" applyFill="1" applyAlignment="1">
      <alignment horizontal="center" vertical="center"/>
    </xf>
    <xf numFmtId="10" fontId="27" fillId="0" borderId="2" xfId="15" applyNumberFormat="1" applyFont="1" applyFill="1" applyBorder="1" applyAlignment="1">
      <alignment horizontal="center" vertical="center"/>
    </xf>
    <xf numFmtId="10" fontId="29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justify" vertical="center" wrapText="1"/>
    </xf>
    <xf numFmtId="10" fontId="27" fillId="0" borderId="2" xfId="20" applyNumberFormat="1" applyFont="1" applyFill="1" applyBorder="1" applyAlignment="1">
      <alignment horizontal="center" vertical="center"/>
    </xf>
    <xf numFmtId="10" fontId="29" fillId="0" borderId="2" xfId="20" applyNumberFormat="1" applyFont="1" applyFill="1" applyBorder="1" applyAlignment="1">
      <alignment horizontal="center" vertical="center"/>
    </xf>
    <xf numFmtId="10" fontId="27" fillId="0" borderId="0" xfId="15" applyNumberFormat="1" applyFont="1" applyAlignment="1">
      <alignment vertical="center"/>
    </xf>
    <xf numFmtId="179" fontId="27" fillId="0" borderId="2" xfId="0" applyNumberFormat="1" applyFont="1" applyFill="1" applyBorder="1" applyAlignment="1" applyProtection="1">
      <alignment horizontal="center" vertical="center" wrapText="1"/>
    </xf>
    <xf numFmtId="167" fontId="29" fillId="0" borderId="0" xfId="4" applyFont="1" applyAlignment="1">
      <alignment vertical="center" wrapText="1"/>
    </xf>
    <xf numFmtId="43" fontId="29" fillId="0" borderId="0" xfId="8" applyNumberFormat="1" applyFont="1" applyAlignment="1">
      <alignment vertical="center" wrapText="1"/>
    </xf>
    <xf numFmtId="0" fontId="18" fillId="0" borderId="0" xfId="10" applyFont="1" applyAlignment="1">
      <alignment horizontal="justify" vertical="center" wrapText="1"/>
    </xf>
    <xf numFmtId="0" fontId="18" fillId="0" borderId="0" xfId="1" applyFont="1" applyAlignment="1" applyProtection="1">
      <alignment vertical="center"/>
    </xf>
    <xf numFmtId="0" fontId="56" fillId="0" borderId="0" xfId="2" applyFont="1" applyAlignment="1" applyProtection="1">
      <alignment vertical="center"/>
    </xf>
    <xf numFmtId="0" fontId="50" fillId="0" borderId="0" xfId="49" applyFont="1" applyAlignment="1">
      <alignment vertical="center"/>
    </xf>
    <xf numFmtId="0" fontId="27" fillId="0" borderId="7" xfId="43" applyFont="1" applyFill="1" applyBorder="1" applyAlignment="1">
      <alignment horizontal="justify" vertical="center" wrapText="1"/>
    </xf>
    <xf numFmtId="0" fontId="27" fillId="0" borderId="2" xfId="141" quotePrefix="1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0" fontId="31" fillId="0" borderId="6" xfId="10" applyFont="1" applyFill="1" applyBorder="1" applyAlignment="1">
      <alignment vertical="center"/>
    </xf>
    <xf numFmtId="167" fontId="27" fillId="0" borderId="2" xfId="4" applyFont="1" applyBorder="1" applyAlignment="1">
      <alignment vertical="center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justify" vertical="center" wrapText="1"/>
    </xf>
    <xf numFmtId="0" fontId="38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>
      <alignment vertical="center"/>
    </xf>
    <xf numFmtId="169" fontId="3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>
      <alignment horizontal="center" vertical="center" wrapText="1"/>
    </xf>
    <xf numFmtId="20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left" vertical="center"/>
    </xf>
    <xf numFmtId="10" fontId="27" fillId="0" borderId="0" xfId="8" applyNumberFormat="1" applyFont="1" applyFill="1" applyBorder="1" applyAlignment="1">
      <alignment vertical="center"/>
    </xf>
    <xf numFmtId="0" fontId="29" fillId="0" borderId="0" xfId="13" applyFont="1" applyFill="1" applyBorder="1" applyAlignment="1">
      <alignment vertical="center"/>
    </xf>
    <xf numFmtId="0" fontId="27" fillId="0" borderId="0" xfId="13" applyFont="1" applyFill="1"/>
    <xf numFmtId="0" fontId="27" fillId="0" borderId="0" xfId="13" applyFont="1" applyFill="1" applyBorder="1"/>
    <xf numFmtId="0" fontId="41" fillId="0" borderId="0" xfId="13" applyFont="1" applyFill="1" applyBorder="1" applyAlignment="1">
      <alignment vertical="center" wrapText="1"/>
    </xf>
    <xf numFmtId="167" fontId="27" fillId="0" borderId="0" xfId="5" applyFont="1" applyFill="1" applyBorder="1" applyAlignment="1">
      <alignment vertical="center"/>
    </xf>
    <xf numFmtId="0" fontId="29" fillId="0" borderId="0" xfId="8" applyFont="1" applyFill="1" applyBorder="1" applyAlignment="1">
      <alignment horizontal="left" vertical="center"/>
    </xf>
    <xf numFmtId="0" fontId="29" fillId="0" borderId="0" xfId="13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horizontal="center" vertical="center" wrapText="1"/>
    </xf>
    <xf numFmtId="169" fontId="27" fillId="0" borderId="0" xfId="6" applyNumberFormat="1" applyFont="1" applyFill="1" applyBorder="1" applyAlignment="1">
      <alignment horizontal="center" vertical="center" wrapText="1"/>
    </xf>
    <xf numFmtId="10" fontId="29" fillId="0" borderId="0" xfId="8" applyNumberFormat="1" applyFont="1" applyFill="1" applyBorder="1" applyAlignment="1">
      <alignment vertical="center"/>
    </xf>
    <xf numFmtId="167" fontId="29" fillId="0" borderId="0" xfId="4" applyFont="1" applyFill="1" applyBorder="1" applyAlignment="1">
      <alignment vertical="center"/>
    </xf>
    <xf numFmtId="0" fontId="29" fillId="0" borderId="0" xfId="8" applyFont="1" applyFill="1" applyBorder="1" applyAlignment="1" applyProtection="1">
      <alignment horizontal="left" vertical="center"/>
      <protection locked="0"/>
    </xf>
    <xf numFmtId="0" fontId="29" fillId="0" borderId="0" xfId="8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</xf>
    <xf numFmtId="0" fontId="43" fillId="0" borderId="15" xfId="8" applyFont="1" applyFill="1" applyBorder="1" applyAlignment="1">
      <alignment vertical="center"/>
    </xf>
    <xf numFmtId="0" fontId="29" fillId="0" borderId="10" xfId="8" applyFont="1" applyFill="1" applyBorder="1" applyAlignment="1">
      <alignment horizontal="left" vertical="center"/>
    </xf>
    <xf numFmtId="0" fontId="29" fillId="0" borderId="8" xfId="8" applyFont="1" applyFill="1" applyBorder="1" applyAlignment="1">
      <alignment horizontal="center" vertical="center"/>
    </xf>
    <xf numFmtId="167" fontId="27" fillId="0" borderId="61" xfId="4" applyFont="1" applyFill="1" applyBorder="1" applyAlignment="1">
      <alignment vertical="center"/>
    </xf>
    <xf numFmtId="0" fontId="29" fillId="0" borderId="11" xfId="8" applyFont="1" applyFill="1" applyBorder="1" applyAlignment="1">
      <alignment vertical="center"/>
    </xf>
    <xf numFmtId="0" fontId="27" fillId="0" borderId="4" xfId="8" applyFont="1" applyFill="1" applyBorder="1" applyAlignment="1">
      <alignment vertical="center"/>
    </xf>
    <xf numFmtId="0" fontId="27" fillId="0" borderId="0" xfId="8" applyFont="1" applyFill="1" applyBorder="1" applyAlignment="1">
      <alignment horizontal="right" vertical="center"/>
    </xf>
    <xf numFmtId="0" fontId="27" fillId="0" borderId="4" xfId="49" applyFont="1" applyFill="1" applyBorder="1" applyAlignment="1">
      <alignment vertical="center"/>
    </xf>
    <xf numFmtId="0" fontId="29" fillId="0" borderId="17" xfId="8" applyFont="1" applyFill="1" applyBorder="1" applyAlignment="1">
      <alignment horizontal="left" vertical="center"/>
    </xf>
    <xf numFmtId="0" fontId="29" fillId="0" borderId="22" xfId="8" applyFont="1" applyFill="1" applyBorder="1" applyAlignment="1">
      <alignment vertical="center"/>
    </xf>
    <xf numFmtId="0" fontId="27" fillId="0" borderId="23" xfId="8" applyFont="1" applyFill="1" applyBorder="1" applyAlignment="1">
      <alignment vertical="center"/>
    </xf>
    <xf numFmtId="1" fontId="27" fillId="0" borderId="0" xfId="8" applyNumberFormat="1" applyFont="1" applyFill="1" applyBorder="1" applyAlignment="1">
      <alignment horizontal="center" vertical="center"/>
    </xf>
    <xf numFmtId="0" fontId="29" fillId="0" borderId="4" xfId="8" applyFont="1" applyFill="1" applyBorder="1" applyAlignment="1">
      <alignment horizontal="center" vertical="center"/>
    </xf>
    <xf numFmtId="0" fontId="29" fillId="0" borderId="11" xfId="8" applyFont="1" applyFill="1" applyBorder="1" applyAlignment="1">
      <alignment horizontal="left" vertical="center"/>
    </xf>
    <xf numFmtId="0" fontId="29" fillId="0" borderId="41" xfId="8" applyFont="1" applyFill="1" applyBorder="1" applyAlignment="1">
      <alignment horizontal="left" vertical="center"/>
    </xf>
    <xf numFmtId="0" fontId="29" fillId="0" borderId="12" xfId="8" applyFont="1" applyFill="1" applyBorder="1" applyAlignment="1">
      <alignment horizontal="center" vertical="center"/>
    </xf>
    <xf numFmtId="169" fontId="27" fillId="0" borderId="0" xfId="8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vertical="center"/>
    </xf>
    <xf numFmtId="0" fontId="27" fillId="0" borderId="8" xfId="8" applyFont="1" applyFill="1" applyBorder="1" applyAlignment="1">
      <alignment vertical="center"/>
    </xf>
    <xf numFmtId="10" fontId="27" fillId="0" borderId="24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18" applyNumberFormat="1" applyFont="1" applyFill="1" applyBorder="1" applyAlignment="1">
      <alignment vertical="center"/>
    </xf>
    <xf numFmtId="10" fontId="27" fillId="0" borderId="19" xfId="18" applyNumberFormat="1" applyFont="1" applyFill="1" applyBorder="1" applyAlignment="1" applyProtection="1">
      <alignment horizontal="center" vertical="center"/>
      <protection locked="0"/>
    </xf>
    <xf numFmtId="0" fontId="27" fillId="0" borderId="22" xfId="8" applyFont="1" applyFill="1" applyBorder="1" applyAlignment="1">
      <alignment vertical="center"/>
    </xf>
    <xf numFmtId="10" fontId="27" fillId="0" borderId="74" xfId="18" applyNumberFormat="1" applyFont="1" applyFill="1" applyBorder="1" applyAlignment="1" applyProtection="1">
      <alignment horizontal="center" vertical="center"/>
      <protection locked="0"/>
    </xf>
    <xf numFmtId="10" fontId="27" fillId="0" borderId="16" xfId="18" applyNumberFormat="1" applyFont="1" applyFill="1" applyBorder="1" applyAlignment="1" applyProtection="1">
      <alignment horizontal="center" vertical="center"/>
      <protection locked="0"/>
    </xf>
    <xf numFmtId="10" fontId="27" fillId="0" borderId="29" xfId="18" applyNumberFormat="1" applyFont="1" applyFill="1" applyBorder="1" applyAlignment="1" applyProtection="1">
      <alignment horizontal="center" vertical="center"/>
      <protection locked="0"/>
    </xf>
    <xf numFmtId="10" fontId="27" fillId="0" borderId="18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20" applyNumberFormat="1" applyFont="1" applyFill="1" applyBorder="1" applyAlignment="1">
      <alignment horizontal="center" vertical="center"/>
    </xf>
    <xf numFmtId="0" fontId="27" fillId="0" borderId="12" xfId="8" applyFont="1" applyFill="1" applyBorder="1" applyAlignment="1">
      <alignment vertical="center"/>
    </xf>
    <xf numFmtId="1" fontId="27" fillId="0" borderId="58" xfId="18" applyNumberFormat="1" applyFont="1" applyFill="1" applyBorder="1" applyAlignment="1" applyProtection="1">
      <alignment horizontal="center" vertical="center"/>
      <protection locked="0"/>
    </xf>
    <xf numFmtId="173" fontId="27" fillId="0" borderId="0" xfId="29" applyNumberFormat="1" applyFont="1" applyFill="1" applyBorder="1" applyAlignment="1">
      <alignment vertical="center"/>
    </xf>
    <xf numFmtId="0" fontId="29" fillId="0" borderId="9" xfId="8" applyFont="1" applyFill="1" applyBorder="1" applyAlignment="1">
      <alignment vertical="center"/>
    </xf>
    <xf numFmtId="0" fontId="27" fillId="0" borderId="9" xfId="8" applyFont="1" applyFill="1" applyBorder="1" applyAlignment="1">
      <alignment vertical="center"/>
    </xf>
    <xf numFmtId="164" fontId="27" fillId="0" borderId="8" xfId="13" applyNumberFormat="1" applyFont="1" applyFill="1" applyBorder="1"/>
    <xf numFmtId="10" fontId="27" fillId="0" borderId="29" xfId="18" applyNumberFormat="1" applyFont="1" applyFill="1" applyBorder="1" applyAlignment="1">
      <alignment horizontal="center" vertical="center"/>
    </xf>
    <xf numFmtId="0" fontId="29" fillId="0" borderId="24" xfId="8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vertical="center"/>
    </xf>
    <xf numFmtId="0" fontId="27" fillId="0" borderId="15" xfId="8" applyFont="1" applyFill="1" applyBorder="1" applyAlignment="1">
      <alignment vertical="center"/>
    </xf>
    <xf numFmtId="167" fontId="27" fillId="0" borderId="24" xfId="4" applyFont="1" applyFill="1" applyBorder="1" applyAlignment="1">
      <alignment horizontal="left" vertical="center"/>
    </xf>
    <xf numFmtId="167" fontId="27" fillId="0" borderId="19" xfId="4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6" fillId="0" borderId="4" xfId="8" applyFont="1" applyFill="1" applyBorder="1" applyAlignment="1">
      <alignment vertical="center"/>
    </xf>
    <xf numFmtId="10" fontId="27" fillId="0" borderId="0" xfId="20" applyNumberFormat="1" applyFont="1" applyFill="1" applyBorder="1" applyAlignment="1">
      <alignment vertical="center"/>
    </xf>
    <xf numFmtId="169" fontId="26" fillId="0" borderId="48" xfId="0" applyNumberFormat="1" applyFont="1" applyFill="1" applyBorder="1" applyAlignment="1">
      <alignment horizontal="left" vertical="center"/>
    </xf>
    <xf numFmtId="0" fontId="27" fillId="0" borderId="21" xfId="8" applyFont="1" applyFill="1" applyBorder="1" applyAlignment="1">
      <alignment vertical="center"/>
    </xf>
    <xf numFmtId="167" fontId="27" fillId="0" borderId="72" xfId="4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left" vertical="center"/>
    </xf>
    <xf numFmtId="167" fontId="27" fillId="0" borderId="12" xfId="4" applyFont="1" applyFill="1" applyBorder="1" applyAlignment="1">
      <alignment horizontal="left" vertical="center"/>
    </xf>
    <xf numFmtId="167" fontId="27" fillId="0" borderId="29" xfId="4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167" fontId="27" fillId="0" borderId="58" xfId="4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right" vertical="center"/>
    </xf>
    <xf numFmtId="2" fontId="27" fillId="0" borderId="16" xfId="8" applyNumberFormat="1" applyFont="1" applyFill="1" applyBorder="1" applyAlignment="1">
      <alignment horizontal="center" vertical="center"/>
    </xf>
    <xf numFmtId="165" fontId="27" fillId="0" borderId="16" xfId="6" applyFont="1" applyFill="1" applyBorder="1" applyAlignment="1">
      <alignment vertical="center"/>
    </xf>
    <xf numFmtId="0" fontId="27" fillId="0" borderId="9" xfId="8" applyFont="1" applyFill="1" applyBorder="1" applyAlignment="1">
      <alignment horizontal="right" vertical="center"/>
    </xf>
    <xf numFmtId="2" fontId="27" fillId="0" borderId="58" xfId="8" applyNumberFormat="1" applyFont="1" applyFill="1" applyBorder="1" applyAlignment="1">
      <alignment horizontal="center" vertical="center"/>
    </xf>
    <xf numFmtId="165" fontId="27" fillId="0" borderId="58" xfId="6" applyFont="1" applyFill="1" applyBorder="1" applyAlignment="1">
      <alignment vertical="center"/>
    </xf>
    <xf numFmtId="165" fontId="27" fillId="0" borderId="0" xfId="6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vertical="center" shrinkToFit="1"/>
    </xf>
    <xf numFmtId="9" fontId="27" fillId="0" borderId="69" xfId="20" applyFont="1" applyFill="1" applyBorder="1" applyAlignment="1">
      <alignment vertical="center"/>
    </xf>
    <xf numFmtId="9" fontId="27" fillId="0" borderId="9" xfId="20" applyFont="1" applyFill="1" applyBorder="1" applyAlignment="1">
      <alignment vertical="center"/>
    </xf>
    <xf numFmtId="10" fontId="27" fillId="0" borderId="58" xfId="8" applyNumberFormat="1" applyFont="1" applyFill="1" applyBorder="1" applyAlignment="1">
      <alignment horizontal="center" vertical="center"/>
    </xf>
    <xf numFmtId="0" fontId="27" fillId="0" borderId="0" xfId="8" applyFont="1" applyFill="1" applyAlignment="1">
      <alignment horizontal="center" vertical="center"/>
    </xf>
    <xf numFmtId="0" fontId="27" fillId="0" borderId="0" xfId="8" applyFont="1" applyFill="1" applyBorder="1" applyAlignment="1">
      <alignment vertical="center" shrinkToFit="1"/>
    </xf>
    <xf numFmtId="10" fontId="27" fillId="0" borderId="16" xfId="20" applyNumberFormat="1" applyFont="1" applyFill="1" applyBorder="1" applyAlignment="1">
      <alignment horizontal="center" vertical="center"/>
    </xf>
    <xf numFmtId="0" fontId="27" fillId="0" borderId="13" xfId="8" applyFont="1" applyFill="1" applyBorder="1" applyAlignment="1">
      <alignment vertical="center"/>
    </xf>
    <xf numFmtId="10" fontId="27" fillId="0" borderId="29" xfId="20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 wrapText="1"/>
    </xf>
    <xf numFmtId="10" fontId="27" fillId="0" borderId="63" xfId="28" applyNumberFormat="1" applyFont="1" applyFill="1" applyBorder="1" applyAlignment="1" applyProtection="1">
      <alignment horizontal="center" vertical="center"/>
    </xf>
    <xf numFmtId="10" fontId="29" fillId="0" borderId="63" xfId="8" applyNumberFormat="1" applyFont="1" applyFill="1" applyBorder="1" applyAlignment="1">
      <alignment horizontal="center" vertical="center" wrapText="1"/>
    </xf>
    <xf numFmtId="0" fontId="27" fillId="0" borderId="48" xfId="8" applyFont="1" applyFill="1" applyBorder="1" applyAlignment="1">
      <alignment horizontal="center" vertical="center" wrapText="1"/>
    </xf>
    <xf numFmtId="0" fontId="27" fillId="0" borderId="3" xfId="8" applyFont="1" applyFill="1" applyBorder="1" applyAlignment="1">
      <alignment horizontal="left" vertical="center"/>
    </xf>
    <xf numFmtId="0" fontId="27" fillId="0" borderId="3" xfId="49" applyFont="1" applyFill="1" applyBorder="1" applyAlignment="1">
      <alignment horizontal="center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0" xfId="8" applyFont="1" applyFill="1" applyBorder="1" applyAlignment="1">
      <alignment vertical="center" wrapText="1"/>
    </xf>
    <xf numFmtId="0" fontId="27" fillId="0" borderId="2" xfId="8" applyFont="1" applyFill="1" applyBorder="1" applyAlignment="1">
      <alignment horizontal="left" vertical="center"/>
    </xf>
    <xf numFmtId="0" fontId="27" fillId="0" borderId="73" xfId="8" applyFont="1" applyFill="1" applyBorder="1" applyAlignment="1">
      <alignment horizontal="center" vertical="center" wrapText="1"/>
    </xf>
    <xf numFmtId="0" fontId="27" fillId="0" borderId="45" xfId="8" applyFont="1" applyFill="1" applyBorder="1" applyAlignment="1">
      <alignment horizontal="left" vertical="center"/>
    </xf>
    <xf numFmtId="0" fontId="27" fillId="0" borderId="0" xfId="8" applyFont="1" applyFill="1" applyAlignment="1">
      <alignment wrapText="1"/>
    </xf>
    <xf numFmtId="10" fontId="29" fillId="0" borderId="35" xfId="0" applyNumberFormat="1" applyFont="1" applyFill="1" applyBorder="1" applyAlignment="1">
      <alignment horizontal="center" vertical="center"/>
    </xf>
    <xf numFmtId="10" fontId="27" fillId="0" borderId="49" xfId="0" applyNumberFormat="1" applyFont="1" applyFill="1" applyBorder="1" applyAlignment="1">
      <alignment horizontal="center" vertical="center"/>
    </xf>
    <xf numFmtId="169" fontId="27" fillId="0" borderId="40" xfId="0" applyNumberFormat="1" applyFont="1" applyFill="1" applyBorder="1" applyAlignment="1">
      <alignment horizontal="center" vertical="center"/>
    </xf>
    <xf numFmtId="0" fontId="29" fillId="0" borderId="0" xfId="8" applyFont="1" applyFill="1" applyAlignment="1">
      <alignment vertical="justify"/>
    </xf>
    <xf numFmtId="0" fontId="39" fillId="0" borderId="0" xfId="13" applyFont="1" applyFill="1"/>
    <xf numFmtId="0" fontId="39" fillId="0" borderId="0" xfId="0" applyFont="1" applyFill="1" applyAlignment="1">
      <alignment vertical="center"/>
    </xf>
    <xf numFmtId="49" fontId="39" fillId="0" borderId="0" xfId="8" applyNumberFormat="1" applyFont="1" applyFill="1" applyAlignment="1">
      <alignment vertical="center" wrapText="1"/>
    </xf>
    <xf numFmtId="49" fontId="39" fillId="0" borderId="0" xfId="13" applyNumberFormat="1" applyFont="1" applyFill="1"/>
    <xf numFmtId="49" fontId="39" fillId="0" borderId="0" xfId="0" quotePrefix="1" applyNumberFormat="1" applyFont="1" applyFill="1" applyBorder="1" applyAlignment="1">
      <alignment vertical="center"/>
    </xf>
    <xf numFmtId="10" fontId="27" fillId="0" borderId="71" xfId="0" applyNumberFormat="1" applyFont="1" applyFill="1" applyBorder="1" applyAlignment="1">
      <alignment horizontal="center" vertical="center"/>
    </xf>
    <xf numFmtId="49" fontId="39" fillId="0" borderId="0" xfId="8" applyNumberFormat="1" applyFont="1" applyFill="1" applyBorder="1" applyAlignment="1">
      <alignment vertical="center"/>
    </xf>
    <xf numFmtId="49" fontId="43" fillId="0" borderId="0" xfId="0" applyNumberFormat="1" applyFont="1" applyFill="1" applyAlignment="1">
      <alignment horizontal="left" vertical="center"/>
    </xf>
    <xf numFmtId="49" fontId="39" fillId="0" borderId="0" xfId="8" quotePrefix="1" applyNumberFormat="1" applyFont="1" applyFill="1" applyAlignment="1">
      <alignment horizontal="left" vertical="center"/>
    </xf>
    <xf numFmtId="49" fontId="39" fillId="0" borderId="0" xfId="0" applyNumberFormat="1" applyFont="1" applyFill="1" applyAlignment="1">
      <alignment vertical="center"/>
    </xf>
    <xf numFmtId="49" fontId="39" fillId="0" borderId="0" xfId="8" applyNumberFormat="1" applyFont="1" applyFill="1" applyAlignment="1">
      <alignment vertical="center"/>
    </xf>
    <xf numFmtId="49" fontId="39" fillId="0" borderId="0" xfId="8" quotePrefix="1" applyNumberFormat="1" applyFont="1" applyFill="1" applyBorder="1" applyAlignment="1">
      <alignment vertical="center"/>
    </xf>
    <xf numFmtId="10" fontId="29" fillId="0" borderId="71" xfId="0" applyNumberFormat="1" applyFont="1" applyFill="1" applyBorder="1" applyAlignment="1">
      <alignment horizontal="center" vertical="center"/>
    </xf>
    <xf numFmtId="49" fontId="39" fillId="0" borderId="0" xfId="8" quotePrefix="1" applyNumberFormat="1" applyFont="1" applyFill="1" applyBorder="1" applyAlignment="1">
      <alignment horizontal="left" vertical="center"/>
    </xf>
    <xf numFmtId="0" fontId="29" fillId="0" borderId="0" xfId="8" quotePrefix="1" applyFont="1" applyFill="1" applyBorder="1" applyAlignment="1">
      <alignment horizontal="left" vertical="center"/>
    </xf>
    <xf numFmtId="0" fontId="27" fillId="0" borderId="0" xfId="8" applyFont="1" applyFill="1" applyBorder="1" applyAlignment="1">
      <alignment horizontal="left" vertical="center"/>
    </xf>
    <xf numFmtId="0" fontId="29" fillId="0" borderId="0" xfId="9" applyFont="1" applyFill="1" applyBorder="1" applyAlignment="1">
      <alignment vertical="center"/>
    </xf>
    <xf numFmtId="165" fontId="27" fillId="0" borderId="0" xfId="6" applyFont="1" applyFill="1" applyAlignment="1">
      <alignment vertical="center"/>
    </xf>
    <xf numFmtId="0" fontId="27" fillId="0" borderId="0" xfId="8" applyFont="1" applyFill="1"/>
    <xf numFmtId="0" fontId="29" fillId="0" borderId="0" xfId="8" applyFont="1" applyFill="1" applyAlignment="1">
      <alignment vertic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49" applyFont="1" applyFill="1" applyBorder="1" applyAlignment="1" applyProtection="1">
      <alignment vertical="center"/>
      <protection locked="0"/>
    </xf>
    <xf numFmtId="0" fontId="27" fillId="0" borderId="4" xfId="8" applyFont="1" applyFill="1" applyBorder="1" applyAlignment="1">
      <alignment horizontal="right" vertical="center"/>
    </xf>
    <xf numFmtId="14" fontId="27" fillId="0" borderId="0" xfId="8" applyNumberFormat="1" applyFont="1" applyFill="1" applyBorder="1" applyAlignment="1">
      <alignment vertical="center"/>
    </xf>
    <xf numFmtId="0" fontId="29" fillId="0" borderId="11" xfId="49" applyFont="1" applyFill="1" applyBorder="1" applyAlignment="1">
      <alignment vertical="center"/>
    </xf>
    <xf numFmtId="0" fontId="27" fillId="0" borderId="4" xfId="49" applyFont="1" applyFill="1" applyBorder="1" applyAlignment="1">
      <alignment horizontal="right" vertical="center"/>
    </xf>
    <xf numFmtId="0" fontId="27" fillId="0" borderId="9" xfId="13" applyFont="1" applyFill="1" applyBorder="1"/>
    <xf numFmtId="0" fontId="27" fillId="0" borderId="9" xfId="13" applyFont="1" applyFill="1" applyBorder="1" applyAlignment="1">
      <alignment horizontal="center" vertical="center"/>
    </xf>
    <xf numFmtId="0" fontId="27" fillId="0" borderId="9" xfId="13" applyFont="1" applyFill="1" applyBorder="1" applyAlignment="1" applyProtection="1">
      <alignment horizontal="center" vertical="center"/>
      <protection locked="0"/>
    </xf>
    <xf numFmtId="0" fontId="50" fillId="0" borderId="17" xfId="13" applyFont="1" applyFill="1" applyBorder="1" applyAlignment="1">
      <alignment vertical="center"/>
    </xf>
    <xf numFmtId="0" fontId="50" fillId="0" borderId="0" xfId="13" applyFont="1" applyFill="1" applyAlignment="1">
      <alignment vertical="center"/>
    </xf>
    <xf numFmtId="0" fontId="27" fillId="0" borderId="73" xfId="13" applyFont="1" applyFill="1" applyBorder="1"/>
    <xf numFmtId="0" fontId="27" fillId="0" borderId="26" xfId="13" applyFont="1" applyFill="1" applyBorder="1"/>
    <xf numFmtId="0" fontId="27" fillId="0" borderId="15" xfId="13" applyFont="1" applyFill="1" applyBorder="1"/>
    <xf numFmtId="0" fontId="27" fillId="0" borderId="15" xfId="13" applyFont="1" applyFill="1" applyBorder="1" applyAlignment="1">
      <alignment vertical="center"/>
    </xf>
    <xf numFmtId="0" fontId="27" fillId="0" borderId="15" xfId="13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vertical="center"/>
    </xf>
    <xf numFmtId="0" fontId="27" fillId="0" borderId="0" xfId="13" applyFont="1" applyFill="1" applyBorder="1" applyAlignment="1">
      <alignment horizontal="center" vertical="center"/>
    </xf>
    <xf numFmtId="0" fontId="27" fillId="0" borderId="41" xfId="8" applyFont="1" applyFill="1" applyBorder="1" applyAlignment="1">
      <alignment vertical="center"/>
    </xf>
    <xf numFmtId="10" fontId="57" fillId="0" borderId="0" xfId="1" applyNumberFormat="1" applyFont="1" applyFill="1" applyBorder="1" applyAlignment="1" applyProtection="1">
      <alignment horizontal="center" vertical="center"/>
    </xf>
    <xf numFmtId="0" fontId="27" fillId="0" borderId="10" xfId="8" applyFont="1" applyFill="1" applyBorder="1" applyAlignment="1">
      <alignment horizontal="left" vertical="center"/>
    </xf>
    <xf numFmtId="164" fontId="27" fillId="0" borderId="24" xfId="13" applyNumberFormat="1" applyFont="1" applyFill="1" applyBorder="1"/>
    <xf numFmtId="0" fontId="27" fillId="0" borderId="0" xfId="6" applyNumberFormat="1" applyFont="1" applyFill="1" applyBorder="1" applyAlignment="1">
      <alignment horizontal="left" vertical="center"/>
    </xf>
    <xf numFmtId="0" fontId="27" fillId="0" borderId="17" xfId="8" applyFont="1" applyFill="1" applyBorder="1" applyAlignment="1">
      <alignment vertical="center"/>
    </xf>
    <xf numFmtId="0" fontId="27" fillId="0" borderId="0" xfId="6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center" vertical="center"/>
    </xf>
    <xf numFmtId="10" fontId="27" fillId="0" borderId="15" xfId="19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left" vertical="center"/>
    </xf>
    <xf numFmtId="0" fontId="27" fillId="0" borderId="11" xfId="8" applyFont="1" applyFill="1" applyBorder="1" applyAlignment="1">
      <alignment vertical="center"/>
    </xf>
    <xf numFmtId="10" fontId="27" fillId="0" borderId="4" xfId="19" applyNumberFormat="1" applyFont="1" applyFill="1" applyBorder="1" applyAlignment="1">
      <alignment horizontal="center" vertical="center"/>
    </xf>
    <xf numFmtId="0" fontId="29" fillId="0" borderId="4" xfId="49" applyFont="1" applyFill="1" applyBorder="1" applyAlignment="1">
      <alignment horizontal="center" vertical="center"/>
    </xf>
    <xf numFmtId="10" fontId="27" fillId="0" borderId="21" xfId="19" applyNumberFormat="1" applyFont="1" applyFill="1" applyBorder="1" applyAlignment="1">
      <alignment horizontal="center" vertical="center"/>
    </xf>
    <xf numFmtId="0" fontId="27" fillId="0" borderId="4" xfId="13" applyFont="1" applyFill="1" applyBorder="1"/>
    <xf numFmtId="0" fontId="29" fillId="0" borderId="21" xfId="49" applyFont="1" applyFill="1" applyBorder="1" applyAlignment="1">
      <alignment horizontal="center" vertical="center"/>
    </xf>
    <xf numFmtId="0" fontId="27" fillId="0" borderId="21" xfId="13" applyFont="1" applyFill="1" applyBorder="1"/>
    <xf numFmtId="0" fontId="29" fillId="0" borderId="21" xfId="8" applyFont="1" applyFill="1" applyBorder="1" applyAlignment="1">
      <alignment horizontal="center" vertical="center"/>
    </xf>
    <xf numFmtId="0" fontId="29" fillId="0" borderId="12" xfId="49" applyFont="1" applyFill="1" applyBorder="1" applyAlignment="1">
      <alignment horizontal="center" vertical="center"/>
    </xf>
    <xf numFmtId="0" fontId="27" fillId="0" borderId="12" xfId="13" applyFont="1" applyFill="1" applyBorder="1"/>
    <xf numFmtId="0" fontId="29" fillId="0" borderId="9" xfId="49" applyFont="1" applyFill="1" applyBorder="1" applyAlignment="1">
      <alignment horizontal="center" vertical="center"/>
    </xf>
    <xf numFmtId="0" fontId="29" fillId="0" borderId="9" xfId="8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vertical="center"/>
    </xf>
    <xf numFmtId="0" fontId="27" fillId="0" borderId="0" xfId="13" applyFont="1" applyFill="1" applyAlignment="1">
      <alignment horizontal="center" vertical="center"/>
    </xf>
    <xf numFmtId="167" fontId="27" fillId="0" borderId="0" xfId="4" applyFont="1" applyFill="1"/>
    <xf numFmtId="167" fontId="27" fillId="0" borderId="0" xfId="13" applyNumberFormat="1" applyFont="1" applyFill="1"/>
    <xf numFmtId="0" fontId="27" fillId="0" borderId="62" xfId="8" applyFont="1" applyFill="1" applyBorder="1" applyAlignment="1">
      <alignment vertical="center"/>
    </xf>
    <xf numFmtId="10" fontId="29" fillId="0" borderId="0" xfId="8" applyNumberFormat="1" applyFont="1" applyFill="1" applyBorder="1" applyAlignment="1">
      <alignment horizontal="center" vertical="center"/>
    </xf>
    <xf numFmtId="10" fontId="43" fillId="0" borderId="17" xfId="20" applyNumberFormat="1" applyFont="1" applyFill="1" applyBorder="1" applyAlignment="1">
      <alignment vertical="center" wrapText="1"/>
    </xf>
    <xf numFmtId="10" fontId="43" fillId="0" borderId="0" xfId="20" applyNumberFormat="1" applyFont="1" applyFill="1" applyBorder="1" applyAlignment="1">
      <alignment vertical="center" wrapText="1"/>
    </xf>
    <xf numFmtId="165" fontId="27" fillId="0" borderId="0" xfId="13" applyNumberFormat="1" applyFont="1" applyFill="1"/>
    <xf numFmtId="0" fontId="43" fillId="0" borderId="0" xfId="13" applyFont="1" applyFill="1" applyAlignment="1">
      <alignment horizontal="center" vertical="center"/>
    </xf>
    <xf numFmtId="0" fontId="27" fillId="0" borderId="0" xfId="4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3" fillId="0" borderId="0" xfId="13" applyFont="1" applyFill="1"/>
    <xf numFmtId="169" fontId="29" fillId="0" borderId="15" xfId="0" applyNumberFormat="1" applyFont="1" applyFill="1" applyBorder="1" applyAlignment="1">
      <alignment vertical="center"/>
    </xf>
    <xf numFmtId="0" fontId="29" fillId="0" borderId="0" xfId="13" applyFont="1" applyFill="1" applyBorder="1" applyAlignment="1"/>
    <xf numFmtId="49" fontId="43" fillId="0" borderId="0" xfId="0" applyNumberFormat="1" applyFont="1" applyFill="1" applyAlignment="1">
      <alignment vertical="center" wrapText="1"/>
    </xf>
    <xf numFmtId="49" fontId="50" fillId="0" borderId="0" xfId="0" applyNumberFormat="1" applyFont="1" applyFill="1" applyAlignment="1">
      <alignment vertical="center" wrapText="1"/>
    </xf>
    <xf numFmtId="0" fontId="27" fillId="0" borderId="28" xfId="8" applyFont="1" applyFill="1" applyBorder="1" applyAlignment="1">
      <alignment vertical="center"/>
    </xf>
    <xf numFmtId="2" fontId="29" fillId="0" borderId="56" xfId="0" applyNumberFormat="1" applyFont="1" applyFill="1" applyBorder="1" applyAlignment="1">
      <alignment vertical="center"/>
    </xf>
    <xf numFmtId="2" fontId="29" fillId="0" borderId="51" xfId="0" applyNumberFormat="1" applyFont="1" applyFill="1" applyBorder="1" applyAlignment="1">
      <alignment vertical="center"/>
    </xf>
    <xf numFmtId="2" fontId="29" fillId="0" borderId="52" xfId="0" applyNumberFormat="1" applyFont="1" applyFill="1" applyBorder="1" applyAlignment="1">
      <alignment vertical="center"/>
    </xf>
    <xf numFmtId="179" fontId="27" fillId="0" borderId="36" xfId="20" applyNumberFormat="1" applyFont="1" applyFill="1" applyBorder="1" applyAlignment="1">
      <alignment horizontal="center" vertical="center"/>
    </xf>
    <xf numFmtId="10" fontId="29" fillId="0" borderId="44" xfId="49" applyNumberFormat="1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180" fontId="27" fillId="0" borderId="2" xfId="0" applyNumberFormat="1" applyFont="1" applyFill="1" applyBorder="1" applyAlignment="1" applyProtection="1">
      <alignment horizontal="center" vertical="center" wrapText="1"/>
    </xf>
    <xf numFmtId="9" fontId="27" fillId="0" borderId="0" xfId="18" applyFont="1" applyAlignment="1">
      <alignment vertical="center"/>
    </xf>
    <xf numFmtId="164" fontId="27" fillId="7" borderId="19" xfId="8" applyNumberFormat="1" applyFont="1" applyFill="1" applyBorder="1" applyAlignment="1">
      <alignment vertical="center"/>
    </xf>
    <xf numFmtId="0" fontId="27" fillId="7" borderId="19" xfId="8" applyFont="1" applyFill="1" applyBorder="1" applyAlignment="1">
      <alignment vertical="center"/>
    </xf>
    <xf numFmtId="0" fontId="29" fillId="6" borderId="16" xfId="8" applyFont="1" applyFill="1" applyBorder="1" applyAlignment="1">
      <alignment vertical="center" wrapText="1"/>
    </xf>
    <xf numFmtId="0" fontId="29" fillId="7" borderId="29" xfId="8" applyFont="1" applyFill="1" applyBorder="1" applyAlignment="1">
      <alignment vertical="center"/>
    </xf>
    <xf numFmtId="0" fontId="29" fillId="0" borderId="2" xfId="14" applyFont="1" applyFill="1" applyBorder="1" applyAlignment="1">
      <alignment horizontal="center" vertical="center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/>
    </xf>
    <xf numFmtId="10" fontId="27" fillId="0" borderId="39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 wrapText="1"/>
      <protection locked="0"/>
    </xf>
    <xf numFmtId="2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10" fontId="27" fillId="0" borderId="3" xfId="0" applyNumberFormat="1" applyFont="1" applyFill="1" applyBorder="1" applyAlignment="1" applyProtection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 wrapText="1"/>
    </xf>
    <xf numFmtId="0" fontId="27" fillId="0" borderId="39" xfId="0" applyFont="1" applyFill="1" applyBorder="1" applyAlignment="1">
      <alignment vertical="center"/>
    </xf>
    <xf numFmtId="0" fontId="27" fillId="0" borderId="47" xfId="0" applyFont="1" applyFill="1" applyBorder="1" applyAlignment="1">
      <alignment horizontal="justify" vertical="center"/>
    </xf>
    <xf numFmtId="0" fontId="27" fillId="0" borderId="47" xfId="0" applyFont="1" applyFill="1" applyBorder="1" applyAlignment="1">
      <alignment vertical="center" wrapText="1"/>
    </xf>
    <xf numFmtId="167" fontId="27" fillId="0" borderId="3" xfId="4" applyFont="1" applyFill="1" applyBorder="1" applyAlignment="1">
      <alignment horizontal="center" vertical="center"/>
    </xf>
    <xf numFmtId="10" fontId="27" fillId="0" borderId="39" xfId="0" applyNumberFormat="1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shrinkToFit="1"/>
    </xf>
    <xf numFmtId="167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>
      <alignment horizontal="left" vertical="center"/>
    </xf>
    <xf numFmtId="10" fontId="27" fillId="0" borderId="3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left" vertical="center"/>
    </xf>
    <xf numFmtId="0" fontId="27" fillId="0" borderId="23" xfId="0" applyFont="1" applyFill="1" applyBorder="1" applyAlignment="1">
      <alignment vertical="center" wrapText="1"/>
    </xf>
    <xf numFmtId="10" fontId="27" fillId="0" borderId="53" xfId="0" applyNumberFormat="1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10" fontId="27" fillId="0" borderId="2" xfId="0" applyNumberFormat="1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>
      <alignment horizontal="left" vertical="center"/>
    </xf>
    <xf numFmtId="167" fontId="27" fillId="0" borderId="47" xfId="0" applyNumberFormat="1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justify" vertical="center"/>
    </xf>
    <xf numFmtId="10" fontId="27" fillId="0" borderId="53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 locked="0"/>
    </xf>
    <xf numFmtId="167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vertical="center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/>
    </xf>
    <xf numFmtId="167" fontId="27" fillId="0" borderId="2" xfId="4" applyFont="1" applyFill="1" applyBorder="1" applyAlignment="1">
      <alignment horizontal="center" vertical="center"/>
    </xf>
    <xf numFmtId="167" fontId="29" fillId="4" borderId="3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vertical="center"/>
      <protection locked="0"/>
    </xf>
    <xf numFmtId="0" fontId="29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 applyProtection="1">
      <alignment vertical="center"/>
      <protection locked="0"/>
    </xf>
    <xf numFmtId="10" fontId="27" fillId="0" borderId="2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justify" vertical="center"/>
    </xf>
    <xf numFmtId="0" fontId="27" fillId="0" borderId="45" xfId="0" applyFont="1" applyFill="1" applyBorder="1" applyAlignment="1">
      <alignment horizontal="left" vertical="center"/>
    </xf>
    <xf numFmtId="10" fontId="27" fillId="0" borderId="45" xfId="0" applyNumberFormat="1" applyFont="1" applyFill="1" applyBorder="1" applyAlignment="1">
      <alignment horizontal="left" vertical="center"/>
    </xf>
    <xf numFmtId="167" fontId="27" fillId="0" borderId="45" xfId="0" applyNumberFormat="1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 wrapText="1"/>
    </xf>
    <xf numFmtId="10" fontId="27" fillId="0" borderId="45" xfId="0" applyNumberFormat="1" applyFont="1" applyFill="1" applyBorder="1" applyAlignment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 wrapText="1"/>
    </xf>
    <xf numFmtId="0" fontId="29" fillId="0" borderId="45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vertical="center"/>
      <protection locked="0"/>
    </xf>
    <xf numFmtId="168" fontId="27" fillId="0" borderId="0" xfId="0" applyNumberFormat="1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45" xfId="0" applyFont="1" applyFill="1" applyBorder="1" applyAlignment="1" applyProtection="1">
      <alignment vertical="center"/>
      <protection locked="0"/>
    </xf>
    <xf numFmtId="0" fontId="27" fillId="0" borderId="45" xfId="0" applyFont="1" applyFill="1" applyBorder="1" applyAlignment="1" applyProtection="1">
      <alignment vertical="center" wrapText="1"/>
      <protection locked="0"/>
    </xf>
    <xf numFmtId="167" fontId="27" fillId="0" borderId="0" xfId="0" applyNumberFormat="1" applyFont="1" applyAlignment="1">
      <alignment vertical="center"/>
    </xf>
    <xf numFmtId="164" fontId="27" fillId="0" borderId="0" xfId="14" applyNumberFormat="1" applyFont="1" applyAlignment="1">
      <alignment vertical="center" wrapText="1"/>
    </xf>
    <xf numFmtId="164" fontId="27" fillId="0" borderId="0" xfId="8" applyNumberFormat="1" applyFont="1" applyAlignment="1">
      <alignment vertical="center"/>
    </xf>
    <xf numFmtId="167" fontId="27" fillId="0" borderId="2" xfId="4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vertical="center"/>
    </xf>
    <xf numFmtId="0" fontId="29" fillId="0" borderId="33" xfId="8" applyFont="1" applyBorder="1" applyAlignment="1">
      <alignment vertical="center"/>
    </xf>
    <xf numFmtId="164" fontId="27" fillId="0" borderId="35" xfId="8" applyNumberFormat="1" applyFont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justify" vertical="center" wrapText="1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justify" vertical="center" wrapText="1"/>
    </xf>
    <xf numFmtId="169" fontId="29" fillId="0" borderId="2" xfId="15" applyNumberFormat="1" applyFont="1" applyFill="1" applyBorder="1" applyAlignment="1">
      <alignment horizontal="center" vertical="center"/>
    </xf>
    <xf numFmtId="43" fontId="27" fillId="0" borderId="0" xfId="8" applyNumberFormat="1" applyFont="1" applyAlignment="1">
      <alignment vertical="center"/>
    </xf>
    <xf numFmtId="0" fontId="29" fillId="0" borderId="0" xfId="8" applyFont="1" applyFill="1" applyBorder="1" applyAlignment="1">
      <alignment vertical="center" wrapText="1"/>
    </xf>
    <xf numFmtId="164" fontId="27" fillId="7" borderId="16" xfId="8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vertical="center"/>
    </xf>
    <xf numFmtId="16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4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>
      <alignment horizontal="left" vertical="center"/>
    </xf>
    <xf numFmtId="0" fontId="27" fillId="0" borderId="39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horizontal="center" vertical="center"/>
    </xf>
    <xf numFmtId="167" fontId="27" fillId="0" borderId="39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179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5" xfId="0" applyFont="1" applyFill="1" applyBorder="1" applyAlignment="1">
      <alignment horizontal="left" vertical="center"/>
    </xf>
    <xf numFmtId="167" fontId="27" fillId="0" borderId="45" xfId="4" applyFont="1" applyFill="1" applyBorder="1" applyAlignment="1">
      <alignment horizontal="center" vertical="center"/>
    </xf>
    <xf numFmtId="180" fontId="27" fillId="0" borderId="2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7" xfId="0" applyNumberFormat="1" applyFont="1" applyFill="1" applyBorder="1" applyAlignment="1" applyProtection="1">
      <alignment vertical="center" wrapText="1"/>
      <protection locked="0"/>
    </xf>
    <xf numFmtId="14" fontId="27" fillId="0" borderId="2" xfId="0" applyNumberFormat="1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169" fontId="27" fillId="0" borderId="75" xfId="0" applyNumberFormat="1" applyFont="1" applyFill="1" applyBorder="1" applyAlignment="1">
      <alignment horizontal="center" vertical="center" wrapText="1"/>
    </xf>
    <xf numFmtId="169" fontId="29" fillId="0" borderId="75" xfId="0" applyNumberFormat="1" applyFont="1" applyFill="1" applyBorder="1" applyAlignment="1">
      <alignment horizontal="center" vertical="center" wrapText="1"/>
    </xf>
    <xf numFmtId="169" fontId="29" fillId="0" borderId="77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69" fontId="29" fillId="2" borderId="2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justify" vertical="center" wrapText="1"/>
    </xf>
    <xf numFmtId="14" fontId="27" fillId="0" borderId="0" xfId="0" applyNumberFormat="1" applyFont="1" applyFill="1" applyBorder="1" applyAlignment="1">
      <alignment horizontal="justify" vertical="center" wrapText="1"/>
    </xf>
    <xf numFmtId="0" fontId="27" fillId="0" borderId="6" xfId="10" applyFont="1" applyBorder="1" applyAlignment="1">
      <alignment vertical="center"/>
    </xf>
    <xf numFmtId="0" fontId="27" fillId="0" borderId="4" xfId="10" applyFont="1" applyBorder="1" applyAlignment="1">
      <alignment vertical="center"/>
    </xf>
    <xf numFmtId="0" fontId="27" fillId="0" borderId="6" xfId="10" applyFont="1" applyFill="1" applyBorder="1" applyAlignment="1">
      <alignment vertical="center"/>
    </xf>
    <xf numFmtId="10" fontId="27" fillId="0" borderId="0" xfId="18" applyNumberFormat="1" applyFont="1" applyFill="1" applyAlignment="1">
      <alignment horizontal="center" vertical="center"/>
    </xf>
    <xf numFmtId="2" fontId="29" fillId="0" borderId="6" xfId="15" applyNumberFormat="1" applyFont="1" applyFill="1" applyBorder="1" applyAlignment="1">
      <alignment horizontal="center" vertical="center" wrapText="1"/>
    </xf>
    <xf numFmtId="10" fontId="29" fillId="0" borderId="45" xfId="15" applyNumberFormat="1" applyFont="1" applyFill="1" applyBorder="1" applyAlignment="1">
      <alignment horizontal="center" vertical="center" wrapText="1"/>
    </xf>
    <xf numFmtId="0" fontId="29" fillId="0" borderId="45" xfId="15" applyNumberFormat="1" applyFont="1" applyFill="1" applyBorder="1" applyAlignment="1">
      <alignment horizontal="center" vertical="center" wrapText="1"/>
    </xf>
    <xf numFmtId="0" fontId="27" fillId="0" borderId="2" xfId="141" applyFont="1" applyFill="1" applyBorder="1" applyAlignment="1">
      <alignment horizontal="justify" vertical="center" wrapText="1"/>
    </xf>
    <xf numFmtId="2" fontId="29" fillId="0" borderId="5" xfId="15" applyNumberFormat="1" applyFont="1" applyFill="1" applyBorder="1" applyAlignment="1">
      <alignment horizontal="center" vertical="center" wrapText="1"/>
    </xf>
    <xf numFmtId="0" fontId="29" fillId="0" borderId="45" xfId="15" applyFont="1" applyFill="1" applyBorder="1" applyAlignment="1">
      <alignment horizontal="center" vertical="center" wrapText="1"/>
    </xf>
    <xf numFmtId="0" fontId="27" fillId="0" borderId="2" xfId="141" applyFont="1" applyBorder="1" applyAlignment="1">
      <alignment horizontal="justify" vertical="center" wrapText="1"/>
    </xf>
    <xf numFmtId="179" fontId="27" fillId="0" borderId="2" xfId="20" applyNumberFormat="1" applyFont="1" applyFill="1" applyBorder="1" applyAlignment="1">
      <alignment horizontal="center" vertical="center"/>
    </xf>
    <xf numFmtId="180" fontId="27" fillId="0" borderId="2" xfId="20" applyNumberFormat="1" applyFont="1" applyFill="1" applyBorder="1" applyAlignment="1">
      <alignment horizontal="center" vertical="center"/>
    </xf>
    <xf numFmtId="2" fontId="29" fillId="0" borderId="2" xfId="15" applyNumberFormat="1" applyFont="1" applyFill="1" applyBorder="1" applyAlignment="1">
      <alignment horizontal="center" vertical="center" wrapText="1"/>
    </xf>
    <xf numFmtId="14" fontId="27" fillId="0" borderId="0" xfId="8" applyNumberFormat="1" applyFont="1" applyAlignment="1">
      <alignment vertical="center"/>
    </xf>
    <xf numFmtId="14" fontId="29" fillId="0" borderId="0" xfId="8" applyNumberFormat="1" applyFont="1" applyAlignment="1">
      <alignment vertical="center"/>
    </xf>
    <xf numFmtId="167" fontId="27" fillId="0" borderId="0" xfId="4" applyFont="1" applyFill="1" applyAlignment="1">
      <alignment vertical="center"/>
    </xf>
    <xf numFmtId="167" fontId="27" fillId="0" borderId="0" xfId="4" applyFont="1" applyFill="1" applyAlignment="1">
      <alignment horizontal="center" vertical="center" wrapText="1"/>
    </xf>
    <xf numFmtId="0" fontId="27" fillId="0" borderId="6" xfId="14" applyFont="1" applyFill="1" applyBorder="1" applyAlignment="1">
      <alignment horizontal="justify" vertical="center" wrapText="1"/>
    </xf>
    <xf numFmtId="0" fontId="27" fillId="0" borderId="0" xfId="14" applyFont="1" applyFill="1" applyBorder="1" applyAlignment="1">
      <alignment vertical="center"/>
    </xf>
    <xf numFmtId="169" fontId="29" fillId="0" borderId="2" xfId="15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72" fontId="29" fillId="0" borderId="2" xfId="0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left" vertical="center"/>
    </xf>
    <xf numFmtId="10" fontId="27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 applyProtection="1">
      <alignment horizontal="left" vertical="center"/>
      <protection locked="0"/>
    </xf>
    <xf numFmtId="167" fontId="29" fillId="0" borderId="2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 wrapText="1"/>
    </xf>
    <xf numFmtId="167" fontId="27" fillId="0" borderId="3" xfId="0" applyNumberFormat="1" applyFont="1" applyBorder="1" applyAlignment="1">
      <alignment horizontal="center" vertical="center" wrapText="1"/>
    </xf>
    <xf numFmtId="10" fontId="27" fillId="0" borderId="2" xfId="0" applyNumberFormat="1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10" fontId="29" fillId="0" borderId="2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0" fontId="27" fillId="0" borderId="45" xfId="0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center" vertical="center"/>
    </xf>
    <xf numFmtId="167" fontId="27" fillId="0" borderId="3" xfId="0" applyNumberFormat="1" applyFont="1" applyBorder="1" applyAlignment="1" applyProtection="1">
      <alignment horizontal="center" vertical="center"/>
      <protection locked="0"/>
    </xf>
    <xf numFmtId="167" fontId="27" fillId="0" borderId="2" xfId="0" applyNumberFormat="1" applyFont="1" applyBorder="1" applyAlignment="1">
      <alignment horizontal="center" vertical="center"/>
    </xf>
    <xf numFmtId="167" fontId="29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67" fontId="27" fillId="0" borderId="23" xfId="0" applyNumberFormat="1" applyFont="1" applyBorder="1" applyAlignment="1" applyProtection="1">
      <alignment horizontal="center" vertical="center"/>
      <protection locked="0"/>
    </xf>
    <xf numFmtId="167" fontId="27" fillId="0" borderId="7" xfId="0" applyNumberFormat="1" applyFont="1" applyBorder="1" applyAlignment="1" applyProtection="1">
      <alignment horizontal="center" vertical="center"/>
      <protection locked="0"/>
    </xf>
    <xf numFmtId="167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167" fontId="29" fillId="0" borderId="4" xfId="0" applyNumberFormat="1" applyFont="1" applyBorder="1" applyAlignment="1" applyProtection="1">
      <alignment horizontal="center" vertical="center"/>
      <protection locked="0"/>
    </xf>
    <xf numFmtId="10" fontId="27" fillId="0" borderId="2" xfId="64" applyNumberFormat="1" applyFont="1" applyFill="1" applyBorder="1" applyAlignment="1">
      <alignment horizontal="center" vertical="center"/>
    </xf>
    <xf numFmtId="179" fontId="27" fillId="0" borderId="2" xfId="64" applyNumberFormat="1" applyFont="1" applyFill="1" applyBorder="1" applyAlignment="1">
      <alignment horizontal="center" vertical="center"/>
    </xf>
    <xf numFmtId="180" fontId="27" fillId="0" borderId="2" xfId="64" applyNumberFormat="1" applyFont="1" applyFill="1" applyBorder="1" applyAlignment="1">
      <alignment horizontal="center" vertical="center"/>
    </xf>
    <xf numFmtId="167" fontId="27" fillId="0" borderId="0" xfId="0" applyNumberFormat="1" applyFont="1" applyAlignment="1" applyProtection="1">
      <alignment horizontal="center" vertical="center"/>
      <protection locked="0"/>
    </xf>
    <xf numFmtId="167" fontId="27" fillId="0" borderId="3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vertical="center"/>
    </xf>
    <xf numFmtId="43" fontId="27" fillId="0" borderId="3" xfId="4" applyNumberFormat="1" applyFont="1" applyFill="1" applyBorder="1" applyAlignment="1">
      <alignment horizontal="center" vertical="center"/>
    </xf>
    <xf numFmtId="0" fontId="28" fillId="0" borderId="0" xfId="15" applyFont="1" applyFill="1" applyAlignment="1">
      <alignment vertical="center"/>
    </xf>
    <xf numFmtId="0" fontId="29" fillId="0" borderId="0" xfId="15" applyFont="1" applyFill="1" applyAlignment="1">
      <alignment vertical="center"/>
    </xf>
    <xf numFmtId="0" fontId="27" fillId="0" borderId="2" xfId="141" applyFont="1" applyBorder="1" applyAlignment="1">
      <alignment vertical="center"/>
    </xf>
    <xf numFmtId="0" fontId="27" fillId="0" borderId="2" xfId="350" applyFont="1" applyBorder="1" applyAlignment="1">
      <alignment vertical="center"/>
    </xf>
    <xf numFmtId="10" fontId="27" fillId="0" borderId="2" xfId="141" applyNumberFormat="1" applyFont="1" applyBorder="1" applyAlignment="1">
      <alignment horizontal="center" vertical="center"/>
    </xf>
    <xf numFmtId="10" fontId="36" fillId="0" borderId="2" xfId="141" applyNumberFormat="1" applyFont="1" applyBorder="1" applyAlignment="1">
      <alignment horizontal="center" vertical="center"/>
    </xf>
    <xf numFmtId="10" fontId="35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Alignment="1">
      <alignment vertical="center"/>
    </xf>
    <xf numFmtId="0" fontId="28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 wrapText="1"/>
    </xf>
    <xf numFmtId="0" fontId="27" fillId="0" borderId="0" xfId="15" applyFont="1" applyAlignment="1">
      <alignment horizontal="left" vertical="top"/>
    </xf>
    <xf numFmtId="0" fontId="27" fillId="0" borderId="2" xfId="350" applyFont="1" applyBorder="1" applyAlignment="1">
      <alignment horizontal="justify" vertical="center" wrapText="1"/>
    </xf>
    <xf numFmtId="0" fontId="28" fillId="0" borderId="0" xfId="49" applyFont="1" applyAlignment="1">
      <alignment vertical="center"/>
    </xf>
    <xf numFmtId="0" fontId="29" fillId="2" borderId="2" xfId="141" applyFont="1" applyFill="1" applyBorder="1" applyAlignment="1">
      <alignment horizontal="center" vertical="center" wrapText="1"/>
    </xf>
    <xf numFmtId="3" fontId="27" fillId="0" borderId="2" xfId="150" applyNumberFormat="1" applyFont="1" applyBorder="1" applyAlignment="1">
      <alignment horizontal="center" vertical="center"/>
    </xf>
    <xf numFmtId="164" fontId="27" fillId="0" borderId="2" xfId="141" applyNumberFormat="1" applyFont="1" applyBorder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165" fontId="27" fillId="0" borderId="2" xfId="50" applyFont="1" applyFill="1" applyBorder="1" applyAlignment="1">
      <alignment vertical="center"/>
    </xf>
    <xf numFmtId="165" fontId="27" fillId="0" borderId="2" xfId="141" applyNumberFormat="1" applyFont="1" applyBorder="1" applyAlignment="1">
      <alignment vertical="center"/>
    </xf>
    <xf numFmtId="165" fontId="27" fillId="0" borderId="2" xfId="50" applyFont="1" applyBorder="1" applyAlignment="1">
      <alignment vertical="center"/>
    </xf>
    <xf numFmtId="0" fontId="29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164" fontId="29" fillId="0" borderId="0" xfId="0" applyNumberFormat="1" applyFont="1" applyAlignment="1">
      <alignment horizontal="justify" vertical="center" wrapText="1"/>
    </xf>
    <xf numFmtId="14" fontId="27" fillId="0" borderId="0" xfId="0" applyNumberFormat="1" applyFont="1" applyAlignment="1">
      <alignment horizontal="justify" vertical="center" wrapText="1"/>
    </xf>
    <xf numFmtId="0" fontId="29" fillId="2" borderId="2" xfId="141" applyFont="1" applyFill="1" applyBorder="1" applyAlignment="1">
      <alignment horizontal="center" vertical="center"/>
    </xf>
    <xf numFmtId="3" fontId="27" fillId="0" borderId="0" xfId="150" applyNumberFormat="1" applyFont="1" applyBorder="1" applyAlignment="1">
      <alignment horizontal="center" vertical="center"/>
    </xf>
    <xf numFmtId="165" fontId="27" fillId="0" borderId="0" xfId="50" applyFont="1" applyBorder="1" applyAlignment="1">
      <alignment horizontal="center" vertical="center" wrapText="1"/>
    </xf>
    <xf numFmtId="164" fontId="27" fillId="0" borderId="0" xfId="141" applyNumberFormat="1" applyFont="1" applyAlignment="1">
      <alignment horizontal="center" vertical="center" wrapText="1"/>
    </xf>
    <xf numFmtId="0" fontId="29" fillId="0" borderId="0" xfId="141" applyFont="1" applyAlignment="1">
      <alignment vertical="center"/>
    </xf>
    <xf numFmtId="0" fontId="27" fillId="0" borderId="6" xfId="49" applyFont="1" applyBorder="1" applyAlignment="1">
      <alignment vertical="center"/>
    </xf>
    <xf numFmtId="0" fontId="27" fillId="0" borderId="4" xfId="49" applyFont="1" applyBorder="1" applyAlignment="1">
      <alignment vertical="center"/>
    </xf>
    <xf numFmtId="0" fontId="27" fillId="0" borderId="7" xfId="49" applyFont="1" applyBorder="1" applyAlignment="1">
      <alignment vertical="center"/>
    </xf>
    <xf numFmtId="2" fontId="27" fillId="0" borderId="0" xfId="49" applyNumberFormat="1" applyFont="1" applyAlignment="1">
      <alignment vertical="center" wrapText="1"/>
    </xf>
    <xf numFmtId="167" fontId="36" fillId="0" borderId="2" xfId="4" applyFont="1" applyBorder="1" applyAlignment="1">
      <alignment vertical="center"/>
    </xf>
    <xf numFmtId="167" fontId="27" fillId="0" borderId="2" xfId="0" applyNumberFormat="1" applyFont="1" applyBorder="1" applyAlignment="1" applyProtection="1">
      <alignment horizontal="center" vertical="center"/>
      <protection locked="0"/>
    </xf>
    <xf numFmtId="167" fontId="29" fillId="0" borderId="7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vertical="center"/>
    </xf>
    <xf numFmtId="167" fontId="29" fillId="0" borderId="2" xfId="0" applyNumberFormat="1" applyFont="1" applyBorder="1" applyAlignment="1">
      <alignment horizontal="right" vertical="center"/>
    </xf>
    <xf numFmtId="2" fontId="27" fillId="0" borderId="0" xfId="15" applyNumberFormat="1" applyFont="1" applyAlignment="1">
      <alignment vertical="center"/>
    </xf>
    <xf numFmtId="0" fontId="28" fillId="0" borderId="0" xfId="141" applyFont="1" applyAlignment="1">
      <alignment vertical="top"/>
    </xf>
    <xf numFmtId="0" fontId="35" fillId="0" borderId="0" xfId="141" applyFont="1" applyAlignment="1">
      <alignment vertical="center"/>
    </xf>
    <xf numFmtId="0" fontId="29" fillId="0" borderId="0" xfId="15" applyFont="1" applyAlignment="1">
      <alignment vertical="center"/>
    </xf>
    <xf numFmtId="164" fontId="27" fillId="0" borderId="0" xfId="10" applyNumberFormat="1" applyFont="1" applyAlignment="1">
      <alignment vertical="center"/>
    </xf>
    <xf numFmtId="0" fontId="59" fillId="0" borderId="4" xfId="0" applyFont="1" applyBorder="1" applyAlignment="1">
      <alignment horizontal="center"/>
    </xf>
    <xf numFmtId="0" fontId="28" fillId="0" borderId="0" xfId="14" applyFont="1" applyFill="1" applyAlignment="1">
      <alignment vertical="center" wrapText="1"/>
    </xf>
    <xf numFmtId="0" fontId="29" fillId="0" borderId="0" xfId="14" applyFont="1" applyFill="1" applyBorder="1" applyAlignment="1">
      <alignment horizontal="center" vertical="center" wrapText="1"/>
    </xf>
    <xf numFmtId="165" fontId="29" fillId="0" borderId="0" xfId="6" applyFont="1" applyFill="1" applyBorder="1" applyAlignment="1">
      <alignment horizontal="center" vertical="center"/>
    </xf>
    <xf numFmtId="169" fontId="29" fillId="0" borderId="0" xfId="6" applyNumberFormat="1" applyFont="1" applyFill="1" applyBorder="1" applyAlignment="1">
      <alignment horizontal="center" vertical="center" wrapText="1"/>
    </xf>
    <xf numFmtId="164" fontId="27" fillId="0" borderId="0" xfId="14" applyNumberFormat="1" applyFont="1" applyAlignment="1">
      <alignment vertical="center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8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14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/>
    </xf>
    <xf numFmtId="164" fontId="28" fillId="0" borderId="0" xfId="14" applyNumberFormat="1" applyFont="1" applyFill="1" applyAlignment="1">
      <alignment horizontal="center" vertical="center"/>
    </xf>
    <xf numFmtId="164" fontId="39" fillId="0" borderId="0" xfId="14" applyNumberFormat="1" applyFont="1" applyFill="1" applyAlignment="1">
      <alignment vertical="center"/>
    </xf>
    <xf numFmtId="43" fontId="27" fillId="0" borderId="0" xfId="14" applyNumberFormat="1" applyFont="1" applyFill="1" applyAlignment="1">
      <alignment vertical="center"/>
    </xf>
    <xf numFmtId="0" fontId="29" fillId="0" borderId="0" xfId="49" applyFont="1" applyFill="1" applyAlignment="1">
      <alignment horizontal="left" vertical="top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4" xfId="0" applyFont="1" applyBorder="1" applyAlignment="1">
      <alignment horizontal="center"/>
    </xf>
    <xf numFmtId="164" fontId="27" fillId="0" borderId="2" xfId="14" applyNumberFormat="1" applyFont="1" applyBorder="1" applyAlignment="1">
      <alignment vertical="center"/>
    </xf>
    <xf numFmtId="167" fontId="41" fillId="0" borderId="2" xfId="0" applyNumberFormat="1" applyFont="1" applyBorder="1" applyAlignment="1">
      <alignment horizontal="center" vertical="center"/>
    </xf>
    <xf numFmtId="43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167" fontId="29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>
      <alignment horizontal="right" vertical="center"/>
    </xf>
    <xf numFmtId="0" fontId="27" fillId="0" borderId="57" xfId="0" applyFont="1" applyFill="1" applyBorder="1" applyAlignment="1">
      <alignment vertical="center"/>
    </xf>
    <xf numFmtId="9" fontId="27" fillId="0" borderId="2" xfId="18" applyFont="1" applyFill="1" applyBorder="1" applyAlignment="1">
      <alignment horizontal="right" vertical="center"/>
    </xf>
    <xf numFmtId="0" fontId="29" fillId="0" borderId="3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7" xfId="18" applyFont="1" applyFill="1" applyBorder="1" applyAlignment="1" applyProtection="1">
      <alignment horizontal="center" vertical="center"/>
      <protection locked="0"/>
    </xf>
    <xf numFmtId="167" fontId="27" fillId="0" borderId="7" xfId="18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0" fillId="0" borderId="0" xfId="0" applyNumberFormat="1"/>
    <xf numFmtId="0" fontId="11" fillId="0" borderId="0" xfId="0" applyFont="1" applyAlignment="1">
      <alignment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justify" vertical="center" wrapText="1"/>
    </xf>
    <xf numFmtId="0" fontId="29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67" fontId="29" fillId="0" borderId="2" xfId="4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justify" vertical="center" wrapText="1"/>
    </xf>
    <xf numFmtId="0" fontId="29" fillId="0" borderId="2" xfId="0" applyFont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9" fillId="0" borderId="2" xfId="15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0" fontId="27" fillId="0" borderId="45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horizontal="center" vertical="center" wrapText="1"/>
    </xf>
    <xf numFmtId="0" fontId="27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4" fontId="11" fillId="0" borderId="0" xfId="0" applyNumberFormat="1" applyFont="1"/>
    <xf numFmtId="14" fontId="27" fillId="0" borderId="0" xfId="8" applyNumberFormat="1" applyFont="1" applyAlignment="1">
      <alignment horizontal="center" vertical="center"/>
    </xf>
    <xf numFmtId="0" fontId="27" fillId="0" borderId="0" xfId="0" applyFont="1" applyFill="1" applyAlignment="1">
      <alignment horizontal="justify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right" vertical="center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0" fontId="29" fillId="2" borderId="2" xfId="141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8" fillId="0" borderId="0" xfId="141" applyFont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64" fontId="27" fillId="0" borderId="2" xfId="4" applyNumberFormat="1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 applyProtection="1">
      <alignment horizontal="center" vertical="center"/>
      <protection locked="0"/>
    </xf>
    <xf numFmtId="167" fontId="27" fillId="3" borderId="2" xfId="0" applyNumberFormat="1" applyFont="1" applyFill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 vertical="center" wrapText="1"/>
    </xf>
    <xf numFmtId="167" fontId="27" fillId="3" borderId="2" xfId="4" applyFont="1" applyFill="1" applyBorder="1" applyAlignment="1">
      <alignment horizontal="right" vertical="center"/>
    </xf>
    <xf numFmtId="10" fontId="27" fillId="3" borderId="2" xfId="0" applyNumberFormat="1" applyFont="1" applyFill="1" applyBorder="1" applyAlignment="1" applyProtection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169" fontId="29" fillId="0" borderId="75" xfId="0" applyNumberFormat="1" applyFont="1" applyBorder="1" applyAlignment="1">
      <alignment horizontal="center" vertical="center" wrapText="1"/>
    </xf>
    <xf numFmtId="169" fontId="29" fillId="0" borderId="77" xfId="0" applyNumberFormat="1" applyFont="1" applyBorder="1" applyAlignment="1">
      <alignment horizontal="center" vertical="center" wrapText="1"/>
    </xf>
    <xf numFmtId="167" fontId="27" fillId="0" borderId="75" xfId="4" applyFont="1" applyFill="1" applyBorder="1" applyAlignment="1">
      <alignment horizontal="center" vertical="center" wrapText="1"/>
    </xf>
    <xf numFmtId="167" fontId="27" fillId="3" borderId="2" xfId="4" applyFont="1" applyFill="1" applyBorder="1" applyAlignment="1">
      <alignment vertical="center"/>
    </xf>
    <xf numFmtId="167" fontId="27" fillId="0" borderId="2" xfId="4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4" fontId="41" fillId="0" borderId="11" xfId="8" applyNumberFormat="1" applyFont="1" applyFill="1" applyBorder="1" applyAlignment="1" applyProtection="1">
      <alignment horizontal="center" vertical="center"/>
      <protection locked="0"/>
    </xf>
    <xf numFmtId="14" fontId="41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14" xfId="8" applyFont="1" applyFill="1" applyBorder="1" applyAlignment="1">
      <alignment horizontal="center" vertical="center"/>
    </xf>
    <xf numFmtId="0" fontId="29" fillId="0" borderId="15" xfId="8" applyFont="1" applyFill="1" applyBorder="1" applyAlignment="1">
      <alignment horizontal="center" vertical="center"/>
    </xf>
    <xf numFmtId="169" fontId="27" fillId="0" borderId="41" xfId="8" applyNumberFormat="1" applyFont="1" applyFill="1" applyBorder="1" applyAlignment="1" applyProtection="1">
      <alignment horizontal="center" vertical="center"/>
      <protection locked="0"/>
    </xf>
    <xf numFmtId="169" fontId="27" fillId="0" borderId="28" xfId="8" applyNumberFormat="1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horizontal="left" vertical="center"/>
    </xf>
    <xf numFmtId="0" fontId="27" fillId="0" borderId="15" xfId="8" applyFont="1" applyFill="1" applyBorder="1" applyAlignment="1">
      <alignment horizontal="left" vertical="center"/>
    </xf>
    <xf numFmtId="0" fontId="27" fillId="0" borderId="68" xfId="8" applyFont="1" applyFill="1" applyBorder="1" applyAlignment="1">
      <alignment horizontal="left" vertical="center"/>
    </xf>
    <xf numFmtId="0" fontId="27" fillId="0" borderId="13" xfId="8" applyFont="1" applyFill="1" applyBorder="1" applyAlignment="1">
      <alignment horizontal="left" vertical="center"/>
    </xf>
    <xf numFmtId="0" fontId="27" fillId="0" borderId="9" xfId="8" applyFont="1" applyFill="1" applyBorder="1" applyAlignment="1">
      <alignment horizontal="left" vertical="center"/>
    </xf>
    <xf numFmtId="0" fontId="27" fillId="0" borderId="55" xfId="8" applyFont="1" applyFill="1" applyBorder="1" applyAlignment="1">
      <alignment horizontal="left" vertical="center"/>
    </xf>
    <xf numFmtId="0" fontId="27" fillId="0" borderId="20" xfId="8" applyFont="1" applyFill="1" applyBorder="1" applyAlignment="1">
      <alignment horizontal="left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64" xfId="8" applyFont="1" applyFill="1" applyBorder="1" applyAlignment="1">
      <alignment horizontal="left" vertical="center"/>
    </xf>
    <xf numFmtId="0" fontId="27" fillId="0" borderId="11" xfId="8" applyFont="1" applyFill="1" applyBorder="1" applyAlignment="1">
      <alignment horizontal="left" vertical="center"/>
    </xf>
    <xf numFmtId="0" fontId="27" fillId="0" borderId="4" xfId="8" applyFont="1" applyFill="1" applyBorder="1" applyAlignment="1">
      <alignment horizontal="left" vertical="center"/>
    </xf>
    <xf numFmtId="0" fontId="27" fillId="0" borderId="25" xfId="8" applyFont="1" applyFill="1" applyBorder="1" applyAlignment="1">
      <alignment horizontal="left" vertical="center"/>
    </xf>
    <xf numFmtId="0" fontId="29" fillId="0" borderId="33" xfId="8" applyFont="1" applyFill="1" applyBorder="1" applyAlignment="1">
      <alignment horizontal="center" vertical="center"/>
    </xf>
    <xf numFmtId="0" fontId="29" fillId="0" borderId="34" xfId="8" applyFont="1" applyFill="1" applyBorder="1" applyAlignment="1">
      <alignment horizontal="center" vertical="center"/>
    </xf>
    <xf numFmtId="0" fontId="29" fillId="0" borderId="35" xfId="8" applyFont="1" applyFill="1" applyBorder="1" applyAlignment="1">
      <alignment horizontal="center" vertical="center"/>
    </xf>
    <xf numFmtId="0" fontId="27" fillId="0" borderId="31" xfId="8" applyFont="1" applyFill="1" applyBorder="1" applyAlignment="1">
      <alignment horizontal="right" vertical="center"/>
    </xf>
    <xf numFmtId="0" fontId="27" fillId="0" borderId="60" xfId="8" applyFont="1" applyFill="1" applyBorder="1" applyAlignment="1">
      <alignment horizontal="right" vertical="center"/>
    </xf>
    <xf numFmtId="0" fontId="27" fillId="0" borderId="26" xfId="8" applyFont="1" applyFill="1" applyBorder="1" applyAlignment="1">
      <alignment horizontal="right" vertical="center"/>
    </xf>
    <xf numFmtId="0" fontId="27" fillId="0" borderId="27" xfId="8" applyFont="1" applyFill="1" applyBorder="1" applyAlignment="1">
      <alignment horizontal="right" vertical="center"/>
    </xf>
    <xf numFmtId="14" fontId="27" fillId="0" borderId="11" xfId="8" applyNumberFormat="1" applyFont="1" applyFill="1" applyBorder="1" applyAlignment="1" applyProtection="1">
      <alignment horizontal="center" vertical="center"/>
      <protection locked="0"/>
    </xf>
    <xf numFmtId="14" fontId="27" fillId="0" borderId="25" xfId="8" applyNumberFormat="1" applyFont="1" applyFill="1" applyBorder="1" applyAlignment="1" applyProtection="1">
      <alignment horizontal="center" vertical="center"/>
      <protection locked="0"/>
    </xf>
    <xf numFmtId="20" fontId="27" fillId="0" borderId="11" xfId="8" applyNumberFormat="1" applyFont="1" applyFill="1" applyBorder="1" applyAlignment="1" applyProtection="1">
      <alignment horizontal="center" vertical="center"/>
      <protection locked="0"/>
    </xf>
    <xf numFmtId="20" fontId="27" fillId="0" borderId="25" xfId="8" applyNumberFormat="1" applyFont="1" applyFill="1" applyBorder="1" applyAlignment="1" applyProtection="1">
      <alignment horizontal="center" vertical="center"/>
      <protection locked="0"/>
    </xf>
    <xf numFmtId="49" fontId="27" fillId="0" borderId="11" xfId="8" quotePrefix="1" applyNumberFormat="1" applyFont="1" applyFill="1" applyBorder="1" applyAlignment="1" applyProtection="1">
      <alignment horizontal="center" vertical="center"/>
      <protection locked="0"/>
    </xf>
    <xf numFmtId="49" fontId="27" fillId="0" borderId="25" xfId="8" quotePrefix="1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horizontal="center" vertical="center" shrinkToFit="1"/>
    </xf>
    <xf numFmtId="0" fontId="27" fillId="0" borderId="30" xfId="8" applyFont="1" applyFill="1" applyBorder="1" applyAlignment="1">
      <alignment horizontal="center" vertical="center" shrinkToFit="1"/>
    </xf>
    <xf numFmtId="14" fontId="27" fillId="0" borderId="11" xfId="49" applyNumberFormat="1" applyFont="1" applyFill="1" applyBorder="1" applyAlignment="1" applyProtection="1">
      <alignment horizontal="center" vertical="center"/>
      <protection locked="0"/>
    </xf>
    <xf numFmtId="14" fontId="27" fillId="0" borderId="25" xfId="49" applyNumberFormat="1" applyFont="1" applyFill="1" applyBorder="1" applyAlignment="1" applyProtection="1">
      <alignment horizontal="center" vertical="center"/>
      <protection locked="0"/>
    </xf>
    <xf numFmtId="0" fontId="27" fillId="0" borderId="20" xfId="8" applyFont="1" applyFill="1" applyBorder="1" applyAlignment="1" applyProtection="1">
      <alignment horizontal="center" vertical="center"/>
      <protection locked="0"/>
    </xf>
    <xf numFmtId="0" fontId="27" fillId="0" borderId="64" xfId="8" applyFont="1" applyFill="1" applyBorder="1" applyAlignment="1" applyProtection="1">
      <alignment horizontal="center" vertical="center"/>
      <protection locked="0"/>
    </xf>
    <xf numFmtId="169" fontId="27" fillId="0" borderId="11" xfId="8" applyNumberFormat="1" applyFont="1" applyFill="1" applyBorder="1" applyAlignment="1" applyProtection="1">
      <alignment horizontal="center" vertical="center"/>
      <protection locked="0"/>
    </xf>
    <xf numFmtId="169" fontId="27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70" xfId="13" applyFont="1" applyFill="1" applyBorder="1" applyAlignment="1">
      <alignment horizontal="center" vertical="center" wrapText="1"/>
    </xf>
    <xf numFmtId="0" fontId="29" fillId="0" borderId="62" xfId="13" applyFont="1" applyFill="1" applyBorder="1" applyAlignment="1">
      <alignment horizontal="center" vertical="center" wrapText="1"/>
    </xf>
    <xf numFmtId="165" fontId="29" fillId="0" borderId="42" xfId="6" applyFont="1" applyFill="1" applyBorder="1" applyAlignment="1">
      <alignment horizontal="center" vertical="center"/>
    </xf>
    <xf numFmtId="165" fontId="29" fillId="0" borderId="51" xfId="6" applyFont="1" applyFill="1" applyBorder="1" applyAlignment="1">
      <alignment horizontal="center" vertical="center"/>
    </xf>
    <xf numFmtId="165" fontId="29" fillId="0" borderId="52" xfId="6" applyFont="1" applyFill="1" applyBorder="1" applyAlignment="1">
      <alignment horizontal="center" vertical="center"/>
    </xf>
    <xf numFmtId="0" fontId="29" fillId="0" borderId="37" xfId="8" applyFont="1" applyFill="1" applyBorder="1" applyAlignment="1">
      <alignment horizontal="center" vertical="center" wrapText="1"/>
    </xf>
    <xf numFmtId="0" fontId="29" fillId="0" borderId="50" xfId="8" applyFont="1" applyFill="1" applyBorder="1" applyAlignment="1">
      <alignment horizontal="center" vertical="center" wrapText="1"/>
    </xf>
    <xf numFmtId="0" fontId="29" fillId="0" borderId="32" xfId="8" applyFont="1" applyFill="1" applyBorder="1" applyAlignment="1">
      <alignment horizontal="center" vertical="center" wrapText="1"/>
    </xf>
    <xf numFmtId="0" fontId="29" fillId="0" borderId="38" xfId="8" applyFont="1" applyFill="1" applyBorder="1" applyAlignment="1">
      <alignment horizontal="center" vertical="center" wrapText="1"/>
    </xf>
    <xf numFmtId="0" fontId="29" fillId="0" borderId="37" xfId="13" applyFont="1" applyFill="1" applyBorder="1" applyAlignment="1">
      <alignment horizontal="center" vertical="center" shrinkToFit="1"/>
    </xf>
    <xf numFmtId="0" fontId="29" fillId="0" borderId="50" xfId="13" applyFont="1" applyFill="1" applyBorder="1" applyAlignment="1">
      <alignment horizontal="center" vertical="center" shrinkToFit="1"/>
    </xf>
    <xf numFmtId="0" fontId="29" fillId="0" borderId="61" xfId="13" applyFont="1" applyFill="1" applyBorder="1" applyAlignment="1">
      <alignment horizontal="center" vertical="center" wrapText="1" shrinkToFit="1"/>
    </xf>
    <xf numFmtId="0" fontId="29" fillId="0" borderId="44" xfId="13" applyFont="1" applyFill="1" applyBorder="1" applyAlignment="1">
      <alignment horizontal="center" vertical="center" wrapText="1" shrinkToFit="1"/>
    </xf>
    <xf numFmtId="0" fontId="29" fillId="0" borderId="65" xfId="8" applyFont="1" applyFill="1" applyBorder="1" applyAlignment="1">
      <alignment horizontal="center" vertical="center" wrapText="1"/>
    </xf>
    <xf numFmtId="0" fontId="29" fillId="0" borderId="66" xfId="8" applyFont="1" applyFill="1" applyBorder="1" applyAlignment="1">
      <alignment horizontal="center" vertical="center" wrapText="1"/>
    </xf>
    <xf numFmtId="0" fontId="27" fillId="0" borderId="67" xfId="13" applyFont="1" applyFill="1" applyBorder="1" applyAlignment="1">
      <alignment horizontal="center" vertical="center"/>
    </xf>
    <xf numFmtId="0" fontId="27" fillId="0" borderId="68" xfId="13" applyFont="1" applyFill="1" applyBorder="1" applyAlignment="1">
      <alignment horizontal="center" vertical="center"/>
    </xf>
    <xf numFmtId="0" fontId="27" fillId="0" borderId="42" xfId="49" applyFont="1" applyFill="1" applyBorder="1" applyAlignment="1">
      <alignment horizontal="center" vertical="center"/>
    </xf>
    <xf numFmtId="0" fontId="27" fillId="0" borderId="43" xfId="49" applyFont="1" applyFill="1" applyBorder="1" applyAlignment="1">
      <alignment horizontal="center" vertical="center"/>
    </xf>
    <xf numFmtId="0" fontId="29" fillId="0" borderId="33" xfId="13" applyFont="1" applyFill="1" applyBorder="1" applyAlignment="1">
      <alignment horizontal="center" vertical="center"/>
    </xf>
    <xf numFmtId="0" fontId="29" fillId="0" borderId="34" xfId="13" applyFont="1" applyFill="1" applyBorder="1" applyAlignment="1">
      <alignment horizontal="center" vertical="center"/>
    </xf>
    <xf numFmtId="0" fontId="29" fillId="0" borderId="62" xfId="13" applyFont="1" applyFill="1" applyBorder="1" applyAlignment="1" applyProtection="1">
      <alignment horizontal="center" vertical="center" shrinkToFit="1"/>
      <protection locked="0"/>
    </xf>
    <xf numFmtId="0" fontId="29" fillId="0" borderId="63" xfId="13" applyFont="1" applyFill="1" applyBorder="1" applyAlignment="1" applyProtection="1">
      <alignment horizontal="center" vertical="center" shrinkToFit="1"/>
      <protection locked="0"/>
    </xf>
    <xf numFmtId="0" fontId="29" fillId="0" borderId="56" xfId="8" applyFont="1" applyFill="1" applyBorder="1" applyAlignment="1">
      <alignment horizontal="center" vertical="center"/>
    </xf>
    <xf numFmtId="0" fontId="29" fillId="0" borderId="52" xfId="8" applyFont="1" applyFill="1" applyBorder="1" applyAlignment="1">
      <alignment horizontal="center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51" xfId="0" applyNumberFormat="1" applyFont="1" applyFill="1" applyBorder="1" applyAlignment="1">
      <alignment horizontal="right" vertical="center"/>
    </xf>
    <xf numFmtId="169" fontId="29" fillId="0" borderId="43" xfId="0" applyNumberFormat="1" applyFont="1" applyFill="1" applyBorder="1" applyAlignment="1">
      <alignment horizontal="right" vertical="center"/>
    </xf>
    <xf numFmtId="2" fontId="29" fillId="0" borderId="56" xfId="0" applyNumberFormat="1" applyFont="1" applyFill="1" applyBorder="1" applyAlignment="1">
      <alignment horizontal="left" vertical="center"/>
    </xf>
    <xf numFmtId="2" fontId="29" fillId="0" borderId="51" xfId="0" applyNumberFormat="1" applyFont="1" applyFill="1" applyBorder="1" applyAlignment="1">
      <alignment horizontal="left" vertical="center"/>
    </xf>
    <xf numFmtId="2" fontId="29" fillId="0" borderId="52" xfId="0" applyNumberFormat="1" applyFont="1" applyFill="1" applyBorder="1" applyAlignment="1">
      <alignment horizontal="left" vertical="center"/>
    </xf>
    <xf numFmtId="0" fontId="29" fillId="0" borderId="34" xfId="8" applyNumberFormat="1" applyFont="1" applyFill="1" applyBorder="1" applyAlignment="1">
      <alignment horizontal="center" vertical="center"/>
    </xf>
    <xf numFmtId="10" fontId="27" fillId="0" borderId="63" xfId="28" applyNumberFormat="1" applyFont="1" applyFill="1" applyBorder="1" applyAlignment="1" applyProtection="1">
      <alignment horizontal="center" vertical="center"/>
    </xf>
    <xf numFmtId="2" fontId="29" fillId="0" borderId="42" xfId="0" applyNumberFormat="1" applyFont="1" applyFill="1" applyBorder="1" applyAlignment="1">
      <alignment horizontal="right" vertical="center"/>
    </xf>
    <xf numFmtId="2" fontId="29" fillId="0" borderId="51" xfId="0" applyNumberFormat="1" applyFont="1" applyFill="1" applyBorder="1" applyAlignment="1">
      <alignment horizontal="right" vertical="center"/>
    </xf>
    <xf numFmtId="2" fontId="29" fillId="0" borderId="43" xfId="0" applyNumberFormat="1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0" fontId="29" fillId="0" borderId="51" xfId="0" applyFont="1" applyFill="1" applyBorder="1" applyAlignment="1">
      <alignment horizontal="right" vertical="center"/>
    </xf>
    <xf numFmtId="0" fontId="29" fillId="0" borderId="43" xfId="0" applyFont="1" applyFill="1" applyBorder="1" applyAlignment="1">
      <alignment horizontal="right" vertical="center"/>
    </xf>
    <xf numFmtId="0" fontId="29" fillId="0" borderId="67" xfId="13" applyFont="1" applyFill="1" applyBorder="1" applyAlignment="1">
      <alignment horizontal="center" vertical="center" wrapText="1"/>
    </xf>
    <xf numFmtId="0" fontId="29" fillId="0" borderId="68" xfId="13" applyFont="1" applyFill="1" applyBorder="1" applyAlignment="1">
      <alignment horizontal="center" vertical="center" wrapText="1"/>
    </xf>
    <xf numFmtId="0" fontId="29" fillId="0" borderId="69" xfId="13" applyFont="1" applyFill="1" applyBorder="1" applyAlignment="1">
      <alignment horizontal="center" vertical="center" wrapText="1"/>
    </xf>
    <xf numFmtId="0" fontId="29" fillId="0" borderId="55" xfId="13" applyFont="1" applyFill="1" applyBorder="1" applyAlignment="1">
      <alignment horizontal="center" vertical="center" wrapText="1"/>
    </xf>
    <xf numFmtId="14" fontId="27" fillId="0" borderId="63" xfId="8" applyNumberFormat="1" applyFont="1" applyFill="1" applyBorder="1" applyAlignment="1">
      <alignment horizontal="center" vertical="center"/>
    </xf>
    <xf numFmtId="14" fontId="29" fillId="0" borderId="34" xfId="8" applyNumberFormat="1" applyFont="1" applyFill="1" applyBorder="1" applyAlignment="1">
      <alignment horizontal="center" vertical="center"/>
    </xf>
    <xf numFmtId="14" fontId="29" fillId="0" borderId="35" xfId="8" applyNumberFormat="1" applyFont="1" applyFill="1" applyBorder="1" applyAlignment="1">
      <alignment horizontal="center" vertical="center"/>
    </xf>
    <xf numFmtId="14" fontId="29" fillId="0" borderId="42" xfId="8" applyNumberFormat="1" applyFont="1" applyFill="1" applyBorder="1" applyAlignment="1">
      <alignment horizontal="center" vertical="center"/>
    </xf>
    <xf numFmtId="14" fontId="29" fillId="0" borderId="43" xfId="8" applyNumberFormat="1" applyFont="1" applyFill="1" applyBorder="1" applyAlignment="1">
      <alignment horizontal="center" vertical="center"/>
    </xf>
    <xf numFmtId="0" fontId="29" fillId="0" borderId="42" xfId="8" applyFont="1" applyFill="1" applyBorder="1" applyAlignment="1">
      <alignment horizontal="right" vertical="center" wrapText="1"/>
    </xf>
    <xf numFmtId="0" fontId="29" fillId="0" borderId="51" xfId="8" applyFont="1" applyFill="1" applyBorder="1" applyAlignment="1">
      <alignment horizontal="right" vertical="center" wrapText="1"/>
    </xf>
    <xf numFmtId="0" fontId="29" fillId="0" borderId="43" xfId="8" applyFont="1" applyFill="1" applyBorder="1" applyAlignment="1">
      <alignment horizontal="right" vertical="center" wrapText="1"/>
    </xf>
    <xf numFmtId="14" fontId="27" fillId="0" borderId="42" xfId="8" applyNumberFormat="1" applyFont="1" applyFill="1" applyBorder="1" applyAlignment="1">
      <alignment horizontal="center" vertical="center" shrinkToFit="1"/>
    </xf>
    <xf numFmtId="14" fontId="27" fillId="0" borderId="43" xfId="8" applyNumberFormat="1" applyFont="1" applyFill="1" applyBorder="1" applyAlignment="1">
      <alignment horizontal="center" vertical="center" shrinkToFit="1"/>
    </xf>
    <xf numFmtId="0" fontId="27" fillId="0" borderId="56" xfId="8" applyFont="1" applyFill="1" applyBorder="1" applyAlignment="1">
      <alignment horizontal="center" shrinkToFit="1"/>
    </xf>
    <xf numFmtId="0" fontId="27" fillId="0" borderId="51" xfId="8" applyFont="1" applyFill="1" applyBorder="1" applyAlignment="1">
      <alignment horizontal="center" shrinkToFit="1"/>
    </xf>
    <xf numFmtId="0" fontId="27" fillId="0" borderId="43" xfId="8" applyFont="1" applyFill="1" applyBorder="1" applyAlignment="1">
      <alignment horizontal="center" shrinkToFit="1"/>
    </xf>
    <xf numFmtId="0" fontId="29" fillId="0" borderId="51" xfId="8" applyFont="1" applyFill="1" applyBorder="1" applyAlignment="1">
      <alignment horizontal="center" vertical="center"/>
    </xf>
    <xf numFmtId="0" fontId="29" fillId="0" borderId="43" xfId="8" applyFont="1" applyFill="1" applyBorder="1" applyAlignment="1">
      <alignment horizontal="center" vertical="center"/>
    </xf>
    <xf numFmtId="0" fontId="29" fillId="0" borderId="31" xfId="13" applyFont="1" applyFill="1" applyBorder="1" applyAlignment="1">
      <alignment horizontal="center" vertical="center"/>
    </xf>
    <xf numFmtId="0" fontId="29" fillId="0" borderId="26" xfId="13" applyFont="1" applyFill="1" applyBorder="1" applyAlignment="1">
      <alignment horizontal="center" vertical="center"/>
    </xf>
    <xf numFmtId="0" fontId="27" fillId="0" borderId="27" xfId="13" applyFont="1" applyFill="1" applyBorder="1" applyAlignment="1">
      <alignment horizontal="center" vertical="center"/>
    </xf>
    <xf numFmtId="0" fontId="27" fillId="0" borderId="66" xfId="13" applyFont="1" applyFill="1" applyBorder="1" applyAlignment="1">
      <alignment horizontal="center" vertical="center"/>
    </xf>
    <xf numFmtId="165" fontId="18" fillId="0" borderId="6" xfId="6" applyFont="1" applyFill="1" applyBorder="1" applyAlignment="1">
      <alignment horizontal="center" vertical="center"/>
    </xf>
    <xf numFmtId="165" fontId="18" fillId="0" borderId="7" xfId="6" applyFont="1" applyFill="1" applyBorder="1" applyAlignment="1">
      <alignment horizontal="center" vertical="center"/>
    </xf>
    <xf numFmtId="0" fontId="18" fillId="0" borderId="6" xfId="10" applyFont="1" applyFill="1" applyBorder="1" applyAlignment="1">
      <alignment horizontal="justify" vertical="center" wrapText="1"/>
    </xf>
    <xf numFmtId="0" fontId="18" fillId="0" borderId="4" xfId="10" applyFont="1" applyFill="1" applyBorder="1" applyAlignment="1">
      <alignment horizontal="justify" vertical="center" wrapText="1"/>
    </xf>
    <xf numFmtId="0" fontId="18" fillId="0" borderId="7" xfId="10" applyFont="1" applyFill="1" applyBorder="1" applyAlignment="1">
      <alignment horizontal="justify" vertical="center" wrapText="1"/>
    </xf>
    <xf numFmtId="165" fontId="17" fillId="2" borderId="6" xfId="10" applyNumberFormat="1" applyFont="1" applyFill="1" applyBorder="1" applyAlignment="1">
      <alignment horizontal="center" vertical="center"/>
    </xf>
    <xf numFmtId="165" fontId="17" fillId="2" borderId="7" xfId="10" applyNumberFormat="1" applyFont="1" applyFill="1" applyBorder="1" applyAlignment="1">
      <alignment horizontal="center" vertical="center"/>
    </xf>
    <xf numFmtId="0" fontId="17" fillId="2" borderId="6" xfId="10" applyFont="1" applyFill="1" applyBorder="1" applyAlignment="1">
      <alignment horizontal="right" vertical="center"/>
    </xf>
    <xf numFmtId="0" fontId="17" fillId="2" borderId="4" xfId="10" applyFont="1" applyFill="1" applyBorder="1" applyAlignment="1">
      <alignment horizontal="right" vertical="center"/>
    </xf>
    <xf numFmtId="0" fontId="17" fillId="2" borderId="7" xfId="10" applyFont="1" applyFill="1" applyBorder="1" applyAlignment="1">
      <alignment horizontal="right" vertical="center"/>
    </xf>
    <xf numFmtId="0" fontId="17" fillId="0" borderId="0" xfId="49" applyFont="1" applyAlignment="1">
      <alignment horizontal="center" vertical="center"/>
    </xf>
    <xf numFmtId="0" fontId="18" fillId="0" borderId="0" xfId="10" applyFont="1" applyAlignment="1">
      <alignment horizontal="justify" vertical="center" wrapText="1"/>
    </xf>
    <xf numFmtId="0" fontId="18" fillId="0" borderId="0" xfId="49" applyFont="1" applyAlignment="1">
      <alignment horizontal="justify" vertical="center" wrapText="1"/>
    </xf>
    <xf numFmtId="0" fontId="18" fillId="0" borderId="0" xfId="43" applyFont="1" applyAlignment="1">
      <alignment horizontal="justify" vertical="center" wrapText="1"/>
    </xf>
    <xf numFmtId="170" fontId="17" fillId="0" borderId="0" xfId="49" applyNumberFormat="1" applyFont="1" applyAlignment="1">
      <alignment horizontal="center" vertical="center"/>
    </xf>
    <xf numFmtId="0" fontId="17" fillId="2" borderId="47" xfId="8" quotePrefix="1" applyFont="1" applyFill="1" applyBorder="1" applyAlignment="1">
      <alignment horizontal="center" vertical="center" wrapText="1"/>
    </xf>
    <xf numFmtId="0" fontId="17" fillId="2" borderId="39" xfId="8" quotePrefix="1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horizontal="center" vertical="center" wrapText="1"/>
    </xf>
    <xf numFmtId="0" fontId="17" fillId="2" borderId="53" xfId="10" applyFont="1" applyFill="1" applyBorder="1" applyAlignment="1">
      <alignment horizontal="center" vertical="center" wrapText="1"/>
    </xf>
    <xf numFmtId="0" fontId="18" fillId="0" borderId="0" xfId="49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horizontal="center" vertical="center"/>
    </xf>
    <xf numFmtId="0" fontId="17" fillId="2" borderId="5" xfId="10" applyFont="1" applyFill="1" applyBorder="1" applyAlignment="1">
      <alignment horizontal="center" vertical="center"/>
    </xf>
    <xf numFmtId="0" fontId="17" fillId="2" borderId="23" xfId="10" applyFont="1" applyFill="1" applyBorder="1" applyAlignment="1">
      <alignment horizontal="center" vertical="center"/>
    </xf>
    <xf numFmtId="0" fontId="17" fillId="2" borderId="53" xfId="10" applyFont="1" applyFill="1" applyBorder="1" applyAlignment="1">
      <alignment horizontal="center" vertical="center"/>
    </xf>
    <xf numFmtId="0" fontId="17" fillId="2" borderId="47" xfId="10" applyFont="1" applyFill="1" applyBorder="1" applyAlignment="1">
      <alignment horizontal="center" vertical="center"/>
    </xf>
    <xf numFmtId="0" fontId="17" fillId="2" borderId="21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/>
    </xf>
    <xf numFmtId="0" fontId="17" fillId="2" borderId="45" xfId="10" applyFont="1" applyFill="1" applyBorder="1" applyAlignment="1">
      <alignment horizontal="center" vertical="center" wrapText="1"/>
    </xf>
    <xf numFmtId="0" fontId="17" fillId="2" borderId="3" xfId="10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6" xfId="0" applyNumberFormat="1" applyFont="1" applyBorder="1" applyAlignment="1" applyProtection="1">
      <alignment horizontal="center" vertical="center" wrapText="1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6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168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right" vertical="center" wrapText="1"/>
    </xf>
    <xf numFmtId="0" fontId="29" fillId="0" borderId="4" xfId="0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justify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7" fontId="27" fillId="0" borderId="6" xfId="0" applyNumberFormat="1" applyFont="1" applyFill="1" applyBorder="1" applyAlignment="1" applyProtection="1">
      <alignment horizontal="center" vertical="center"/>
      <protection locked="0"/>
    </xf>
    <xf numFmtId="17" fontId="27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" fontId="27" fillId="0" borderId="2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8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0" fontId="27" fillId="0" borderId="6" xfId="0" applyNumberFormat="1" applyFont="1" applyFill="1" applyBorder="1" applyAlignment="1" applyProtection="1">
      <alignment horizontal="center" vertical="center" wrapText="1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 wrapText="1"/>
    </xf>
    <xf numFmtId="0" fontId="29" fillId="4" borderId="6" xfId="0" applyFont="1" applyFill="1" applyBorder="1" applyAlignment="1">
      <alignment horizontal="right" vertical="center" wrapText="1"/>
    </xf>
    <xf numFmtId="0" fontId="29" fillId="4" borderId="4" xfId="0" applyFont="1" applyFill="1" applyBorder="1" applyAlignment="1">
      <alignment horizontal="right" vertical="center" wrapText="1"/>
    </xf>
    <xf numFmtId="0" fontId="29" fillId="4" borderId="7" xfId="0" applyFont="1" applyFill="1" applyBorder="1" applyAlignment="1">
      <alignment horizontal="right" vertical="center" wrapText="1"/>
    </xf>
    <xf numFmtId="0" fontId="29" fillId="4" borderId="47" xfId="0" applyFont="1" applyFill="1" applyBorder="1" applyAlignment="1">
      <alignment horizontal="right" vertical="center" wrapText="1"/>
    </xf>
    <xf numFmtId="0" fontId="29" fillId="4" borderId="21" xfId="0" applyFont="1" applyFill="1" applyBorder="1" applyAlignment="1">
      <alignment horizontal="right" vertical="center" wrapText="1"/>
    </xf>
    <xf numFmtId="0" fontId="29" fillId="4" borderId="39" xfId="0" applyFont="1" applyFill="1" applyBorder="1" applyAlignment="1">
      <alignment horizontal="right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67" fontId="27" fillId="0" borderId="6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center" vertical="center" wrapText="1"/>
    </xf>
    <xf numFmtId="168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6" xfId="0" applyNumberFormat="1" applyFont="1" applyFill="1" applyBorder="1" applyAlignment="1" applyProtection="1">
      <alignment horizontal="center" vertical="center"/>
      <protection locked="0"/>
    </xf>
    <xf numFmtId="167" fontId="27" fillId="0" borderId="7" xfId="0" applyNumberFormat="1" applyFont="1" applyFill="1" applyBorder="1" applyAlignment="1" applyProtection="1">
      <alignment horizontal="center" vertical="center"/>
      <protection locked="0"/>
    </xf>
    <xf numFmtId="10" fontId="27" fillId="0" borderId="6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 applyProtection="1">
      <alignment horizontal="center" vertical="center"/>
    </xf>
    <xf numFmtId="167" fontId="27" fillId="0" borderId="7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67" fontId="29" fillId="0" borderId="6" xfId="0" applyNumberFormat="1" applyFont="1" applyFill="1" applyBorder="1" applyAlignment="1">
      <alignment horizontal="center" vertical="center"/>
    </xf>
    <xf numFmtId="167" fontId="29" fillId="0" borderId="7" xfId="0" applyNumberFormat="1" applyFont="1" applyFill="1" applyBorder="1" applyAlignment="1">
      <alignment horizontal="center" vertical="center"/>
    </xf>
    <xf numFmtId="180" fontId="27" fillId="0" borderId="6" xfId="0" applyNumberFormat="1" applyFont="1" applyFill="1" applyBorder="1" applyAlignment="1">
      <alignment horizontal="center" vertical="center" wrapText="1"/>
    </xf>
    <xf numFmtId="180" fontId="27" fillId="0" borderId="7" xfId="0" applyNumberFormat="1" applyFont="1" applyFill="1" applyBorder="1" applyAlignment="1">
      <alignment horizontal="center" vertical="center" wrapText="1"/>
    </xf>
    <xf numFmtId="167" fontId="27" fillId="0" borderId="6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10" fontId="27" fillId="0" borderId="6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10" fontId="29" fillId="0" borderId="6" xfId="0" applyNumberFormat="1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179" fontId="27" fillId="0" borderId="6" xfId="0" applyNumberFormat="1" applyFont="1" applyFill="1" applyBorder="1" applyAlignment="1">
      <alignment horizontal="center" vertical="center" wrapText="1"/>
    </xf>
    <xf numFmtId="179" fontId="27" fillId="0" borderId="7" xfId="0" applyNumberFormat="1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10" fontId="27" fillId="0" borderId="6" xfId="18" applyNumberFormat="1" applyFont="1" applyFill="1" applyBorder="1" applyAlignment="1">
      <alignment horizontal="center" vertical="center" wrapText="1"/>
    </xf>
    <xf numFmtId="10" fontId="27" fillId="0" borderId="7" xfId="18" applyNumberFormat="1" applyFont="1" applyFill="1" applyBorder="1" applyAlignment="1">
      <alignment horizontal="center" vertical="center" wrapText="1"/>
    </xf>
    <xf numFmtId="167" fontId="29" fillId="0" borderId="6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6" xfId="0" applyNumberFormat="1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center" vertical="center"/>
    </xf>
    <xf numFmtId="10" fontId="27" fillId="0" borderId="6" xfId="0" applyNumberFormat="1" applyFont="1" applyFill="1" applyBorder="1" applyAlignment="1" applyProtection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7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14" fontId="27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14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49" applyFont="1" applyFill="1" applyBorder="1" applyAlignment="1">
      <alignment horizontal="right" vertical="center" wrapText="1"/>
    </xf>
    <xf numFmtId="0" fontId="29" fillId="0" borderId="4" xfId="49" applyFont="1" applyFill="1" applyBorder="1" applyAlignment="1">
      <alignment horizontal="right" vertical="center" wrapText="1"/>
    </xf>
    <xf numFmtId="0" fontId="29" fillId="0" borderId="7" xfId="49" applyFont="1" applyFill="1" applyBorder="1" applyAlignment="1">
      <alignment horizontal="right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5" xfId="14" applyFont="1" applyFill="1" applyBorder="1" applyAlignment="1">
      <alignment horizontal="center" vertical="center" wrapText="1"/>
    </xf>
    <xf numFmtId="0" fontId="29" fillId="0" borderId="47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42" fillId="0" borderId="0" xfId="14" applyFont="1" applyFill="1" applyAlignment="1">
      <alignment horizontal="center" vertical="center"/>
    </xf>
    <xf numFmtId="0" fontId="29" fillId="0" borderId="2" xfId="14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horizontal="center" vertical="center" wrapText="1"/>
    </xf>
    <xf numFmtId="0" fontId="29" fillId="0" borderId="4" xfId="14" applyFont="1" applyFill="1" applyBorder="1" applyAlignment="1">
      <alignment horizontal="center" vertical="center" wrapText="1"/>
    </xf>
    <xf numFmtId="0" fontId="29" fillId="0" borderId="45" xfId="14" applyFont="1" applyFill="1" applyBorder="1" applyAlignment="1">
      <alignment horizontal="center" vertical="center" wrapText="1"/>
    </xf>
    <xf numFmtId="0" fontId="29" fillId="0" borderId="3" xfId="14" applyFont="1" applyFill="1" applyBorder="1" applyAlignment="1">
      <alignment horizontal="center" vertical="center" wrapText="1"/>
    </xf>
    <xf numFmtId="0" fontId="27" fillId="0" borderId="0" xfId="14" applyFont="1" applyAlignment="1">
      <alignment horizontal="center" vertical="center"/>
    </xf>
    <xf numFmtId="0" fontId="29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0" fontId="29" fillId="0" borderId="6" xfId="14" applyFont="1" applyFill="1" applyBorder="1" applyAlignment="1">
      <alignment horizontal="right" vertical="center" wrapText="1"/>
    </xf>
    <xf numFmtId="0" fontId="29" fillId="0" borderId="4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center" vertical="center" wrapText="1"/>
    </xf>
    <xf numFmtId="0" fontId="29" fillId="0" borderId="6" xfId="14" applyFont="1" applyBorder="1" applyAlignment="1">
      <alignment horizontal="center" vertical="center" wrapText="1"/>
    </xf>
    <xf numFmtId="0" fontId="29" fillId="0" borderId="4" xfId="14" applyFont="1" applyBorder="1" applyAlignment="1">
      <alignment horizontal="center" vertical="center" wrapText="1"/>
    </xf>
    <xf numFmtId="0" fontId="29" fillId="0" borderId="7" xfId="14" applyFont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/>
    </xf>
    <xf numFmtId="0" fontId="30" fillId="0" borderId="76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30" fillId="0" borderId="77" xfId="0" applyFont="1" applyBorder="1" applyAlignment="1">
      <alignment horizontal="right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right" vertical="center" wrapText="1"/>
    </xf>
    <xf numFmtId="0" fontId="29" fillId="0" borderId="78" xfId="0" applyFont="1" applyFill="1" applyBorder="1" applyAlignment="1">
      <alignment horizontal="right" vertical="center" wrapText="1"/>
    </xf>
    <xf numFmtId="0" fontId="29" fillId="0" borderId="77" xfId="0" applyFont="1" applyFill="1" applyBorder="1" applyAlignment="1">
      <alignment horizontal="right" vertical="center" wrapText="1"/>
    </xf>
    <xf numFmtId="0" fontId="29" fillId="0" borderId="2" xfId="15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27" fillId="0" borderId="6" xfId="15" applyFont="1" applyBorder="1" applyAlignment="1">
      <alignment horizontal="center" vertical="center" wrapText="1"/>
    </xf>
    <xf numFmtId="0" fontId="27" fillId="0" borderId="7" xfId="15" applyFont="1" applyBorder="1" applyAlignment="1">
      <alignment horizontal="center" vertical="center" wrapText="1"/>
    </xf>
    <xf numFmtId="0" fontId="29" fillId="2" borderId="6" xfId="15" applyFont="1" applyFill="1" applyBorder="1" applyAlignment="1">
      <alignment horizontal="center" vertical="center"/>
    </xf>
    <xf numFmtId="0" fontId="29" fillId="2" borderId="4" xfId="15" applyFont="1" applyFill="1" applyBorder="1" applyAlignment="1">
      <alignment horizontal="center" vertical="center"/>
    </xf>
    <xf numFmtId="0" fontId="29" fillId="2" borderId="7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2" xfId="15" applyFont="1" applyBorder="1" applyAlignment="1">
      <alignment horizontal="center" vertical="center" wrapText="1"/>
    </xf>
    <xf numFmtId="167" fontId="27" fillId="0" borderId="2" xfId="4" applyFont="1" applyBorder="1" applyAlignment="1">
      <alignment horizontal="center" vertical="center"/>
    </xf>
    <xf numFmtId="0" fontId="27" fillId="0" borderId="2" xfId="15" applyFont="1" applyFill="1" applyBorder="1" applyAlignment="1">
      <alignment horizontal="center" vertical="center"/>
    </xf>
    <xf numFmtId="0" fontId="29" fillId="2" borderId="6" xfId="15" applyFont="1" applyFill="1" applyBorder="1" applyAlignment="1">
      <alignment horizontal="center" vertical="center" wrapText="1"/>
    </xf>
    <xf numFmtId="0" fontId="29" fillId="2" borderId="7" xfId="15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left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6" xfId="0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72" fontId="29" fillId="2" borderId="4" xfId="0" applyNumberFormat="1" applyFont="1" applyFill="1" applyBorder="1" applyAlignment="1">
      <alignment horizontal="center" vertical="center"/>
    </xf>
    <xf numFmtId="0" fontId="27" fillId="0" borderId="6" xfId="15" applyFont="1" applyBorder="1" applyAlignment="1">
      <alignment horizontal="center" vertical="center"/>
    </xf>
    <xf numFmtId="0" fontId="27" fillId="0" borderId="4" xfId="15" applyFont="1" applyBorder="1" applyAlignment="1">
      <alignment horizontal="center" vertical="center"/>
    </xf>
    <xf numFmtId="0" fontId="27" fillId="0" borderId="7" xfId="15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8" fillId="0" borderId="0" xfId="49" applyFont="1" applyFill="1" applyAlignment="1">
      <alignment horizontal="center" vertical="center" wrapText="1"/>
    </xf>
    <xf numFmtId="0" fontId="27" fillId="0" borderId="45" xfId="15" applyFont="1" applyBorder="1" applyAlignment="1">
      <alignment horizontal="center" vertical="center"/>
    </xf>
    <xf numFmtId="0" fontId="27" fillId="0" borderId="3" xfId="15" applyFont="1" applyBorder="1" applyAlignment="1">
      <alignment horizontal="center" vertical="center"/>
    </xf>
    <xf numFmtId="165" fontId="27" fillId="0" borderId="23" xfId="6" applyFont="1" applyBorder="1" applyAlignment="1">
      <alignment horizontal="center" vertical="center" wrapText="1"/>
    </xf>
    <xf numFmtId="165" fontId="27" fillId="0" borderId="21" xfId="6" applyFont="1" applyBorder="1" applyAlignment="1">
      <alignment horizontal="center" vertical="center" wrapText="1"/>
    </xf>
    <xf numFmtId="164" fontId="27" fillId="0" borderId="45" xfId="15" applyNumberFormat="1" applyFont="1" applyBorder="1" applyAlignment="1">
      <alignment horizontal="center" vertical="center" wrapText="1"/>
    </xf>
    <xf numFmtId="164" fontId="27" fillId="0" borderId="3" xfId="15" applyNumberFormat="1" applyFont="1" applyBorder="1" applyAlignment="1">
      <alignment horizontal="center" vertical="center" wrapText="1"/>
    </xf>
    <xf numFmtId="172" fontId="30" fillId="0" borderId="2" xfId="0" applyNumberFormat="1" applyFont="1" applyBorder="1" applyAlignment="1">
      <alignment horizontal="center" vertical="center"/>
    </xf>
    <xf numFmtId="0" fontId="28" fillId="0" borderId="0" xfId="10" applyFont="1" applyFill="1" applyAlignment="1">
      <alignment horizontal="center" vertical="center"/>
    </xf>
    <xf numFmtId="0" fontId="42" fillId="0" borderId="0" xfId="10" applyFont="1" applyAlignment="1">
      <alignment horizontal="center" vertical="center"/>
    </xf>
    <xf numFmtId="172" fontId="30" fillId="2" borderId="6" xfId="0" applyNumberFormat="1" applyFont="1" applyFill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172" fontId="35" fillId="2" borderId="6" xfId="0" applyNumberFormat="1" applyFont="1" applyFill="1" applyBorder="1" applyAlignment="1">
      <alignment horizontal="center" vertical="center"/>
    </xf>
    <xf numFmtId="172" fontId="35" fillId="2" borderId="4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 wrapText="1"/>
    </xf>
    <xf numFmtId="0" fontId="29" fillId="2" borderId="6" xfId="141" applyFont="1" applyFill="1" applyBorder="1" applyAlignment="1">
      <alignment horizontal="center" vertical="center"/>
    </xf>
    <xf numFmtId="0" fontId="29" fillId="2" borderId="4" xfId="141" applyFont="1" applyFill="1" applyBorder="1" applyAlignment="1">
      <alignment horizontal="center" vertical="center"/>
    </xf>
    <xf numFmtId="0" fontId="29" fillId="2" borderId="7" xfId="141" applyFont="1" applyFill="1" applyBorder="1" applyAlignment="1">
      <alignment horizontal="center" vertical="center"/>
    </xf>
    <xf numFmtId="0" fontId="29" fillId="2" borderId="6" xfId="141" applyFont="1" applyFill="1" applyBorder="1" applyAlignment="1">
      <alignment horizontal="center" vertical="center" wrapText="1"/>
    </xf>
    <xf numFmtId="0" fontId="29" fillId="2" borderId="7" xfId="141" applyFont="1" applyFill="1" applyBorder="1" applyAlignment="1">
      <alignment horizontal="center" vertical="center" wrapText="1"/>
    </xf>
    <xf numFmtId="0" fontId="27" fillId="0" borderId="45" xfId="141" applyFont="1" applyBorder="1" applyAlignment="1">
      <alignment horizontal="center" vertical="center"/>
    </xf>
    <xf numFmtId="0" fontId="27" fillId="0" borderId="3" xfId="141" applyFont="1" applyBorder="1" applyAlignment="1">
      <alignment horizontal="center" vertical="center"/>
    </xf>
    <xf numFmtId="0" fontId="27" fillId="0" borderId="6" xfId="141" applyFont="1" applyBorder="1" applyAlignment="1">
      <alignment horizontal="center" vertical="center" wrapText="1"/>
    </xf>
    <xf numFmtId="0" fontId="27" fillId="0" borderId="7" xfId="141" applyFont="1" applyBorder="1" applyAlignment="1">
      <alignment horizontal="center" vertical="center" wrapText="1"/>
    </xf>
    <xf numFmtId="165" fontId="27" fillId="0" borderId="23" xfId="50" applyFont="1" applyBorder="1" applyAlignment="1">
      <alignment horizontal="center" vertical="center" wrapText="1"/>
    </xf>
    <xf numFmtId="165" fontId="27" fillId="0" borderId="21" xfId="50" applyFont="1" applyBorder="1" applyAlignment="1">
      <alignment horizontal="center" vertical="center" wrapText="1"/>
    </xf>
    <xf numFmtId="164" fontId="27" fillId="0" borderId="45" xfId="141" applyNumberFormat="1" applyFont="1" applyBorder="1" applyAlignment="1">
      <alignment horizontal="center" vertical="center" wrapText="1"/>
    </xf>
    <xf numFmtId="164" fontId="27" fillId="0" borderId="3" xfId="141" applyNumberFormat="1" applyFont="1" applyBorder="1" applyAlignment="1">
      <alignment horizontal="center" vertical="center" wrapText="1"/>
    </xf>
    <xf numFmtId="0" fontId="27" fillId="0" borderId="6" xfId="141" applyFont="1" applyBorder="1" applyAlignment="1">
      <alignment horizontal="center" vertical="center"/>
    </xf>
    <xf numFmtId="0" fontId="27" fillId="0" borderId="4" xfId="141" applyFont="1" applyBorder="1" applyAlignment="1">
      <alignment horizontal="center" vertical="center"/>
    </xf>
    <xf numFmtId="0" fontId="27" fillId="0" borderId="7" xfId="141" applyFont="1" applyBorder="1" applyAlignment="1">
      <alignment horizontal="center" vertical="center"/>
    </xf>
    <xf numFmtId="0" fontId="27" fillId="0" borderId="2" xfId="141" applyFont="1" applyBorder="1" applyAlignment="1">
      <alignment horizontal="center" vertical="center"/>
    </xf>
    <xf numFmtId="0" fontId="29" fillId="2" borderId="2" xfId="14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29" fillId="0" borderId="2" xfId="141" applyFont="1" applyBorder="1" applyAlignment="1">
      <alignment horizontal="center" vertical="center"/>
    </xf>
    <xf numFmtId="0" fontId="27" fillId="0" borderId="2" xfId="141" applyFont="1" applyBorder="1" applyAlignment="1">
      <alignment horizontal="center" vertical="center" wrapText="1"/>
    </xf>
    <xf numFmtId="167" fontId="36" fillId="0" borderId="2" xfId="4" applyFont="1" applyBorder="1" applyAlignment="1">
      <alignment horizontal="center" vertical="center"/>
    </xf>
    <xf numFmtId="169" fontId="29" fillId="0" borderId="23" xfId="15" applyNumberFormat="1" applyFont="1" applyFill="1" applyBorder="1" applyAlignment="1">
      <alignment horizontal="justify" vertical="center" wrapText="1"/>
    </xf>
    <xf numFmtId="0" fontId="29" fillId="0" borderId="21" xfId="15" applyFont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justify" vertical="center" wrapText="1"/>
    </xf>
    <xf numFmtId="0" fontId="28" fillId="0" borderId="0" xfId="141" applyFont="1" applyAlignment="1">
      <alignment horizontal="center" vertical="center"/>
    </xf>
    <xf numFmtId="0" fontId="28" fillId="0" borderId="0" xfId="15" applyFont="1" applyFill="1" applyAlignment="1">
      <alignment horizontal="center" vertical="center"/>
    </xf>
    <xf numFmtId="0" fontId="28" fillId="0" borderId="0" xfId="8" applyFont="1" applyFill="1" applyAlignment="1">
      <alignment horizontal="center" vertical="center" wrapText="1"/>
    </xf>
    <xf numFmtId="0" fontId="29" fillId="0" borderId="0" xfId="15" applyFont="1" applyFill="1" applyAlignment="1">
      <alignment horizontal="center" vertical="center"/>
    </xf>
    <xf numFmtId="0" fontId="29" fillId="0" borderId="0" xfId="54" applyFont="1" applyFill="1" applyAlignment="1">
      <alignment horizontal="justify" vertical="center" wrapText="1"/>
    </xf>
    <xf numFmtId="0" fontId="28" fillId="0" borderId="0" xfId="49" applyFont="1" applyFill="1" applyAlignment="1">
      <alignment horizontal="center" vertical="center"/>
    </xf>
    <xf numFmtId="0" fontId="29" fillId="0" borderId="6" xfId="53" applyFont="1" applyFill="1" applyBorder="1" applyAlignment="1">
      <alignment horizontal="left" vertical="center" wrapText="1"/>
    </xf>
    <xf numFmtId="0" fontId="29" fillId="0" borderId="4" xfId="53" applyFont="1" applyFill="1" applyBorder="1" applyAlignment="1">
      <alignment horizontal="left" vertical="center" wrapText="1"/>
    </xf>
    <xf numFmtId="0" fontId="29" fillId="0" borderId="7" xfId="53" applyFont="1" applyFill="1" applyBorder="1" applyAlignment="1">
      <alignment horizontal="left" vertical="center" wrapText="1"/>
    </xf>
    <xf numFmtId="0" fontId="42" fillId="0" borderId="0" xfId="49" applyFont="1" applyFill="1" applyAlignment="1">
      <alignment horizontal="center" vertical="center"/>
    </xf>
    <xf numFmtId="0" fontId="27" fillId="0" borderId="45" xfId="53" applyFont="1" applyFill="1" applyBorder="1" applyAlignment="1">
      <alignment horizontal="center" vertical="center" wrapText="1"/>
    </xf>
    <xf numFmtId="0" fontId="27" fillId="0" borderId="3" xfId="53" applyFont="1" applyFill="1" applyBorder="1" applyAlignment="1">
      <alignment horizontal="center" vertical="center" wrapText="1"/>
    </xf>
    <xf numFmtId="0" fontId="27" fillId="0" borderId="57" xfId="53" applyFont="1" applyFill="1" applyBorder="1" applyAlignment="1">
      <alignment horizontal="center" vertical="center" wrapText="1"/>
    </xf>
    <xf numFmtId="0" fontId="29" fillId="0" borderId="21" xfId="8" applyFont="1" applyFill="1" applyBorder="1" applyAlignment="1">
      <alignment horizontal="center" vertical="center"/>
    </xf>
    <xf numFmtId="0" fontId="29" fillId="2" borderId="2" xfId="8" applyFont="1" applyFill="1" applyBorder="1" applyAlignment="1">
      <alignment horizontal="right" vertical="center"/>
    </xf>
    <xf numFmtId="0" fontId="27" fillId="0" borderId="6" xfId="8" applyFont="1" applyBorder="1" applyAlignment="1">
      <alignment horizontal="center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2" xfId="10" applyFont="1" applyFill="1" applyBorder="1" applyAlignment="1">
      <alignment horizontal="center" vertical="center"/>
    </xf>
    <xf numFmtId="0" fontId="29" fillId="0" borderId="2" xfId="10" applyFont="1" applyFill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29" fillId="0" borderId="21" xfId="8" applyFont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9" fillId="2" borderId="3" xfId="49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justify" vertical="center" wrapText="1"/>
    </xf>
    <xf numFmtId="0" fontId="28" fillId="0" borderId="0" xfId="8" applyFont="1" applyAlignment="1">
      <alignment horizontal="center" vertical="center"/>
    </xf>
    <xf numFmtId="0" fontId="27" fillId="0" borderId="6" xfId="8" applyFont="1" applyBorder="1" applyAlignment="1">
      <alignment horizontal="justify" vertical="center" wrapText="1"/>
    </xf>
    <xf numFmtId="0" fontId="27" fillId="0" borderId="7" xfId="8" applyFont="1" applyBorder="1" applyAlignment="1">
      <alignment horizontal="justify" vertical="center" wrapText="1"/>
    </xf>
    <xf numFmtId="0" fontId="35" fillId="0" borderId="21" xfId="8" applyFont="1" applyFill="1" applyBorder="1" applyAlignment="1">
      <alignment horizontal="center" vertical="center"/>
    </xf>
  </cellXfs>
  <cellStyles count="351">
    <cellStyle name="Cancel" xfId="56" xr:uid="{00000000-0005-0000-0000-000000000000}"/>
    <cellStyle name="Heading" xfId="108" xr:uid="{00000000-0005-0000-0000-000001000000}"/>
    <cellStyle name="Heading 2" xfId="109" xr:uid="{00000000-0005-0000-0000-000002000000}"/>
    <cellStyle name="Heading1" xfId="110" xr:uid="{00000000-0005-0000-0000-000003000000}"/>
    <cellStyle name="Heading1 2" xfId="111" xr:uid="{00000000-0005-0000-0000-000004000000}"/>
    <cellStyle name="Hiperlink" xfId="1" builtinId="8"/>
    <cellStyle name="Hiperlink 2" xfId="2" xr:uid="{00000000-0005-0000-0000-000006000000}"/>
    <cellStyle name="Hiperlink 2 2" xfId="3" xr:uid="{00000000-0005-0000-0000-000007000000}"/>
    <cellStyle name="Hiperlink 3" xfId="41" xr:uid="{00000000-0005-0000-0000-000008000000}"/>
    <cellStyle name="Hiperlink 4" xfId="57" xr:uid="{00000000-0005-0000-0000-000009000000}"/>
    <cellStyle name="Moeda" xfId="4" builtinId="4"/>
    <cellStyle name="Moeda 2" xfId="5" xr:uid="{00000000-0005-0000-0000-00000B000000}"/>
    <cellStyle name="Moeda 2 2" xfId="6" xr:uid="{00000000-0005-0000-0000-00000C000000}"/>
    <cellStyle name="Moeda 2 2 2" xfId="50" xr:uid="{00000000-0005-0000-0000-00000D000000}"/>
    <cellStyle name="Moeda 2 3" xfId="30" xr:uid="{00000000-0005-0000-0000-00000E000000}"/>
    <cellStyle name="Moeda 2 3 2" xfId="145" xr:uid="{00000000-0005-0000-0000-00000F000000}"/>
    <cellStyle name="Moeda 2 3 3" xfId="83" xr:uid="{00000000-0005-0000-0000-000010000000}"/>
    <cellStyle name="Moeda 2 4" xfId="135" xr:uid="{00000000-0005-0000-0000-000011000000}"/>
    <cellStyle name="Moeda 2 4 2" xfId="279" xr:uid="{00000000-0005-0000-0000-000012000000}"/>
    <cellStyle name="Moeda 2 4 3" xfId="324" xr:uid="{00000000-0005-0000-0000-000013000000}"/>
    <cellStyle name="Moeda 2 4 4" xfId="245" xr:uid="{00000000-0005-0000-0000-000014000000}"/>
    <cellStyle name="Moeda 2 4 5" xfId="193" xr:uid="{00000000-0005-0000-0000-000015000000}"/>
    <cellStyle name="Moeda 2 5" xfId="72" xr:uid="{00000000-0005-0000-0000-000016000000}"/>
    <cellStyle name="Moeda 2 5 2" xfId="260" xr:uid="{00000000-0005-0000-0000-000017000000}"/>
    <cellStyle name="Moeda 2 6" xfId="304" xr:uid="{00000000-0005-0000-0000-000018000000}"/>
    <cellStyle name="Moeda 2 7" xfId="212" xr:uid="{00000000-0005-0000-0000-000019000000}"/>
    <cellStyle name="Moeda 2 8" xfId="173" xr:uid="{00000000-0005-0000-0000-00001A000000}"/>
    <cellStyle name="Moeda 2 9" xfId="343" xr:uid="{00000000-0005-0000-0000-00001B000000}"/>
    <cellStyle name="Moeda 3" xfId="7" xr:uid="{00000000-0005-0000-0000-00001C000000}"/>
    <cellStyle name="Moeda 3 2" xfId="32" xr:uid="{00000000-0005-0000-0000-00001D000000}"/>
    <cellStyle name="Moeda 3 3" xfId="31" xr:uid="{00000000-0005-0000-0000-00001E000000}"/>
    <cellStyle name="Moeda 3 3 2" xfId="146" xr:uid="{00000000-0005-0000-0000-00001F000000}"/>
    <cellStyle name="Moeda 3 3 3" xfId="84" xr:uid="{00000000-0005-0000-0000-000020000000}"/>
    <cellStyle name="Moeda 3 4" xfId="55" xr:uid="{00000000-0005-0000-0000-000021000000}"/>
    <cellStyle name="Moeda 3 4 2" xfId="159" xr:uid="{00000000-0005-0000-0000-000022000000}"/>
    <cellStyle name="Moeda 3 4 2 2" xfId="296" xr:uid="{00000000-0005-0000-0000-000023000000}"/>
    <cellStyle name="Moeda 3 4 2 3" xfId="339" xr:uid="{00000000-0005-0000-0000-000024000000}"/>
    <cellStyle name="Moeda 3 4 2 4" xfId="246" xr:uid="{00000000-0005-0000-0000-000025000000}"/>
    <cellStyle name="Moeda 3 4 2 5" xfId="194" xr:uid="{00000000-0005-0000-0000-000026000000}"/>
    <cellStyle name="Moeda 3 4 3" xfId="97" xr:uid="{00000000-0005-0000-0000-000027000000}"/>
    <cellStyle name="Moeda 3 4 3 2" xfId="275" xr:uid="{00000000-0005-0000-0000-000028000000}"/>
    <cellStyle name="Moeda 3 4 4" xfId="321" xr:uid="{00000000-0005-0000-0000-000029000000}"/>
    <cellStyle name="Moeda 3 4 5" xfId="227" xr:uid="{00000000-0005-0000-0000-00002A000000}"/>
    <cellStyle name="Moeda 3 4 6" xfId="188" xr:uid="{00000000-0005-0000-0000-00002B000000}"/>
    <cellStyle name="Moeda 3 5" xfId="112" xr:uid="{00000000-0005-0000-0000-00002C000000}"/>
    <cellStyle name="Moeda 3 5 2" xfId="259" xr:uid="{00000000-0005-0000-0000-00002D000000}"/>
    <cellStyle name="Moeda 3 5 3" xfId="280" xr:uid="{00000000-0005-0000-0000-00002E000000}"/>
    <cellStyle name="Moeda 3 5 4" xfId="233" xr:uid="{00000000-0005-0000-0000-00002F000000}"/>
    <cellStyle name="Moeda 3 5 5" xfId="195" xr:uid="{00000000-0005-0000-0000-000030000000}"/>
    <cellStyle name="Moeda 3 6" xfId="136" xr:uid="{00000000-0005-0000-0000-000031000000}"/>
    <cellStyle name="Moeda 3 7" xfId="73" xr:uid="{00000000-0005-0000-0000-000032000000}"/>
    <cellStyle name="Moeda 4" xfId="33" xr:uid="{00000000-0005-0000-0000-000033000000}"/>
    <cellStyle name="Moeda 4 2" xfId="344" xr:uid="{00000000-0005-0000-0000-000034000000}"/>
    <cellStyle name="Moeda 5" xfId="46" xr:uid="{00000000-0005-0000-0000-000035000000}"/>
    <cellStyle name="Moeda 6" xfId="113" xr:uid="{00000000-0005-0000-0000-000036000000}"/>
    <cellStyle name="Moeda 6 2" xfId="303" xr:uid="{00000000-0005-0000-0000-000037000000}"/>
    <cellStyle name="Moeda 6 3" xfId="229" xr:uid="{00000000-0005-0000-0000-000038000000}"/>
    <cellStyle name="Moeda 7" xfId="114" xr:uid="{00000000-0005-0000-0000-000039000000}"/>
    <cellStyle name="Moeda 8" xfId="300" xr:uid="{00000000-0005-0000-0000-00003A000000}"/>
    <cellStyle name="Moeda 9" xfId="342" xr:uid="{00000000-0005-0000-0000-00003B000000}"/>
    <cellStyle name="Normal" xfId="0" builtinId="0"/>
    <cellStyle name="Normal 10" xfId="58" xr:uid="{00000000-0005-0000-0000-00003D000000}"/>
    <cellStyle name="Normal 10 2" xfId="69" xr:uid="{00000000-0005-0000-0000-00003E000000}"/>
    <cellStyle name="Normal 10 2 2" xfId="170" xr:uid="{00000000-0005-0000-0000-00003F000000}"/>
    <cellStyle name="Normal 10 2 2 2" xfId="297" xr:uid="{00000000-0005-0000-0000-000040000000}"/>
    <cellStyle name="Normal 10 2 3" xfId="115" xr:uid="{00000000-0005-0000-0000-000041000000}"/>
    <cellStyle name="Normal 10 2 3 2" xfId="340" xr:uid="{00000000-0005-0000-0000-000042000000}"/>
    <cellStyle name="Normal 10 2 4" xfId="234" xr:uid="{00000000-0005-0000-0000-000043000000}"/>
    <cellStyle name="Normal 10 2 5" xfId="196" xr:uid="{00000000-0005-0000-0000-000044000000}"/>
    <cellStyle name="Normal 10 3" xfId="160" xr:uid="{00000000-0005-0000-0000-000045000000}"/>
    <cellStyle name="Normal 10 3 2" xfId="258" xr:uid="{00000000-0005-0000-0000-000046000000}"/>
    <cellStyle name="Normal 10 4" xfId="98" xr:uid="{00000000-0005-0000-0000-000047000000}"/>
    <cellStyle name="Normal 10 4 2" xfId="276" xr:uid="{00000000-0005-0000-0000-000048000000}"/>
    <cellStyle name="Normal 10 5" xfId="322" xr:uid="{00000000-0005-0000-0000-000049000000}"/>
    <cellStyle name="Normal 10 6" xfId="228" xr:uid="{00000000-0005-0000-0000-00004A000000}"/>
    <cellStyle name="Normal 10 7" xfId="192" xr:uid="{00000000-0005-0000-0000-00004B000000}"/>
    <cellStyle name="Normal 11" xfId="59" xr:uid="{00000000-0005-0000-0000-00004C000000}"/>
    <cellStyle name="Normal 11 2" xfId="161" xr:uid="{00000000-0005-0000-0000-00004D000000}"/>
    <cellStyle name="Normal 11 2 2" xfId="302" xr:uid="{00000000-0005-0000-0000-00004E000000}"/>
    <cellStyle name="Normal 11 3" xfId="99" xr:uid="{00000000-0005-0000-0000-00004F000000}"/>
    <cellStyle name="Normal 11 4" xfId="235" xr:uid="{00000000-0005-0000-0000-000050000000}"/>
    <cellStyle name="Normal 12" xfId="116" xr:uid="{00000000-0005-0000-0000-000051000000}"/>
    <cellStyle name="Normal 13" xfId="117" xr:uid="{00000000-0005-0000-0000-000052000000}"/>
    <cellStyle name="Normal 14" xfId="118" xr:uid="{00000000-0005-0000-0000-000053000000}"/>
    <cellStyle name="Normal 15" xfId="119" xr:uid="{00000000-0005-0000-0000-000054000000}"/>
    <cellStyle name="Normal 16" xfId="120" xr:uid="{00000000-0005-0000-0000-000055000000}"/>
    <cellStyle name="Normal 17" xfId="121" xr:uid="{00000000-0005-0000-0000-000056000000}"/>
    <cellStyle name="Normal 18" xfId="122" xr:uid="{00000000-0005-0000-0000-000057000000}"/>
    <cellStyle name="Normal 19" xfId="123" xr:uid="{00000000-0005-0000-0000-000058000000}"/>
    <cellStyle name="Normal 19 2" xfId="236" xr:uid="{00000000-0005-0000-0000-000059000000}"/>
    <cellStyle name="Normal 2" xfId="8" xr:uid="{00000000-0005-0000-0000-00005A000000}"/>
    <cellStyle name="Normal 2 2" xfId="9" xr:uid="{00000000-0005-0000-0000-00005B000000}"/>
    <cellStyle name="Normal 2 2 10" xfId="345" xr:uid="{00000000-0005-0000-0000-00005C000000}"/>
    <cellStyle name="Normal 2 2 11" xfId="350" xr:uid="{C3B6B192-21E2-4D14-BDF8-6A5FEFB0C6B7}"/>
    <cellStyle name="Normal 2 2 2" xfId="10" xr:uid="{00000000-0005-0000-0000-00005D000000}"/>
    <cellStyle name="Normal 2 2 2 2" xfId="49" xr:uid="{00000000-0005-0000-0000-00005E000000}"/>
    <cellStyle name="Normal 2 2 3" xfId="35" xr:uid="{00000000-0005-0000-0000-00005F000000}"/>
    <cellStyle name="Normal 2 2 3 2" xfId="148" xr:uid="{00000000-0005-0000-0000-000060000000}"/>
    <cellStyle name="Normal 2 2 3 2 2" xfId="287" xr:uid="{00000000-0005-0000-0000-000061000000}"/>
    <cellStyle name="Normal 2 2 3 2 3" xfId="330" xr:uid="{00000000-0005-0000-0000-000062000000}"/>
    <cellStyle name="Normal 2 2 3 2 4" xfId="247" xr:uid="{00000000-0005-0000-0000-000063000000}"/>
    <cellStyle name="Normal 2 2 3 2 5" xfId="197" xr:uid="{00000000-0005-0000-0000-000064000000}"/>
    <cellStyle name="Normal 2 2 3 3" xfId="86" xr:uid="{00000000-0005-0000-0000-000065000000}"/>
    <cellStyle name="Normal 2 2 3 3 2" xfId="266" xr:uid="{00000000-0005-0000-0000-000066000000}"/>
    <cellStyle name="Normal 2 2 3 4" xfId="312" xr:uid="{00000000-0005-0000-0000-000067000000}"/>
    <cellStyle name="Normal 2 2 3 5" xfId="218" xr:uid="{00000000-0005-0000-0000-000068000000}"/>
    <cellStyle name="Normal 2 2 3 6" xfId="179" xr:uid="{00000000-0005-0000-0000-000069000000}"/>
    <cellStyle name="Normal 2 2 4" xfId="53" xr:uid="{00000000-0005-0000-0000-00006A000000}"/>
    <cellStyle name="Normal 2 2 4 2" xfId="158" xr:uid="{00000000-0005-0000-0000-00006B000000}"/>
    <cellStyle name="Normal 2 2 4 2 2" xfId="295" xr:uid="{00000000-0005-0000-0000-00006C000000}"/>
    <cellStyle name="Normal 2 2 4 2 3" xfId="338" xr:uid="{00000000-0005-0000-0000-00006D000000}"/>
    <cellStyle name="Normal 2 2 4 2 4" xfId="248" xr:uid="{00000000-0005-0000-0000-00006E000000}"/>
    <cellStyle name="Normal 2 2 4 2 5" xfId="198" xr:uid="{00000000-0005-0000-0000-00006F000000}"/>
    <cellStyle name="Normal 2 2 4 3" xfId="96" xr:uid="{00000000-0005-0000-0000-000070000000}"/>
    <cellStyle name="Normal 2 2 4 3 2" xfId="274" xr:uid="{00000000-0005-0000-0000-000071000000}"/>
    <cellStyle name="Normal 2 2 4 4" xfId="320" xr:uid="{00000000-0005-0000-0000-000072000000}"/>
    <cellStyle name="Normal 2 2 4 5" xfId="226" xr:uid="{00000000-0005-0000-0000-000073000000}"/>
    <cellStyle name="Normal 2 2 4 6" xfId="187" xr:uid="{00000000-0005-0000-0000-000074000000}"/>
    <cellStyle name="Normal 2 2 5" xfId="60" xr:uid="{00000000-0005-0000-0000-000075000000}"/>
    <cellStyle name="Normal 2 2 5 2" xfId="162" xr:uid="{00000000-0005-0000-0000-000076000000}"/>
    <cellStyle name="Normal 2 2 5 2 2" xfId="281" xr:uid="{00000000-0005-0000-0000-000077000000}"/>
    <cellStyle name="Normal 2 2 5 3" xfId="100" xr:uid="{00000000-0005-0000-0000-000078000000}"/>
    <cellStyle name="Normal 2 2 5 3 2" xfId="325" xr:uid="{00000000-0005-0000-0000-000079000000}"/>
    <cellStyle name="Normal 2 2 5 4" xfId="237" xr:uid="{00000000-0005-0000-0000-00007A000000}"/>
    <cellStyle name="Normal 2 2 5 5" xfId="189" xr:uid="{00000000-0005-0000-0000-00007B000000}"/>
    <cellStyle name="Normal 2 2 6" xfId="137" xr:uid="{00000000-0005-0000-0000-00007C000000}"/>
    <cellStyle name="Normal 2 2 6 2" xfId="261" xr:uid="{00000000-0005-0000-0000-00007D000000}"/>
    <cellStyle name="Normal 2 2 7" xfId="74" xr:uid="{00000000-0005-0000-0000-00007E000000}"/>
    <cellStyle name="Normal 2 2 7 2" xfId="305" xr:uid="{00000000-0005-0000-0000-00007F000000}"/>
    <cellStyle name="Normal 2 2 8" xfId="213" xr:uid="{00000000-0005-0000-0000-000080000000}"/>
    <cellStyle name="Normal 2 2 9" xfId="174" xr:uid="{00000000-0005-0000-0000-000081000000}"/>
    <cellStyle name="Normal 2 3" xfId="11" xr:uid="{00000000-0005-0000-0000-000082000000}"/>
    <cellStyle name="Normal 2 3 2" xfId="138" xr:uid="{00000000-0005-0000-0000-000083000000}"/>
    <cellStyle name="Normal 2 3 3" xfId="75" xr:uid="{00000000-0005-0000-0000-000084000000}"/>
    <cellStyle name="Normal 2 4" xfId="12" xr:uid="{00000000-0005-0000-0000-000085000000}"/>
    <cellStyle name="Normal 2 4 10" xfId="175" xr:uid="{00000000-0005-0000-0000-000086000000}"/>
    <cellStyle name="Normal 2 4 11" xfId="346" xr:uid="{00000000-0005-0000-0000-000087000000}"/>
    <cellStyle name="Normal 2 4 2" xfId="40" xr:uid="{00000000-0005-0000-0000-000088000000}"/>
    <cellStyle name="Normal 2 4 2 2" xfId="153" xr:uid="{00000000-0005-0000-0000-000089000000}"/>
    <cellStyle name="Normal 2 4 2 2 2" xfId="290" xr:uid="{00000000-0005-0000-0000-00008A000000}"/>
    <cellStyle name="Normal 2 4 2 2 3" xfId="333" xr:uid="{00000000-0005-0000-0000-00008B000000}"/>
    <cellStyle name="Normal 2 4 2 2 4" xfId="249" xr:uid="{00000000-0005-0000-0000-00008C000000}"/>
    <cellStyle name="Normal 2 4 2 2 5" xfId="199" xr:uid="{00000000-0005-0000-0000-00008D000000}"/>
    <cellStyle name="Normal 2 4 2 3" xfId="91" xr:uid="{00000000-0005-0000-0000-00008E000000}"/>
    <cellStyle name="Normal 2 4 2 3 2" xfId="269" xr:uid="{00000000-0005-0000-0000-00008F000000}"/>
    <cellStyle name="Normal 2 4 2 4" xfId="315" xr:uid="{00000000-0005-0000-0000-000090000000}"/>
    <cellStyle name="Normal 2 4 2 5" xfId="221" xr:uid="{00000000-0005-0000-0000-000091000000}"/>
    <cellStyle name="Normal 2 4 2 6" xfId="182" xr:uid="{00000000-0005-0000-0000-000092000000}"/>
    <cellStyle name="Normal 2 4 3" xfId="36" xr:uid="{00000000-0005-0000-0000-000093000000}"/>
    <cellStyle name="Normal 2 4 3 2" xfId="149" xr:uid="{00000000-0005-0000-0000-000094000000}"/>
    <cellStyle name="Normal 2 4 3 2 2" xfId="288" xr:uid="{00000000-0005-0000-0000-000095000000}"/>
    <cellStyle name="Normal 2 4 3 2 3" xfId="331" xr:uid="{00000000-0005-0000-0000-000096000000}"/>
    <cellStyle name="Normal 2 4 3 2 4" xfId="250" xr:uid="{00000000-0005-0000-0000-000097000000}"/>
    <cellStyle name="Normal 2 4 3 2 5" xfId="200" xr:uid="{00000000-0005-0000-0000-000098000000}"/>
    <cellStyle name="Normal 2 4 3 3" xfId="87" xr:uid="{00000000-0005-0000-0000-000099000000}"/>
    <cellStyle name="Normal 2 4 3 3 2" xfId="267" xr:uid="{00000000-0005-0000-0000-00009A000000}"/>
    <cellStyle name="Normal 2 4 3 4" xfId="313" xr:uid="{00000000-0005-0000-0000-00009B000000}"/>
    <cellStyle name="Normal 2 4 3 5" xfId="219" xr:uid="{00000000-0005-0000-0000-00009C000000}"/>
    <cellStyle name="Normal 2 4 3 6" xfId="180" xr:uid="{00000000-0005-0000-0000-00009D000000}"/>
    <cellStyle name="Normal 2 4 4" xfId="48" xr:uid="{00000000-0005-0000-0000-00009E000000}"/>
    <cellStyle name="Normal 2 4 4 2" xfId="156" xr:uid="{00000000-0005-0000-0000-00009F000000}"/>
    <cellStyle name="Normal 2 4 4 2 2" xfId="293" xr:uid="{00000000-0005-0000-0000-0000A0000000}"/>
    <cellStyle name="Normal 2 4 4 2 3" xfId="336" xr:uid="{00000000-0005-0000-0000-0000A1000000}"/>
    <cellStyle name="Normal 2 4 4 2 4" xfId="251" xr:uid="{00000000-0005-0000-0000-0000A2000000}"/>
    <cellStyle name="Normal 2 4 4 2 5" xfId="201" xr:uid="{00000000-0005-0000-0000-0000A3000000}"/>
    <cellStyle name="Normal 2 4 4 3" xfId="94" xr:uid="{00000000-0005-0000-0000-0000A4000000}"/>
    <cellStyle name="Normal 2 4 4 3 2" xfId="272" xr:uid="{00000000-0005-0000-0000-0000A5000000}"/>
    <cellStyle name="Normal 2 4 4 4" xfId="318" xr:uid="{00000000-0005-0000-0000-0000A6000000}"/>
    <cellStyle name="Normal 2 4 4 5" xfId="224" xr:uid="{00000000-0005-0000-0000-0000A7000000}"/>
    <cellStyle name="Normal 2 4 4 6" xfId="185" xr:uid="{00000000-0005-0000-0000-0000A8000000}"/>
    <cellStyle name="Normal 2 4 5" xfId="70" xr:uid="{00000000-0005-0000-0000-0000A9000000}"/>
    <cellStyle name="Normal 2 4 5 2" xfId="171" xr:uid="{00000000-0005-0000-0000-0000AA000000}"/>
    <cellStyle name="Normal 2 4 5 2 2" xfId="298" xr:uid="{00000000-0005-0000-0000-0000AB000000}"/>
    <cellStyle name="Normal 2 4 5 2 3" xfId="341" xr:uid="{00000000-0005-0000-0000-0000AC000000}"/>
    <cellStyle name="Normal 2 4 5 2 4" xfId="252" xr:uid="{00000000-0005-0000-0000-0000AD000000}"/>
    <cellStyle name="Normal 2 4 5 2 5" xfId="202" xr:uid="{00000000-0005-0000-0000-0000AE000000}"/>
    <cellStyle name="Normal 2 4 5 3" xfId="124" xr:uid="{00000000-0005-0000-0000-0000AF000000}"/>
    <cellStyle name="Normal 2 4 5 3 2" xfId="277" xr:uid="{00000000-0005-0000-0000-0000B0000000}"/>
    <cellStyle name="Normal 2 4 5 4" xfId="323" xr:uid="{00000000-0005-0000-0000-0000B1000000}"/>
    <cellStyle name="Normal 2 4 5 5" xfId="238" xr:uid="{00000000-0005-0000-0000-0000B2000000}"/>
    <cellStyle name="Normal 2 4 5 6" xfId="190" xr:uid="{00000000-0005-0000-0000-0000B3000000}"/>
    <cellStyle name="Normal 2 4 6" xfId="139" xr:uid="{00000000-0005-0000-0000-0000B4000000}"/>
    <cellStyle name="Normal 2 4 6 2" xfId="282" xr:uid="{00000000-0005-0000-0000-0000B5000000}"/>
    <cellStyle name="Normal 2 4 6 3" xfId="326" xr:uid="{00000000-0005-0000-0000-0000B6000000}"/>
    <cellStyle name="Normal 2 4 6 4" xfId="253" xr:uid="{00000000-0005-0000-0000-0000B7000000}"/>
    <cellStyle name="Normal 2 4 6 5" xfId="203" xr:uid="{00000000-0005-0000-0000-0000B8000000}"/>
    <cellStyle name="Normal 2 4 7" xfId="76" xr:uid="{00000000-0005-0000-0000-0000B9000000}"/>
    <cellStyle name="Normal 2 4 7 2" xfId="262" xr:uid="{00000000-0005-0000-0000-0000BA000000}"/>
    <cellStyle name="Normal 2 4 8" xfId="306" xr:uid="{00000000-0005-0000-0000-0000BB000000}"/>
    <cellStyle name="Normal 2 4 9" xfId="214" xr:uid="{00000000-0005-0000-0000-0000BC000000}"/>
    <cellStyle name="Normal 2 5" xfId="34" xr:uid="{00000000-0005-0000-0000-0000BD000000}"/>
    <cellStyle name="Normal 2 5 2" xfId="147" xr:uid="{00000000-0005-0000-0000-0000BE000000}"/>
    <cellStyle name="Normal 2 5 2 2" xfId="286" xr:uid="{00000000-0005-0000-0000-0000BF000000}"/>
    <cellStyle name="Normal 2 5 2 3" xfId="329" xr:uid="{00000000-0005-0000-0000-0000C0000000}"/>
    <cellStyle name="Normal 2 5 2 4" xfId="254" xr:uid="{00000000-0005-0000-0000-0000C1000000}"/>
    <cellStyle name="Normal 2 5 2 5" xfId="204" xr:uid="{00000000-0005-0000-0000-0000C2000000}"/>
    <cellStyle name="Normal 2 5 3" xfId="85" xr:uid="{00000000-0005-0000-0000-0000C3000000}"/>
    <cellStyle name="Normal 2 5 3 2" xfId="265" xr:uid="{00000000-0005-0000-0000-0000C4000000}"/>
    <cellStyle name="Normal 2 5 4" xfId="311" xr:uid="{00000000-0005-0000-0000-0000C5000000}"/>
    <cellStyle name="Normal 2 5 5" xfId="217" xr:uid="{00000000-0005-0000-0000-0000C6000000}"/>
    <cellStyle name="Normal 2 5 6" xfId="178" xr:uid="{00000000-0005-0000-0000-0000C7000000}"/>
    <cellStyle name="Normal 2 6" xfId="45" xr:uid="{00000000-0005-0000-0000-0000C8000000}"/>
    <cellStyle name="Normal 2 6 2" xfId="61" xr:uid="{00000000-0005-0000-0000-0000C9000000}"/>
    <cellStyle name="Normal 2 6 2 2" xfId="163" xr:uid="{00000000-0005-0000-0000-0000CA000000}"/>
    <cellStyle name="Normal 2 6 2 2 2" xfId="291" xr:uid="{00000000-0005-0000-0000-0000CB000000}"/>
    <cellStyle name="Normal 2 6 2 3" xfId="101" xr:uid="{00000000-0005-0000-0000-0000CC000000}"/>
    <cellStyle name="Normal 2 6 2 3 2" xfId="334" xr:uid="{00000000-0005-0000-0000-0000CD000000}"/>
    <cellStyle name="Normal 2 6 2 4" xfId="239" xr:uid="{00000000-0005-0000-0000-0000CE000000}"/>
    <cellStyle name="Normal 2 6 2 5" xfId="205" xr:uid="{00000000-0005-0000-0000-0000CF000000}"/>
    <cellStyle name="Normal 2 6 3" xfId="154" xr:uid="{00000000-0005-0000-0000-0000D0000000}"/>
    <cellStyle name="Normal 2 6 3 2" xfId="270" xr:uid="{00000000-0005-0000-0000-0000D1000000}"/>
    <cellStyle name="Normal 2 6 4" xfId="92" xr:uid="{00000000-0005-0000-0000-0000D2000000}"/>
    <cellStyle name="Normal 2 6 4 2" xfId="316" xr:uid="{00000000-0005-0000-0000-0000D3000000}"/>
    <cellStyle name="Normal 2 6 5" xfId="222" xr:uid="{00000000-0005-0000-0000-0000D4000000}"/>
    <cellStyle name="Normal 2 6 6" xfId="183" xr:uid="{00000000-0005-0000-0000-0000D5000000}"/>
    <cellStyle name="Normal 2 7" xfId="62" xr:uid="{00000000-0005-0000-0000-0000D6000000}"/>
    <cellStyle name="Normal 2 7 2" xfId="164" xr:uid="{00000000-0005-0000-0000-0000D7000000}"/>
    <cellStyle name="Normal 2 7 3" xfId="102" xr:uid="{00000000-0005-0000-0000-0000D8000000}"/>
    <cellStyle name="Normal 2 7 4" xfId="232" xr:uid="{00000000-0005-0000-0000-0000D9000000}"/>
    <cellStyle name="Normal 2 8" xfId="71" xr:uid="{00000000-0005-0000-0000-0000DA000000}"/>
    <cellStyle name="Normal 2 8 2" xfId="172" xr:uid="{00000000-0005-0000-0000-0000DB000000}"/>
    <cellStyle name="Normal 2 8 3" xfId="125" xr:uid="{00000000-0005-0000-0000-0000DC000000}"/>
    <cellStyle name="Normal 2 8 4" xfId="240" xr:uid="{00000000-0005-0000-0000-0000DD000000}"/>
    <cellStyle name="Normal 20" xfId="299" xr:uid="{00000000-0005-0000-0000-0000DE000000}"/>
    <cellStyle name="Normal 3" xfId="13" xr:uid="{00000000-0005-0000-0000-0000DF000000}"/>
    <cellStyle name="Normal 3 2" xfId="14" xr:uid="{00000000-0005-0000-0000-0000E0000000}"/>
    <cellStyle name="Normal 3 2 2" xfId="54" xr:uid="{00000000-0005-0000-0000-0000E1000000}"/>
    <cellStyle name="Normal 3 2 2 2" xfId="126" xr:uid="{00000000-0005-0000-0000-0000E2000000}"/>
    <cellStyle name="Normal 3 3" xfId="127" xr:uid="{00000000-0005-0000-0000-0000E3000000}"/>
    <cellStyle name="Normal 3 3 2" xfId="283" xr:uid="{00000000-0005-0000-0000-0000E4000000}"/>
    <cellStyle name="Normal 3 3 3" xfId="327" xr:uid="{00000000-0005-0000-0000-0000E5000000}"/>
    <cellStyle name="Normal 3 3 4" xfId="241" xr:uid="{00000000-0005-0000-0000-0000E6000000}"/>
    <cellStyle name="Normal 3 3 5" xfId="206" xr:uid="{00000000-0005-0000-0000-0000E7000000}"/>
    <cellStyle name="Normal 3 4" xfId="128" xr:uid="{00000000-0005-0000-0000-0000E8000000}"/>
    <cellStyle name="Normal 3 5" xfId="140" xr:uid="{00000000-0005-0000-0000-0000E9000000}"/>
    <cellStyle name="Normal 3 5 2" xfId="263" xr:uid="{00000000-0005-0000-0000-0000EA000000}"/>
    <cellStyle name="Normal 3 6" xfId="77" xr:uid="{00000000-0005-0000-0000-0000EB000000}"/>
    <cellStyle name="Normal 3 6 2" xfId="307" xr:uid="{00000000-0005-0000-0000-0000EC000000}"/>
    <cellStyle name="Normal 3 7" xfId="215" xr:uid="{00000000-0005-0000-0000-0000ED000000}"/>
    <cellStyle name="Normal 3 8" xfId="176" xr:uid="{00000000-0005-0000-0000-0000EE000000}"/>
    <cellStyle name="Normal 3 9" xfId="347" xr:uid="{00000000-0005-0000-0000-0000EF000000}"/>
    <cellStyle name="Normal 4" xfId="15" xr:uid="{00000000-0005-0000-0000-0000F0000000}"/>
    <cellStyle name="Normal 4 2" xfId="16" xr:uid="{00000000-0005-0000-0000-0000F1000000}"/>
    <cellStyle name="Normal 4 2 2" xfId="141" xr:uid="{00000000-0005-0000-0000-0000F2000000}"/>
    <cellStyle name="Normal 4 2 3" xfId="78" xr:uid="{00000000-0005-0000-0000-0000F3000000}"/>
    <cellStyle name="Normal 4 3" xfId="43" xr:uid="{00000000-0005-0000-0000-0000F4000000}"/>
    <cellStyle name="Normal 5" xfId="17" xr:uid="{00000000-0005-0000-0000-0000F5000000}"/>
    <cellStyle name="Normal 5 2" xfId="142" xr:uid="{00000000-0005-0000-0000-0000F6000000}"/>
    <cellStyle name="Normal 5 3" xfId="79" xr:uid="{00000000-0005-0000-0000-0000F7000000}"/>
    <cellStyle name="Normal 6" xfId="39" xr:uid="{00000000-0005-0000-0000-0000F8000000}"/>
    <cellStyle name="Normal 6 2" xfId="152" xr:uid="{00000000-0005-0000-0000-0000F9000000}"/>
    <cellStyle name="Normal 6 2 2" xfId="289" xr:uid="{00000000-0005-0000-0000-0000FA000000}"/>
    <cellStyle name="Normal 6 2 3" xfId="332" xr:uid="{00000000-0005-0000-0000-0000FB000000}"/>
    <cellStyle name="Normal 6 2 4" xfId="255" xr:uid="{00000000-0005-0000-0000-0000FC000000}"/>
    <cellStyle name="Normal 6 2 5" xfId="207" xr:uid="{00000000-0005-0000-0000-0000FD000000}"/>
    <cellStyle name="Normal 6 3" xfId="90" xr:uid="{00000000-0005-0000-0000-0000FE000000}"/>
    <cellStyle name="Normal 6 3 2" xfId="268" xr:uid="{00000000-0005-0000-0000-0000FF000000}"/>
    <cellStyle name="Normal 6 4" xfId="314" xr:uid="{00000000-0005-0000-0000-000000010000}"/>
    <cellStyle name="Normal 6 5" xfId="220" xr:uid="{00000000-0005-0000-0000-000001010000}"/>
    <cellStyle name="Normal 6 6" xfId="181" xr:uid="{00000000-0005-0000-0000-000002010000}"/>
    <cellStyle name="Normal 7" xfId="42" xr:uid="{00000000-0005-0000-0000-000003010000}"/>
    <cellStyle name="Normal 8" xfId="47" xr:uid="{00000000-0005-0000-0000-000004010000}"/>
    <cellStyle name="Normal 8 2" xfId="63" xr:uid="{00000000-0005-0000-0000-000005010000}"/>
    <cellStyle name="Normal 8 2 2" xfId="165" xr:uid="{00000000-0005-0000-0000-000006010000}"/>
    <cellStyle name="Normal 8 2 2 2" xfId="292" xr:uid="{00000000-0005-0000-0000-000007010000}"/>
    <cellStyle name="Normal 8 2 3" xfId="103" xr:uid="{00000000-0005-0000-0000-000008010000}"/>
    <cellStyle name="Normal 8 2 3 2" xfId="335" xr:uid="{00000000-0005-0000-0000-000009010000}"/>
    <cellStyle name="Normal 8 2 4" xfId="242" xr:uid="{00000000-0005-0000-0000-00000A010000}"/>
    <cellStyle name="Normal 8 2 5" xfId="208" xr:uid="{00000000-0005-0000-0000-00000B010000}"/>
    <cellStyle name="Normal 8 3" xfId="155" xr:uid="{00000000-0005-0000-0000-00000C010000}"/>
    <cellStyle name="Normal 8 3 2" xfId="271" xr:uid="{00000000-0005-0000-0000-00000D010000}"/>
    <cellStyle name="Normal 8 4" xfId="93" xr:uid="{00000000-0005-0000-0000-00000E010000}"/>
    <cellStyle name="Normal 8 4 2" xfId="317" xr:uid="{00000000-0005-0000-0000-00000F010000}"/>
    <cellStyle name="Normal 8 5" xfId="223" xr:uid="{00000000-0005-0000-0000-000010010000}"/>
    <cellStyle name="Normal 8 6" xfId="184" xr:uid="{00000000-0005-0000-0000-000011010000}"/>
    <cellStyle name="Normal 9" xfId="52" xr:uid="{00000000-0005-0000-0000-000012010000}"/>
    <cellStyle name="Normal 9 2" xfId="157" xr:uid="{00000000-0005-0000-0000-000013010000}"/>
    <cellStyle name="Normal 9 2 2" xfId="294" xr:uid="{00000000-0005-0000-0000-000014010000}"/>
    <cellStyle name="Normal 9 2 3" xfId="337" xr:uid="{00000000-0005-0000-0000-000015010000}"/>
    <cellStyle name="Normal 9 2 4" xfId="256" xr:uid="{00000000-0005-0000-0000-000016010000}"/>
    <cellStyle name="Normal 9 2 5" xfId="209" xr:uid="{00000000-0005-0000-0000-000017010000}"/>
    <cellStyle name="Normal 9 3" xfId="95" xr:uid="{00000000-0005-0000-0000-000018010000}"/>
    <cellStyle name="Normal 9 3 2" xfId="273" xr:uid="{00000000-0005-0000-0000-000019010000}"/>
    <cellStyle name="Normal 9 4" xfId="319" xr:uid="{00000000-0005-0000-0000-00001A010000}"/>
    <cellStyle name="Normal 9 5" xfId="225" xr:uid="{00000000-0005-0000-0000-00001B010000}"/>
    <cellStyle name="Normal 9 6" xfId="186" xr:uid="{00000000-0005-0000-0000-00001C010000}"/>
    <cellStyle name="Porcentagem" xfId="18" builtinId="5"/>
    <cellStyle name="Porcentagem 2" xfId="19" xr:uid="{00000000-0005-0000-0000-00001E010000}"/>
    <cellStyle name="Porcentagem 2 2" xfId="20" xr:uid="{00000000-0005-0000-0000-00001F010000}"/>
    <cellStyle name="Porcentagem 2 2 2" xfId="64" xr:uid="{00000000-0005-0000-0000-000020010000}"/>
    <cellStyle name="Porcentagem 2 3" xfId="65" xr:uid="{00000000-0005-0000-0000-000021010000}"/>
    <cellStyle name="Porcentagem 2 3 2" xfId="166" xr:uid="{00000000-0005-0000-0000-000022010000}"/>
    <cellStyle name="Porcentagem 2 3 2 2" xfId="278" xr:uid="{00000000-0005-0000-0000-000023010000}"/>
    <cellStyle name="Porcentagem 2 3 3" xfId="104" xr:uid="{00000000-0005-0000-0000-000024010000}"/>
    <cellStyle name="Porcentagem 2 3 3 2" xfId="243" xr:uid="{00000000-0005-0000-0000-000025010000}"/>
    <cellStyle name="Porcentagem 2 3 4" xfId="191" xr:uid="{00000000-0005-0000-0000-000026010000}"/>
    <cellStyle name="Porcentagem 2 4" xfId="143" xr:uid="{00000000-0005-0000-0000-000027010000}"/>
    <cellStyle name="Porcentagem 2 4 2" xfId="284" xr:uid="{00000000-0005-0000-0000-000028010000}"/>
    <cellStyle name="Porcentagem 2 4 3" xfId="328" xr:uid="{00000000-0005-0000-0000-000029010000}"/>
    <cellStyle name="Porcentagem 2 4 4" xfId="257" xr:uid="{00000000-0005-0000-0000-00002A010000}"/>
    <cellStyle name="Porcentagem 2 4 5" xfId="210" xr:uid="{00000000-0005-0000-0000-00002B010000}"/>
    <cellStyle name="Porcentagem 2 5" xfId="80" xr:uid="{00000000-0005-0000-0000-00002C010000}"/>
    <cellStyle name="Porcentagem 2 5 2" xfId="264" xr:uid="{00000000-0005-0000-0000-00002D010000}"/>
    <cellStyle name="Porcentagem 2 6" xfId="309" xr:uid="{00000000-0005-0000-0000-00002E010000}"/>
    <cellStyle name="Porcentagem 2 7" xfId="216" xr:uid="{00000000-0005-0000-0000-00002F010000}"/>
    <cellStyle name="Porcentagem 2 8" xfId="177" xr:uid="{00000000-0005-0000-0000-000030010000}"/>
    <cellStyle name="Porcentagem 2 9" xfId="349" xr:uid="{00000000-0005-0000-0000-000031010000}"/>
    <cellStyle name="Porcentagem 3" xfId="21" xr:uid="{00000000-0005-0000-0000-000032010000}"/>
    <cellStyle name="Porcentagem 3 2" xfId="144" xr:uid="{00000000-0005-0000-0000-000033010000}"/>
    <cellStyle name="Porcentagem 3 3" xfId="81" xr:uid="{00000000-0005-0000-0000-000034010000}"/>
    <cellStyle name="Porcentagem 4" xfId="22" xr:uid="{00000000-0005-0000-0000-000035010000}"/>
    <cellStyle name="Porcentagem 4 2" xfId="51" xr:uid="{00000000-0005-0000-0000-000036010000}"/>
    <cellStyle name="Porcentagem 5" xfId="66" xr:uid="{00000000-0005-0000-0000-000037010000}"/>
    <cellStyle name="Porcentagem 5 2" xfId="167" xr:uid="{00000000-0005-0000-0000-000038010000}"/>
    <cellStyle name="Porcentagem 5 2 2" xfId="308" xr:uid="{00000000-0005-0000-0000-000039010000}"/>
    <cellStyle name="Porcentagem 5 3" xfId="105" xr:uid="{00000000-0005-0000-0000-00003A010000}"/>
    <cellStyle name="Porcentagem 5 4" xfId="231" xr:uid="{00000000-0005-0000-0000-00003B010000}"/>
    <cellStyle name="Porcentagem 6" xfId="129" xr:uid="{00000000-0005-0000-0000-00003C010000}"/>
    <cellStyle name="Porcentagem 7" xfId="301" xr:uid="{00000000-0005-0000-0000-00003D010000}"/>
    <cellStyle name="Porcentagem 8" xfId="348" xr:uid="{00000000-0005-0000-0000-00003E010000}"/>
    <cellStyle name="Result" xfId="130" xr:uid="{00000000-0005-0000-0000-00003F010000}"/>
    <cellStyle name="Result 2" xfId="131" xr:uid="{00000000-0005-0000-0000-000040010000}"/>
    <cellStyle name="Result2" xfId="132" xr:uid="{00000000-0005-0000-0000-000041010000}"/>
    <cellStyle name="Result2 2" xfId="133" xr:uid="{00000000-0005-0000-0000-000042010000}"/>
    <cellStyle name="Separador de milhares 2" xfId="23" xr:uid="{00000000-0005-0000-0000-000043010000}"/>
    <cellStyle name="Separador de milhares 3" xfId="24" xr:uid="{00000000-0005-0000-0000-000044010000}"/>
    <cellStyle name="Separador de milhares 4" xfId="25" xr:uid="{00000000-0005-0000-0000-000045010000}"/>
    <cellStyle name="Título 1 1" xfId="26" xr:uid="{00000000-0005-0000-0000-000046010000}"/>
    <cellStyle name="Título 1 1 1" xfId="27" xr:uid="{00000000-0005-0000-0000-000047010000}"/>
    <cellStyle name="Vírgula" xfId="29" builtinId="3"/>
    <cellStyle name="Vírgula 2" xfId="28" xr:uid="{00000000-0005-0000-0000-000049010000}"/>
    <cellStyle name="Vírgula 2 2" xfId="37" xr:uid="{00000000-0005-0000-0000-00004A010000}"/>
    <cellStyle name="Vírgula 2 2 2" xfId="150" xr:uid="{00000000-0005-0000-0000-00004B010000}"/>
    <cellStyle name="Vírgula 2 2 3" xfId="88" xr:uid="{00000000-0005-0000-0000-00004C010000}"/>
    <cellStyle name="Vírgula 2 3" xfId="67" xr:uid="{00000000-0005-0000-0000-00004D010000}"/>
    <cellStyle name="Vírgula 2 3 2" xfId="168" xr:uid="{00000000-0005-0000-0000-00004E010000}"/>
    <cellStyle name="Vírgula 2 3 2 2" xfId="285" xr:uid="{00000000-0005-0000-0000-00004F010000}"/>
    <cellStyle name="Vírgula 2 3 3" xfId="106" xr:uid="{00000000-0005-0000-0000-000050010000}"/>
    <cellStyle name="Vírgula 2 3 3 2" xfId="244" xr:uid="{00000000-0005-0000-0000-000051010000}"/>
    <cellStyle name="Vírgula 2 3 4" xfId="211" xr:uid="{00000000-0005-0000-0000-000052010000}"/>
    <cellStyle name="Vírgula 2 4" xfId="134" xr:uid="{00000000-0005-0000-0000-000053010000}"/>
    <cellStyle name="Vírgula 2 5" xfId="82" xr:uid="{00000000-0005-0000-0000-000054010000}"/>
    <cellStyle name="Vírgula 3" xfId="38" xr:uid="{00000000-0005-0000-0000-000055010000}"/>
    <cellStyle name="Vírgula 3 2" xfId="151" xr:uid="{00000000-0005-0000-0000-000056010000}"/>
    <cellStyle name="Vírgula 3 3" xfId="89" xr:uid="{00000000-0005-0000-0000-000057010000}"/>
    <cellStyle name="Vírgula 4" xfId="44" xr:uid="{00000000-0005-0000-0000-000058010000}"/>
    <cellStyle name="Vírgula 5" xfId="68" xr:uid="{00000000-0005-0000-0000-000059010000}"/>
    <cellStyle name="Vírgula 5 2" xfId="169" xr:uid="{00000000-0005-0000-0000-00005A010000}"/>
    <cellStyle name="Vírgula 5 2 2" xfId="310" xr:uid="{00000000-0005-0000-0000-00005B010000}"/>
    <cellStyle name="Vírgula 5 3" xfId="107" xr:uid="{00000000-0005-0000-0000-00005C010000}"/>
    <cellStyle name="Vírgula 5 4" xfId="230" xr:uid="{00000000-0005-0000-0000-00005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&#231;&#227;o\2017\039\03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3223c20f9b5cfc2/&#193;rea%20de%20Trabalho/SECCON%20substitui&#231;&#227;o/III%20T.A%20CTR%2015-2022%20Brasfort%20vig%20armada%20SEI%200000793-29.2020/III_T.A_CTR%2015-2022%20repactuacao%20%20re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dados"/>
      <sheetName val="Proposta"/>
      <sheetName val="AVISO"/>
      <sheetName val="Dados Contratação"/>
      <sheetName val="Dados Proponente"/>
      <sheetName val="Insumos"/>
      <sheetName val="Auxiliar de Saúde Bucal"/>
      <sheetName val="Memórias Desp.Adm"/>
      <sheetName val="Memórias VT, VA e outros"/>
      <sheetName val="Memórias Encargos"/>
      <sheetName val="Tributos"/>
      <sheetName val="Valor Global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  <sheetName val="CCT'S"/>
      <sheetName val="rascunho"/>
      <sheetName val="SALÁRIOS"/>
      <sheetName val="BENEFÍCIOS"/>
      <sheetName val="ENCARGOS"/>
      <sheetName val="Recepcionista"/>
      <sheetName val="Memórias Desp.Adm"/>
      <sheetName val="Tributos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"/>
      <sheetName val="Item 01"/>
      <sheetName val="Item 02"/>
      <sheetName val="Item 03"/>
      <sheetName val="Item 4 Inserido após o II TA "/>
      <sheetName val="Uniformes"/>
      <sheetName val="Uniformes II TA"/>
      <sheetName val="Mat. e Equip. II TA"/>
      <sheetName val="Mat. e Equip."/>
      <sheetName val="Local"/>
      <sheetName val="Mem.Submódulo 2.3"/>
      <sheetName val="Mem.Encargos"/>
      <sheetName val="Mem.Módulo 6"/>
      <sheetName val="Resumo"/>
      <sheetName val="Cálculo art. 65 §1º 2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7">
          <cell r="AD57">
            <v>151.9</v>
          </cell>
        </row>
        <row r="58">
          <cell r="AD58">
            <v>15.19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indexed="42"/>
    <pageSetUpPr fitToPage="1"/>
  </sheetPr>
  <dimension ref="A1:IP116"/>
  <sheetViews>
    <sheetView topLeftCell="A21" zoomScaleNormal="100" zoomScaleSheetLayoutView="90" workbookViewId="0">
      <selection activeCell="S43" sqref="S43"/>
    </sheetView>
  </sheetViews>
  <sheetFormatPr defaultColWidth="9.140625" defaultRowHeight="14.25" x14ac:dyDescent="0.2"/>
  <cols>
    <col min="1" max="1" width="6.140625" style="388" customWidth="1"/>
    <col min="2" max="2" width="8.5703125" style="388" customWidth="1"/>
    <col min="3" max="3" width="3.85546875" style="388" customWidth="1"/>
    <col min="4" max="4" width="8.28515625" style="388" customWidth="1"/>
    <col min="5" max="5" width="8.140625" style="388" customWidth="1"/>
    <col min="6" max="6" width="9.7109375" style="388" customWidth="1"/>
    <col min="7" max="7" width="12.42578125" style="388" customWidth="1"/>
    <col min="8" max="8" width="10" style="388" customWidth="1"/>
    <col min="9" max="9" width="13.42578125" style="388" customWidth="1"/>
    <col min="10" max="10" width="19.7109375" style="388" customWidth="1"/>
    <col min="11" max="11" width="13.140625" style="388" customWidth="1"/>
    <col min="12" max="12" width="7.28515625" style="388" customWidth="1"/>
    <col min="13" max="13" width="14.5703125" style="388" customWidth="1"/>
    <col min="14" max="14" width="23.140625" style="388" customWidth="1"/>
    <col min="15" max="15" width="16.42578125" style="388" customWidth="1"/>
    <col min="16" max="16" width="9.28515625" style="388" customWidth="1"/>
    <col min="17" max="17" width="11.5703125" style="388" customWidth="1"/>
    <col min="18" max="18" width="11.28515625" style="388" customWidth="1"/>
    <col min="19" max="19" width="11.140625" style="388" customWidth="1"/>
    <col min="20" max="20" width="10" style="388" customWidth="1"/>
    <col min="21" max="21" width="14.140625" style="388" customWidth="1"/>
    <col min="22" max="22" width="5.7109375" style="388" customWidth="1"/>
    <col min="23" max="23" width="17.42578125" style="388" bestFit="1" customWidth="1"/>
    <col min="24" max="24" width="17.42578125" style="388" customWidth="1"/>
    <col min="25" max="16384" width="9.140625" style="388"/>
  </cols>
  <sheetData>
    <row r="1" spans="1:21" ht="13.5" customHeight="1" x14ac:dyDescent="0.2">
      <c r="A1" s="398" t="s">
        <v>305</v>
      </c>
      <c r="B1" s="399"/>
      <c r="C1" s="399"/>
      <c r="D1" s="399"/>
      <c r="E1" s="399"/>
      <c r="F1" s="399"/>
      <c r="G1" s="399"/>
      <c r="H1" s="190" t="s">
        <v>445</v>
      </c>
      <c r="I1" s="399"/>
      <c r="J1" s="134"/>
      <c r="L1" s="111"/>
      <c r="M1" s="111"/>
      <c r="N1" s="111"/>
      <c r="O1" s="111"/>
      <c r="P1" s="111"/>
      <c r="Q1" s="111"/>
      <c r="R1" s="111"/>
      <c r="S1" s="111"/>
      <c r="T1" s="148"/>
      <c r="U1" s="148"/>
    </row>
    <row r="2" spans="1:21" hidden="1" x14ac:dyDescent="0.2">
      <c r="A2" s="507" t="s">
        <v>251</v>
      </c>
      <c r="B2" s="400"/>
      <c r="C2" s="400"/>
      <c r="D2" s="400"/>
      <c r="E2" s="400"/>
      <c r="F2" s="400"/>
      <c r="G2" s="400"/>
      <c r="H2" s="508" t="s">
        <v>289</v>
      </c>
      <c r="I2" s="399"/>
      <c r="J2" s="134"/>
      <c r="K2" s="111"/>
      <c r="L2" s="111"/>
      <c r="M2" s="111"/>
      <c r="N2" s="111"/>
      <c r="O2" s="111"/>
      <c r="P2" s="111"/>
      <c r="Q2" s="36"/>
      <c r="R2" s="36"/>
      <c r="S2" s="36"/>
      <c r="T2" s="36"/>
      <c r="U2" s="36"/>
    </row>
    <row r="3" spans="1:21" x14ac:dyDescent="0.2">
      <c r="A3" s="392"/>
      <c r="B3" s="399"/>
      <c r="C3" s="399"/>
      <c r="D3" s="399"/>
      <c r="E3" s="399"/>
      <c r="F3" s="399"/>
      <c r="G3" s="399"/>
      <c r="H3" s="399"/>
      <c r="I3" s="399"/>
      <c r="J3" s="134"/>
      <c r="K3" s="111"/>
      <c r="L3" s="111"/>
      <c r="M3" s="190"/>
      <c r="N3" s="190"/>
      <c r="O3" s="190"/>
      <c r="P3" s="190"/>
      <c r="Q3" s="191"/>
      <c r="R3" s="36"/>
      <c r="S3" s="36"/>
      <c r="T3" s="36"/>
      <c r="U3" s="36"/>
    </row>
    <row r="4" spans="1:21" x14ac:dyDescent="0.2">
      <c r="A4" s="392"/>
      <c r="B4" s="399"/>
      <c r="C4" s="399"/>
      <c r="D4" s="399"/>
      <c r="E4" s="399"/>
      <c r="F4" s="399"/>
      <c r="G4" s="399"/>
      <c r="H4" s="399"/>
      <c r="I4" s="399"/>
      <c r="J4" s="134"/>
      <c r="K4" s="111"/>
      <c r="L4" s="111"/>
      <c r="M4" s="190"/>
      <c r="N4" s="190"/>
      <c r="O4" s="190"/>
      <c r="P4" s="190"/>
      <c r="Q4" s="191"/>
      <c r="R4" s="36"/>
      <c r="S4" s="36"/>
      <c r="T4" s="36"/>
      <c r="U4" s="36"/>
    </row>
    <row r="5" spans="1:21" x14ac:dyDescent="0.2">
      <c r="A5" s="190" t="s">
        <v>306</v>
      </c>
      <c r="B5" s="190"/>
      <c r="C5" s="190"/>
      <c r="D5" s="190"/>
      <c r="E5" s="190"/>
      <c r="F5" s="190"/>
      <c r="G5" s="190"/>
      <c r="H5" s="190"/>
      <c r="I5" s="190"/>
      <c r="J5" s="134"/>
      <c r="K5" s="111"/>
      <c r="L5" s="111"/>
      <c r="M5" s="190"/>
      <c r="N5" s="190"/>
      <c r="O5" s="190"/>
      <c r="P5" s="190"/>
      <c r="Q5" s="191"/>
      <c r="R5" s="36"/>
      <c r="S5" s="36"/>
      <c r="T5" s="36"/>
      <c r="U5" s="36"/>
    </row>
    <row r="6" spans="1:21" x14ac:dyDescent="0.2">
      <c r="A6" s="190" t="s">
        <v>307</v>
      </c>
      <c r="B6" s="190"/>
      <c r="C6" s="190"/>
      <c r="D6" s="190"/>
      <c r="E6" s="190"/>
      <c r="F6" s="190"/>
      <c r="G6" s="190"/>
      <c r="H6" s="190"/>
      <c r="I6" s="190"/>
      <c r="J6" s="134"/>
      <c r="K6" s="111"/>
      <c r="L6" s="111"/>
      <c r="M6" s="190"/>
      <c r="N6" s="190"/>
      <c r="O6" s="190"/>
      <c r="P6" s="190"/>
      <c r="Q6" s="191"/>
      <c r="R6" s="36"/>
      <c r="S6" s="36"/>
      <c r="T6" s="36"/>
      <c r="U6" s="36"/>
    </row>
    <row r="7" spans="1:21" x14ac:dyDescent="0.2">
      <c r="A7" s="190" t="s">
        <v>359</v>
      </c>
      <c r="B7" s="190"/>
      <c r="C7" s="190"/>
      <c r="D7" s="190"/>
      <c r="E7" s="190"/>
      <c r="F7" s="190"/>
      <c r="G7" s="190"/>
      <c r="H7" s="190"/>
      <c r="I7" s="190"/>
      <c r="J7" s="134"/>
      <c r="K7" s="111"/>
      <c r="L7" s="111"/>
      <c r="M7" s="190"/>
      <c r="N7" s="190"/>
      <c r="O7" s="190"/>
      <c r="P7" s="190"/>
      <c r="Q7" s="191"/>
      <c r="R7" s="36"/>
      <c r="S7" s="36"/>
      <c r="T7" s="36"/>
      <c r="U7" s="36"/>
    </row>
    <row r="8" spans="1:21" x14ac:dyDescent="0.2">
      <c r="A8" s="190" t="s">
        <v>439</v>
      </c>
      <c r="B8" s="190"/>
      <c r="C8" s="190"/>
      <c r="D8" s="190"/>
      <c r="E8" s="190"/>
      <c r="F8" s="190"/>
      <c r="G8" s="190"/>
      <c r="H8" s="190"/>
      <c r="I8" s="190"/>
      <c r="J8" s="134"/>
      <c r="K8" s="111"/>
      <c r="L8" s="111"/>
      <c r="M8" s="190"/>
      <c r="N8" s="190"/>
      <c r="O8" s="190"/>
      <c r="P8" s="190"/>
      <c r="Q8" s="191"/>
      <c r="R8" s="36"/>
      <c r="S8" s="36"/>
      <c r="T8" s="36"/>
      <c r="U8" s="36"/>
    </row>
    <row r="9" spans="1:21" ht="15" thickBot="1" x14ac:dyDescent="0.25">
      <c r="A9" s="190" t="s">
        <v>309</v>
      </c>
      <c r="B9" s="190"/>
      <c r="C9" s="190"/>
      <c r="D9" s="190"/>
      <c r="E9" s="190"/>
      <c r="F9" s="190"/>
      <c r="G9" s="190"/>
      <c r="H9" s="190"/>
      <c r="I9" s="190"/>
      <c r="J9" s="134"/>
      <c r="K9" s="111"/>
      <c r="L9" s="111"/>
      <c r="M9" s="190"/>
      <c r="N9" s="190"/>
      <c r="O9" s="190"/>
      <c r="P9" s="190"/>
      <c r="Q9" s="191"/>
      <c r="R9" s="36"/>
      <c r="S9" s="36"/>
      <c r="T9" s="36"/>
      <c r="U9" s="36"/>
    </row>
    <row r="10" spans="1:21" ht="15" hidden="1" thickBot="1" x14ac:dyDescent="0.25">
      <c r="A10" s="508" t="s">
        <v>288</v>
      </c>
      <c r="B10" s="190"/>
      <c r="C10" s="190"/>
      <c r="D10" s="190"/>
      <c r="E10" s="190"/>
      <c r="F10" s="190"/>
      <c r="G10" s="190"/>
      <c r="H10" s="190"/>
      <c r="I10" s="190"/>
      <c r="J10" s="134"/>
      <c r="K10" s="111"/>
      <c r="L10" s="111"/>
      <c r="M10" s="190"/>
      <c r="N10" s="190"/>
      <c r="O10" s="190"/>
      <c r="P10" s="190"/>
      <c r="Q10" s="191"/>
      <c r="R10" s="36"/>
      <c r="S10" s="36"/>
      <c r="T10" s="36"/>
      <c r="U10" s="36"/>
    </row>
    <row r="11" spans="1:21" ht="15" thickBot="1" x14ac:dyDescent="0.25">
      <c r="A11" s="190" t="s">
        <v>310</v>
      </c>
      <c r="B11" s="190"/>
      <c r="C11" s="190"/>
      <c r="D11" s="190"/>
      <c r="E11" s="190"/>
      <c r="F11" s="190"/>
      <c r="G11" s="190"/>
      <c r="H11" s="190"/>
      <c r="I11" s="190"/>
      <c r="J11" s="134"/>
      <c r="K11" s="111"/>
      <c r="L11" s="111"/>
      <c r="M11" s="111"/>
      <c r="N11" s="111"/>
      <c r="O11" s="111"/>
      <c r="P11" s="111"/>
      <c r="Q11" s="1059" t="s">
        <v>116</v>
      </c>
      <c r="R11" s="1060"/>
      <c r="S11" s="1060"/>
      <c r="T11" s="1060"/>
      <c r="U11" s="1061"/>
    </row>
    <row r="12" spans="1:21" ht="15" thickBot="1" x14ac:dyDescent="0.25">
      <c r="A12" s="392"/>
      <c r="B12" s="399"/>
      <c r="C12" s="399"/>
      <c r="D12" s="399"/>
      <c r="E12" s="399"/>
      <c r="F12" s="399"/>
      <c r="G12" s="399"/>
      <c r="H12" s="399"/>
      <c r="I12" s="399"/>
      <c r="J12" s="134"/>
      <c r="K12" s="111"/>
      <c r="L12" s="111"/>
      <c r="M12" s="111"/>
      <c r="N12" s="111"/>
      <c r="O12" s="111"/>
      <c r="P12" s="111"/>
      <c r="Q12" s="1074" t="s">
        <v>120</v>
      </c>
      <c r="R12" s="1075"/>
      <c r="S12" s="1072" t="s">
        <v>124</v>
      </c>
      <c r="T12" s="1073" t="e">
        <v>#N/A</v>
      </c>
      <c r="U12" s="201">
        <v>5.5</v>
      </c>
    </row>
    <row r="13" spans="1:21" ht="15" thickBot="1" x14ac:dyDescent="0.25">
      <c r="A13" s="392"/>
      <c r="B13" s="399"/>
      <c r="C13" s="399"/>
      <c r="D13" s="399"/>
      <c r="E13" s="399"/>
      <c r="F13" s="399"/>
      <c r="G13" s="399"/>
      <c r="H13" s="399"/>
      <c r="I13" s="399"/>
      <c r="J13" s="134"/>
      <c r="K13" s="111"/>
      <c r="L13" s="111"/>
      <c r="M13" s="111"/>
      <c r="N13" s="111"/>
      <c r="O13" s="111"/>
      <c r="P13" s="111"/>
      <c r="Q13" s="401"/>
      <c r="R13" s="401"/>
      <c r="S13" s="401"/>
      <c r="T13" s="401"/>
      <c r="U13" s="401"/>
    </row>
    <row r="14" spans="1:21" x14ac:dyDescent="0.2">
      <c r="A14" s="402" t="s">
        <v>26</v>
      </c>
      <c r="B14" s="403"/>
      <c r="C14" s="403"/>
      <c r="D14" s="403"/>
      <c r="E14" s="403"/>
      <c r="F14" s="403"/>
      <c r="G14" s="1049" t="s">
        <v>308</v>
      </c>
      <c r="H14" s="1050"/>
      <c r="I14" s="399"/>
      <c r="K14" s="1039" t="s">
        <v>131</v>
      </c>
      <c r="L14" s="1040"/>
      <c r="M14" s="404">
        <v>1045</v>
      </c>
      <c r="N14" s="36"/>
      <c r="O14" s="36"/>
    </row>
    <row r="15" spans="1:21" ht="15" thickBot="1" x14ac:dyDescent="0.25">
      <c r="A15" s="405" t="s">
        <v>27</v>
      </c>
      <c r="B15" s="406"/>
      <c r="C15" s="406"/>
      <c r="D15" s="406"/>
      <c r="E15" s="509"/>
      <c r="F15" s="509"/>
      <c r="G15" s="1043">
        <v>44004</v>
      </c>
      <c r="H15" s="1044"/>
      <c r="I15" s="510"/>
      <c r="K15" s="1041" t="s">
        <v>130</v>
      </c>
      <c r="L15" s="1042"/>
      <c r="M15" s="162">
        <v>2192.65</v>
      </c>
      <c r="N15" s="399"/>
      <c r="O15" s="399"/>
    </row>
    <row r="16" spans="1:21" x14ac:dyDescent="0.2">
      <c r="A16" s="405" t="s">
        <v>176</v>
      </c>
      <c r="B16" s="406"/>
      <c r="C16" s="406"/>
      <c r="D16" s="406"/>
      <c r="E16" s="509"/>
      <c r="F16" s="509"/>
      <c r="G16" s="1043">
        <v>44012</v>
      </c>
      <c r="H16" s="1044"/>
      <c r="I16" s="510"/>
      <c r="K16" s="407"/>
      <c r="L16" s="407"/>
      <c r="M16" s="166"/>
      <c r="N16" s="399"/>
      <c r="O16" s="399"/>
    </row>
    <row r="17" spans="1:21" hidden="1" x14ac:dyDescent="0.2">
      <c r="A17" s="511" t="s">
        <v>252</v>
      </c>
      <c r="B17" s="408"/>
      <c r="C17" s="408"/>
      <c r="D17" s="408"/>
      <c r="E17" s="512"/>
      <c r="F17" s="512"/>
      <c r="G17" s="1051">
        <v>43218</v>
      </c>
      <c r="H17" s="1052"/>
      <c r="I17" s="510"/>
      <c r="K17" s="407"/>
      <c r="L17" s="407"/>
      <c r="M17" s="166"/>
      <c r="N17" s="399"/>
      <c r="O17" s="399"/>
    </row>
    <row r="18" spans="1:21" x14ac:dyDescent="0.2">
      <c r="A18" s="409" t="s">
        <v>28</v>
      </c>
      <c r="B18" s="399"/>
      <c r="C18" s="399"/>
      <c r="D18" s="399"/>
      <c r="E18" s="407"/>
      <c r="F18" s="407"/>
      <c r="G18" s="1045">
        <v>0.41666666666666702</v>
      </c>
      <c r="H18" s="1046"/>
      <c r="I18" s="399"/>
      <c r="Q18" s="36"/>
      <c r="R18" s="36"/>
      <c r="S18" s="36"/>
      <c r="T18" s="36"/>
      <c r="U18" s="36"/>
    </row>
    <row r="19" spans="1:21" x14ac:dyDescent="0.2">
      <c r="A19" s="405" t="s">
        <v>29</v>
      </c>
      <c r="B19" s="406"/>
      <c r="C19" s="406"/>
      <c r="D19" s="406"/>
      <c r="E19" s="406"/>
      <c r="F19" s="406"/>
      <c r="G19" s="1043" t="s">
        <v>30</v>
      </c>
      <c r="H19" s="1044"/>
      <c r="I19" s="36"/>
      <c r="M19" s="399"/>
      <c r="N19" s="399"/>
      <c r="O19" s="399"/>
    </row>
    <row r="20" spans="1:21" x14ac:dyDescent="0.2">
      <c r="A20" s="405" t="s">
        <v>31</v>
      </c>
      <c r="B20" s="406"/>
      <c r="C20" s="406"/>
      <c r="D20" s="406"/>
      <c r="E20" s="406"/>
      <c r="F20" s="406"/>
      <c r="G20" s="1043" t="s">
        <v>248</v>
      </c>
      <c r="H20" s="1044"/>
      <c r="I20" s="36"/>
      <c r="M20" s="399"/>
      <c r="N20" s="399"/>
      <c r="O20" s="399"/>
    </row>
    <row r="21" spans="1:21" x14ac:dyDescent="0.2">
      <c r="A21" s="410" t="s">
        <v>33</v>
      </c>
      <c r="B21" s="411"/>
      <c r="C21" s="411"/>
      <c r="D21" s="411"/>
      <c r="E21" s="411"/>
      <c r="F21" s="411"/>
      <c r="G21" s="1055">
        <v>16</v>
      </c>
      <c r="H21" s="1056"/>
      <c r="I21" s="36"/>
      <c r="N21" s="412"/>
      <c r="O21" s="412"/>
    </row>
    <row r="22" spans="1:21" x14ac:dyDescent="0.2">
      <c r="A22" s="405" t="s">
        <v>75</v>
      </c>
      <c r="B22" s="413"/>
      <c r="C22" s="413"/>
      <c r="D22" s="413"/>
      <c r="E22" s="413"/>
      <c r="F22" s="413"/>
      <c r="G22" s="1047" t="s">
        <v>342</v>
      </c>
      <c r="H22" s="1048"/>
      <c r="I22" s="399"/>
      <c r="N22" s="399"/>
      <c r="O22" s="399"/>
      <c r="P22" s="399"/>
      <c r="Q22" s="36"/>
      <c r="R22" s="36"/>
      <c r="S22" s="36"/>
      <c r="T22" s="36"/>
      <c r="U22" s="36"/>
    </row>
    <row r="23" spans="1:21" x14ac:dyDescent="0.2">
      <c r="A23" s="405" t="s">
        <v>169</v>
      </c>
      <c r="B23" s="413"/>
      <c r="C23" s="413"/>
      <c r="D23" s="413"/>
      <c r="E23" s="413"/>
      <c r="F23" s="413"/>
      <c r="G23" s="1047" t="s">
        <v>343</v>
      </c>
      <c r="H23" s="1048"/>
      <c r="I23" s="399"/>
      <c r="N23" s="399"/>
      <c r="O23" s="399"/>
      <c r="P23" s="399"/>
      <c r="Q23" s="36"/>
      <c r="R23" s="36"/>
      <c r="S23" s="36"/>
      <c r="T23" s="36"/>
      <c r="U23" s="36"/>
    </row>
    <row r="24" spans="1:21" ht="14.25" customHeight="1" x14ac:dyDescent="0.2">
      <c r="A24" s="414" t="s">
        <v>170</v>
      </c>
      <c r="B24" s="413"/>
      <c r="C24" s="413"/>
      <c r="D24" s="413"/>
      <c r="E24" s="413"/>
      <c r="F24" s="413"/>
      <c r="G24" s="1018" t="s">
        <v>301</v>
      </c>
      <c r="H24" s="1019"/>
      <c r="I24" s="399"/>
    </row>
    <row r="25" spans="1:21" x14ac:dyDescent="0.2">
      <c r="A25" s="409" t="s">
        <v>32</v>
      </c>
      <c r="B25" s="399"/>
      <c r="C25" s="399"/>
      <c r="D25" s="399"/>
      <c r="E25" s="399"/>
      <c r="F25" s="399"/>
      <c r="G25" s="1053" t="s">
        <v>137</v>
      </c>
      <c r="H25" s="1054"/>
      <c r="I25" s="399"/>
    </row>
    <row r="26" spans="1:21" ht="15" thickBot="1" x14ac:dyDescent="0.25">
      <c r="A26" s="415" t="s">
        <v>34</v>
      </c>
      <c r="B26" s="416"/>
      <c r="C26" s="416"/>
      <c r="D26" s="416"/>
      <c r="E26" s="416"/>
      <c r="F26" s="416"/>
      <c r="G26" s="1022">
        <v>20</v>
      </c>
      <c r="H26" s="1023"/>
      <c r="I26" s="399"/>
      <c r="J26" s="389"/>
      <c r="K26" s="389"/>
      <c r="L26" s="389"/>
      <c r="M26" s="389"/>
    </row>
    <row r="27" spans="1:21" ht="15" thickBot="1" x14ac:dyDescent="0.25">
      <c r="A27" s="392"/>
      <c r="B27" s="399"/>
      <c r="C27" s="399"/>
      <c r="D27" s="399"/>
      <c r="E27" s="399"/>
      <c r="F27" s="399"/>
      <c r="G27" s="417"/>
      <c r="H27" s="417"/>
      <c r="I27" s="399"/>
      <c r="J27" s="513"/>
      <c r="K27" s="514"/>
      <c r="L27" s="514"/>
      <c r="M27" s="515"/>
    </row>
    <row r="28" spans="1:21" x14ac:dyDescent="0.2">
      <c r="A28" s="392"/>
      <c r="B28" s="399"/>
      <c r="C28" s="399"/>
      <c r="D28" s="399"/>
      <c r="E28" s="399"/>
      <c r="F28" s="399"/>
      <c r="G28" s="417"/>
      <c r="H28" s="417"/>
      <c r="I28" s="399"/>
      <c r="J28" s="1057" t="s">
        <v>142</v>
      </c>
      <c r="K28" s="1096" t="s">
        <v>143</v>
      </c>
      <c r="L28" s="1097"/>
      <c r="M28" s="1068" t="s">
        <v>144</v>
      </c>
    </row>
    <row r="29" spans="1:21" ht="15" customHeight="1" thickBot="1" x14ac:dyDescent="0.25">
      <c r="A29" s="392"/>
      <c r="B29" s="399"/>
      <c r="C29" s="399"/>
      <c r="D29" s="399"/>
      <c r="E29" s="399"/>
      <c r="F29" s="399"/>
      <c r="G29" s="417"/>
      <c r="H29" s="417"/>
      <c r="I29" s="399"/>
      <c r="J29" s="1058"/>
      <c r="K29" s="1098"/>
      <c r="L29" s="1099"/>
      <c r="M29" s="1069"/>
      <c r="N29" s="516"/>
      <c r="O29" s="517"/>
      <c r="P29" s="517"/>
      <c r="Q29" s="517"/>
      <c r="R29" s="517"/>
      <c r="S29" s="517"/>
      <c r="T29" s="517"/>
      <c r="U29" s="517"/>
    </row>
    <row r="30" spans="1:21" x14ac:dyDescent="0.2">
      <c r="A30" s="392"/>
      <c r="B30" s="399"/>
      <c r="C30" s="399"/>
      <c r="D30" s="399"/>
      <c r="E30" s="399"/>
      <c r="F30" s="399"/>
      <c r="G30" s="417"/>
      <c r="H30" s="417"/>
      <c r="I30" s="399"/>
      <c r="J30" s="518" t="s">
        <v>140</v>
      </c>
      <c r="K30" s="1072" t="s">
        <v>145</v>
      </c>
      <c r="L30" s="1073" t="e">
        <v>#N/A</v>
      </c>
      <c r="M30" s="233">
        <v>15</v>
      </c>
      <c r="N30" s="516"/>
      <c r="O30" s="517"/>
      <c r="P30" s="517"/>
      <c r="Q30" s="517"/>
      <c r="R30" s="517"/>
      <c r="S30" s="517"/>
      <c r="T30" s="517"/>
      <c r="U30" s="517"/>
    </row>
    <row r="31" spans="1:21" ht="15" thickBot="1" x14ac:dyDescent="0.25">
      <c r="A31" s="392"/>
      <c r="B31" s="399"/>
      <c r="C31" s="399"/>
      <c r="D31" s="399"/>
      <c r="E31" s="399"/>
      <c r="F31" s="399"/>
      <c r="G31" s="417"/>
      <c r="H31" s="417"/>
      <c r="I31" s="399"/>
      <c r="J31" s="519" t="s">
        <v>141</v>
      </c>
      <c r="K31" s="1117" t="s">
        <v>146</v>
      </c>
      <c r="L31" s="1118" t="e">
        <v>#N/A</v>
      </c>
      <c r="M31" s="234">
        <v>22</v>
      </c>
      <c r="N31" s="516"/>
      <c r="O31" s="517"/>
      <c r="P31" s="517"/>
      <c r="Q31" s="517"/>
      <c r="R31" s="517"/>
      <c r="S31" s="517"/>
      <c r="T31" s="517"/>
      <c r="U31" s="517"/>
    </row>
    <row r="32" spans="1:21" ht="15" thickBot="1" x14ac:dyDescent="0.25">
      <c r="A32" s="392"/>
      <c r="B32" s="399"/>
      <c r="C32" s="399"/>
      <c r="D32" s="399"/>
      <c r="E32" s="399"/>
      <c r="F32" s="399"/>
      <c r="G32" s="417"/>
      <c r="H32" s="417"/>
      <c r="I32" s="399"/>
      <c r="J32" s="520"/>
      <c r="K32" s="521"/>
      <c r="L32" s="521"/>
      <c r="M32" s="522"/>
    </row>
    <row r="33" spans="1:21" hidden="1" x14ac:dyDescent="0.2">
      <c r="A33" s="418" t="s">
        <v>35</v>
      </c>
      <c r="B33" s="419"/>
      <c r="C33" s="419"/>
      <c r="D33" s="419"/>
      <c r="E33" s="419"/>
      <c r="F33" s="419"/>
      <c r="G33" s="420">
        <v>0</v>
      </c>
      <c r="H33" s="421"/>
      <c r="I33" s="36"/>
      <c r="P33" s="389"/>
      <c r="Q33" s="389"/>
      <c r="R33" s="389"/>
      <c r="S33" s="389"/>
      <c r="T33" s="389"/>
      <c r="U33" s="389"/>
    </row>
    <row r="34" spans="1:21" hidden="1" x14ac:dyDescent="0.2">
      <c r="A34" s="1033" t="s">
        <v>128</v>
      </c>
      <c r="B34" s="1034"/>
      <c r="C34" s="1034"/>
      <c r="D34" s="1034"/>
      <c r="E34" s="1034"/>
      <c r="F34" s="1035"/>
      <c r="G34" s="422">
        <v>0.2</v>
      </c>
      <c r="H34" s="421"/>
      <c r="I34" s="36"/>
      <c r="P34" s="387"/>
      <c r="Q34" s="387"/>
      <c r="R34" s="387"/>
      <c r="S34" s="387"/>
      <c r="T34" s="387"/>
      <c r="U34" s="387"/>
    </row>
    <row r="35" spans="1:21" ht="15" hidden="1" thickBot="1" x14ac:dyDescent="0.25">
      <c r="A35" s="423" t="s">
        <v>171</v>
      </c>
      <c r="B35" s="411"/>
      <c r="C35" s="411"/>
      <c r="D35" s="411"/>
      <c r="E35" s="411"/>
      <c r="F35" s="411"/>
      <c r="G35" s="424">
        <v>0.1</v>
      </c>
      <c r="H35" s="421"/>
      <c r="I35" s="36"/>
      <c r="P35" s="387"/>
      <c r="Q35" s="387"/>
      <c r="R35" s="387"/>
      <c r="S35" s="387"/>
      <c r="T35" s="387"/>
      <c r="U35" s="387"/>
    </row>
    <row r="36" spans="1:21" x14ac:dyDescent="0.2">
      <c r="A36" s="523" t="s">
        <v>129</v>
      </c>
      <c r="B36" s="439"/>
      <c r="C36" s="439"/>
      <c r="D36" s="439"/>
      <c r="E36" s="439"/>
      <c r="F36" s="439"/>
      <c r="G36" s="425">
        <v>0.3</v>
      </c>
      <c r="H36" s="421"/>
      <c r="I36" s="36"/>
      <c r="J36" s="389"/>
      <c r="K36" s="524"/>
      <c r="L36" s="524"/>
      <c r="M36" s="524"/>
      <c r="P36" s="387"/>
      <c r="Q36" s="387"/>
      <c r="R36" s="387"/>
      <c r="S36" s="387"/>
      <c r="T36" s="387"/>
      <c r="U36" s="387"/>
    </row>
    <row r="37" spans="1:21" ht="14.25" hidden="1" customHeight="1" x14ac:dyDescent="0.2">
      <c r="A37" s="1033" t="s">
        <v>168</v>
      </c>
      <c r="B37" s="1034"/>
      <c r="C37" s="1034"/>
      <c r="D37" s="1034"/>
      <c r="E37" s="1034"/>
      <c r="F37" s="1035"/>
      <c r="G37" s="422">
        <v>0.5</v>
      </c>
      <c r="H37" s="421"/>
      <c r="I37" s="36"/>
      <c r="J37" s="389"/>
      <c r="K37" s="524"/>
      <c r="L37" s="524"/>
      <c r="M37" s="524"/>
      <c r="P37" s="387"/>
      <c r="Q37" s="387"/>
      <c r="R37" s="387"/>
      <c r="S37" s="387"/>
      <c r="T37" s="387"/>
      <c r="U37" s="387"/>
    </row>
    <row r="38" spans="1:21" ht="14.25" hidden="1" customHeight="1" x14ac:dyDescent="0.2">
      <c r="A38" s="423" t="s">
        <v>163</v>
      </c>
      <c r="B38" s="411"/>
      <c r="C38" s="411"/>
      <c r="D38" s="411"/>
      <c r="E38" s="411"/>
      <c r="F38" s="411"/>
      <c r="G38" s="422">
        <v>0.5</v>
      </c>
      <c r="H38" s="421"/>
      <c r="I38" s="36"/>
      <c r="J38" s="36"/>
      <c r="K38" s="389"/>
      <c r="L38" s="389"/>
      <c r="P38" s="149"/>
      <c r="Q38" s="36"/>
      <c r="R38" s="36"/>
      <c r="S38" s="36"/>
      <c r="T38" s="36"/>
      <c r="U38" s="36"/>
    </row>
    <row r="39" spans="1:21" ht="15" thickBot="1" x14ac:dyDescent="0.25">
      <c r="A39" s="525" t="s">
        <v>250</v>
      </c>
      <c r="B39" s="429"/>
      <c r="C39" s="429"/>
      <c r="D39" s="429"/>
      <c r="E39" s="429"/>
      <c r="F39" s="564"/>
      <c r="G39" s="426">
        <v>0.2</v>
      </c>
      <c r="H39" s="421"/>
      <c r="I39" s="36"/>
      <c r="J39" s="36"/>
      <c r="K39" s="389"/>
      <c r="L39" s="389"/>
      <c r="P39" s="149"/>
      <c r="Q39" s="36"/>
      <c r="R39" s="36"/>
      <c r="S39" s="36"/>
      <c r="T39" s="36"/>
      <c r="U39" s="36"/>
    </row>
    <row r="40" spans="1:21" ht="14.25" hidden="1" customHeight="1" x14ac:dyDescent="0.2">
      <c r="A40" s="1030" t="s">
        <v>164</v>
      </c>
      <c r="B40" s="1031"/>
      <c r="C40" s="1031"/>
      <c r="D40" s="1031"/>
      <c r="E40" s="1031"/>
      <c r="F40" s="1032"/>
      <c r="G40" s="427">
        <v>0.2</v>
      </c>
      <c r="H40" s="421"/>
      <c r="I40" s="36"/>
      <c r="J40" s="428"/>
      <c r="N40" s="36"/>
      <c r="O40" s="36"/>
      <c r="P40" s="149"/>
      <c r="Q40" s="36"/>
      <c r="R40" s="36"/>
      <c r="S40" s="36"/>
      <c r="T40" s="36"/>
      <c r="U40" s="36"/>
    </row>
    <row r="41" spans="1:21" ht="15" hidden="1" customHeight="1" thickBot="1" x14ac:dyDescent="0.25">
      <c r="A41" s="525" t="s">
        <v>122</v>
      </c>
      <c r="B41" s="429"/>
      <c r="C41" s="429"/>
      <c r="D41" s="429"/>
      <c r="E41" s="429"/>
      <c r="F41" s="429"/>
      <c r="G41" s="430">
        <v>10</v>
      </c>
      <c r="H41" s="431"/>
      <c r="I41" s="36"/>
      <c r="K41" s="36"/>
      <c r="L41" s="36"/>
      <c r="M41" s="36"/>
      <c r="N41" s="36"/>
      <c r="O41" s="36"/>
      <c r="P41" s="149"/>
      <c r="Q41" s="149"/>
      <c r="R41" s="36"/>
      <c r="S41" s="36"/>
      <c r="T41" s="389"/>
      <c r="U41" s="389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49"/>
      <c r="Q42" s="149"/>
      <c r="R42" s="36"/>
      <c r="S42" s="36"/>
      <c r="T42" s="389"/>
      <c r="U42" s="389"/>
    </row>
    <row r="43" spans="1:21" ht="14.2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49"/>
      <c r="Q43" s="149"/>
      <c r="R43" s="36"/>
      <c r="S43" s="390"/>
      <c r="T43" s="390"/>
      <c r="U43" s="390"/>
    </row>
    <row r="44" spans="1:21" ht="15" customHeight="1" thickBot="1" x14ac:dyDescent="0.25">
      <c r="A44" s="432" t="s">
        <v>36</v>
      </c>
      <c r="B44" s="433"/>
      <c r="C44" s="433"/>
      <c r="D44" s="433"/>
      <c r="E44" s="433"/>
      <c r="F44" s="433"/>
      <c r="G44" s="433"/>
      <c r="H44" s="433"/>
      <c r="I44" s="433"/>
      <c r="J44" s="526"/>
      <c r="K44" s="36"/>
      <c r="L44" s="36"/>
      <c r="M44" s="399"/>
      <c r="N44" s="399"/>
      <c r="O44" s="399"/>
      <c r="P44" s="392"/>
      <c r="Q44" s="29"/>
      <c r="R44" s="29"/>
      <c r="S44" s="390"/>
      <c r="T44" s="390"/>
      <c r="U44" s="390"/>
    </row>
    <row r="45" spans="1:21" ht="15" customHeight="1" x14ac:dyDescent="0.2">
      <c r="A45" s="527" t="s">
        <v>78</v>
      </c>
      <c r="B45" s="419"/>
      <c r="C45" s="419"/>
      <c r="D45" s="419"/>
      <c r="E45" s="419"/>
      <c r="F45" s="419"/>
      <c r="G45" s="419"/>
      <c r="H45" s="419"/>
      <c r="I45" s="434">
        <v>5.5</v>
      </c>
      <c r="J45" s="528">
        <f>I45*2</f>
        <v>11</v>
      </c>
      <c r="K45" s="389"/>
      <c r="L45" s="389"/>
      <c r="M45" s="529"/>
      <c r="N45" s="30"/>
      <c r="O45" s="30"/>
      <c r="P45" s="389"/>
      <c r="Q45" s="391"/>
      <c r="R45" s="389"/>
      <c r="S45" s="390"/>
      <c r="T45" s="390"/>
      <c r="U45" s="390"/>
    </row>
    <row r="46" spans="1:21" ht="15" thickBot="1" x14ac:dyDescent="0.25">
      <c r="A46" s="530" t="s">
        <v>177</v>
      </c>
      <c r="B46" s="36"/>
      <c r="C46" s="36"/>
      <c r="D46" s="36"/>
      <c r="E46" s="36"/>
      <c r="F46" s="36"/>
      <c r="G46" s="36"/>
      <c r="H46" s="36"/>
      <c r="I46" s="36"/>
      <c r="J46" s="435">
        <v>0.06</v>
      </c>
      <c r="M46" s="531"/>
      <c r="P46" s="389"/>
      <c r="Q46" s="30"/>
      <c r="R46" s="389"/>
      <c r="S46" s="389"/>
      <c r="T46" s="389"/>
      <c r="U46" s="389"/>
    </row>
    <row r="47" spans="1:21" ht="15" customHeight="1" thickBot="1" x14ac:dyDescent="0.25">
      <c r="A47" s="1020" t="s">
        <v>115</v>
      </c>
      <c r="B47" s="1021"/>
      <c r="C47" s="1021"/>
      <c r="D47" s="1021"/>
      <c r="E47" s="1021"/>
      <c r="F47" s="1021"/>
      <c r="G47" s="1021"/>
      <c r="H47" s="1021"/>
      <c r="I47" s="1021"/>
      <c r="J47" s="436" t="s">
        <v>242</v>
      </c>
      <c r="M47" s="532"/>
      <c r="P47" s="390"/>
      <c r="Q47" s="390"/>
      <c r="R47" s="390"/>
      <c r="S47" s="390"/>
      <c r="T47" s="390"/>
      <c r="U47" s="390"/>
    </row>
    <row r="48" spans="1:21" ht="14.25" customHeight="1" x14ac:dyDescent="0.2">
      <c r="A48" s="437" t="s">
        <v>123</v>
      </c>
      <c r="B48" s="438"/>
      <c r="C48" s="439"/>
      <c r="D48" s="439"/>
      <c r="E48" s="439"/>
      <c r="F48" s="439"/>
      <c r="G48" s="439"/>
      <c r="H48" s="533"/>
      <c r="I48" s="439"/>
      <c r="J48" s="440">
        <v>37.5</v>
      </c>
      <c r="K48" s="31"/>
      <c r="M48" s="534"/>
      <c r="P48" s="390"/>
      <c r="Q48" s="390"/>
      <c r="R48" s="390"/>
      <c r="S48" s="390"/>
      <c r="T48" s="390"/>
      <c r="U48" s="390"/>
    </row>
    <row r="49" spans="1:24" ht="14.25" customHeight="1" x14ac:dyDescent="0.2">
      <c r="A49" s="535" t="s">
        <v>279</v>
      </c>
      <c r="B49" s="408"/>
      <c r="C49" s="406"/>
      <c r="D49" s="406"/>
      <c r="E49" s="406"/>
      <c r="F49" s="406"/>
      <c r="G49" s="406"/>
      <c r="H49" s="536"/>
      <c r="I49" s="406"/>
      <c r="J49" s="441">
        <f>J48*2%</f>
        <v>0.75</v>
      </c>
      <c r="K49" s="31"/>
      <c r="M49" s="534"/>
      <c r="P49" s="390"/>
      <c r="Q49" s="390"/>
      <c r="R49" s="390"/>
      <c r="S49" s="390"/>
      <c r="T49" s="390"/>
      <c r="U49" s="390"/>
    </row>
    <row r="50" spans="1:24" ht="14.25" customHeight="1" x14ac:dyDescent="0.2">
      <c r="A50" s="442" t="s">
        <v>100</v>
      </c>
      <c r="B50" s="408"/>
      <c r="C50" s="406"/>
      <c r="D50" s="413"/>
      <c r="E50" s="413"/>
      <c r="F50" s="413"/>
      <c r="G50" s="413"/>
      <c r="H50" s="536"/>
      <c r="I50" s="406"/>
      <c r="J50" s="441">
        <v>140</v>
      </c>
      <c r="K50" s="256"/>
      <c r="L50" s="189"/>
      <c r="M50" s="189"/>
      <c r="N50" s="189"/>
      <c r="O50" s="189"/>
      <c r="P50" s="390"/>
      <c r="Q50" s="390"/>
      <c r="R50" s="390"/>
      <c r="S50" s="390"/>
      <c r="T50" s="390"/>
      <c r="U50" s="390"/>
    </row>
    <row r="51" spans="1:24" ht="14.25" customHeight="1" x14ac:dyDescent="0.2">
      <c r="A51" s="442" t="s">
        <v>244</v>
      </c>
      <c r="B51" s="537"/>
      <c r="C51" s="122"/>
      <c r="D51" s="122"/>
      <c r="E51" s="385"/>
      <c r="F51" s="443"/>
      <c r="G51" s="443"/>
      <c r="H51" s="538"/>
      <c r="I51" s="406"/>
      <c r="J51" s="441">
        <v>14</v>
      </c>
      <c r="M51" s="32"/>
      <c r="N51" s="30"/>
      <c r="O51" s="30"/>
      <c r="P51" s="390"/>
      <c r="Q51" s="390"/>
      <c r="R51" s="390"/>
      <c r="S51" s="390"/>
      <c r="T51" s="390"/>
      <c r="U51" s="390"/>
    </row>
    <row r="52" spans="1:24" ht="14.25" customHeight="1" x14ac:dyDescent="0.2">
      <c r="A52" s="442" t="s">
        <v>161</v>
      </c>
      <c r="B52" s="122"/>
      <c r="C52" s="389"/>
      <c r="D52" s="399"/>
      <c r="E52" s="36"/>
      <c r="F52" s="389"/>
      <c r="G52" s="399"/>
      <c r="H52" s="538"/>
      <c r="I52" s="36"/>
      <c r="J52" s="441">
        <v>6.4</v>
      </c>
      <c r="K52" s="340"/>
      <c r="M52" s="444"/>
      <c r="N52" s="444"/>
      <c r="O52" s="444"/>
      <c r="P52" s="390"/>
      <c r="Q52" s="390"/>
      <c r="R52" s="390"/>
      <c r="S52" s="390"/>
      <c r="T52" s="390"/>
      <c r="U52" s="390"/>
    </row>
    <row r="53" spans="1:24" ht="15" customHeight="1" x14ac:dyDescent="0.2">
      <c r="A53" s="442" t="s">
        <v>245</v>
      </c>
      <c r="B53" s="537"/>
      <c r="C53" s="539"/>
      <c r="D53" s="413"/>
      <c r="E53" s="413"/>
      <c r="F53" s="406"/>
      <c r="G53" s="539"/>
      <c r="H53" s="536"/>
      <c r="I53" s="406"/>
      <c r="J53" s="441">
        <v>9</v>
      </c>
      <c r="K53" s="188"/>
      <c r="M53" s="444"/>
      <c r="N53" s="444"/>
      <c r="O53" s="444"/>
      <c r="P53" s="390"/>
      <c r="Q53" s="390"/>
      <c r="R53" s="390"/>
      <c r="S53" s="390"/>
      <c r="T53" s="390"/>
      <c r="U53" s="390"/>
    </row>
    <row r="54" spans="1:24" ht="14.25" hidden="1" customHeight="1" x14ac:dyDescent="0.2">
      <c r="A54" s="445" t="s">
        <v>283</v>
      </c>
      <c r="B54" s="540"/>
      <c r="C54" s="541"/>
      <c r="D54" s="542"/>
      <c r="E54" s="542"/>
      <c r="F54" s="446"/>
      <c r="G54" s="541"/>
      <c r="H54" s="538"/>
      <c r="I54" s="446"/>
      <c r="J54" s="447">
        <v>0</v>
      </c>
      <c r="K54" s="188"/>
      <c r="M54" s="444"/>
      <c r="N54" s="444"/>
      <c r="O54" s="444"/>
      <c r="P54" s="386"/>
      <c r="Q54" s="386"/>
      <c r="R54" s="389"/>
      <c r="S54" s="389"/>
      <c r="T54" s="161"/>
      <c r="U54" s="36"/>
    </row>
    <row r="55" spans="1:24" ht="15" thickBot="1" x14ac:dyDescent="0.25">
      <c r="A55" s="448" t="s">
        <v>132</v>
      </c>
      <c r="B55" s="543"/>
      <c r="C55" s="544"/>
      <c r="D55" s="416"/>
      <c r="E55" s="416"/>
      <c r="F55" s="429"/>
      <c r="G55" s="416"/>
      <c r="H55" s="341">
        <v>0</v>
      </c>
      <c r="I55" s="449"/>
      <c r="J55" s="450">
        <v>0</v>
      </c>
      <c r="K55" s="340"/>
      <c r="M55" s="444"/>
      <c r="N55" s="444"/>
      <c r="O55" s="444"/>
      <c r="P55" s="386"/>
      <c r="Q55" s="386"/>
      <c r="R55" s="389"/>
      <c r="S55" s="389"/>
      <c r="T55" s="389"/>
      <c r="U55" s="389"/>
    </row>
    <row r="56" spans="1:24" ht="15" hidden="1" customHeight="1" thickBot="1" x14ac:dyDescent="0.25">
      <c r="A56" s="451" t="s">
        <v>125</v>
      </c>
      <c r="B56" s="545"/>
      <c r="C56" s="513"/>
      <c r="D56" s="546"/>
      <c r="E56" s="546"/>
      <c r="F56" s="433"/>
      <c r="G56" s="513"/>
      <c r="H56" s="229">
        <v>0</v>
      </c>
      <c r="I56" s="433"/>
      <c r="J56" s="452">
        <v>0</v>
      </c>
      <c r="M56" s="444"/>
      <c r="N56" s="444"/>
      <c r="O56" s="444"/>
      <c r="P56" s="386"/>
      <c r="Q56" s="386"/>
      <c r="R56" s="389"/>
      <c r="S56" s="389"/>
      <c r="T56" s="389"/>
      <c r="U56" s="389"/>
    </row>
    <row r="57" spans="1:24" x14ac:dyDescent="0.2">
      <c r="A57" s="71"/>
      <c r="B57" s="71"/>
      <c r="C57" s="71"/>
      <c r="D57" s="71"/>
      <c r="E57" s="71"/>
      <c r="F57" s="71"/>
      <c r="G57" s="36"/>
      <c r="H57" s="36"/>
      <c r="I57" s="36"/>
      <c r="J57" s="36"/>
      <c r="K57" s="36"/>
      <c r="L57" s="36"/>
      <c r="M57" s="444"/>
      <c r="N57" s="444"/>
      <c r="O57" s="444"/>
      <c r="P57" s="386"/>
      <c r="Q57" s="386"/>
      <c r="R57" s="389"/>
      <c r="S57" s="389"/>
      <c r="T57" s="389"/>
      <c r="U57" s="389"/>
    </row>
    <row r="58" spans="1:24" x14ac:dyDescent="0.2">
      <c r="A58" s="71"/>
      <c r="B58" s="71"/>
      <c r="C58" s="71"/>
      <c r="D58" s="71"/>
      <c r="E58" s="71"/>
      <c r="F58" s="71"/>
      <c r="G58" s="36"/>
      <c r="H58" s="36"/>
      <c r="I58" s="36"/>
      <c r="J58" s="36"/>
      <c r="K58" s="36"/>
      <c r="L58" s="36"/>
      <c r="M58" s="444"/>
      <c r="N58" s="444"/>
      <c r="O58" s="444"/>
      <c r="P58" s="389"/>
      <c r="Q58" s="389"/>
      <c r="R58" s="389"/>
      <c r="S58" s="389"/>
      <c r="T58" s="389"/>
      <c r="U58" s="389"/>
    </row>
    <row r="59" spans="1:24" ht="15" thickBot="1" x14ac:dyDescent="0.25">
      <c r="A59" s="111" t="s">
        <v>37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44"/>
      <c r="N59" s="444"/>
      <c r="O59" s="444"/>
      <c r="P59" s="389"/>
      <c r="Q59" s="389"/>
      <c r="R59" s="389"/>
      <c r="S59" s="389"/>
      <c r="T59" s="389"/>
      <c r="U59" s="389"/>
    </row>
    <row r="60" spans="1:24" x14ac:dyDescent="0.2">
      <c r="A60" s="1024" t="s">
        <v>87</v>
      </c>
      <c r="B60" s="1025"/>
      <c r="C60" s="1025"/>
      <c r="D60" s="1025"/>
      <c r="E60" s="1025"/>
      <c r="F60" s="1026"/>
      <c r="G60" s="453"/>
      <c r="H60" s="454" t="s">
        <v>405</v>
      </c>
      <c r="I60" s="455">
        <v>1</v>
      </c>
      <c r="J60" s="456">
        <f>Uniformes!H25</f>
        <v>42.33</v>
      </c>
      <c r="K60" s="547"/>
      <c r="L60" s="149"/>
      <c r="M60" s="30"/>
      <c r="N60" s="30"/>
      <c r="O60" s="30"/>
      <c r="P60" s="387"/>
      <c r="Q60" s="387"/>
      <c r="R60" s="387"/>
      <c r="S60" s="387"/>
      <c r="T60" s="387"/>
      <c r="U60" s="387"/>
    </row>
    <row r="61" spans="1:24" ht="15" thickBot="1" x14ac:dyDescent="0.25">
      <c r="A61" s="1027"/>
      <c r="B61" s="1028"/>
      <c r="C61" s="1028"/>
      <c r="D61" s="1028"/>
      <c r="E61" s="1028"/>
      <c r="F61" s="1029"/>
      <c r="G61" s="433"/>
      <c r="H61" s="457" t="s">
        <v>406</v>
      </c>
      <c r="I61" s="458">
        <v>1</v>
      </c>
      <c r="J61" s="459">
        <f>Uniformes!H52</f>
        <v>62.41</v>
      </c>
      <c r="K61" s="547"/>
      <c r="L61" s="149"/>
      <c r="M61" s="30"/>
      <c r="N61" s="460"/>
      <c r="O61" s="460"/>
      <c r="P61" s="393"/>
      <c r="Q61" s="393"/>
      <c r="R61" s="387"/>
      <c r="S61" s="387"/>
      <c r="T61" s="387"/>
      <c r="U61" s="387"/>
      <c r="W61" s="548"/>
    </row>
    <row r="62" spans="1:24" ht="14.25" customHeight="1" x14ac:dyDescent="0.2">
      <c r="A62" s="1024" t="s">
        <v>381</v>
      </c>
      <c r="B62" s="1025"/>
      <c r="C62" s="1025"/>
      <c r="D62" s="1025"/>
      <c r="E62" s="1025"/>
      <c r="F62" s="1026"/>
      <c r="G62" s="453"/>
      <c r="H62" s="454" t="s">
        <v>382</v>
      </c>
      <c r="I62" s="455">
        <v>1</v>
      </c>
      <c r="J62" s="456">
        <f>'Mat. e Equip.'!H24</f>
        <v>18.91</v>
      </c>
      <c r="K62" s="547"/>
      <c r="L62" s="149"/>
      <c r="M62" s="30"/>
      <c r="N62" s="166"/>
      <c r="O62" s="461"/>
      <c r="P62" s="394"/>
      <c r="Q62" s="395"/>
      <c r="R62" s="166"/>
      <c r="S62" s="166"/>
      <c r="T62" s="166"/>
      <c r="U62" s="166"/>
      <c r="W62" s="549"/>
      <c r="X62" s="550"/>
    </row>
    <row r="63" spans="1:24" ht="15" thickBot="1" x14ac:dyDescent="0.25">
      <c r="A63" s="1027"/>
      <c r="B63" s="1028"/>
      <c r="C63" s="1028"/>
      <c r="D63" s="1028"/>
      <c r="E63" s="1028"/>
      <c r="F63" s="1029"/>
      <c r="G63" s="433"/>
      <c r="H63" s="457" t="s">
        <v>383</v>
      </c>
      <c r="I63" s="458">
        <v>1</v>
      </c>
      <c r="J63" s="459">
        <f>'Mat. e Equip.'!H30</f>
        <v>24.36</v>
      </c>
      <c r="K63" s="547"/>
      <c r="L63" s="149"/>
      <c r="M63" s="30"/>
      <c r="N63" s="166"/>
      <c r="O63" s="461"/>
      <c r="P63" s="394"/>
      <c r="Q63" s="395"/>
      <c r="R63" s="166"/>
      <c r="S63" s="166"/>
      <c r="T63" s="166"/>
      <c r="U63" s="166"/>
      <c r="W63" s="549"/>
      <c r="X63" s="550"/>
    </row>
    <row r="64" spans="1:24" ht="15" thickBot="1" x14ac:dyDescent="0.25">
      <c r="A64" s="551" t="s">
        <v>83</v>
      </c>
      <c r="B64" s="462"/>
      <c r="C64" s="463"/>
      <c r="D64" s="463"/>
      <c r="E64" s="463"/>
      <c r="F64" s="463"/>
      <c r="G64" s="463"/>
      <c r="H64" s="463"/>
      <c r="I64" s="464">
        <v>0.1</v>
      </c>
      <c r="J64" s="459"/>
      <c r="K64" s="389"/>
      <c r="L64" s="552"/>
      <c r="M64" s="30"/>
      <c r="N64" s="166"/>
      <c r="O64" s="461"/>
      <c r="P64" s="394"/>
      <c r="Q64" s="395"/>
      <c r="R64" s="166"/>
      <c r="S64" s="166"/>
      <c r="T64" s="166"/>
      <c r="U64" s="166"/>
      <c r="W64" s="549"/>
      <c r="X64" s="550"/>
    </row>
    <row r="65" spans="1:24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36"/>
      <c r="L65" s="36"/>
      <c r="M65" s="36"/>
      <c r="N65" s="397"/>
      <c r="O65" s="461"/>
      <c r="P65" s="396"/>
      <c r="Q65" s="396"/>
      <c r="R65" s="396"/>
      <c r="S65" s="396"/>
      <c r="T65" s="397"/>
      <c r="U65" s="397"/>
      <c r="W65" s="550"/>
      <c r="X65" s="550"/>
    </row>
    <row r="66" spans="1:24" ht="15" thickBo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465"/>
      <c r="K66" s="36"/>
      <c r="L66" s="36"/>
      <c r="M66" s="36"/>
      <c r="N66" s="36"/>
      <c r="O66" s="466"/>
      <c r="P66" s="386"/>
      <c r="Q66" s="386"/>
      <c r="R66" s="386"/>
      <c r="S66" s="386"/>
      <c r="T66" s="36"/>
      <c r="U66" s="36"/>
    </row>
    <row r="67" spans="1:24" x14ac:dyDescent="0.2">
      <c r="A67" s="418" t="s">
        <v>183</v>
      </c>
      <c r="B67" s="419"/>
      <c r="C67" s="419"/>
      <c r="D67" s="419"/>
      <c r="E67" s="419"/>
      <c r="F67" s="419"/>
      <c r="G67" s="419"/>
      <c r="H67" s="419"/>
      <c r="I67" s="419"/>
      <c r="J67" s="467">
        <v>0.01</v>
      </c>
      <c r="K67" s="553"/>
      <c r="L67" s="554"/>
      <c r="M67" s="554"/>
      <c r="N67" s="554"/>
      <c r="O67" s="554"/>
      <c r="P67" s="554"/>
      <c r="Q67" s="554"/>
      <c r="R67" s="554"/>
      <c r="S67" s="389"/>
      <c r="U67" s="428"/>
    </row>
    <row r="68" spans="1:24" ht="15" thickBot="1" x14ac:dyDescent="0.25">
      <c r="A68" s="468" t="s">
        <v>18</v>
      </c>
      <c r="B68" s="433"/>
      <c r="C68" s="433"/>
      <c r="D68" s="433"/>
      <c r="E68" s="433"/>
      <c r="F68" s="433"/>
      <c r="G68" s="433"/>
      <c r="H68" s="433"/>
      <c r="I68" s="433"/>
      <c r="J68" s="469">
        <v>0.01</v>
      </c>
      <c r="K68" s="553"/>
      <c r="L68" s="554"/>
      <c r="M68" s="554"/>
      <c r="N68" s="554"/>
      <c r="O68" s="554"/>
      <c r="P68" s="554"/>
      <c r="Q68" s="554"/>
      <c r="R68" s="554"/>
      <c r="S68" s="389"/>
      <c r="T68" s="555"/>
      <c r="U68" s="428"/>
    </row>
    <row r="69" spans="1:24" ht="16.5" customHeight="1" thickBot="1" x14ac:dyDescent="0.25">
      <c r="J69" s="556"/>
      <c r="K69" s="389"/>
      <c r="L69" s="389"/>
    </row>
    <row r="70" spans="1:24" ht="15" thickBot="1" x14ac:dyDescent="0.25">
      <c r="A70" s="1036" t="s">
        <v>126</v>
      </c>
      <c r="B70" s="1037"/>
      <c r="C70" s="1037"/>
      <c r="D70" s="1037"/>
      <c r="E70" s="1037"/>
      <c r="F70" s="1037"/>
      <c r="G70" s="1037"/>
      <c r="H70" s="1038"/>
      <c r="K70" s="389"/>
      <c r="L70" s="111"/>
      <c r="M70" s="134"/>
      <c r="N70" s="134"/>
      <c r="O70" s="134"/>
      <c r="Q70" s="111"/>
    </row>
    <row r="71" spans="1:24" ht="15" thickBot="1" x14ac:dyDescent="0.25">
      <c r="A71" s="1076" t="s">
        <v>175</v>
      </c>
      <c r="B71" s="1077"/>
      <c r="C71" s="1088" t="s">
        <v>147</v>
      </c>
      <c r="D71" s="1088"/>
      <c r="E71" s="470" t="s">
        <v>20</v>
      </c>
      <c r="F71" s="471" t="s">
        <v>19</v>
      </c>
      <c r="G71" s="1080"/>
      <c r="H71" s="1081"/>
      <c r="K71" s="389"/>
      <c r="L71" s="1115" t="s">
        <v>117</v>
      </c>
      <c r="M71" s="1062" t="s">
        <v>121</v>
      </c>
      <c r="N71" s="1066" t="s">
        <v>138</v>
      </c>
      <c r="O71" s="1066" t="s">
        <v>203</v>
      </c>
      <c r="P71" s="1070" t="s">
        <v>38</v>
      </c>
      <c r="Q71" s="1062"/>
      <c r="R71" s="1062" t="s">
        <v>39</v>
      </c>
      <c r="S71" s="1062" t="s">
        <v>139</v>
      </c>
      <c r="T71" s="1062" t="s">
        <v>40</v>
      </c>
      <c r="U71" s="1064" t="s">
        <v>119</v>
      </c>
      <c r="W71" s="549"/>
    </row>
    <row r="72" spans="1:24" ht="15" thickBot="1" x14ac:dyDescent="0.25">
      <c r="A72" s="1078" t="s">
        <v>249</v>
      </c>
      <c r="B72" s="1079"/>
      <c r="C72" s="1089">
        <v>0.05</v>
      </c>
      <c r="D72" s="1089"/>
      <c r="E72" s="472">
        <v>0.03</v>
      </c>
      <c r="F72" s="472">
        <v>6.4999999999999997E-3</v>
      </c>
      <c r="G72" s="473">
        <f>SUM(C72:F72)</f>
        <v>8.6499999999999994E-2</v>
      </c>
      <c r="H72" s="569">
        <f>(100%-G72)</f>
        <v>0.91349999999999998</v>
      </c>
      <c r="K72" s="389"/>
      <c r="L72" s="1116"/>
      <c r="M72" s="1063"/>
      <c r="N72" s="1067"/>
      <c r="O72" s="1067"/>
      <c r="P72" s="1071"/>
      <c r="Q72" s="1063"/>
      <c r="R72" s="1063"/>
      <c r="S72" s="1063"/>
      <c r="T72" s="1063"/>
      <c r="U72" s="1065"/>
    </row>
    <row r="73" spans="1:24" x14ac:dyDescent="0.2">
      <c r="K73" s="389"/>
      <c r="L73" s="474">
        <v>1</v>
      </c>
      <c r="M73" s="137" t="s">
        <v>243</v>
      </c>
      <c r="N73" s="475" t="s">
        <v>345</v>
      </c>
      <c r="O73" s="476" t="s">
        <v>350</v>
      </c>
      <c r="P73" s="477" t="s">
        <v>344</v>
      </c>
      <c r="Q73" s="113"/>
      <c r="R73" s="114">
        <v>5</v>
      </c>
      <c r="S73" s="114">
        <v>2</v>
      </c>
      <c r="T73" s="114">
        <f>R73*S73</f>
        <v>10</v>
      </c>
      <c r="U73" s="115">
        <v>2192.65</v>
      </c>
    </row>
    <row r="74" spans="1:24" ht="15" customHeight="1" thickBot="1" x14ac:dyDescent="0.25">
      <c r="A74" s="133"/>
      <c r="B74" s="133"/>
      <c r="C74" s="133"/>
      <c r="D74" s="133"/>
      <c r="E74" s="133"/>
      <c r="F74" s="133"/>
      <c r="G74" s="478"/>
      <c r="H74" s="133"/>
      <c r="I74" s="133"/>
      <c r="J74" s="133"/>
      <c r="K74" s="111"/>
      <c r="L74" s="474">
        <v>2</v>
      </c>
      <c r="M74" s="137" t="s">
        <v>243</v>
      </c>
      <c r="N74" s="479" t="s">
        <v>346</v>
      </c>
      <c r="O74" s="476" t="s">
        <v>350</v>
      </c>
      <c r="P74" s="477" t="s">
        <v>360</v>
      </c>
      <c r="Q74" s="113"/>
      <c r="R74" s="114">
        <v>6</v>
      </c>
      <c r="S74" s="114">
        <v>1</v>
      </c>
      <c r="T74" s="114">
        <f t="shared" ref="T74:T75" si="0">R74*S74</f>
        <v>6</v>
      </c>
      <c r="U74" s="115">
        <v>2192.65</v>
      </c>
    </row>
    <row r="75" spans="1:24" ht="15" customHeight="1" thickBot="1" x14ac:dyDescent="0.25">
      <c r="A75" s="142" t="s">
        <v>211</v>
      </c>
      <c r="B75" s="565" t="s">
        <v>212</v>
      </c>
      <c r="C75" s="566"/>
      <c r="D75" s="566"/>
      <c r="E75" s="566"/>
      <c r="F75" s="566"/>
      <c r="G75" s="567"/>
      <c r="H75" s="129"/>
      <c r="I75" s="129"/>
      <c r="J75" s="131"/>
      <c r="K75" s="111"/>
      <c r="L75" s="480">
        <v>3</v>
      </c>
      <c r="M75" s="244" t="s">
        <v>243</v>
      </c>
      <c r="N75" s="481" t="s">
        <v>347</v>
      </c>
      <c r="O75" s="476" t="s">
        <v>350</v>
      </c>
      <c r="P75" s="477" t="s">
        <v>349</v>
      </c>
      <c r="Q75" s="245"/>
      <c r="R75" s="114">
        <v>5</v>
      </c>
      <c r="S75" s="246">
        <v>2</v>
      </c>
      <c r="T75" s="114">
        <f t="shared" si="0"/>
        <v>10</v>
      </c>
      <c r="U75" s="247">
        <v>2192.65</v>
      </c>
    </row>
    <row r="76" spans="1:24" ht="15" customHeight="1" thickBot="1" x14ac:dyDescent="0.25">
      <c r="A76" s="136" t="s">
        <v>1</v>
      </c>
      <c r="B76" s="137" t="s">
        <v>157</v>
      </c>
      <c r="C76" s="138"/>
      <c r="D76" s="138"/>
      <c r="E76" s="138"/>
      <c r="F76" s="138"/>
      <c r="G76" s="484">
        <v>9.0899999999999995E-2</v>
      </c>
      <c r="H76" s="557"/>
      <c r="I76" s="118"/>
      <c r="J76" s="131"/>
      <c r="K76" s="112"/>
      <c r="L76" s="1105" t="s">
        <v>41</v>
      </c>
      <c r="M76" s="1106"/>
      <c r="N76" s="1106"/>
      <c r="O76" s="1106"/>
      <c r="P76" s="1106"/>
      <c r="Q76" s="1107"/>
      <c r="R76" s="248">
        <f>SUM(R73:R75)</f>
        <v>16</v>
      </c>
      <c r="S76" s="249" t="s">
        <v>54</v>
      </c>
      <c r="T76" s="248">
        <f>SUM(T73:T75)</f>
        <v>26</v>
      </c>
      <c r="U76" s="250" t="s">
        <v>54</v>
      </c>
    </row>
    <row r="77" spans="1:24" ht="15" customHeight="1" thickBot="1" x14ac:dyDescent="0.25">
      <c r="A77" s="139" t="s">
        <v>2</v>
      </c>
      <c r="B77" s="140" t="s">
        <v>224</v>
      </c>
      <c r="C77" s="141"/>
      <c r="D77" s="141"/>
      <c r="E77" s="141"/>
      <c r="F77" s="141"/>
      <c r="G77" s="492">
        <v>0.1212</v>
      </c>
      <c r="H77" s="557"/>
      <c r="I77" s="118"/>
      <c r="J77" s="131"/>
      <c r="K77" s="112"/>
      <c r="L77" s="482"/>
      <c r="M77" s="482"/>
      <c r="N77" s="482"/>
      <c r="O77" s="482"/>
      <c r="P77" s="482"/>
      <c r="Q77" s="482"/>
      <c r="R77" s="482"/>
      <c r="S77" s="482"/>
      <c r="T77" s="482"/>
      <c r="U77" s="482"/>
    </row>
    <row r="78" spans="1:24" ht="15" thickBot="1" x14ac:dyDescent="0.25">
      <c r="A78" s="1082" t="s">
        <v>41</v>
      </c>
      <c r="B78" s="1083"/>
      <c r="C78" s="1083"/>
      <c r="D78" s="1083"/>
      <c r="E78" s="1083"/>
      <c r="F78" s="1084"/>
      <c r="G78" s="483">
        <f>SUM(G76:G77)</f>
        <v>0.21210000000000001</v>
      </c>
      <c r="H78" s="118"/>
      <c r="I78" s="118"/>
      <c r="J78" s="131" t="s">
        <v>0</v>
      </c>
      <c r="K78" s="134"/>
      <c r="L78" s="482"/>
      <c r="M78" s="482"/>
      <c r="N78" s="482"/>
      <c r="O78" s="482"/>
      <c r="P78" s="482"/>
      <c r="Q78" s="482"/>
      <c r="R78" s="482"/>
      <c r="S78" s="482"/>
      <c r="T78" s="482"/>
      <c r="U78" s="482"/>
    </row>
    <row r="79" spans="1:24" s="482" customFormat="1" ht="15" customHeight="1" thickBot="1" x14ac:dyDescent="0.25">
      <c r="A79" s="142" t="s">
        <v>210</v>
      </c>
      <c r="B79" s="1085" t="s">
        <v>214</v>
      </c>
      <c r="C79" s="1086"/>
      <c r="D79" s="1086"/>
      <c r="E79" s="1086"/>
      <c r="F79" s="1086"/>
      <c r="G79" s="1087"/>
      <c r="H79" s="118"/>
      <c r="I79" s="118"/>
      <c r="J79" s="389"/>
      <c r="K79" s="132"/>
    </row>
    <row r="80" spans="1:24" s="482" customFormat="1" ht="15" thickBot="1" x14ac:dyDescent="0.25">
      <c r="A80" s="136" t="s">
        <v>1</v>
      </c>
      <c r="B80" s="144" t="s">
        <v>12</v>
      </c>
      <c r="C80" s="145"/>
      <c r="D80" s="145"/>
      <c r="E80" s="145"/>
      <c r="F80" s="145"/>
      <c r="G80" s="484">
        <v>0.2</v>
      </c>
      <c r="H80" s="118"/>
      <c r="I80" s="118"/>
      <c r="J80" s="389"/>
      <c r="K80" s="132"/>
      <c r="L80" s="116"/>
      <c r="N80" s="111" t="s">
        <v>43</v>
      </c>
      <c r="O80" s="111"/>
      <c r="P80" s="111"/>
      <c r="Q80" s="111"/>
      <c r="R80" s="111"/>
      <c r="S80" s="111"/>
      <c r="T80" s="111"/>
      <c r="U80" s="111"/>
    </row>
    <row r="81" spans="1:21" s="482" customFormat="1" ht="15" thickBot="1" x14ac:dyDescent="0.25">
      <c r="A81" s="485" t="s">
        <v>2</v>
      </c>
      <c r="B81" s="144" t="s">
        <v>154</v>
      </c>
      <c r="C81" s="123"/>
      <c r="D81" s="123"/>
      <c r="E81" s="123"/>
      <c r="F81" s="123"/>
      <c r="G81" s="484">
        <v>2.5000000000000001E-2</v>
      </c>
      <c r="H81" s="118"/>
      <c r="I81" s="118"/>
      <c r="J81" s="389"/>
      <c r="K81" s="132"/>
      <c r="L81" s="1103" t="s">
        <v>133</v>
      </c>
      <c r="M81" s="1104"/>
      <c r="N81" s="1080" t="s">
        <v>44</v>
      </c>
      <c r="O81" s="1113"/>
      <c r="P81" s="1114"/>
      <c r="Q81" s="1037" t="s">
        <v>45</v>
      </c>
      <c r="R81" s="1037"/>
      <c r="S81" s="1037"/>
      <c r="T81" s="1101" t="s">
        <v>46</v>
      </c>
      <c r="U81" s="1102"/>
    </row>
    <row r="82" spans="1:21" s="482" customFormat="1" ht="15" thickBot="1" x14ac:dyDescent="0.25">
      <c r="A82" s="485" t="s">
        <v>4</v>
      </c>
      <c r="B82" s="144" t="s">
        <v>200</v>
      </c>
      <c r="C82" s="123"/>
      <c r="D82" s="123"/>
      <c r="E82" s="123"/>
      <c r="F82" s="123"/>
      <c r="G82" s="484">
        <f>3%*0.8298</f>
        <v>2.4899999999999999E-2</v>
      </c>
      <c r="H82" s="127"/>
      <c r="I82" s="127"/>
      <c r="J82" s="389"/>
      <c r="K82" s="132"/>
      <c r="L82" s="1108" t="s">
        <v>302</v>
      </c>
      <c r="M82" s="1109"/>
      <c r="N82" s="1110" t="s">
        <v>242</v>
      </c>
      <c r="O82" s="1111"/>
      <c r="P82" s="1112"/>
      <c r="Q82" s="1100" t="s">
        <v>300</v>
      </c>
      <c r="R82" s="1100"/>
      <c r="S82" s="1100"/>
      <c r="T82" s="211">
        <v>43831</v>
      </c>
      <c r="U82" s="212">
        <v>43831</v>
      </c>
    </row>
    <row r="83" spans="1:21" s="482" customFormat="1" x14ac:dyDescent="0.2">
      <c r="A83" s="485" t="s">
        <v>5</v>
      </c>
      <c r="B83" s="144" t="s">
        <v>13</v>
      </c>
      <c r="C83" s="123"/>
      <c r="D83" s="123"/>
      <c r="E83" s="123"/>
      <c r="F83" s="123"/>
      <c r="G83" s="484">
        <v>1.4999999999999999E-2</v>
      </c>
      <c r="H83" s="128"/>
      <c r="I83" s="129"/>
      <c r="J83" s="389"/>
      <c r="K83" s="132"/>
      <c r="L83" s="116"/>
      <c r="M83" s="486"/>
      <c r="N83" s="36"/>
      <c r="O83" s="36"/>
      <c r="P83" s="388"/>
      <c r="Q83" s="388"/>
      <c r="R83" s="388"/>
      <c r="S83" s="388"/>
      <c r="T83" s="388"/>
      <c r="U83" s="388"/>
    </row>
    <row r="84" spans="1:21" s="482" customFormat="1" ht="15" customHeight="1" x14ac:dyDescent="0.2">
      <c r="A84" s="485" t="s">
        <v>6</v>
      </c>
      <c r="B84" s="144" t="s">
        <v>14</v>
      </c>
      <c r="C84" s="123"/>
      <c r="D84" s="123"/>
      <c r="E84" s="123"/>
      <c r="F84" s="123"/>
      <c r="G84" s="484">
        <v>0.01</v>
      </c>
      <c r="H84" s="124"/>
      <c r="I84" s="80"/>
      <c r="J84" s="389"/>
      <c r="K84" s="132"/>
      <c r="L84" s="116"/>
      <c r="M84" s="486"/>
      <c r="N84" s="36"/>
      <c r="O84" s="36"/>
      <c r="P84" s="388"/>
      <c r="Q84" s="388"/>
      <c r="R84" s="388"/>
      <c r="S84" s="388"/>
      <c r="T84" s="388"/>
      <c r="U84" s="388"/>
    </row>
    <row r="85" spans="1:21" s="482" customFormat="1" x14ac:dyDescent="0.2">
      <c r="A85" s="485" t="s">
        <v>7</v>
      </c>
      <c r="B85" s="144" t="s">
        <v>17</v>
      </c>
      <c r="C85" s="123"/>
      <c r="D85" s="123"/>
      <c r="E85" s="123"/>
      <c r="F85" s="123"/>
      <c r="G85" s="484">
        <v>6.0000000000000001E-3</v>
      </c>
      <c r="H85" s="125"/>
      <c r="I85" s="110"/>
      <c r="J85" s="389"/>
      <c r="K85" s="34"/>
      <c r="L85" s="558"/>
      <c r="M85" s="487"/>
      <c r="N85" s="487"/>
      <c r="O85" s="487"/>
      <c r="P85" s="487"/>
      <c r="Q85" s="488"/>
      <c r="R85" s="488"/>
      <c r="S85" s="488"/>
      <c r="T85" s="488"/>
      <c r="U85" s="488"/>
    </row>
    <row r="86" spans="1:21" s="482" customFormat="1" x14ac:dyDescent="0.2">
      <c r="A86" s="485" t="s">
        <v>8</v>
      </c>
      <c r="B86" s="144" t="s">
        <v>15</v>
      </c>
      <c r="C86" s="123"/>
      <c r="D86" s="123"/>
      <c r="E86" s="123"/>
      <c r="F86" s="123"/>
      <c r="G86" s="484">
        <v>2E-3</v>
      </c>
      <c r="H86" s="124"/>
      <c r="I86" s="80"/>
      <c r="J86" s="389"/>
      <c r="K86" s="116"/>
      <c r="L86" s="255"/>
      <c r="M86" s="489"/>
      <c r="N86" s="490"/>
      <c r="O86" s="490"/>
      <c r="P86" s="491"/>
      <c r="Q86" s="491"/>
      <c r="R86" s="491"/>
      <c r="S86" s="491"/>
      <c r="T86" s="491"/>
      <c r="U86" s="491"/>
    </row>
    <row r="87" spans="1:21" s="482" customFormat="1" ht="14.25" customHeight="1" thickBot="1" x14ac:dyDescent="0.25">
      <c r="A87" s="139" t="s">
        <v>9</v>
      </c>
      <c r="B87" s="332" t="s">
        <v>16</v>
      </c>
      <c r="C87" s="333"/>
      <c r="D87" s="333"/>
      <c r="E87" s="333"/>
      <c r="F87" s="333"/>
      <c r="G87" s="492">
        <v>0.08</v>
      </c>
      <c r="H87" s="126"/>
      <c r="I87" s="127"/>
      <c r="J87" s="389"/>
      <c r="K87" s="116"/>
      <c r="L87" s="255"/>
      <c r="M87" s="493"/>
      <c r="N87" s="493"/>
      <c r="O87" s="493"/>
      <c r="P87" s="491"/>
      <c r="Q87" s="491"/>
      <c r="R87" s="491"/>
      <c r="S87" s="491"/>
      <c r="T87" s="491"/>
      <c r="U87" s="491"/>
    </row>
    <row r="88" spans="1:21" ht="15" thickBot="1" x14ac:dyDescent="0.25">
      <c r="A88" s="1082" t="s">
        <v>41</v>
      </c>
      <c r="B88" s="1083"/>
      <c r="C88" s="1083"/>
      <c r="D88" s="1083"/>
      <c r="E88" s="1083"/>
      <c r="F88" s="1084"/>
      <c r="G88" s="483">
        <f>SUM(G80:G87)</f>
        <v>0.3629</v>
      </c>
      <c r="H88" s="124"/>
      <c r="I88" s="80"/>
      <c r="J88" s="389"/>
      <c r="K88" s="116"/>
      <c r="L88" s="562"/>
      <c r="M88" s="562"/>
      <c r="N88" s="562"/>
      <c r="O88" s="562"/>
      <c r="P88" s="562"/>
      <c r="Q88" s="562"/>
      <c r="R88" s="562"/>
      <c r="S88" s="562"/>
      <c r="T88" s="562"/>
      <c r="U88" s="562"/>
    </row>
    <row r="89" spans="1:21" ht="15" thickBot="1" x14ac:dyDescent="0.25">
      <c r="A89" s="142" t="s">
        <v>213</v>
      </c>
      <c r="B89" s="1085" t="s">
        <v>49</v>
      </c>
      <c r="C89" s="1086"/>
      <c r="D89" s="1086"/>
      <c r="E89" s="1086"/>
      <c r="F89" s="1086"/>
      <c r="G89" s="1087"/>
      <c r="H89" s="128"/>
      <c r="I89" s="129"/>
      <c r="J89" s="389"/>
      <c r="K89" s="80"/>
      <c r="L89" s="562"/>
      <c r="M89" s="562"/>
      <c r="N89" s="562"/>
      <c r="O89" s="562"/>
      <c r="P89" s="562"/>
      <c r="Q89" s="562"/>
      <c r="R89" s="562"/>
      <c r="S89" s="562"/>
      <c r="T89" s="562"/>
      <c r="U89" s="562"/>
    </row>
    <row r="90" spans="1:21" x14ac:dyDescent="0.2">
      <c r="A90" s="143" t="s">
        <v>1</v>
      </c>
      <c r="B90" s="144" t="s">
        <v>50</v>
      </c>
      <c r="C90" s="145"/>
      <c r="D90" s="145"/>
      <c r="E90" s="145"/>
      <c r="F90" s="145"/>
      <c r="G90" s="225">
        <f>1/12*0.03</f>
        <v>2.5000000000000001E-3</v>
      </c>
      <c r="H90" s="130"/>
      <c r="I90" s="118"/>
      <c r="J90" s="389"/>
      <c r="K90" s="80"/>
      <c r="L90" s="562"/>
      <c r="M90" s="562"/>
      <c r="N90" s="562"/>
      <c r="O90" s="562"/>
      <c r="P90" s="562"/>
      <c r="Q90" s="562"/>
      <c r="R90" s="562"/>
      <c r="S90" s="562"/>
      <c r="T90" s="562"/>
      <c r="U90" s="562"/>
    </row>
    <row r="91" spans="1:21" x14ac:dyDescent="0.2">
      <c r="A91" s="117" t="s">
        <v>2</v>
      </c>
      <c r="B91" s="144" t="s">
        <v>110</v>
      </c>
      <c r="C91" s="123"/>
      <c r="D91" s="123"/>
      <c r="E91" s="123"/>
      <c r="F91" s="123"/>
      <c r="G91" s="225">
        <f>G87*G90</f>
        <v>2.0000000000000001E-4</v>
      </c>
      <c r="H91" s="130"/>
      <c r="I91" s="118"/>
      <c r="J91" s="389"/>
      <c r="K91" s="80"/>
      <c r="L91" s="494"/>
      <c r="M91" s="495"/>
      <c r="N91" s="495"/>
      <c r="O91" s="495"/>
      <c r="P91" s="491"/>
      <c r="Q91" s="491"/>
      <c r="R91" s="491"/>
      <c r="S91" s="491"/>
      <c r="T91" s="491"/>
      <c r="U91" s="491"/>
    </row>
    <row r="92" spans="1:21" x14ac:dyDescent="0.2">
      <c r="A92" s="117" t="s">
        <v>4</v>
      </c>
      <c r="B92" s="144" t="s">
        <v>298</v>
      </c>
      <c r="C92" s="118"/>
      <c r="D92" s="118"/>
      <c r="E92" s="118"/>
      <c r="F92" s="118"/>
      <c r="G92" s="568">
        <f>((G90+(0.4*G90))*G87)*G90</f>
        <v>9.9999999999999995E-7</v>
      </c>
      <c r="H92" s="557"/>
      <c r="I92" s="118"/>
      <c r="J92" s="389"/>
      <c r="K92" s="34"/>
      <c r="L92" s="494"/>
      <c r="M92" s="495"/>
      <c r="N92" s="495"/>
      <c r="O92" s="495"/>
      <c r="P92" s="491"/>
      <c r="Q92" s="491"/>
      <c r="R92" s="491"/>
      <c r="S92" s="491"/>
      <c r="T92" s="491"/>
      <c r="U92" s="491"/>
    </row>
    <row r="93" spans="1:21" ht="14.25" customHeight="1" x14ac:dyDescent="0.2">
      <c r="A93" s="117" t="s">
        <v>5</v>
      </c>
      <c r="B93" s="144" t="s">
        <v>158</v>
      </c>
      <c r="C93" s="123"/>
      <c r="D93" s="123"/>
      <c r="E93" s="123"/>
      <c r="F93" s="123"/>
      <c r="G93" s="225">
        <f t="shared" ref="G93" si="1">7/30/12</f>
        <v>1.9400000000000001E-2</v>
      </c>
      <c r="H93" s="130"/>
      <c r="I93" s="118"/>
      <c r="J93" s="389"/>
      <c r="K93" s="34"/>
      <c r="L93" s="494"/>
      <c r="M93" s="495"/>
      <c r="N93" s="490"/>
      <c r="O93" s="490"/>
      <c r="P93" s="491"/>
      <c r="Q93" s="491"/>
      <c r="R93" s="491"/>
      <c r="S93" s="491"/>
      <c r="T93" s="491"/>
      <c r="U93" s="491"/>
    </row>
    <row r="94" spans="1:21" x14ac:dyDescent="0.2">
      <c r="A94" s="117" t="s">
        <v>6</v>
      </c>
      <c r="B94" s="144" t="s">
        <v>257</v>
      </c>
      <c r="C94" s="123"/>
      <c r="D94" s="123"/>
      <c r="E94" s="123"/>
      <c r="F94" s="123"/>
      <c r="G94" s="225">
        <f>G88*G93</f>
        <v>7.0000000000000001E-3</v>
      </c>
      <c r="H94" s="130"/>
      <c r="I94" s="118"/>
      <c r="J94" s="389"/>
      <c r="K94" s="34"/>
      <c r="L94" s="494"/>
      <c r="M94" s="495"/>
      <c r="N94" s="495"/>
      <c r="O94" s="495"/>
      <c r="P94" s="491"/>
      <c r="Q94" s="491"/>
      <c r="R94" s="491"/>
      <c r="S94" s="491"/>
      <c r="T94" s="491"/>
      <c r="U94" s="491"/>
    </row>
    <row r="95" spans="1:21" ht="14.25" customHeight="1" x14ac:dyDescent="0.2">
      <c r="A95" s="146" t="s">
        <v>7</v>
      </c>
      <c r="B95" s="332" t="s">
        <v>299</v>
      </c>
      <c r="C95" s="118"/>
      <c r="D95" s="118"/>
      <c r="E95" s="118"/>
      <c r="F95" s="118"/>
      <c r="G95" s="225">
        <f>((G93+(0.4*G93))*G90)*G93+0.01%</f>
        <v>1E-4</v>
      </c>
      <c r="I95" s="127"/>
      <c r="J95" s="389"/>
      <c r="K95" s="34"/>
      <c r="L95" s="563"/>
      <c r="M95" s="563"/>
      <c r="N95" s="563"/>
      <c r="O95" s="563"/>
      <c r="P95" s="563"/>
      <c r="Q95" s="563"/>
      <c r="R95" s="563"/>
      <c r="S95" s="563"/>
      <c r="T95" s="563"/>
      <c r="U95" s="563"/>
    </row>
    <row r="96" spans="1:21" ht="14.25" customHeight="1" thickBot="1" x14ac:dyDescent="0.25">
      <c r="A96" s="146" t="s">
        <v>8</v>
      </c>
      <c r="B96" s="334" t="s">
        <v>483</v>
      </c>
      <c r="C96" s="333"/>
      <c r="D96" s="333"/>
      <c r="E96" s="333"/>
      <c r="F96" s="333"/>
      <c r="G96" s="225">
        <f>(0.4*G87*0.9)*(1+G78)</f>
        <v>3.49E-2</v>
      </c>
      <c r="H96" s="557"/>
      <c r="I96" s="127"/>
      <c r="J96" s="389"/>
      <c r="K96" s="34"/>
      <c r="L96" s="563"/>
      <c r="M96" s="563"/>
      <c r="N96" s="563"/>
      <c r="O96" s="563"/>
      <c r="P96" s="563"/>
      <c r="Q96" s="563"/>
      <c r="R96" s="563"/>
      <c r="S96" s="563"/>
      <c r="T96" s="563"/>
      <c r="U96" s="563"/>
    </row>
    <row r="97" spans="1:21" ht="15" thickBot="1" x14ac:dyDescent="0.25">
      <c r="A97" s="1082" t="s">
        <v>41</v>
      </c>
      <c r="B97" s="1083"/>
      <c r="C97" s="1083"/>
      <c r="D97" s="1083"/>
      <c r="E97" s="1083"/>
      <c r="F97" s="1083"/>
      <c r="G97" s="483">
        <f>SUM(G90:G96)</f>
        <v>6.4100000000000004E-2</v>
      </c>
      <c r="H97" s="128"/>
      <c r="I97" s="129"/>
      <c r="J97" s="389"/>
      <c r="K97" s="34"/>
      <c r="L97" s="563"/>
      <c r="M97" s="563"/>
      <c r="N97" s="563"/>
      <c r="O97" s="563"/>
      <c r="P97" s="563"/>
      <c r="Q97" s="563"/>
      <c r="R97" s="563"/>
      <c r="S97" s="563"/>
      <c r="T97" s="563"/>
      <c r="U97" s="563"/>
    </row>
    <row r="98" spans="1:21" ht="14.25" customHeight="1" thickBot="1" x14ac:dyDescent="0.25">
      <c r="A98" s="142" t="s">
        <v>42</v>
      </c>
      <c r="B98" s="1085" t="s">
        <v>261</v>
      </c>
      <c r="C98" s="1086"/>
      <c r="D98" s="1086"/>
      <c r="E98" s="1086"/>
      <c r="F98" s="1086"/>
      <c r="G98" s="1087"/>
      <c r="H98" s="130"/>
      <c r="I98" s="118"/>
      <c r="J98" s="389"/>
      <c r="K98" s="34"/>
      <c r="L98" s="563"/>
      <c r="M98" s="563"/>
      <c r="N98" s="563"/>
      <c r="O98" s="563"/>
      <c r="P98" s="563"/>
      <c r="Q98" s="563"/>
      <c r="R98" s="563"/>
      <c r="S98" s="563"/>
      <c r="T98" s="563"/>
      <c r="U98" s="563"/>
    </row>
    <row r="99" spans="1:21" x14ac:dyDescent="0.2">
      <c r="A99" s="143" t="s">
        <v>1</v>
      </c>
      <c r="B99" s="144" t="s">
        <v>260</v>
      </c>
      <c r="C99" s="145"/>
      <c r="D99" s="145"/>
      <c r="E99" s="145"/>
      <c r="F99" s="145"/>
      <c r="G99" s="484">
        <v>6.8999999999999999E-3</v>
      </c>
      <c r="H99" s="130"/>
      <c r="I99" s="118"/>
      <c r="J99" s="389"/>
      <c r="K99" s="34"/>
      <c r="L99" s="496"/>
      <c r="M99" s="495"/>
      <c r="N99" s="497"/>
      <c r="O99" s="497"/>
      <c r="P99" s="491"/>
      <c r="Q99" s="491"/>
      <c r="R99" s="491"/>
      <c r="S99" s="491"/>
      <c r="T99" s="491"/>
      <c r="U99" s="491"/>
    </row>
    <row r="100" spans="1:21" x14ac:dyDescent="0.2">
      <c r="A100" s="117" t="s">
        <v>2</v>
      </c>
      <c r="B100" s="144" t="s">
        <v>262</v>
      </c>
      <c r="C100" s="123"/>
      <c r="D100" s="123"/>
      <c r="E100" s="123"/>
      <c r="F100" s="123"/>
      <c r="G100" s="484">
        <f>5/30/12*0.01</f>
        <v>1E-4</v>
      </c>
      <c r="H100" s="130"/>
      <c r="I100" s="118"/>
      <c r="J100" s="389"/>
      <c r="K100" s="34"/>
      <c r="L100" s="227"/>
      <c r="M100" s="495"/>
      <c r="N100" s="498"/>
      <c r="O100" s="498"/>
      <c r="P100" s="491"/>
      <c r="Q100" s="491"/>
      <c r="R100" s="491"/>
      <c r="S100" s="491"/>
      <c r="T100" s="491"/>
      <c r="U100" s="491"/>
    </row>
    <row r="101" spans="1:21" x14ac:dyDescent="0.2">
      <c r="A101" s="117" t="s">
        <v>4</v>
      </c>
      <c r="B101" s="144" t="s">
        <v>263</v>
      </c>
      <c r="C101" s="123"/>
      <c r="D101" s="123"/>
      <c r="E101" s="123"/>
      <c r="F101" s="123"/>
      <c r="G101" s="484">
        <f>5/30/12*0.01</f>
        <v>1E-4</v>
      </c>
      <c r="H101" s="261"/>
      <c r="I101" s="110"/>
      <c r="J101" s="389"/>
      <c r="K101" s="34"/>
      <c r="L101" s="227"/>
      <c r="M101" s="495"/>
      <c r="N101" s="498"/>
      <c r="O101" s="498"/>
      <c r="P101" s="491"/>
      <c r="Q101" s="491"/>
      <c r="R101" s="491"/>
      <c r="S101" s="491"/>
      <c r="T101" s="491"/>
      <c r="U101" s="491"/>
    </row>
    <row r="102" spans="1:21" x14ac:dyDescent="0.2">
      <c r="A102" s="117" t="s">
        <v>5</v>
      </c>
      <c r="B102" s="144" t="s">
        <v>264</v>
      </c>
      <c r="C102" s="123"/>
      <c r="D102" s="123"/>
      <c r="E102" s="123"/>
      <c r="F102" s="123"/>
      <c r="G102" s="484">
        <f>15/30/12*0.003</f>
        <v>1E-4</v>
      </c>
      <c r="H102" s="80"/>
      <c r="I102" s="80"/>
      <c r="J102" s="389"/>
      <c r="K102" s="34"/>
      <c r="L102" s="235"/>
      <c r="M102" s="495"/>
      <c r="N102" s="498"/>
      <c r="O102" s="498"/>
      <c r="P102" s="491"/>
      <c r="Q102" s="491"/>
      <c r="R102" s="491"/>
      <c r="S102" s="491"/>
      <c r="T102" s="491"/>
      <c r="U102" s="491"/>
    </row>
    <row r="103" spans="1:21" ht="14.25" customHeight="1" x14ac:dyDescent="0.2">
      <c r="A103" s="117" t="s">
        <v>6</v>
      </c>
      <c r="B103" s="144" t="s">
        <v>265</v>
      </c>
      <c r="C103" s="123"/>
      <c r="D103" s="123"/>
      <c r="E103" s="123"/>
      <c r="F103" s="123"/>
      <c r="G103" s="484">
        <f>(((G77*4)+(G76*4))/12)*0.1%</f>
        <v>1E-4</v>
      </c>
      <c r="H103" s="127"/>
      <c r="I103" s="127"/>
      <c r="J103" s="389"/>
      <c r="K103" s="34"/>
      <c r="L103" s="235"/>
      <c r="M103" s="495"/>
      <c r="N103" s="493"/>
      <c r="O103" s="493"/>
      <c r="P103" s="491"/>
      <c r="Q103" s="227"/>
      <c r="R103" s="227"/>
      <c r="S103" s="227"/>
      <c r="T103" s="227"/>
      <c r="U103" s="227"/>
    </row>
    <row r="104" spans="1:21" ht="15" thickBot="1" x14ac:dyDescent="0.25">
      <c r="A104" s="146" t="s">
        <v>7</v>
      </c>
      <c r="B104" s="332" t="s">
        <v>266</v>
      </c>
      <c r="C104" s="333"/>
      <c r="D104" s="333"/>
      <c r="E104" s="333"/>
      <c r="F104" s="333"/>
      <c r="G104" s="492">
        <v>0</v>
      </c>
      <c r="H104" s="135"/>
      <c r="I104" s="135"/>
      <c r="J104" s="389"/>
      <c r="K104" s="34"/>
      <c r="L104" s="235"/>
      <c r="M104" s="495"/>
      <c r="N104" s="493"/>
      <c r="O104" s="493"/>
      <c r="P104" s="491"/>
      <c r="Q104" s="227"/>
      <c r="R104" s="227"/>
      <c r="S104" s="227"/>
      <c r="T104" s="227"/>
      <c r="U104" s="227"/>
    </row>
    <row r="105" spans="1:21" ht="15" thickBot="1" x14ac:dyDescent="0.25">
      <c r="A105" s="1093" t="s">
        <v>41</v>
      </c>
      <c r="B105" s="1094"/>
      <c r="C105" s="1094"/>
      <c r="D105" s="1094"/>
      <c r="E105" s="1094"/>
      <c r="F105" s="1095"/>
      <c r="G105" s="483">
        <f>SUM(G99:G104)</f>
        <v>7.3000000000000001E-3</v>
      </c>
      <c r="K105" s="34"/>
      <c r="L105" s="235"/>
      <c r="M105" s="497"/>
      <c r="N105" s="497"/>
      <c r="O105" s="497"/>
      <c r="P105" s="490"/>
      <c r="Q105" s="490"/>
      <c r="R105" s="490"/>
      <c r="S105" s="490"/>
      <c r="T105" s="490"/>
      <c r="U105" s="490"/>
    </row>
    <row r="106" spans="1:21" ht="14.25" customHeight="1" thickBot="1" x14ac:dyDescent="0.25">
      <c r="A106" s="1090" t="s">
        <v>52</v>
      </c>
      <c r="B106" s="1091"/>
      <c r="C106" s="1091"/>
      <c r="D106" s="1091"/>
      <c r="E106" s="1091"/>
      <c r="F106" s="1092"/>
      <c r="G106" s="499">
        <f>G78+G88+G97+G105</f>
        <v>0.64639999999999997</v>
      </c>
      <c r="H106" s="559"/>
      <c r="K106" s="34"/>
      <c r="L106" s="235"/>
      <c r="M106" s="490"/>
      <c r="N106" s="500"/>
      <c r="O106" s="500"/>
      <c r="P106" s="490"/>
      <c r="Q106" s="490"/>
      <c r="R106" s="490"/>
      <c r="S106" s="490"/>
      <c r="T106" s="490"/>
      <c r="U106" s="490"/>
    </row>
    <row r="107" spans="1:21" x14ac:dyDescent="0.2">
      <c r="A107" s="560"/>
      <c r="B107" s="560"/>
      <c r="C107" s="560"/>
      <c r="D107" s="560"/>
      <c r="E107" s="560"/>
      <c r="F107" s="560"/>
      <c r="G107" s="560"/>
      <c r="K107" s="80"/>
      <c r="L107" s="80"/>
      <c r="M107" s="501"/>
      <c r="N107" s="502"/>
      <c r="O107" s="502"/>
      <c r="P107" s="120"/>
      <c r="Q107" s="120"/>
      <c r="R107" s="120"/>
      <c r="S107" s="120"/>
      <c r="T107" s="120"/>
      <c r="U107" s="120"/>
    </row>
    <row r="108" spans="1:21" ht="14.25" customHeight="1" x14ac:dyDescent="0.2">
      <c r="A108" s="561"/>
      <c r="B108" s="561"/>
      <c r="C108" s="561"/>
      <c r="D108" s="561"/>
      <c r="E108" s="561"/>
      <c r="F108" s="561"/>
      <c r="G108" s="561"/>
      <c r="K108" s="80"/>
      <c r="L108" s="134"/>
      <c r="M108" s="36"/>
      <c r="P108" s="120"/>
      <c r="Q108" s="120"/>
      <c r="R108" s="120"/>
      <c r="S108" s="120"/>
      <c r="T108" s="120"/>
      <c r="U108" s="120"/>
    </row>
    <row r="109" spans="1:21" ht="14.25" customHeight="1" x14ac:dyDescent="0.2">
      <c r="A109" s="389"/>
      <c r="B109" s="389"/>
      <c r="C109" s="389"/>
      <c r="D109" s="389"/>
      <c r="E109" s="389"/>
      <c r="F109" s="389"/>
      <c r="G109" s="389"/>
      <c r="K109" s="80"/>
      <c r="M109" s="502"/>
      <c r="P109" s="503"/>
      <c r="Q109" s="503"/>
      <c r="R109" s="503"/>
      <c r="S109" s="503"/>
      <c r="T109" s="503"/>
      <c r="U109" s="503"/>
    </row>
    <row r="110" spans="1:21" x14ac:dyDescent="0.2">
      <c r="A110" s="389"/>
      <c r="B110" s="389"/>
      <c r="C110" s="389"/>
      <c r="D110" s="389"/>
      <c r="E110" s="389"/>
      <c r="F110" s="389"/>
      <c r="G110" s="389"/>
      <c r="K110" s="80"/>
      <c r="M110" s="134"/>
      <c r="P110" s="503"/>
      <c r="Q110" s="503"/>
      <c r="R110" s="503"/>
      <c r="S110" s="503"/>
      <c r="T110" s="503"/>
      <c r="U110" s="503"/>
    </row>
    <row r="111" spans="1:21" x14ac:dyDescent="0.2">
      <c r="A111" s="389"/>
      <c r="B111" s="389"/>
      <c r="C111" s="389"/>
      <c r="D111" s="389"/>
      <c r="E111" s="389"/>
      <c r="F111" s="389"/>
      <c r="G111" s="389"/>
      <c r="K111" s="80"/>
      <c r="P111" s="504"/>
      <c r="Q111" s="504"/>
      <c r="R111" s="134"/>
      <c r="S111" s="134"/>
      <c r="T111" s="460"/>
      <c r="U111" s="36"/>
    </row>
    <row r="112" spans="1:21" x14ac:dyDescent="0.2">
      <c r="K112" s="80"/>
      <c r="P112" s="504"/>
      <c r="Q112" s="504"/>
      <c r="R112" s="134"/>
      <c r="S112" s="134"/>
      <c r="T112" s="134"/>
      <c r="U112" s="134"/>
    </row>
    <row r="113" spans="11:250" x14ac:dyDescent="0.2">
      <c r="K113" s="80"/>
      <c r="P113" s="134"/>
      <c r="Q113" s="134"/>
      <c r="R113" s="134"/>
      <c r="S113" s="134"/>
      <c r="T113" s="134"/>
      <c r="U113" s="134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/>
      <c r="BJ113" s="505"/>
      <c r="BK113" s="505"/>
      <c r="BL113" s="505"/>
      <c r="BM113" s="505"/>
      <c r="BN113" s="505"/>
      <c r="BO113" s="505"/>
      <c r="BP113" s="505"/>
      <c r="BQ113" s="505"/>
      <c r="BR113" s="505"/>
      <c r="BS113" s="505"/>
      <c r="BT113" s="505"/>
      <c r="BU113" s="505"/>
      <c r="BV113" s="505"/>
      <c r="BW113" s="505"/>
      <c r="BX113" s="505"/>
      <c r="BY113" s="505"/>
      <c r="BZ113" s="505"/>
      <c r="CA113" s="505"/>
      <c r="CB113" s="505"/>
      <c r="CC113" s="505"/>
      <c r="CD113" s="505"/>
      <c r="CE113" s="505"/>
      <c r="CF113" s="505"/>
      <c r="CG113" s="505"/>
      <c r="CH113" s="505"/>
      <c r="CI113" s="505"/>
      <c r="CJ113" s="505"/>
      <c r="CK113" s="505"/>
      <c r="CL113" s="505"/>
      <c r="CM113" s="505"/>
      <c r="CN113" s="505"/>
      <c r="CO113" s="505"/>
      <c r="CP113" s="505"/>
      <c r="CQ113" s="505"/>
      <c r="CR113" s="505"/>
      <c r="CS113" s="505"/>
      <c r="CT113" s="505"/>
      <c r="CU113" s="505"/>
      <c r="CV113" s="505"/>
      <c r="CW113" s="505"/>
      <c r="CX113" s="505"/>
      <c r="CY113" s="505"/>
      <c r="CZ113" s="505"/>
      <c r="DA113" s="505"/>
      <c r="DB113" s="505"/>
      <c r="DC113" s="505"/>
      <c r="DD113" s="505"/>
      <c r="DE113" s="505"/>
      <c r="DF113" s="505"/>
      <c r="DG113" s="505"/>
      <c r="DH113" s="505"/>
      <c r="DI113" s="505"/>
      <c r="DJ113" s="505"/>
      <c r="DK113" s="505"/>
      <c r="DL113" s="505"/>
      <c r="DM113" s="505"/>
      <c r="DN113" s="505"/>
      <c r="DO113" s="505"/>
      <c r="DP113" s="505"/>
      <c r="DQ113" s="505"/>
      <c r="DR113" s="505"/>
      <c r="DS113" s="505"/>
      <c r="DT113" s="505"/>
      <c r="DU113" s="505"/>
      <c r="DV113" s="505"/>
      <c r="DW113" s="505"/>
      <c r="DX113" s="505"/>
      <c r="DY113" s="505"/>
      <c r="DZ113" s="505"/>
      <c r="EA113" s="505"/>
      <c r="EB113" s="505"/>
      <c r="EC113" s="505"/>
      <c r="ED113" s="505"/>
      <c r="EE113" s="505"/>
      <c r="EF113" s="505"/>
      <c r="EG113" s="505"/>
      <c r="EH113" s="505"/>
      <c r="EI113" s="505"/>
      <c r="EJ113" s="505"/>
      <c r="EK113" s="505"/>
      <c r="EL113" s="505"/>
      <c r="EM113" s="505"/>
      <c r="EN113" s="505"/>
      <c r="EO113" s="505"/>
      <c r="EP113" s="505"/>
      <c r="EQ113" s="505"/>
      <c r="ER113" s="505"/>
      <c r="ES113" s="505"/>
      <c r="ET113" s="505"/>
      <c r="EU113" s="505"/>
      <c r="EV113" s="505"/>
      <c r="EW113" s="505"/>
      <c r="EX113" s="505"/>
      <c r="EY113" s="505"/>
      <c r="EZ113" s="505"/>
      <c r="FA113" s="505"/>
      <c r="FB113" s="505"/>
      <c r="FC113" s="505"/>
      <c r="FD113" s="505"/>
      <c r="FE113" s="505"/>
      <c r="FF113" s="505"/>
      <c r="FG113" s="505"/>
      <c r="FH113" s="505"/>
      <c r="FI113" s="505"/>
      <c r="FJ113" s="505"/>
      <c r="FK113" s="505"/>
      <c r="FL113" s="505"/>
      <c r="FM113" s="505"/>
      <c r="FN113" s="505"/>
      <c r="FO113" s="505"/>
      <c r="FP113" s="505"/>
      <c r="FQ113" s="505"/>
      <c r="FR113" s="505"/>
      <c r="FS113" s="505"/>
      <c r="FT113" s="505"/>
      <c r="FU113" s="505"/>
      <c r="FV113" s="505"/>
      <c r="FW113" s="505"/>
      <c r="FX113" s="505"/>
      <c r="FY113" s="505"/>
      <c r="FZ113" s="505"/>
      <c r="GA113" s="505"/>
      <c r="GB113" s="505"/>
      <c r="GC113" s="505"/>
      <c r="GD113" s="505"/>
      <c r="GE113" s="505"/>
      <c r="GF113" s="505"/>
      <c r="GG113" s="505"/>
      <c r="GH113" s="505"/>
      <c r="GI113" s="505"/>
      <c r="GJ113" s="505"/>
      <c r="GK113" s="505"/>
      <c r="GL113" s="505"/>
      <c r="GM113" s="505"/>
      <c r="GN113" s="505"/>
      <c r="GO113" s="505"/>
      <c r="GP113" s="505"/>
      <c r="GQ113" s="505"/>
      <c r="GR113" s="505"/>
      <c r="GS113" s="505"/>
      <c r="GT113" s="505"/>
      <c r="GU113" s="505"/>
      <c r="GV113" s="505"/>
      <c r="GW113" s="505"/>
      <c r="GX113" s="505"/>
      <c r="GY113" s="505"/>
      <c r="GZ113" s="505"/>
      <c r="HA113" s="505"/>
      <c r="HB113" s="505"/>
      <c r="HC113" s="505"/>
      <c r="HD113" s="505"/>
      <c r="HE113" s="505"/>
      <c r="HF113" s="505"/>
      <c r="HG113" s="505"/>
      <c r="HH113" s="505"/>
      <c r="HI113" s="505"/>
      <c r="HJ113" s="505"/>
      <c r="HK113" s="505"/>
      <c r="HL113" s="505"/>
      <c r="HM113" s="505"/>
      <c r="HN113" s="505"/>
      <c r="HO113" s="505"/>
      <c r="HP113" s="505"/>
      <c r="HQ113" s="505"/>
      <c r="HR113" s="505"/>
      <c r="HS113" s="505"/>
      <c r="HT113" s="505"/>
      <c r="HU113" s="505"/>
      <c r="HV113" s="505"/>
      <c r="HW113" s="505"/>
      <c r="HX113" s="505"/>
      <c r="HY113" s="505"/>
      <c r="HZ113" s="505"/>
      <c r="IA113" s="505"/>
      <c r="IB113" s="505"/>
      <c r="IC113" s="505"/>
      <c r="ID113" s="505"/>
      <c r="IE113" s="505"/>
      <c r="IF113" s="505"/>
      <c r="IG113" s="505"/>
      <c r="IH113" s="505"/>
      <c r="II113" s="505"/>
      <c r="IJ113" s="505"/>
      <c r="IK113" s="505"/>
      <c r="IL113" s="505"/>
      <c r="IM113" s="505"/>
      <c r="IN113" s="505"/>
      <c r="IO113" s="505"/>
      <c r="IP113" s="505"/>
    </row>
    <row r="114" spans="11:250" x14ac:dyDescent="0.2">
      <c r="K114" s="119"/>
      <c r="P114" s="134"/>
      <c r="Q114" s="134"/>
      <c r="R114" s="134"/>
      <c r="S114" s="134"/>
      <c r="T114" s="460"/>
      <c r="U114" s="134"/>
      <c r="V114" s="505"/>
      <c r="W114" s="505"/>
      <c r="X114" s="505"/>
      <c r="Y114" s="505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505"/>
      <c r="AK114" s="505"/>
      <c r="AL114" s="505"/>
      <c r="AM114" s="505"/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505"/>
      <c r="AX114" s="505"/>
      <c r="AY114" s="505"/>
      <c r="AZ114" s="505"/>
      <c r="BA114" s="505"/>
      <c r="BB114" s="505"/>
      <c r="BC114" s="505"/>
      <c r="BD114" s="505"/>
      <c r="BE114" s="505"/>
      <c r="BF114" s="505"/>
      <c r="BG114" s="505"/>
      <c r="BH114" s="505"/>
      <c r="BI114" s="505"/>
      <c r="BJ114" s="505"/>
      <c r="BK114" s="505"/>
      <c r="BL114" s="505"/>
      <c r="BM114" s="505"/>
      <c r="BN114" s="505"/>
      <c r="BO114" s="505"/>
      <c r="BP114" s="505"/>
      <c r="BQ114" s="505"/>
      <c r="BR114" s="505"/>
      <c r="BS114" s="505"/>
      <c r="BT114" s="505"/>
      <c r="BU114" s="505"/>
      <c r="BV114" s="505"/>
      <c r="BW114" s="505"/>
      <c r="BX114" s="505"/>
      <c r="BY114" s="505"/>
      <c r="BZ114" s="505"/>
      <c r="CA114" s="505"/>
      <c r="CB114" s="505"/>
      <c r="CC114" s="505"/>
      <c r="CD114" s="505"/>
      <c r="CE114" s="505"/>
      <c r="CF114" s="505"/>
      <c r="CG114" s="505"/>
      <c r="CH114" s="505"/>
      <c r="CI114" s="505"/>
      <c r="CJ114" s="505"/>
      <c r="CK114" s="505"/>
      <c r="CL114" s="505"/>
      <c r="CM114" s="505"/>
      <c r="CN114" s="505"/>
      <c r="CO114" s="505"/>
      <c r="CP114" s="505"/>
      <c r="CQ114" s="505"/>
      <c r="CR114" s="505"/>
      <c r="CS114" s="505"/>
      <c r="CT114" s="505"/>
      <c r="CU114" s="505"/>
      <c r="CV114" s="505"/>
      <c r="CW114" s="505"/>
      <c r="CX114" s="505"/>
      <c r="CY114" s="505"/>
      <c r="CZ114" s="505"/>
      <c r="DA114" s="505"/>
      <c r="DB114" s="505"/>
      <c r="DC114" s="505"/>
      <c r="DD114" s="505"/>
      <c r="DE114" s="505"/>
      <c r="DF114" s="505"/>
      <c r="DG114" s="505"/>
      <c r="DH114" s="505"/>
      <c r="DI114" s="505"/>
      <c r="DJ114" s="505"/>
      <c r="DK114" s="505"/>
      <c r="DL114" s="505"/>
      <c r="DM114" s="505"/>
      <c r="DN114" s="505"/>
      <c r="DO114" s="505"/>
      <c r="DP114" s="505"/>
      <c r="DQ114" s="505"/>
      <c r="DR114" s="505"/>
      <c r="DS114" s="505"/>
      <c r="DT114" s="505"/>
      <c r="DU114" s="505"/>
      <c r="DV114" s="505"/>
      <c r="DW114" s="505"/>
      <c r="DX114" s="505"/>
      <c r="DY114" s="505"/>
      <c r="DZ114" s="505"/>
      <c r="EA114" s="505"/>
      <c r="EB114" s="505"/>
      <c r="EC114" s="505"/>
      <c r="ED114" s="505"/>
      <c r="EE114" s="505"/>
      <c r="EF114" s="505"/>
      <c r="EG114" s="505"/>
      <c r="EH114" s="505"/>
      <c r="EI114" s="505"/>
      <c r="EJ114" s="505"/>
      <c r="EK114" s="505"/>
      <c r="EL114" s="505"/>
      <c r="EM114" s="505"/>
      <c r="EN114" s="505"/>
      <c r="EO114" s="505"/>
      <c r="EP114" s="505"/>
      <c r="EQ114" s="505"/>
      <c r="ER114" s="505"/>
      <c r="ES114" s="505"/>
      <c r="ET114" s="505"/>
      <c r="EU114" s="505"/>
      <c r="EV114" s="505"/>
      <c r="EW114" s="505"/>
      <c r="EX114" s="505"/>
      <c r="EY114" s="505"/>
      <c r="EZ114" s="505"/>
      <c r="FA114" s="505"/>
      <c r="FB114" s="505"/>
      <c r="FC114" s="505"/>
      <c r="FD114" s="505"/>
      <c r="FE114" s="505"/>
      <c r="FF114" s="505"/>
      <c r="FG114" s="505"/>
      <c r="FH114" s="505"/>
      <c r="FI114" s="505"/>
      <c r="FJ114" s="505"/>
      <c r="FK114" s="505"/>
      <c r="FL114" s="505"/>
      <c r="FM114" s="505"/>
      <c r="FN114" s="505"/>
      <c r="FO114" s="505"/>
      <c r="FP114" s="505"/>
      <c r="FQ114" s="505"/>
      <c r="FR114" s="505"/>
      <c r="FS114" s="505"/>
      <c r="FT114" s="505"/>
      <c r="FU114" s="505"/>
      <c r="FV114" s="505"/>
      <c r="FW114" s="505"/>
      <c r="FX114" s="505"/>
      <c r="FY114" s="505"/>
      <c r="FZ114" s="505"/>
      <c r="GA114" s="505"/>
      <c r="GB114" s="505"/>
      <c r="GC114" s="505"/>
      <c r="GD114" s="505"/>
      <c r="GE114" s="505"/>
      <c r="GF114" s="505"/>
      <c r="GG114" s="505"/>
      <c r="GH114" s="505"/>
      <c r="GI114" s="505"/>
      <c r="GJ114" s="505"/>
      <c r="GK114" s="505"/>
      <c r="GL114" s="505"/>
      <c r="GM114" s="505"/>
      <c r="GN114" s="505"/>
      <c r="GO114" s="505"/>
      <c r="GP114" s="505"/>
      <c r="GQ114" s="505"/>
      <c r="GR114" s="505"/>
      <c r="GS114" s="505"/>
      <c r="GT114" s="505"/>
      <c r="GU114" s="505"/>
      <c r="GV114" s="505"/>
      <c r="GW114" s="505"/>
      <c r="GX114" s="505"/>
      <c r="GY114" s="505"/>
      <c r="GZ114" s="505"/>
      <c r="HA114" s="505"/>
      <c r="HB114" s="505"/>
      <c r="HC114" s="505"/>
      <c r="HD114" s="505"/>
      <c r="HE114" s="505"/>
      <c r="HF114" s="505"/>
      <c r="HG114" s="505"/>
      <c r="HH114" s="505"/>
      <c r="HI114" s="505"/>
      <c r="HJ114" s="505"/>
      <c r="HK114" s="505"/>
      <c r="HL114" s="505"/>
      <c r="HM114" s="505"/>
      <c r="HN114" s="505"/>
      <c r="HO114" s="505"/>
      <c r="HP114" s="505"/>
      <c r="HQ114" s="505"/>
      <c r="HR114" s="505"/>
      <c r="HS114" s="505"/>
      <c r="HT114" s="505"/>
      <c r="HU114" s="505"/>
      <c r="HV114" s="505"/>
      <c r="HW114" s="505"/>
      <c r="HX114" s="505"/>
      <c r="HY114" s="505"/>
      <c r="HZ114" s="505"/>
      <c r="IA114" s="505"/>
      <c r="IB114" s="505"/>
      <c r="IC114" s="505"/>
      <c r="ID114" s="505"/>
      <c r="IE114" s="505"/>
      <c r="IF114" s="505"/>
      <c r="IG114" s="505"/>
      <c r="IH114" s="505"/>
      <c r="II114" s="505"/>
      <c r="IJ114" s="505"/>
      <c r="IK114" s="505"/>
      <c r="IL114" s="505"/>
      <c r="IM114" s="505"/>
      <c r="IN114" s="505"/>
      <c r="IO114" s="505"/>
      <c r="IP114" s="505"/>
    </row>
    <row r="115" spans="11:250" x14ac:dyDescent="0.2">
      <c r="K115" s="134"/>
      <c r="P115" s="506"/>
      <c r="Q115" s="506"/>
      <c r="R115" s="506"/>
      <c r="S115" s="506"/>
      <c r="T115" s="506"/>
      <c r="U115" s="506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05"/>
      <c r="AS115" s="505"/>
      <c r="AT115" s="505"/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  <c r="BL115" s="505"/>
      <c r="BM115" s="505"/>
      <c r="BN115" s="505"/>
      <c r="BO115" s="505"/>
      <c r="BP115" s="505"/>
      <c r="BQ115" s="505"/>
      <c r="BR115" s="505"/>
      <c r="BS115" s="505"/>
      <c r="BT115" s="505"/>
      <c r="BU115" s="505"/>
      <c r="BV115" s="505"/>
      <c r="BW115" s="505"/>
      <c r="BX115" s="505"/>
      <c r="BY115" s="505"/>
      <c r="BZ115" s="505"/>
      <c r="CA115" s="505"/>
      <c r="CB115" s="505"/>
      <c r="CC115" s="505"/>
      <c r="CD115" s="505"/>
      <c r="CE115" s="505"/>
      <c r="CF115" s="505"/>
      <c r="CG115" s="505"/>
      <c r="CH115" s="505"/>
      <c r="CI115" s="505"/>
      <c r="CJ115" s="505"/>
      <c r="CK115" s="505"/>
      <c r="CL115" s="505"/>
      <c r="CM115" s="505"/>
      <c r="CN115" s="505"/>
      <c r="CO115" s="505"/>
      <c r="CP115" s="505"/>
      <c r="CQ115" s="505"/>
      <c r="CR115" s="505"/>
      <c r="CS115" s="505"/>
      <c r="CT115" s="505"/>
      <c r="CU115" s="505"/>
      <c r="CV115" s="505"/>
      <c r="CW115" s="505"/>
      <c r="CX115" s="505"/>
      <c r="CY115" s="505"/>
      <c r="CZ115" s="505"/>
      <c r="DA115" s="505"/>
      <c r="DB115" s="505"/>
      <c r="DC115" s="505"/>
      <c r="DD115" s="505"/>
      <c r="DE115" s="505"/>
      <c r="DF115" s="505"/>
      <c r="DG115" s="505"/>
      <c r="DH115" s="505"/>
      <c r="DI115" s="505"/>
      <c r="DJ115" s="505"/>
      <c r="DK115" s="505"/>
      <c r="DL115" s="505"/>
      <c r="DM115" s="505"/>
      <c r="DN115" s="505"/>
      <c r="DO115" s="505"/>
      <c r="DP115" s="505"/>
      <c r="DQ115" s="505"/>
      <c r="DR115" s="505"/>
      <c r="DS115" s="505"/>
      <c r="DT115" s="505"/>
      <c r="DU115" s="505"/>
      <c r="DV115" s="505"/>
      <c r="DW115" s="505"/>
      <c r="DX115" s="505"/>
      <c r="DY115" s="505"/>
      <c r="DZ115" s="505"/>
      <c r="EA115" s="505"/>
      <c r="EB115" s="505"/>
      <c r="EC115" s="505"/>
      <c r="ED115" s="505"/>
      <c r="EE115" s="505"/>
      <c r="EF115" s="505"/>
      <c r="EG115" s="505"/>
      <c r="EH115" s="505"/>
      <c r="EI115" s="505"/>
      <c r="EJ115" s="505"/>
      <c r="EK115" s="505"/>
      <c r="EL115" s="505"/>
      <c r="EM115" s="505"/>
      <c r="EN115" s="505"/>
      <c r="EO115" s="505"/>
      <c r="EP115" s="505"/>
      <c r="EQ115" s="505"/>
      <c r="ER115" s="505"/>
      <c r="ES115" s="505"/>
      <c r="ET115" s="505"/>
      <c r="EU115" s="505"/>
      <c r="EV115" s="505"/>
      <c r="EW115" s="505"/>
      <c r="EX115" s="505"/>
      <c r="EY115" s="505"/>
      <c r="EZ115" s="505"/>
      <c r="FA115" s="505"/>
      <c r="FB115" s="505"/>
      <c r="FC115" s="505"/>
      <c r="FD115" s="505"/>
      <c r="FE115" s="505"/>
      <c r="FF115" s="505"/>
      <c r="FG115" s="505"/>
      <c r="FH115" s="505"/>
      <c r="FI115" s="505"/>
      <c r="FJ115" s="505"/>
      <c r="FK115" s="505"/>
      <c r="FL115" s="505"/>
      <c r="FM115" s="505"/>
      <c r="FN115" s="505"/>
      <c r="FO115" s="505"/>
      <c r="FP115" s="505"/>
      <c r="FQ115" s="505"/>
      <c r="FR115" s="505"/>
      <c r="FS115" s="505"/>
      <c r="FT115" s="505"/>
      <c r="FU115" s="505"/>
      <c r="FV115" s="505"/>
      <c r="FW115" s="505"/>
      <c r="FX115" s="505"/>
      <c r="FY115" s="505"/>
      <c r="FZ115" s="505"/>
      <c r="GA115" s="505"/>
      <c r="GB115" s="505"/>
      <c r="GC115" s="505"/>
      <c r="GD115" s="505"/>
      <c r="GE115" s="505"/>
      <c r="GF115" s="505"/>
      <c r="GG115" s="505"/>
      <c r="GH115" s="505"/>
      <c r="GI115" s="505"/>
      <c r="GJ115" s="505"/>
      <c r="GK115" s="505"/>
      <c r="GL115" s="505"/>
      <c r="GM115" s="505"/>
      <c r="GN115" s="505"/>
      <c r="GO115" s="505"/>
      <c r="GP115" s="505"/>
      <c r="GQ115" s="505"/>
      <c r="GR115" s="505"/>
      <c r="GS115" s="505"/>
      <c r="GT115" s="505"/>
      <c r="GU115" s="505"/>
      <c r="GV115" s="505"/>
      <c r="GW115" s="505"/>
      <c r="GX115" s="505"/>
      <c r="GY115" s="505"/>
      <c r="GZ115" s="505"/>
      <c r="HA115" s="505"/>
      <c r="HB115" s="505"/>
      <c r="HC115" s="505"/>
      <c r="HD115" s="505"/>
      <c r="HE115" s="505"/>
      <c r="HF115" s="505"/>
      <c r="HG115" s="505"/>
      <c r="HH115" s="505"/>
      <c r="HI115" s="505"/>
      <c r="HJ115" s="505"/>
      <c r="HK115" s="505"/>
      <c r="HL115" s="505"/>
      <c r="HM115" s="505"/>
      <c r="HN115" s="505"/>
      <c r="HO115" s="505"/>
      <c r="HP115" s="505"/>
      <c r="HQ115" s="505"/>
      <c r="HR115" s="505"/>
      <c r="HS115" s="505"/>
      <c r="HT115" s="505"/>
      <c r="HU115" s="505"/>
      <c r="HV115" s="505"/>
      <c r="HW115" s="505"/>
      <c r="HX115" s="505"/>
      <c r="HY115" s="505"/>
      <c r="HZ115" s="505"/>
      <c r="IA115" s="505"/>
      <c r="IB115" s="505"/>
      <c r="IC115" s="505"/>
      <c r="ID115" s="505"/>
      <c r="IE115" s="505"/>
      <c r="IF115" s="505"/>
      <c r="IG115" s="505"/>
      <c r="IH115" s="505"/>
      <c r="II115" s="505"/>
      <c r="IJ115" s="505"/>
      <c r="IK115" s="505"/>
      <c r="IL115" s="505"/>
      <c r="IM115" s="505"/>
      <c r="IN115" s="505"/>
      <c r="IO115" s="505"/>
      <c r="IP115" s="505"/>
    </row>
    <row r="116" spans="11:250" x14ac:dyDescent="0.2">
      <c r="P116" s="134"/>
      <c r="Q116" s="134"/>
      <c r="R116" s="134"/>
      <c r="S116" s="134"/>
      <c r="T116" s="134"/>
      <c r="U116" s="134"/>
    </row>
  </sheetData>
  <sheetProtection insertRows="0"/>
  <mergeCells count="60">
    <mergeCell ref="K30:L30"/>
    <mergeCell ref="K28:L29"/>
    <mergeCell ref="Q81:S81"/>
    <mergeCell ref="Q82:S82"/>
    <mergeCell ref="T81:U81"/>
    <mergeCell ref="L81:M81"/>
    <mergeCell ref="L76:Q76"/>
    <mergeCell ref="L82:M82"/>
    <mergeCell ref="N82:P82"/>
    <mergeCell ref="N81:P81"/>
    <mergeCell ref="L71:L72"/>
    <mergeCell ref="K31:L31"/>
    <mergeCell ref="A106:F106"/>
    <mergeCell ref="A88:F88"/>
    <mergeCell ref="A105:F105"/>
    <mergeCell ref="B98:G98"/>
    <mergeCell ref="A97:F97"/>
    <mergeCell ref="A71:B71"/>
    <mergeCell ref="A72:B72"/>
    <mergeCell ref="G71:H71"/>
    <mergeCell ref="A78:F78"/>
    <mergeCell ref="B89:G89"/>
    <mergeCell ref="C71:D71"/>
    <mergeCell ref="B79:G79"/>
    <mergeCell ref="C72:D72"/>
    <mergeCell ref="Q11:U11"/>
    <mergeCell ref="R71:R72"/>
    <mergeCell ref="S71:S72"/>
    <mergeCell ref="M71:M72"/>
    <mergeCell ref="U71:U72"/>
    <mergeCell ref="N71:N72"/>
    <mergeCell ref="T71:T72"/>
    <mergeCell ref="M28:M29"/>
    <mergeCell ref="P71:Q72"/>
    <mergeCell ref="S12:T12"/>
    <mergeCell ref="Q12:R12"/>
    <mergeCell ref="O71:O72"/>
    <mergeCell ref="A70:H70"/>
    <mergeCell ref="K14:L14"/>
    <mergeCell ref="K15:L15"/>
    <mergeCell ref="G16:H16"/>
    <mergeCell ref="G18:H18"/>
    <mergeCell ref="G22:H22"/>
    <mergeCell ref="G14:H14"/>
    <mergeCell ref="G15:H15"/>
    <mergeCell ref="G17:H17"/>
    <mergeCell ref="G25:H25"/>
    <mergeCell ref="G19:H19"/>
    <mergeCell ref="G20:H20"/>
    <mergeCell ref="G21:H21"/>
    <mergeCell ref="J28:J29"/>
    <mergeCell ref="A34:F34"/>
    <mergeCell ref="G23:H23"/>
    <mergeCell ref="G24:H24"/>
    <mergeCell ref="A47:I47"/>
    <mergeCell ref="G26:H26"/>
    <mergeCell ref="A62:F63"/>
    <mergeCell ref="A40:F40"/>
    <mergeCell ref="A37:F37"/>
    <mergeCell ref="A60:F61"/>
  </mergeCells>
  <dataValidations xWindow="1309" yWindow="402" count="16">
    <dataValidation allowBlank="1" showInputMessage="1" showErrorMessage="1" errorTitle="CCT's" error="- Alteração, exclusão e inclusão de itens somente na aba BENEFÍCIOS" promptTitle="CCT's" prompt="- Em caso de mais categorias distintas só incluir mais uma coluna para o novo Sindicato e alterar fórmula;_x000a_" sqref="K47" xr:uid="{00000000-0002-0000-0000-000000000000}"/>
    <dataValidation allowBlank="1" errorTitle="Normativos" error="- Não alterar manualmente." promptTitle="Normativos" prompt="- Não alterar manualmente. Os valores do Salário Normativo da Categoria será alterado no momento da escolha do Sindicato, já o Salário Normativo Mínimo, será alterado na planilha &quot;CCT'S&quot;." sqref="M14" xr:uid="{00000000-0002-0000-0000-000001000000}"/>
    <dataValidation allowBlank="1" showInputMessage="1" showErrorMessage="1" error="- Não alterar manualmente. Com exceção se o Edital estabelecer o salário diferente da CCT." promptTitle="Salário" prompt="- Não alterar manualmente. Para alterar os salários, ir no campo &quot;FUNÇÃO&quot; e escolher no Drop-Drown a categoria;_x000a_- Com exceção se o Edital estabelecer o salário diferente da CCT e se for maior." sqref="U73" xr:uid="{00000000-0002-0000-0000-000002000000}"/>
    <dataValidation allowBlank="1" showInputMessage="1" showErrorMessage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3:G35 G40:G41" xr:uid="{00000000-0002-0000-0000-000003000000}"/>
    <dataValidation allowBlank="1" showInputMessage="1" showErrorMessage="1" errorTitle="CCT's Utilizadas" error="- Para obter os valores dos benefícios, alterar o Sindicato;_x000a_- Qdo a categoria for a do SINDBOMBEIROS ou SINDESV, incluir mais linhas no campo &quot;Seguro de Vida&quot; para as outras categorias e buscar na aba BENEFÍCIOS os valores" sqref="K50:O50" xr:uid="{00000000-0002-0000-0000-000004000000}"/>
    <dataValidation allowBlank="1" showInputMessage="1" sqref="M30:M31" xr:uid="{00000000-0002-0000-0000-000005000000}"/>
    <dataValidation allowBlank="1" sqref="U12 N73:N75" xr:uid="{00000000-0002-0000-0000-000006000000}"/>
    <dataValidation allowBlank="1" errorTitle="CCT's" error="- Alteração, exclusão e inclusão de itens somente na planilha &quot;BENEFÍCIOS&quot;." promptTitle="CCT's" prompt="- Para obter os valores dos itens, escolher o Sindicato da categoria correspondente;_x000a_- Qdo for a CCT SINDIBOMBEIROS: Incluir mais linhas no campo &quot;Seguro de Vida&quot; e buscar na planilha &quot;BENEFÍCIOS&quot; os valores p/ as outras categoria;_x000a__x000a_" sqref="J47" xr:uid="{00000000-0002-0000-0000-000007000000}"/>
    <dataValidation allowBlank="1" promptTitle="Jornada de Trabalho" prompt="- Alterando a carga horária, automaticamente será alterado os dias trabalhados._x000a_" sqref="J30:J31" xr:uid="{00000000-0002-0000-0000-000008000000}"/>
    <dataValidation allowBlank="1" errorTitle="Atenção" error="Não alterar manualmente." promptTitle="Função" prompt="Para obter o salário automaticamente, só incluir a nomenclatura igual estabelecido no Drop-Down FUNÇÃO." sqref="M73:M75" xr:uid="{00000000-0002-0000-0000-000009000000}"/>
    <dataValidation allowBlank="1" showInputMessage="1" errorTitle="Normativos" sqref="M15" xr:uid="{00000000-0002-0000-0000-00000A000000}"/>
    <dataValidation allowBlank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6:G39" xr:uid="{00000000-0002-0000-0000-00000B000000}"/>
    <dataValidation allowBlank="1" errorTitle="Tributação " error="- Alteração, exclusão e inclusão das alíquotas somente na aba CCT'S" promptTitle="Tributação" prompt="Alterar alíquotas dos Tributos conforme tipo de Tributação da Empresa: PRESUMIDO; REAL e DACON" sqref="A72:B72" xr:uid="{00000000-0002-0000-0000-00000C000000}"/>
    <dataValidation type="list" allowBlank="1" showInputMessage="1" showErrorMessage="1" sqref="A34" xr:uid="{00000000-0002-0000-0000-00000D000000}">
      <formula1>#REF!</formula1>
    </dataValidation>
    <dataValidation type="list" allowBlank="1" showInputMessage="1" showErrorMessage="1" sqref="A37 A40" xr:uid="{00000000-0002-0000-0000-00000E000000}">
      <formula1>#REF!</formula1>
    </dataValidation>
    <dataValidation type="list" allowBlank="1" showInputMessage="1" showErrorMessage="1" promptTitle="Vale Transporte" prompt="- Alterando o tipo de Vale Transporte, automaticamente será alterado os valores." sqref="Q12:R12" xr:uid="{00000000-0002-0000-0000-00000F000000}">
      <formula1>#REF!</formula1>
    </dataValidation>
  </dataValidations>
  <printOptions horizontalCentered="1"/>
  <pageMargins left="0.32" right="0.31" top="0.6" bottom="0.45" header="0.3" footer="0.3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9">
    <tabColor theme="3" tint="0.59999389629810485"/>
    <pageSetUpPr fitToPage="1"/>
  </sheetPr>
  <dimension ref="A1:J32"/>
  <sheetViews>
    <sheetView view="pageBreakPreview" topLeftCell="A18" zoomScale="90" zoomScaleNormal="100" zoomScaleSheetLayoutView="90" workbookViewId="0">
      <selection activeCell="A29" sqref="A29:G29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4" width="15.85546875" style="100" customWidth="1"/>
    <col min="5" max="5" width="13.7109375" style="100" customWidth="1"/>
    <col min="6" max="7" width="16" style="99" customWidth="1"/>
    <col min="8" max="8" width="16.42578125" style="87" customWidth="1"/>
    <col min="9" max="9" width="9.140625" style="87"/>
    <col min="10" max="10" width="12.5703125" style="262" hidden="1" customWidth="1"/>
    <col min="11" max="11" width="12.5703125" style="87" bestFit="1" customWidth="1"/>
    <col min="12" max="12" width="9.7109375" style="87" bestFit="1" customWidth="1"/>
    <col min="13" max="16384" width="9.140625" style="87"/>
  </cols>
  <sheetData>
    <row r="1" spans="1:10" ht="14.25" x14ac:dyDescent="0.2"/>
    <row r="2" spans="1:10" ht="14.25" x14ac:dyDescent="0.2">
      <c r="A2" s="1326" t="str">
        <f>Dados!A5</f>
        <v>CONSELHO DA JUSTIÇA FEDERAL - CJF</v>
      </c>
      <c r="B2" s="1326"/>
      <c r="C2" s="1326"/>
      <c r="D2" s="1326"/>
      <c r="E2" s="1326"/>
      <c r="F2" s="1326"/>
      <c r="G2" s="1326"/>
      <c r="H2" s="1326"/>
    </row>
    <row r="3" spans="1:10" ht="14.25" x14ac:dyDescent="0.2">
      <c r="A3" s="1326" t="str">
        <f>Dados!A9</f>
        <v>PREGÃO ELETRÔNICO Nº 09/2020 - CJF</v>
      </c>
      <c r="B3" s="1326"/>
      <c r="C3" s="1326"/>
      <c r="D3" s="1326"/>
      <c r="E3" s="1326"/>
      <c r="F3" s="1326"/>
      <c r="G3" s="1326"/>
      <c r="H3" s="1326"/>
    </row>
    <row r="4" spans="1:10" ht="14.25" hidden="1" x14ac:dyDescent="0.2">
      <c r="A4" s="1328" t="str">
        <f>Dados!A10</f>
        <v>CONTRATO Nº __________/201__ - CONTRATANTE - PRESTAÇÃO DE SERVIÇOS --------</v>
      </c>
      <c r="B4" s="1328"/>
      <c r="C4" s="1328"/>
      <c r="D4" s="1328"/>
      <c r="E4" s="1328"/>
      <c r="F4" s="1328"/>
      <c r="G4" s="1328"/>
      <c r="H4" s="1328"/>
    </row>
    <row r="5" spans="1:10" ht="14.25" hidden="1" x14ac:dyDescent="0.2">
      <c r="A5" s="1328" t="str">
        <f>Dados!H2</f>
        <v xml:space="preserve">REPACTUAÇÃO CONTRATUAL 20___ - </v>
      </c>
      <c r="B5" s="1328"/>
      <c r="C5" s="1328"/>
      <c r="D5" s="1328"/>
      <c r="E5" s="1328"/>
      <c r="F5" s="1328"/>
      <c r="G5" s="1328"/>
      <c r="H5" s="1328"/>
    </row>
    <row r="6" spans="1:10" ht="14.25" x14ac:dyDescent="0.2">
      <c r="A6" s="84"/>
      <c r="B6" s="85"/>
      <c r="C6" s="86"/>
      <c r="D6" s="86"/>
      <c r="E6" s="86"/>
      <c r="F6" s="85"/>
      <c r="G6" s="85"/>
      <c r="H6" s="84"/>
    </row>
    <row r="7" spans="1:10" ht="14.25" x14ac:dyDescent="0.2">
      <c r="A7" s="84"/>
      <c r="B7" s="85"/>
      <c r="C7" s="86"/>
      <c r="D7" s="86"/>
      <c r="E7" s="86"/>
      <c r="F7" s="85"/>
      <c r="G7" s="85"/>
      <c r="H7" s="84"/>
    </row>
    <row r="8" spans="1:10" ht="14.25" x14ac:dyDescent="0.2">
      <c r="A8" s="1327" t="s">
        <v>363</v>
      </c>
      <c r="B8" s="1327"/>
      <c r="C8" s="1327"/>
      <c r="D8" s="1327"/>
      <c r="E8" s="1327"/>
      <c r="F8" s="1327"/>
      <c r="G8" s="1327"/>
      <c r="H8" s="1327"/>
    </row>
    <row r="9" spans="1:10" ht="14.25" x14ac:dyDescent="0.2">
      <c r="A9" s="1327" t="s">
        <v>364</v>
      </c>
      <c r="B9" s="1327"/>
      <c r="C9" s="1327"/>
      <c r="D9" s="1327"/>
      <c r="E9" s="1327"/>
      <c r="F9" s="1327"/>
      <c r="G9" s="1327"/>
      <c r="H9" s="1327"/>
    </row>
    <row r="10" spans="1:10" ht="14.25" x14ac:dyDescent="0.2">
      <c r="A10" s="251"/>
      <c r="B10" s="251"/>
      <c r="C10" s="251"/>
      <c r="D10" s="251"/>
      <c r="E10" s="251"/>
      <c r="F10" s="251"/>
      <c r="G10" s="251"/>
      <c r="H10" s="251"/>
    </row>
    <row r="11" spans="1:10" s="83" customFormat="1" ht="35.25" customHeight="1" x14ac:dyDescent="0.2">
      <c r="A11" s="252" t="s">
        <v>63</v>
      </c>
      <c r="B11" s="252" t="s">
        <v>85</v>
      </c>
      <c r="C11" s="253" t="s">
        <v>66</v>
      </c>
      <c r="D11" s="260" t="s">
        <v>369</v>
      </c>
      <c r="E11" s="260" t="s">
        <v>366</v>
      </c>
      <c r="F11" s="253" t="s">
        <v>68</v>
      </c>
      <c r="G11" s="253" t="s">
        <v>352</v>
      </c>
      <c r="H11" s="253" t="s">
        <v>69</v>
      </c>
      <c r="J11" s="263"/>
    </row>
    <row r="12" spans="1:10" s="83" customFormat="1" ht="14.25" x14ac:dyDescent="0.2">
      <c r="A12" s="1341" t="s">
        <v>379</v>
      </c>
      <c r="B12" s="1342"/>
      <c r="C12" s="1342"/>
      <c r="D12" s="1342"/>
      <c r="E12" s="1342"/>
      <c r="F12" s="1342"/>
      <c r="G12" s="1342"/>
      <c r="H12" s="1343"/>
      <c r="J12" s="263"/>
    </row>
    <row r="13" spans="1:10" s="83" customFormat="1" ht="59.25" customHeight="1" x14ac:dyDescent="0.2">
      <c r="A13" s="90">
        <v>1</v>
      </c>
      <c r="B13" s="259" t="s">
        <v>377</v>
      </c>
      <c r="C13" s="91" t="s">
        <v>66</v>
      </c>
      <c r="D13" s="92">
        <v>5</v>
      </c>
      <c r="E13" s="92">
        <v>120</v>
      </c>
      <c r="F13" s="93">
        <f>J13*Dados!$I$62</f>
        <v>1170</v>
      </c>
      <c r="G13" s="105">
        <f>((F13*D13)/E13)*12</f>
        <v>585</v>
      </c>
      <c r="H13" s="105">
        <f>G13/12</f>
        <v>48.75</v>
      </c>
      <c r="J13" s="263">
        <v>1170</v>
      </c>
    </row>
    <row r="14" spans="1:10" s="83" customFormat="1" ht="42.75" x14ac:dyDescent="0.2">
      <c r="A14" s="90">
        <v>2</v>
      </c>
      <c r="B14" s="259" t="s">
        <v>370</v>
      </c>
      <c r="C14" s="91" t="s">
        <v>66</v>
      </c>
      <c r="D14" s="92">
        <v>20</v>
      </c>
      <c r="E14" s="92">
        <v>6</v>
      </c>
      <c r="F14" s="93">
        <f>J14*Dados!$I$62</f>
        <v>15.75</v>
      </c>
      <c r="G14" s="105">
        <f t="shared" ref="G14:G27" si="0">((F14*D14)/E14)*12</f>
        <v>630</v>
      </c>
      <c r="H14" s="105">
        <f t="shared" ref="H14:H27" si="1">G14/12</f>
        <v>52.5</v>
      </c>
      <c r="J14" s="263">
        <v>15.75</v>
      </c>
    </row>
    <row r="15" spans="1:10" s="83" customFormat="1" ht="14.25" x14ac:dyDescent="0.2">
      <c r="A15" s="90">
        <v>3</v>
      </c>
      <c r="B15" s="259" t="s">
        <v>443</v>
      </c>
      <c r="C15" s="91" t="s">
        <v>66</v>
      </c>
      <c r="D15" s="92">
        <v>5</v>
      </c>
      <c r="E15" s="92">
        <v>60</v>
      </c>
      <c r="F15" s="93">
        <f>J15*Dados!$I$62</f>
        <v>387.36</v>
      </c>
      <c r="G15" s="105">
        <f t="shared" si="0"/>
        <v>387.36</v>
      </c>
      <c r="H15" s="105">
        <f t="shared" si="1"/>
        <v>32.28</v>
      </c>
      <c r="J15" s="263">
        <v>387.36</v>
      </c>
    </row>
    <row r="16" spans="1:10" s="344" customFormat="1" ht="71.25" x14ac:dyDescent="0.2">
      <c r="A16" s="90">
        <v>4</v>
      </c>
      <c r="B16" s="259" t="s">
        <v>444</v>
      </c>
      <c r="C16" s="91" t="s">
        <v>66</v>
      </c>
      <c r="D16" s="92">
        <f>D15*3</f>
        <v>15</v>
      </c>
      <c r="E16" s="92">
        <v>6</v>
      </c>
      <c r="F16" s="93">
        <f>J16*Dados!$I$62</f>
        <v>35.01</v>
      </c>
      <c r="G16" s="105">
        <f t="shared" ref="G16" si="2">((F16*D16)/E16)*12</f>
        <v>1050.3</v>
      </c>
      <c r="H16" s="105">
        <f t="shared" ref="H16" si="3">G16/12</f>
        <v>87.53</v>
      </c>
      <c r="J16" s="263">
        <v>35.01</v>
      </c>
    </row>
    <row r="17" spans="1:10" s="83" customFormat="1" ht="28.5" x14ac:dyDescent="0.2">
      <c r="A17" s="90">
        <v>4</v>
      </c>
      <c r="B17" s="259" t="s">
        <v>371</v>
      </c>
      <c r="C17" s="91" t="s">
        <v>66</v>
      </c>
      <c r="D17" s="92">
        <v>55</v>
      </c>
      <c r="E17" s="92">
        <v>12</v>
      </c>
      <c r="F17" s="93">
        <f>J17*Dados!$I$62</f>
        <v>3.86</v>
      </c>
      <c r="G17" s="105">
        <f t="shared" si="0"/>
        <v>212.3</v>
      </c>
      <c r="H17" s="105">
        <f t="shared" si="1"/>
        <v>17.690000000000001</v>
      </c>
      <c r="J17" s="263">
        <v>3.86</v>
      </c>
    </row>
    <row r="18" spans="1:10" s="83" customFormat="1" ht="28.5" x14ac:dyDescent="0.2">
      <c r="A18" s="90">
        <v>5</v>
      </c>
      <c r="B18" s="259" t="s">
        <v>372</v>
      </c>
      <c r="C18" s="91" t="s">
        <v>66</v>
      </c>
      <c r="D18" s="92">
        <v>20</v>
      </c>
      <c r="E18" s="92">
        <v>6</v>
      </c>
      <c r="F18" s="93">
        <f>J18*Dados!$I$62</f>
        <v>22.32</v>
      </c>
      <c r="G18" s="105">
        <f t="shared" si="0"/>
        <v>892.8</v>
      </c>
      <c r="H18" s="105">
        <f t="shared" si="1"/>
        <v>74.400000000000006</v>
      </c>
      <c r="J18" s="263">
        <v>22.32</v>
      </c>
    </row>
    <row r="19" spans="1:10" s="83" customFormat="1" ht="57" x14ac:dyDescent="0.2">
      <c r="A19" s="90">
        <v>6</v>
      </c>
      <c r="B19" s="259" t="s">
        <v>373</v>
      </c>
      <c r="C19" s="91" t="s">
        <v>66</v>
      </c>
      <c r="D19" s="92">
        <v>10</v>
      </c>
      <c r="E19" s="92">
        <v>12</v>
      </c>
      <c r="F19" s="93">
        <f>J19*Dados!$I$62</f>
        <v>34.200000000000003</v>
      </c>
      <c r="G19" s="105">
        <f t="shared" si="0"/>
        <v>342</v>
      </c>
      <c r="H19" s="105">
        <f t="shared" si="1"/>
        <v>28.5</v>
      </c>
      <c r="J19" s="263">
        <v>34.200000000000003</v>
      </c>
    </row>
    <row r="20" spans="1:10" s="101" customFormat="1" ht="28.5" x14ac:dyDescent="0.2">
      <c r="A20" s="90">
        <v>7</v>
      </c>
      <c r="B20" s="259" t="s">
        <v>375</v>
      </c>
      <c r="C20" s="91" t="s">
        <v>66</v>
      </c>
      <c r="D20" s="92">
        <v>20</v>
      </c>
      <c r="E20" s="92">
        <v>12</v>
      </c>
      <c r="F20" s="93">
        <f>J20*Dados!$I$62</f>
        <v>17.100000000000001</v>
      </c>
      <c r="G20" s="105">
        <f t="shared" si="0"/>
        <v>342</v>
      </c>
      <c r="H20" s="105">
        <f t="shared" si="1"/>
        <v>28.5</v>
      </c>
      <c r="J20" s="263">
        <v>17.100000000000001</v>
      </c>
    </row>
    <row r="21" spans="1:10" s="101" customFormat="1" ht="28.5" x14ac:dyDescent="0.2">
      <c r="A21" s="90">
        <v>8</v>
      </c>
      <c r="B21" s="259" t="s">
        <v>376</v>
      </c>
      <c r="C21" s="91" t="s">
        <v>66</v>
      </c>
      <c r="D21" s="92">
        <v>20</v>
      </c>
      <c r="E21" s="92">
        <v>60</v>
      </c>
      <c r="F21" s="93">
        <f>J21*Dados!$I$62</f>
        <v>24.21</v>
      </c>
      <c r="G21" s="105">
        <f t="shared" ref="G21" si="4">((F21*D21)/E21)*12</f>
        <v>96.84</v>
      </c>
      <c r="H21" s="105">
        <f t="shared" si="1"/>
        <v>8.07</v>
      </c>
      <c r="J21" s="263">
        <v>24.21</v>
      </c>
    </row>
    <row r="22" spans="1:10" s="101" customFormat="1" ht="14.25" x14ac:dyDescent="0.2">
      <c r="A22" s="1337" t="s">
        <v>41</v>
      </c>
      <c r="B22" s="1338"/>
      <c r="C22" s="1338"/>
      <c r="D22" s="1338"/>
      <c r="E22" s="1338"/>
      <c r="F22" s="1338"/>
      <c r="G22" s="1339"/>
      <c r="H22" s="267">
        <f>SUM(H13:H21)</f>
        <v>378.22</v>
      </c>
      <c r="J22" s="263"/>
    </row>
    <row r="23" spans="1:10" s="101" customFormat="1" ht="14.25" x14ac:dyDescent="0.2">
      <c r="A23" s="1337" t="s">
        <v>367</v>
      </c>
      <c r="B23" s="1338"/>
      <c r="C23" s="1338"/>
      <c r="D23" s="1338"/>
      <c r="E23" s="1338"/>
      <c r="F23" s="1338"/>
      <c r="G23" s="1339"/>
      <c r="H23" s="266">
        <f>Dados!$T$73+Dados!$T$75</f>
        <v>20</v>
      </c>
      <c r="J23" s="263"/>
    </row>
    <row r="24" spans="1:10" s="101" customFormat="1" ht="14.25" x14ac:dyDescent="0.2">
      <c r="A24" s="1337" t="s">
        <v>368</v>
      </c>
      <c r="B24" s="1338"/>
      <c r="C24" s="1338"/>
      <c r="D24" s="1338"/>
      <c r="E24" s="1338"/>
      <c r="F24" s="1338"/>
      <c r="G24" s="1339"/>
      <c r="H24" s="267">
        <f>H22/H23</f>
        <v>18.91</v>
      </c>
      <c r="J24" s="263"/>
    </row>
    <row r="25" spans="1:10" s="101" customFormat="1" ht="14.25" x14ac:dyDescent="0.2">
      <c r="A25" s="1341" t="s">
        <v>380</v>
      </c>
      <c r="B25" s="1342"/>
      <c r="C25" s="1342"/>
      <c r="D25" s="1342"/>
      <c r="E25" s="1342"/>
      <c r="F25" s="1342"/>
      <c r="G25" s="1342"/>
      <c r="H25" s="1343"/>
      <c r="J25" s="263"/>
    </row>
    <row r="26" spans="1:10" s="101" customFormat="1" ht="28.5" x14ac:dyDescent="0.2">
      <c r="A26" s="90">
        <v>9</v>
      </c>
      <c r="B26" s="259" t="s">
        <v>374</v>
      </c>
      <c r="C26" s="91" t="s">
        <v>66</v>
      </c>
      <c r="D26" s="92">
        <v>15</v>
      </c>
      <c r="E26" s="92">
        <v>1</v>
      </c>
      <c r="F26" s="93">
        <f>J26*Dados!$I$63</f>
        <v>42</v>
      </c>
      <c r="G26" s="105">
        <f>((F26*D26)/E26)*12</f>
        <v>7560</v>
      </c>
      <c r="H26" s="105">
        <f>G26/12</f>
        <v>630</v>
      </c>
      <c r="I26" s="87"/>
      <c r="J26" s="263">
        <v>42</v>
      </c>
    </row>
    <row r="27" spans="1:10" s="101" customFormat="1" ht="28.5" x14ac:dyDescent="0.2">
      <c r="A27" s="90">
        <v>10</v>
      </c>
      <c r="B27" s="259" t="s">
        <v>378</v>
      </c>
      <c r="C27" s="91" t="s">
        <v>66</v>
      </c>
      <c r="D27" s="92">
        <v>26</v>
      </c>
      <c r="E27" s="92">
        <v>12</v>
      </c>
      <c r="F27" s="93">
        <f>J27*Dados!$I$63</f>
        <v>1.5</v>
      </c>
      <c r="G27" s="105">
        <f t="shared" si="0"/>
        <v>39</v>
      </c>
      <c r="H27" s="105">
        <f t="shared" si="1"/>
        <v>3.25</v>
      </c>
      <c r="J27" s="263">
        <v>1.5</v>
      </c>
    </row>
    <row r="28" spans="1:10" s="101" customFormat="1" ht="18" customHeight="1" x14ac:dyDescent="0.2">
      <c r="A28" s="1337" t="s">
        <v>41</v>
      </c>
      <c r="B28" s="1338"/>
      <c r="C28" s="1338"/>
      <c r="D28" s="1338"/>
      <c r="E28" s="1338"/>
      <c r="F28" s="1338"/>
      <c r="G28" s="1339"/>
      <c r="H28" s="267">
        <f>SUM(H26:H27)</f>
        <v>633.25</v>
      </c>
      <c r="J28" s="264"/>
    </row>
    <row r="29" spans="1:10" s="101" customFormat="1" ht="18" customHeight="1" x14ac:dyDescent="0.2">
      <c r="A29" s="1337" t="s">
        <v>367</v>
      </c>
      <c r="B29" s="1338"/>
      <c r="C29" s="1338"/>
      <c r="D29" s="1338"/>
      <c r="E29" s="1338"/>
      <c r="F29" s="1338"/>
      <c r="G29" s="1339"/>
      <c r="H29" s="266">
        <f>Dados!$T$76</f>
        <v>26</v>
      </c>
      <c r="J29" s="264"/>
    </row>
    <row r="30" spans="1:10" s="101" customFormat="1" ht="18" customHeight="1" x14ac:dyDescent="0.2">
      <c r="A30" s="1337" t="s">
        <v>368</v>
      </c>
      <c r="B30" s="1338"/>
      <c r="C30" s="1338"/>
      <c r="D30" s="1338"/>
      <c r="E30" s="1338"/>
      <c r="F30" s="1338"/>
      <c r="G30" s="1339"/>
      <c r="H30" s="267">
        <f>H28/H29</f>
        <v>24.36</v>
      </c>
      <c r="J30" s="264"/>
    </row>
    <row r="31" spans="1:10" s="98" customFormat="1" ht="18" customHeight="1" x14ac:dyDescent="0.2">
      <c r="A31" s="95"/>
      <c r="B31" s="96"/>
      <c r="C31" s="97"/>
      <c r="D31" s="97"/>
      <c r="E31" s="97"/>
      <c r="F31" s="96"/>
      <c r="G31" s="96"/>
      <c r="J31" s="265"/>
    </row>
    <row r="32" spans="1:10" s="98" customFormat="1" ht="18" customHeight="1" x14ac:dyDescent="0.2">
      <c r="A32" s="95"/>
      <c r="B32" s="96"/>
      <c r="C32" s="97"/>
      <c r="D32" s="97"/>
      <c r="E32" s="97"/>
      <c r="F32" s="96"/>
      <c r="G32" s="96"/>
      <c r="J32" s="265"/>
    </row>
  </sheetData>
  <mergeCells count="14">
    <mergeCell ref="A30:G30"/>
    <mergeCell ref="A9:H9"/>
    <mergeCell ref="A28:G28"/>
    <mergeCell ref="A29:G29"/>
    <mergeCell ref="A2:H2"/>
    <mergeCell ref="A3:H3"/>
    <mergeCell ref="A4:H4"/>
    <mergeCell ref="A5:H5"/>
    <mergeCell ref="A8:H8"/>
    <mergeCell ref="A12:H12"/>
    <mergeCell ref="A25:H25"/>
    <mergeCell ref="A22:G22"/>
    <mergeCell ref="A23:G23"/>
    <mergeCell ref="A24:G24"/>
  </mergeCells>
  <printOptions horizontalCentered="1"/>
  <pageMargins left="0.51181102362204722" right="0.39370078740157483" top="1.6535433070866143" bottom="0.35433070866141736" header="0.19685039370078741" footer="0.27559055118110237"/>
  <pageSetup paperSize="9" scale="51" fitToHeight="0" orientation="portrait" r:id="rId1"/>
  <headerFooter>
    <oddHeader>&amp;L&amp;"+,Negrito"&amp;8PROPOSTA Nº 053/2020 - CJF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8">
    <tabColor theme="7" tint="0.39997558519241921"/>
    <pageSetUpPr fitToPage="1"/>
  </sheetPr>
  <dimension ref="A1:H77"/>
  <sheetViews>
    <sheetView zoomScaleNormal="100" zoomScaleSheetLayoutView="90" workbookViewId="0">
      <selection activeCell="J64" sqref="J64"/>
    </sheetView>
  </sheetViews>
  <sheetFormatPr defaultColWidth="9.140625" defaultRowHeight="18" customHeight="1" x14ac:dyDescent="0.2"/>
  <cols>
    <col min="1" max="1" width="26.5703125" style="236" customWidth="1"/>
    <col min="2" max="2" width="12" style="100" customWidth="1"/>
    <col min="3" max="3" width="10.5703125" style="100" customWidth="1"/>
    <col min="4" max="4" width="25.42578125" style="100" customWidth="1"/>
    <col min="5" max="6" width="16.140625" style="100" customWidth="1"/>
    <col min="7" max="7" width="15.28515625" style="100" customWidth="1"/>
    <col min="8" max="8" width="16" style="100" customWidth="1"/>
    <col min="9" max="10" width="9.140625" style="236"/>
    <col min="11" max="11" width="12.5703125" style="236" bestFit="1" customWidth="1"/>
    <col min="12" max="12" width="9.7109375" style="236" bestFit="1" customWidth="1"/>
    <col min="13" max="16384" width="9.140625" style="236"/>
  </cols>
  <sheetData>
    <row r="1" spans="1:8" ht="14.25" x14ac:dyDescent="0.2"/>
    <row r="2" spans="1:8" ht="14.25" hidden="1" x14ac:dyDescent="0.2">
      <c r="A2" s="1326" t="str">
        <f>Dados!A5</f>
        <v>CONSELHO DA JUSTIÇA FEDERAL - CJF</v>
      </c>
      <c r="B2" s="1326"/>
      <c r="C2" s="1326"/>
      <c r="D2" s="1326"/>
      <c r="E2" s="1326"/>
      <c r="F2" s="1326"/>
      <c r="G2" s="1326"/>
      <c r="H2" s="1326"/>
    </row>
    <row r="3" spans="1:8" ht="61.5" hidden="1" customHeight="1" x14ac:dyDescent="0.2">
      <c r="A3" s="1326" t="str">
        <f>Dados!A9</f>
        <v>PREGÃO ELETRÔNICO Nº 09/2020 - CJF</v>
      </c>
      <c r="B3" s="1326"/>
      <c r="C3" s="1326"/>
      <c r="D3" s="1326"/>
      <c r="E3" s="1326"/>
      <c r="F3" s="1326"/>
      <c r="G3" s="1326"/>
      <c r="H3" s="1326"/>
    </row>
    <row r="4" spans="1:8" ht="20.25" hidden="1" customHeight="1" x14ac:dyDescent="0.2">
      <c r="A4" s="1328" t="str">
        <f>Dados!A10</f>
        <v>CONTRATO Nº __________/201__ - CONTRATANTE - PRESTAÇÃO DE SERVIÇOS --------</v>
      </c>
      <c r="B4" s="1328"/>
      <c r="C4" s="1328"/>
      <c r="D4" s="1328"/>
      <c r="E4" s="1328"/>
      <c r="F4" s="1328"/>
      <c r="G4" s="1328"/>
      <c r="H4" s="1328"/>
    </row>
    <row r="5" spans="1:8" ht="1.5" hidden="1" customHeight="1" x14ac:dyDescent="0.2">
      <c r="A5" s="1328" t="str">
        <f>Dados!H2</f>
        <v xml:space="preserve">REPACTUAÇÃO CONTRATUAL 20___ - </v>
      </c>
      <c r="B5" s="1328"/>
      <c r="C5" s="1328"/>
      <c r="D5" s="1328"/>
      <c r="E5" s="1328"/>
      <c r="F5" s="1328"/>
      <c r="G5" s="1328"/>
      <c r="H5" s="1328"/>
    </row>
    <row r="6" spans="1:8" ht="14.25" hidden="1" x14ac:dyDescent="0.2">
      <c r="A6" s="237"/>
      <c r="B6" s="86"/>
      <c r="C6" s="86"/>
      <c r="D6" s="86"/>
      <c r="E6" s="86"/>
      <c r="F6" s="86"/>
      <c r="G6" s="86"/>
      <c r="H6" s="86"/>
    </row>
    <row r="7" spans="1:8" ht="14.25" hidden="1" x14ac:dyDescent="0.2">
      <c r="A7" s="237"/>
      <c r="B7" s="86"/>
      <c r="C7" s="86"/>
      <c r="D7" s="86"/>
      <c r="E7" s="86"/>
      <c r="F7" s="86"/>
      <c r="G7" s="86"/>
      <c r="H7" s="86"/>
    </row>
    <row r="8" spans="1:8" ht="14.25" hidden="1" customHeight="1" x14ac:dyDescent="0.2">
      <c r="A8" s="1327" t="s">
        <v>361</v>
      </c>
      <c r="B8" s="1327"/>
      <c r="C8" s="1327"/>
      <c r="D8" s="1327"/>
      <c r="E8" s="1327"/>
      <c r="F8" s="1327"/>
      <c r="G8" s="1327"/>
      <c r="H8" s="1327"/>
    </row>
    <row r="9" spans="1:8" ht="14.25" hidden="1" customHeight="1" x14ac:dyDescent="0.2">
      <c r="A9" s="1327" t="s">
        <v>362</v>
      </c>
      <c r="B9" s="1327"/>
      <c r="C9" s="1327"/>
      <c r="D9" s="1327"/>
      <c r="E9" s="1327"/>
      <c r="F9" s="1327"/>
      <c r="G9" s="1327"/>
      <c r="H9" s="1327"/>
    </row>
    <row r="10" spans="1:8" ht="14.25" hidden="1" x14ac:dyDescent="0.2">
      <c r="B10" s="231"/>
      <c r="C10" s="231"/>
      <c r="D10" s="231"/>
      <c r="E10" s="231"/>
      <c r="F10" s="231"/>
      <c r="G10" s="231"/>
      <c r="H10" s="994"/>
    </row>
    <row r="11" spans="1:8" s="238" customFormat="1" ht="18" hidden="1" customHeight="1" x14ac:dyDescent="0.2">
      <c r="A11" s="1348" t="s">
        <v>315</v>
      </c>
      <c r="B11" s="1349"/>
      <c r="C11" s="1349"/>
      <c r="D11" s="1349"/>
      <c r="E11" s="1349"/>
      <c r="F11" s="1349"/>
      <c r="G11" s="1349"/>
      <c r="H11" s="1349"/>
    </row>
    <row r="12" spans="1:8" s="238" customFormat="1" ht="28.5" hidden="1" x14ac:dyDescent="0.2">
      <c r="A12" s="241" t="s">
        <v>316</v>
      </c>
      <c r="B12" s="1348" t="s">
        <v>317</v>
      </c>
      <c r="C12" s="1350"/>
      <c r="D12" s="242" t="s">
        <v>318</v>
      </c>
      <c r="E12" s="241" t="s">
        <v>319</v>
      </c>
      <c r="F12" s="241" t="s">
        <v>348</v>
      </c>
      <c r="G12" s="241" t="s">
        <v>320</v>
      </c>
      <c r="H12" s="1011" t="s">
        <v>321</v>
      </c>
    </row>
    <row r="13" spans="1:8" s="83" customFormat="1" ht="18" hidden="1" customHeight="1" x14ac:dyDescent="0.2">
      <c r="A13" s="239" t="s">
        <v>322</v>
      </c>
      <c r="B13" s="239" t="s">
        <v>323</v>
      </c>
      <c r="C13" s="239" t="s">
        <v>324</v>
      </c>
      <c r="D13" s="240" t="s">
        <v>335</v>
      </c>
      <c r="E13" s="239" t="s">
        <v>334</v>
      </c>
      <c r="F13" s="243">
        <v>1</v>
      </c>
      <c r="G13" s="243">
        <v>2</v>
      </c>
      <c r="H13" s="254">
        <f>Dados!$U$73</f>
        <v>2192.65</v>
      </c>
    </row>
    <row r="14" spans="1:8" s="83" customFormat="1" ht="18" hidden="1" customHeight="1" x14ac:dyDescent="0.2">
      <c r="A14" s="239" t="s">
        <v>322</v>
      </c>
      <c r="B14" s="239" t="s">
        <v>323</v>
      </c>
      <c r="C14" s="239" t="s">
        <v>324</v>
      </c>
      <c r="D14" s="240" t="s">
        <v>336</v>
      </c>
      <c r="E14" s="239" t="s">
        <v>334</v>
      </c>
      <c r="F14" s="243">
        <v>1</v>
      </c>
      <c r="G14" s="243">
        <v>2</v>
      </c>
      <c r="H14" s="254">
        <f>Dados!$U$73</f>
        <v>2192.65</v>
      </c>
    </row>
    <row r="15" spans="1:8" ht="18" hidden="1" customHeight="1" x14ac:dyDescent="0.2">
      <c r="A15" s="239" t="s">
        <v>322</v>
      </c>
      <c r="B15" s="239" t="s">
        <v>323</v>
      </c>
      <c r="C15" s="239" t="s">
        <v>324</v>
      </c>
      <c r="D15" s="240" t="s">
        <v>325</v>
      </c>
      <c r="E15" s="239" t="s">
        <v>334</v>
      </c>
      <c r="F15" s="243">
        <v>1</v>
      </c>
      <c r="G15" s="243">
        <v>2</v>
      </c>
      <c r="H15" s="254">
        <f>Dados!$U$73</f>
        <v>2192.65</v>
      </c>
    </row>
    <row r="16" spans="1:8" ht="18" hidden="1" customHeight="1" x14ac:dyDescent="0.2">
      <c r="A16" s="239" t="s">
        <v>322</v>
      </c>
      <c r="B16" s="239" t="s">
        <v>326</v>
      </c>
      <c r="C16" s="239" t="s">
        <v>324</v>
      </c>
      <c r="D16" s="240" t="s">
        <v>335</v>
      </c>
      <c r="E16" s="239" t="s">
        <v>337</v>
      </c>
      <c r="F16" s="243">
        <v>1</v>
      </c>
      <c r="G16" s="243">
        <v>2</v>
      </c>
      <c r="H16" s="254">
        <f>Dados!$U$75</f>
        <v>2192.65</v>
      </c>
    </row>
    <row r="17" spans="1:8" ht="18" hidden="1" customHeight="1" x14ac:dyDescent="0.2">
      <c r="A17" s="239" t="s">
        <v>322</v>
      </c>
      <c r="B17" s="239" t="s">
        <v>326</v>
      </c>
      <c r="C17" s="239" t="s">
        <v>324</v>
      </c>
      <c r="D17" s="240" t="s">
        <v>336</v>
      </c>
      <c r="E17" s="239" t="s">
        <v>337</v>
      </c>
      <c r="F17" s="243">
        <v>1</v>
      </c>
      <c r="G17" s="243">
        <v>2</v>
      </c>
      <c r="H17" s="254">
        <f>Dados!$U$75</f>
        <v>2192.65</v>
      </c>
    </row>
    <row r="18" spans="1:8" ht="18" hidden="1" customHeight="1" x14ac:dyDescent="0.2">
      <c r="A18" s="239" t="s">
        <v>322</v>
      </c>
      <c r="B18" s="239" t="s">
        <v>326</v>
      </c>
      <c r="C18" s="239" t="s">
        <v>324</v>
      </c>
      <c r="D18" s="240" t="s">
        <v>325</v>
      </c>
      <c r="E18" s="239" t="s">
        <v>337</v>
      </c>
      <c r="F18" s="243">
        <v>1</v>
      </c>
      <c r="G18" s="243">
        <v>2</v>
      </c>
      <c r="H18" s="254">
        <f>Dados!$U$75</f>
        <v>2192.65</v>
      </c>
    </row>
    <row r="19" spans="1:8" ht="18" hidden="1" customHeight="1" x14ac:dyDescent="0.2">
      <c r="A19" s="239" t="s">
        <v>327</v>
      </c>
      <c r="B19" s="239" t="s">
        <v>323</v>
      </c>
      <c r="C19" s="239" t="s">
        <v>328</v>
      </c>
      <c r="D19" s="240" t="s">
        <v>329</v>
      </c>
      <c r="E19" s="239" t="s">
        <v>460</v>
      </c>
      <c r="F19" s="243">
        <v>1</v>
      </c>
      <c r="G19" s="243">
        <v>1</v>
      </c>
      <c r="H19" s="254">
        <f>Dados!$U$74</f>
        <v>2192.65</v>
      </c>
    </row>
    <row r="20" spans="1:8" ht="18" hidden="1" customHeight="1" x14ac:dyDescent="0.2">
      <c r="A20" s="239" t="s">
        <v>327</v>
      </c>
      <c r="B20" s="239" t="s">
        <v>323</v>
      </c>
      <c r="C20" s="239" t="s">
        <v>328</v>
      </c>
      <c r="D20" s="239" t="s">
        <v>330</v>
      </c>
      <c r="E20" s="239" t="s">
        <v>460</v>
      </c>
      <c r="F20" s="243">
        <v>1</v>
      </c>
      <c r="G20" s="243">
        <v>1</v>
      </c>
      <c r="H20" s="254">
        <f>Dados!$U$74</f>
        <v>2192.65</v>
      </c>
    </row>
    <row r="21" spans="1:8" ht="18" hidden="1" customHeight="1" x14ac:dyDescent="0.2">
      <c r="A21" s="239" t="s">
        <v>327</v>
      </c>
      <c r="B21" s="239" t="s">
        <v>323</v>
      </c>
      <c r="C21" s="239" t="s">
        <v>328</v>
      </c>
      <c r="D21" s="239" t="s">
        <v>329</v>
      </c>
      <c r="E21" s="239" t="s">
        <v>338</v>
      </c>
      <c r="F21" s="243">
        <v>1</v>
      </c>
      <c r="G21" s="243">
        <v>1</v>
      </c>
      <c r="H21" s="254">
        <f>Dados!$U$74</f>
        <v>2192.65</v>
      </c>
    </row>
    <row r="22" spans="1:8" ht="18" hidden="1" customHeight="1" x14ac:dyDescent="0.2">
      <c r="A22" s="239" t="s">
        <v>327</v>
      </c>
      <c r="B22" s="239" t="s">
        <v>323</v>
      </c>
      <c r="C22" s="239" t="s">
        <v>328</v>
      </c>
      <c r="D22" s="239" t="s">
        <v>330</v>
      </c>
      <c r="E22" s="239" t="s">
        <v>339</v>
      </c>
      <c r="F22" s="243">
        <v>1</v>
      </c>
      <c r="G22" s="243">
        <v>1</v>
      </c>
      <c r="H22" s="254">
        <f>Dados!$U$74</f>
        <v>2192.65</v>
      </c>
    </row>
    <row r="23" spans="1:8" ht="18" hidden="1" customHeight="1" x14ac:dyDescent="0.2">
      <c r="A23" s="239" t="s">
        <v>327</v>
      </c>
      <c r="B23" s="239" t="s">
        <v>323</v>
      </c>
      <c r="C23" s="239" t="s">
        <v>328</v>
      </c>
      <c r="D23" s="239" t="s">
        <v>325</v>
      </c>
      <c r="E23" s="239" t="s">
        <v>340</v>
      </c>
      <c r="F23" s="243">
        <v>1</v>
      </c>
      <c r="G23" s="243">
        <v>1</v>
      </c>
      <c r="H23" s="254">
        <f>Dados!$U$74</f>
        <v>2192.65</v>
      </c>
    </row>
    <row r="24" spans="1:8" ht="18" hidden="1" customHeight="1" x14ac:dyDescent="0.2">
      <c r="A24" s="239" t="s">
        <v>327</v>
      </c>
      <c r="B24" s="239" t="s">
        <v>323</v>
      </c>
      <c r="C24" s="239" t="s">
        <v>328</v>
      </c>
      <c r="D24" s="239" t="s">
        <v>341</v>
      </c>
      <c r="E24" s="239" t="s">
        <v>340</v>
      </c>
      <c r="F24" s="243">
        <f t="shared" ref="F24" si="0">G24/1</f>
        <v>1</v>
      </c>
      <c r="G24" s="243">
        <v>1</v>
      </c>
      <c r="H24" s="254">
        <f>Dados!$U$74</f>
        <v>2192.65</v>
      </c>
    </row>
    <row r="25" spans="1:8" ht="18" hidden="1" customHeight="1" x14ac:dyDescent="0.2">
      <c r="A25" s="1345" t="s">
        <v>48</v>
      </c>
      <c r="B25" s="1346"/>
      <c r="C25" s="1346"/>
      <c r="D25" s="1346"/>
      <c r="E25" s="1346"/>
      <c r="F25" s="1346"/>
      <c r="G25" s="1347"/>
      <c r="H25" s="1012">
        <f>SUM(G13:G24)</f>
        <v>18</v>
      </c>
    </row>
    <row r="26" spans="1:8" ht="18" hidden="1" customHeight="1" x14ac:dyDescent="0.2">
      <c r="A26" s="1348" t="s">
        <v>331</v>
      </c>
      <c r="B26" s="1349"/>
      <c r="C26" s="1349"/>
      <c r="D26" s="1349"/>
      <c r="E26" s="1349"/>
      <c r="F26" s="1349"/>
      <c r="G26" s="1349"/>
      <c r="H26" s="1349"/>
    </row>
    <row r="27" spans="1:8" ht="18" hidden="1" customHeight="1" x14ac:dyDescent="0.2">
      <c r="A27" s="239" t="s">
        <v>322</v>
      </c>
      <c r="B27" s="239" t="s">
        <v>323</v>
      </c>
      <c r="C27" s="239" t="s">
        <v>324</v>
      </c>
      <c r="D27" s="239" t="s">
        <v>332</v>
      </c>
      <c r="E27" s="239" t="s">
        <v>334</v>
      </c>
      <c r="F27" s="243">
        <v>1</v>
      </c>
      <c r="G27" s="243">
        <v>2</v>
      </c>
      <c r="H27" s="254">
        <f>Dados!$U$73</f>
        <v>2192.65</v>
      </c>
    </row>
    <row r="28" spans="1:8" ht="18" hidden="1" customHeight="1" x14ac:dyDescent="0.2">
      <c r="A28" s="239" t="s">
        <v>322</v>
      </c>
      <c r="B28" s="239" t="s">
        <v>323</v>
      </c>
      <c r="C28" s="239" t="s">
        <v>324</v>
      </c>
      <c r="D28" s="239" t="s">
        <v>333</v>
      </c>
      <c r="E28" s="239" t="s">
        <v>334</v>
      </c>
      <c r="F28" s="243">
        <v>1</v>
      </c>
      <c r="G28" s="243">
        <v>2</v>
      </c>
      <c r="H28" s="254">
        <f>Dados!$U$73</f>
        <v>2192.65</v>
      </c>
    </row>
    <row r="29" spans="1:8" ht="18" hidden="1" customHeight="1" x14ac:dyDescent="0.2">
      <c r="A29" s="239" t="s">
        <v>322</v>
      </c>
      <c r="B29" s="239" t="s">
        <v>326</v>
      </c>
      <c r="C29" s="239" t="s">
        <v>324</v>
      </c>
      <c r="D29" s="239" t="s">
        <v>332</v>
      </c>
      <c r="E29" s="239" t="s">
        <v>337</v>
      </c>
      <c r="F29" s="243">
        <v>1</v>
      </c>
      <c r="G29" s="243">
        <v>2</v>
      </c>
      <c r="H29" s="254">
        <f>Dados!$U$73</f>
        <v>2192.65</v>
      </c>
    </row>
    <row r="30" spans="1:8" ht="18" hidden="1" customHeight="1" x14ac:dyDescent="0.2">
      <c r="A30" s="239" t="s">
        <v>322</v>
      </c>
      <c r="B30" s="239" t="s">
        <v>326</v>
      </c>
      <c r="C30" s="239" t="s">
        <v>324</v>
      </c>
      <c r="D30" s="239" t="s">
        <v>333</v>
      </c>
      <c r="E30" s="239" t="s">
        <v>337</v>
      </c>
      <c r="F30" s="243">
        <v>1</v>
      </c>
      <c r="G30" s="243">
        <v>2</v>
      </c>
      <c r="H30" s="254">
        <f>Dados!$U$75</f>
        <v>2192.65</v>
      </c>
    </row>
    <row r="31" spans="1:8" ht="18" hidden="1" customHeight="1" x14ac:dyDescent="0.2">
      <c r="A31" s="1345" t="s">
        <v>48</v>
      </c>
      <c r="B31" s="1346"/>
      <c r="C31" s="1346"/>
      <c r="D31" s="1346"/>
      <c r="E31" s="1346"/>
      <c r="F31" s="1346"/>
      <c r="G31" s="1347"/>
      <c r="H31" s="1012">
        <f>SUM(G27:G30)</f>
        <v>8</v>
      </c>
    </row>
    <row r="32" spans="1:8" ht="18" hidden="1" customHeight="1" x14ac:dyDescent="0.2">
      <c r="A32" s="1345" t="s">
        <v>41</v>
      </c>
      <c r="B32" s="1346"/>
      <c r="C32" s="1346"/>
      <c r="D32" s="1346"/>
      <c r="E32" s="1346"/>
      <c r="F32" s="1346"/>
      <c r="G32" s="1347"/>
      <c r="H32" s="1012">
        <f>H25+H31</f>
        <v>26</v>
      </c>
    </row>
    <row r="33" spans="1:8" ht="18" hidden="1" customHeight="1" x14ac:dyDescent="0.2"/>
    <row r="34" spans="1:8" ht="18" hidden="1" customHeight="1" x14ac:dyDescent="0.2">
      <c r="F34" s="1344" t="s">
        <v>354</v>
      </c>
      <c r="G34" s="1344"/>
      <c r="H34" s="1013">
        <f>F13+F14+F15+F27+F28</f>
        <v>5</v>
      </c>
    </row>
    <row r="35" spans="1:8" ht="18" hidden="1" customHeight="1" x14ac:dyDescent="0.2">
      <c r="F35" s="1344" t="s">
        <v>355</v>
      </c>
      <c r="G35" s="1344"/>
      <c r="H35" s="1013">
        <f>SUM(F19:F24)</f>
        <v>6</v>
      </c>
    </row>
    <row r="36" spans="1:8" ht="18" hidden="1" customHeight="1" x14ac:dyDescent="0.2">
      <c r="F36" s="1344" t="s">
        <v>356</v>
      </c>
      <c r="G36" s="1344"/>
      <c r="H36" s="1013">
        <f>F16+F17+F18+F30+F29</f>
        <v>5</v>
      </c>
    </row>
    <row r="37" spans="1:8" ht="18" hidden="1" customHeight="1" x14ac:dyDescent="0.2"/>
    <row r="38" spans="1:8" ht="18" customHeight="1" x14ac:dyDescent="0.2">
      <c r="A38" s="1326" t="str">
        <f>Dados!A5</f>
        <v>CONSELHO DA JUSTIÇA FEDERAL - CJF</v>
      </c>
      <c r="B38" s="1326"/>
      <c r="C38" s="1326"/>
      <c r="D38" s="1326"/>
      <c r="E38" s="1326"/>
      <c r="F38" s="1326"/>
      <c r="G38" s="1326"/>
      <c r="H38" s="1326"/>
    </row>
    <row r="39" spans="1:8" ht="16.5" customHeight="1" x14ac:dyDescent="0.2">
      <c r="A39" s="1326" t="str">
        <f>Dados!A9</f>
        <v>PREGÃO ELETRÔNICO Nº 09/2020 - CJF</v>
      </c>
      <c r="B39" s="1326"/>
      <c r="C39" s="1326"/>
      <c r="D39" s="1326"/>
      <c r="E39" s="1326"/>
      <c r="F39" s="1326"/>
      <c r="G39" s="1326"/>
      <c r="H39" s="1326"/>
    </row>
    <row r="40" spans="1:8" ht="0.75" hidden="1" customHeight="1" x14ac:dyDescent="0.2">
      <c r="A40" s="1328" t="str">
        <f>Dados!A10</f>
        <v>CONTRATO Nº __________/201__ - CONTRATANTE - PRESTAÇÃO DE SERVIÇOS --------</v>
      </c>
      <c r="B40" s="1328"/>
      <c r="C40" s="1328"/>
      <c r="D40" s="1328"/>
      <c r="E40" s="1328"/>
      <c r="F40" s="1328"/>
      <c r="G40" s="1328"/>
      <c r="H40" s="1328"/>
    </row>
    <row r="41" spans="1:8" ht="18" hidden="1" customHeight="1" x14ac:dyDescent="0.2">
      <c r="A41" s="1328" t="str">
        <f>Dados!H2</f>
        <v xml:space="preserve">REPACTUAÇÃO CONTRATUAL 20___ - </v>
      </c>
      <c r="B41" s="1328"/>
      <c r="C41" s="1328"/>
      <c r="D41" s="1328"/>
      <c r="E41" s="1328"/>
      <c r="F41" s="1328"/>
      <c r="G41" s="1328"/>
      <c r="H41" s="1328"/>
    </row>
    <row r="42" spans="1:8" ht="18" customHeight="1" x14ac:dyDescent="0.2">
      <c r="A42" s="237"/>
      <c r="B42" s="86"/>
      <c r="C42" s="86"/>
      <c r="D42" s="86"/>
      <c r="E42" s="86"/>
      <c r="F42" s="86"/>
      <c r="G42" s="86"/>
      <c r="H42" s="86"/>
    </row>
    <row r="43" spans="1:8" ht="18" customHeight="1" x14ac:dyDescent="0.2">
      <c r="A43" s="237"/>
      <c r="B43" s="86"/>
      <c r="C43" s="86"/>
      <c r="D43" s="86"/>
      <c r="E43" s="86"/>
      <c r="F43" s="86"/>
      <c r="G43" s="86"/>
      <c r="H43" s="86"/>
    </row>
    <row r="44" spans="1:8" ht="18" customHeight="1" x14ac:dyDescent="0.2">
      <c r="A44" s="1327" t="s">
        <v>547</v>
      </c>
      <c r="B44" s="1327"/>
      <c r="C44" s="1327"/>
      <c r="D44" s="1327"/>
      <c r="E44" s="1327"/>
      <c r="F44" s="1327"/>
      <c r="G44" s="1327"/>
      <c r="H44" s="1327"/>
    </row>
    <row r="45" spans="1:8" ht="18" customHeight="1" x14ac:dyDescent="0.2">
      <c r="A45" s="1327" t="s">
        <v>362</v>
      </c>
      <c r="B45" s="1327"/>
      <c r="C45" s="1327"/>
      <c r="D45" s="1327"/>
      <c r="E45" s="1327"/>
      <c r="F45" s="1327"/>
      <c r="G45" s="1327"/>
      <c r="H45" s="1327"/>
    </row>
    <row r="46" spans="1:8" ht="18" customHeight="1" x14ac:dyDescent="0.2">
      <c r="A46" s="100"/>
      <c r="B46" s="695"/>
      <c r="C46" s="695"/>
      <c r="D46" s="695"/>
      <c r="E46" s="695"/>
      <c r="F46" s="695"/>
      <c r="G46" s="695"/>
      <c r="H46" s="994"/>
    </row>
    <row r="47" spans="1:8" ht="18" customHeight="1" x14ac:dyDescent="0.2">
      <c r="A47" s="1351" t="s">
        <v>315</v>
      </c>
      <c r="B47" s="1352"/>
      <c r="C47" s="1352"/>
      <c r="D47" s="1352"/>
      <c r="E47" s="1352"/>
      <c r="F47" s="1352"/>
      <c r="G47" s="1352"/>
      <c r="H47" s="1352"/>
    </row>
    <row r="48" spans="1:8" ht="43.5" customHeight="1" x14ac:dyDescent="0.2">
      <c r="A48" s="733" t="s">
        <v>316</v>
      </c>
      <c r="B48" s="1351" t="s">
        <v>317</v>
      </c>
      <c r="C48" s="1353"/>
      <c r="D48" s="734" t="s">
        <v>318</v>
      </c>
      <c r="E48" s="733" t="s">
        <v>319</v>
      </c>
      <c r="F48" s="733" t="s">
        <v>348</v>
      </c>
      <c r="G48" s="733" t="s">
        <v>320</v>
      </c>
      <c r="H48" s="733" t="s">
        <v>321</v>
      </c>
    </row>
    <row r="49" spans="1:8" ht="18" customHeight="1" x14ac:dyDescent="0.2">
      <c r="A49" s="735" t="s">
        <v>322</v>
      </c>
      <c r="B49" s="735" t="s">
        <v>323</v>
      </c>
      <c r="C49" s="735" t="s">
        <v>324</v>
      </c>
      <c r="D49" s="736" t="s">
        <v>335</v>
      </c>
      <c r="E49" s="735" t="s">
        <v>334</v>
      </c>
      <c r="F49" s="737">
        <v>1</v>
      </c>
      <c r="G49" s="737">
        <v>2</v>
      </c>
      <c r="H49" s="1014">
        <v>2593.73</v>
      </c>
    </row>
    <row r="50" spans="1:8" ht="18" customHeight="1" x14ac:dyDescent="0.2">
      <c r="A50" s="735" t="s">
        <v>322</v>
      </c>
      <c r="B50" s="735" t="s">
        <v>323</v>
      </c>
      <c r="C50" s="735" t="s">
        <v>324</v>
      </c>
      <c r="D50" s="736" t="s">
        <v>336</v>
      </c>
      <c r="E50" s="735" t="s">
        <v>334</v>
      </c>
      <c r="F50" s="737">
        <v>1</v>
      </c>
      <c r="G50" s="737">
        <v>2</v>
      </c>
      <c r="H50" s="1014">
        <v>2593.73</v>
      </c>
    </row>
    <row r="51" spans="1:8" ht="18" customHeight="1" x14ac:dyDescent="0.2">
      <c r="A51" s="735" t="s">
        <v>322</v>
      </c>
      <c r="B51" s="735" t="s">
        <v>323</v>
      </c>
      <c r="C51" s="735" t="s">
        <v>324</v>
      </c>
      <c r="D51" s="736" t="s">
        <v>325</v>
      </c>
      <c r="E51" s="735" t="s">
        <v>334</v>
      </c>
      <c r="F51" s="737">
        <v>1</v>
      </c>
      <c r="G51" s="737">
        <v>2</v>
      </c>
      <c r="H51" s="1014">
        <v>2593.73</v>
      </c>
    </row>
    <row r="52" spans="1:8" ht="18" customHeight="1" x14ac:dyDescent="0.2">
      <c r="A52" s="735" t="s">
        <v>322</v>
      </c>
      <c r="B52" s="735" t="s">
        <v>326</v>
      </c>
      <c r="C52" s="735" t="s">
        <v>324</v>
      </c>
      <c r="D52" s="736" t="s">
        <v>335</v>
      </c>
      <c r="E52" s="735" t="s">
        <v>337</v>
      </c>
      <c r="F52" s="737">
        <v>1</v>
      </c>
      <c r="G52" s="737">
        <v>2</v>
      </c>
      <c r="H52" s="1014">
        <v>2593.73</v>
      </c>
    </row>
    <row r="53" spans="1:8" ht="18" customHeight="1" x14ac:dyDescent="0.2">
      <c r="A53" s="735" t="s">
        <v>322</v>
      </c>
      <c r="B53" s="735" t="s">
        <v>326</v>
      </c>
      <c r="C53" s="735" t="s">
        <v>324</v>
      </c>
      <c r="D53" s="736" t="s">
        <v>336</v>
      </c>
      <c r="E53" s="735" t="s">
        <v>337</v>
      </c>
      <c r="F53" s="737">
        <v>1</v>
      </c>
      <c r="G53" s="737">
        <v>2</v>
      </c>
      <c r="H53" s="1014">
        <v>2593.73</v>
      </c>
    </row>
    <row r="54" spans="1:8" ht="18" customHeight="1" x14ac:dyDescent="0.2">
      <c r="A54" s="735" t="s">
        <v>322</v>
      </c>
      <c r="B54" s="735" t="s">
        <v>326</v>
      </c>
      <c r="C54" s="735" t="s">
        <v>324</v>
      </c>
      <c r="D54" s="736" t="s">
        <v>548</v>
      </c>
      <c r="E54" s="735" t="s">
        <v>337</v>
      </c>
      <c r="F54" s="737">
        <v>1</v>
      </c>
      <c r="G54" s="737">
        <v>2</v>
      </c>
      <c r="H54" s="1014">
        <v>2593.73</v>
      </c>
    </row>
    <row r="55" spans="1:8" ht="18" customHeight="1" x14ac:dyDescent="0.2">
      <c r="A55" s="735" t="s">
        <v>322</v>
      </c>
      <c r="B55" s="735" t="s">
        <v>326</v>
      </c>
      <c r="C55" s="735" t="s">
        <v>324</v>
      </c>
      <c r="D55" s="736" t="s">
        <v>325</v>
      </c>
      <c r="E55" s="735" t="s">
        <v>337</v>
      </c>
      <c r="F55" s="737">
        <v>1</v>
      </c>
      <c r="G55" s="737">
        <v>2</v>
      </c>
      <c r="H55" s="1014">
        <v>2593.73</v>
      </c>
    </row>
    <row r="56" spans="1:8" ht="18" customHeight="1" x14ac:dyDescent="0.2">
      <c r="A56" s="735" t="s">
        <v>327</v>
      </c>
      <c r="B56" s="735" t="s">
        <v>323</v>
      </c>
      <c r="C56" s="735" t="s">
        <v>328</v>
      </c>
      <c r="D56" s="736" t="s">
        <v>329</v>
      </c>
      <c r="E56" s="735" t="s">
        <v>460</v>
      </c>
      <c r="F56" s="737">
        <v>1</v>
      </c>
      <c r="G56" s="737">
        <v>1</v>
      </c>
      <c r="H56" s="1014">
        <v>2593.73</v>
      </c>
    </row>
    <row r="57" spans="1:8" ht="18" customHeight="1" x14ac:dyDescent="0.2">
      <c r="A57" s="735" t="s">
        <v>327</v>
      </c>
      <c r="B57" s="735" t="s">
        <v>323</v>
      </c>
      <c r="C57" s="735" t="s">
        <v>328</v>
      </c>
      <c r="D57" s="735" t="s">
        <v>330</v>
      </c>
      <c r="E57" s="735" t="s">
        <v>460</v>
      </c>
      <c r="F57" s="737">
        <v>1</v>
      </c>
      <c r="G57" s="737">
        <v>1</v>
      </c>
      <c r="H57" s="1014">
        <v>2593.73</v>
      </c>
    </row>
    <row r="58" spans="1:8" ht="18" customHeight="1" x14ac:dyDescent="0.2">
      <c r="A58" s="735" t="s">
        <v>327</v>
      </c>
      <c r="B58" s="735" t="s">
        <v>323</v>
      </c>
      <c r="C58" s="735" t="s">
        <v>328</v>
      </c>
      <c r="D58" s="735" t="s">
        <v>329</v>
      </c>
      <c r="E58" s="735" t="s">
        <v>338</v>
      </c>
      <c r="F58" s="737">
        <v>1</v>
      </c>
      <c r="G58" s="737">
        <v>1</v>
      </c>
      <c r="H58" s="1014">
        <v>2593.73</v>
      </c>
    </row>
    <row r="59" spans="1:8" ht="18" customHeight="1" x14ac:dyDescent="0.2">
      <c r="A59" s="735" t="s">
        <v>327</v>
      </c>
      <c r="B59" s="735" t="s">
        <v>323</v>
      </c>
      <c r="C59" s="735" t="s">
        <v>328</v>
      </c>
      <c r="D59" s="735" t="s">
        <v>330</v>
      </c>
      <c r="E59" s="735" t="s">
        <v>339</v>
      </c>
      <c r="F59" s="737">
        <v>1</v>
      </c>
      <c r="G59" s="737">
        <v>1</v>
      </c>
      <c r="H59" s="1014">
        <v>2593.73</v>
      </c>
    </row>
    <row r="60" spans="1:8" ht="18" customHeight="1" x14ac:dyDescent="0.2">
      <c r="A60" s="735" t="s">
        <v>327</v>
      </c>
      <c r="B60" s="735" t="s">
        <v>323</v>
      </c>
      <c r="C60" s="735" t="s">
        <v>328</v>
      </c>
      <c r="D60" s="735" t="s">
        <v>325</v>
      </c>
      <c r="E60" s="735" t="s">
        <v>340</v>
      </c>
      <c r="F60" s="737">
        <v>1</v>
      </c>
      <c r="G60" s="737">
        <v>1</v>
      </c>
      <c r="H60" s="1014">
        <v>2593.73</v>
      </c>
    </row>
    <row r="61" spans="1:8" ht="18" customHeight="1" x14ac:dyDescent="0.2">
      <c r="A61" s="735" t="s">
        <v>327</v>
      </c>
      <c r="B61" s="735" t="s">
        <v>323</v>
      </c>
      <c r="C61" s="735" t="s">
        <v>328</v>
      </c>
      <c r="D61" s="735" t="s">
        <v>341</v>
      </c>
      <c r="E61" s="735" t="s">
        <v>340</v>
      </c>
      <c r="F61" s="737">
        <f t="shared" ref="F61" si="1">G61/1</f>
        <v>1</v>
      </c>
      <c r="G61" s="737">
        <v>1</v>
      </c>
      <c r="H61" s="1014">
        <v>2593.73</v>
      </c>
    </row>
    <row r="62" spans="1:8" ht="18" customHeight="1" x14ac:dyDescent="0.2">
      <c r="A62" s="735" t="s">
        <v>327</v>
      </c>
      <c r="B62" s="735" t="s">
        <v>323</v>
      </c>
      <c r="C62" s="735" t="s">
        <v>328</v>
      </c>
      <c r="D62" s="735"/>
      <c r="E62" s="735" t="s">
        <v>340</v>
      </c>
      <c r="F62" s="737">
        <f t="shared" ref="F62:F63" si="2">G62/1</f>
        <v>1</v>
      </c>
      <c r="G62" s="737">
        <v>1</v>
      </c>
      <c r="H62" s="1014">
        <v>2593.73</v>
      </c>
    </row>
    <row r="63" spans="1:8" ht="18" customHeight="1" x14ac:dyDescent="0.2">
      <c r="A63" s="735" t="s">
        <v>327</v>
      </c>
      <c r="B63" s="735" t="s">
        <v>323</v>
      </c>
      <c r="C63" s="735" t="s">
        <v>328</v>
      </c>
      <c r="D63" s="735"/>
      <c r="E63" s="735" t="s">
        <v>340</v>
      </c>
      <c r="F63" s="737">
        <f t="shared" si="2"/>
        <v>1</v>
      </c>
      <c r="G63" s="737">
        <v>1</v>
      </c>
      <c r="H63" s="1014">
        <v>2593.73</v>
      </c>
    </row>
    <row r="64" spans="1:8" ht="18" customHeight="1" x14ac:dyDescent="0.2">
      <c r="A64" s="735" t="s">
        <v>327</v>
      </c>
      <c r="B64" s="735" t="s">
        <v>323</v>
      </c>
      <c r="C64" s="735" t="s">
        <v>328</v>
      </c>
      <c r="D64" s="735"/>
      <c r="E64" s="735" t="s">
        <v>340</v>
      </c>
      <c r="F64" s="737">
        <f t="shared" ref="F64" si="3">G64/1</f>
        <v>1</v>
      </c>
      <c r="G64" s="737">
        <v>1</v>
      </c>
      <c r="H64" s="1014">
        <v>2593.73</v>
      </c>
    </row>
    <row r="65" spans="1:8" ht="18" customHeight="1" x14ac:dyDescent="0.2">
      <c r="A65" s="735" t="s">
        <v>546</v>
      </c>
      <c r="B65" s="735" t="s">
        <v>323</v>
      </c>
      <c r="C65" s="735" t="s">
        <v>328</v>
      </c>
      <c r="D65" s="735"/>
      <c r="E65" s="735" t="s">
        <v>340</v>
      </c>
      <c r="F65" s="737">
        <f t="shared" ref="F65" si="4">G65/1</f>
        <v>1</v>
      </c>
      <c r="G65" s="737">
        <v>1</v>
      </c>
      <c r="H65" s="1014">
        <v>3111.12</v>
      </c>
    </row>
    <row r="66" spans="1:8" ht="18" customHeight="1" x14ac:dyDescent="0.2">
      <c r="A66" s="1354" t="s">
        <v>48</v>
      </c>
      <c r="B66" s="1355"/>
      <c r="C66" s="1355"/>
      <c r="D66" s="1355"/>
      <c r="E66" s="1355"/>
      <c r="F66" s="1355"/>
      <c r="G66" s="1356"/>
      <c r="H66" s="738">
        <f>SUM(G49:G65)</f>
        <v>24</v>
      </c>
    </row>
    <row r="67" spans="1:8" ht="18" customHeight="1" x14ac:dyDescent="0.2">
      <c r="A67" s="1351" t="s">
        <v>331</v>
      </c>
      <c r="B67" s="1352"/>
      <c r="C67" s="1352"/>
      <c r="D67" s="1352"/>
      <c r="E67" s="1352"/>
      <c r="F67" s="1352"/>
      <c r="G67" s="1352"/>
      <c r="H67" s="1352"/>
    </row>
    <row r="68" spans="1:8" ht="18" customHeight="1" x14ac:dyDescent="0.2">
      <c r="A68" s="735" t="s">
        <v>322</v>
      </c>
      <c r="B68" s="735" t="s">
        <v>323</v>
      </c>
      <c r="C68" s="735" t="s">
        <v>324</v>
      </c>
      <c r="D68" s="735" t="s">
        <v>332</v>
      </c>
      <c r="E68" s="735" t="s">
        <v>334</v>
      </c>
      <c r="F68" s="737">
        <v>1</v>
      </c>
      <c r="G68" s="737">
        <v>2</v>
      </c>
      <c r="H68" s="1014">
        <v>2593.73</v>
      </c>
    </row>
    <row r="69" spans="1:8" ht="18" customHeight="1" x14ac:dyDescent="0.2">
      <c r="A69" s="735" t="s">
        <v>322</v>
      </c>
      <c r="B69" s="735" t="s">
        <v>323</v>
      </c>
      <c r="C69" s="735" t="s">
        <v>324</v>
      </c>
      <c r="D69" s="735" t="s">
        <v>333</v>
      </c>
      <c r="E69" s="735" t="s">
        <v>334</v>
      </c>
      <c r="F69" s="737">
        <v>1</v>
      </c>
      <c r="G69" s="737">
        <v>2</v>
      </c>
      <c r="H69" s="1014">
        <v>2593.73</v>
      </c>
    </row>
    <row r="70" spans="1:8" ht="18" customHeight="1" x14ac:dyDescent="0.2">
      <c r="A70" s="735" t="s">
        <v>322</v>
      </c>
      <c r="B70" s="735" t="s">
        <v>326</v>
      </c>
      <c r="C70" s="735" t="s">
        <v>324</v>
      </c>
      <c r="D70" s="735" t="s">
        <v>332</v>
      </c>
      <c r="E70" s="735" t="s">
        <v>337</v>
      </c>
      <c r="F70" s="737">
        <v>1</v>
      </c>
      <c r="G70" s="737">
        <v>2</v>
      </c>
      <c r="H70" s="1014">
        <v>2593.73</v>
      </c>
    </row>
    <row r="71" spans="1:8" ht="18" customHeight="1" x14ac:dyDescent="0.2">
      <c r="A71" s="735" t="s">
        <v>322</v>
      </c>
      <c r="B71" s="735" t="s">
        <v>326</v>
      </c>
      <c r="C71" s="735" t="s">
        <v>324</v>
      </c>
      <c r="D71" s="735" t="s">
        <v>333</v>
      </c>
      <c r="E71" s="735" t="s">
        <v>337</v>
      </c>
      <c r="F71" s="737">
        <v>1</v>
      </c>
      <c r="G71" s="737">
        <v>2</v>
      </c>
      <c r="H71" s="1014">
        <v>2593.73</v>
      </c>
    </row>
    <row r="72" spans="1:8" ht="18" customHeight="1" x14ac:dyDescent="0.2">
      <c r="A72" s="1354" t="s">
        <v>48</v>
      </c>
      <c r="B72" s="1355"/>
      <c r="C72" s="1355"/>
      <c r="D72" s="1355"/>
      <c r="E72" s="1355"/>
      <c r="F72" s="1355"/>
      <c r="G72" s="1356"/>
      <c r="H72" s="738">
        <f>SUM(G68:G71)</f>
        <v>8</v>
      </c>
    </row>
    <row r="73" spans="1:8" ht="18" customHeight="1" x14ac:dyDescent="0.2">
      <c r="A73" s="1354" t="s">
        <v>41</v>
      </c>
      <c r="B73" s="1355"/>
      <c r="C73" s="1355"/>
      <c r="D73" s="1355"/>
      <c r="E73" s="1355"/>
      <c r="F73" s="1355"/>
      <c r="G73" s="1356"/>
      <c r="H73" s="738">
        <f>H66+H72</f>
        <v>32</v>
      </c>
    </row>
    <row r="74" spans="1:8" ht="18" customHeight="1" x14ac:dyDescent="0.2">
      <c r="A74" s="100"/>
    </row>
    <row r="75" spans="1:8" ht="18" customHeight="1" x14ac:dyDescent="0.2">
      <c r="A75" s="100"/>
      <c r="F75" s="1344" t="s">
        <v>354</v>
      </c>
      <c r="G75" s="1344"/>
      <c r="H75" s="739">
        <f>F49+F50+F51+F68+F69</f>
        <v>5</v>
      </c>
    </row>
    <row r="76" spans="1:8" ht="18" customHeight="1" x14ac:dyDescent="0.2">
      <c r="A76" s="100"/>
      <c r="F76" s="1344" t="s">
        <v>355</v>
      </c>
      <c r="G76" s="1344"/>
      <c r="H76" s="739">
        <f>SUM(F56:F64)</f>
        <v>9</v>
      </c>
    </row>
    <row r="77" spans="1:8" ht="18" customHeight="1" x14ac:dyDescent="0.2">
      <c r="A77" s="100"/>
      <c r="F77" s="1344" t="s">
        <v>356</v>
      </c>
      <c r="G77" s="1344"/>
      <c r="H77" s="739">
        <f>F52+F53+F55+F71+F70</f>
        <v>5</v>
      </c>
    </row>
  </sheetData>
  <mergeCells count="30">
    <mergeCell ref="A72:G72"/>
    <mergeCell ref="A73:G73"/>
    <mergeCell ref="F75:G75"/>
    <mergeCell ref="F76:G76"/>
    <mergeCell ref="F77:G77"/>
    <mergeCell ref="A45:H45"/>
    <mergeCell ref="A47:H47"/>
    <mergeCell ref="B48:C48"/>
    <mergeCell ref="A66:G66"/>
    <mergeCell ref="A67:H67"/>
    <mergeCell ref="A38:H38"/>
    <mergeCell ref="A39:H39"/>
    <mergeCell ref="A40:H40"/>
    <mergeCell ref="A41:H41"/>
    <mergeCell ref="A44:H44"/>
    <mergeCell ref="F34:G34"/>
    <mergeCell ref="F35:G35"/>
    <mergeCell ref="F36:G36"/>
    <mergeCell ref="A2:H2"/>
    <mergeCell ref="A3:H3"/>
    <mergeCell ref="A4:H4"/>
    <mergeCell ref="A5:H5"/>
    <mergeCell ref="A9:H9"/>
    <mergeCell ref="A25:G25"/>
    <mergeCell ref="A26:H26"/>
    <mergeCell ref="A31:G31"/>
    <mergeCell ref="A32:G32"/>
    <mergeCell ref="A11:H11"/>
    <mergeCell ref="B12:C12"/>
    <mergeCell ref="A8:H8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9" fitToHeight="0" orientation="portrait" r:id="rId1"/>
  <headerFooter>
    <oddHeader>&amp;L&amp;"+,Negrito"&amp;8PROPOSTA Nº 053/2020 - CJF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tabColor rgb="FF92D050"/>
    <pageSetUpPr fitToPage="1"/>
  </sheetPr>
  <dimension ref="A2:AN65"/>
  <sheetViews>
    <sheetView topLeftCell="P6" zoomScale="78" zoomScaleNormal="78" zoomScaleSheetLayoutView="90" workbookViewId="0">
      <selection activeCell="AV55" sqref="AV55"/>
    </sheetView>
  </sheetViews>
  <sheetFormatPr defaultColWidth="9.140625" defaultRowHeight="14.25" x14ac:dyDescent="0.2"/>
  <cols>
    <col min="1" max="1" width="6" style="213" hidden="1" customWidth="1"/>
    <col min="2" max="2" width="13.140625" style="213" hidden="1" customWidth="1"/>
    <col min="3" max="3" width="30.140625" style="213" hidden="1" customWidth="1"/>
    <col min="4" max="4" width="15" style="213" hidden="1" customWidth="1"/>
    <col min="5" max="5" width="18.85546875" style="213" hidden="1" customWidth="1"/>
    <col min="6" max="6" width="19" style="213" hidden="1" customWidth="1"/>
    <col min="7" max="7" width="25.140625" style="213" hidden="1" customWidth="1"/>
    <col min="8" max="8" width="10" style="213" hidden="1" customWidth="1"/>
    <col min="9" max="9" width="0" style="213" hidden="1" customWidth="1"/>
    <col min="10" max="10" width="18.7109375" style="213" hidden="1" customWidth="1"/>
    <col min="11" max="11" width="27.140625" style="213" hidden="1" customWidth="1"/>
    <col min="12" max="12" width="19.140625" style="213" hidden="1" customWidth="1"/>
    <col min="13" max="13" width="18.7109375" style="213" hidden="1" customWidth="1"/>
    <col min="14" max="14" width="18.42578125" style="213" hidden="1" customWidth="1"/>
    <col min="15" max="15" width="17.85546875" style="213" hidden="1" customWidth="1"/>
    <col min="16" max="16" width="9.140625" style="213"/>
    <col min="17" max="18" width="0" style="213" hidden="1" customWidth="1"/>
    <col min="19" max="19" width="38.140625" style="213" hidden="1" customWidth="1"/>
    <col min="20" max="20" width="12.85546875" style="213" hidden="1" customWidth="1"/>
    <col min="21" max="21" width="15.7109375" style="213" hidden="1" customWidth="1"/>
    <col min="22" max="22" width="13.85546875" style="213" hidden="1" customWidth="1"/>
    <col min="23" max="23" width="19.85546875" style="213" hidden="1" customWidth="1"/>
    <col min="24" max="24" width="0" style="213" hidden="1" customWidth="1"/>
    <col min="25" max="26" width="0" style="202" hidden="1" customWidth="1"/>
    <col min="27" max="27" width="38.140625" style="202" hidden="1" customWidth="1"/>
    <col min="28" max="28" width="12.85546875" style="202" hidden="1" customWidth="1"/>
    <col min="29" max="29" width="15.7109375" style="202" hidden="1" customWidth="1"/>
    <col min="30" max="30" width="13.85546875" style="202" hidden="1" customWidth="1"/>
    <col min="31" max="31" width="19.85546875" style="202" hidden="1" customWidth="1"/>
    <col min="32" max="32" width="0" style="213" hidden="1" customWidth="1"/>
    <col min="33" max="33" width="11.28515625" style="213" hidden="1" customWidth="1"/>
    <col min="34" max="35" width="9.140625" style="213"/>
    <col min="36" max="36" width="30.28515625" style="213" customWidth="1"/>
    <col min="37" max="37" width="13.7109375" style="213" customWidth="1"/>
    <col min="38" max="38" width="15.85546875" style="213" customWidth="1"/>
    <col min="39" max="39" width="13.85546875" style="213" customWidth="1"/>
    <col min="40" max="40" width="18.85546875" style="213" customWidth="1"/>
    <col min="41" max="16384" width="9.140625" style="213"/>
  </cols>
  <sheetData>
    <row r="2" spans="1:40" x14ac:dyDescent="0.2">
      <c r="A2" s="1390" t="str">
        <f>Dados!A5</f>
        <v>CONSELHO DA JUSTIÇA FEDERAL - CJF</v>
      </c>
      <c r="B2" s="1390"/>
      <c r="C2" s="1390"/>
      <c r="D2" s="1390"/>
      <c r="E2" s="1390"/>
      <c r="F2" s="1390"/>
      <c r="G2" s="1390"/>
      <c r="I2" s="1381" t="s">
        <v>306</v>
      </c>
      <c r="J2" s="1381"/>
      <c r="K2" s="1381"/>
      <c r="L2" s="1381"/>
      <c r="M2" s="1381"/>
      <c r="N2" s="1381"/>
      <c r="O2" s="1381"/>
      <c r="Q2" s="1381" t="s">
        <v>306</v>
      </c>
      <c r="R2" s="1381"/>
      <c r="S2" s="1381"/>
      <c r="T2" s="1381"/>
      <c r="U2" s="1381"/>
      <c r="V2" s="1381"/>
      <c r="W2" s="1381"/>
      <c r="Y2" s="1401" t="s">
        <v>306</v>
      </c>
      <c r="Z2" s="1401"/>
      <c r="AA2" s="1401"/>
      <c r="AB2" s="1401"/>
      <c r="AC2" s="1401"/>
      <c r="AD2" s="1401"/>
      <c r="AE2" s="1401"/>
      <c r="AH2" s="1401" t="s">
        <v>306</v>
      </c>
      <c r="AI2" s="1401"/>
      <c r="AJ2" s="1401"/>
      <c r="AK2" s="1401"/>
      <c r="AL2" s="1401"/>
      <c r="AM2" s="1401"/>
      <c r="AN2" s="1401"/>
    </row>
    <row r="3" spans="1:40" x14ac:dyDescent="0.2">
      <c r="A3" s="1381" t="str">
        <f>Dados!A9</f>
        <v>PREGÃO ELETRÔNICO Nº 09/2020 - CJF</v>
      </c>
      <c r="B3" s="1381"/>
      <c r="C3" s="1381"/>
      <c r="D3" s="1381"/>
      <c r="E3" s="1381"/>
      <c r="F3" s="1381"/>
      <c r="G3" s="1381"/>
      <c r="I3" s="1381" t="s">
        <v>309</v>
      </c>
      <c r="J3" s="1381"/>
      <c r="K3" s="1381"/>
      <c r="L3" s="1381"/>
      <c r="M3" s="1381"/>
      <c r="N3" s="1381"/>
      <c r="O3" s="1381"/>
      <c r="Q3" s="1381" t="s">
        <v>309</v>
      </c>
      <c r="R3" s="1381"/>
      <c r="S3" s="1381"/>
      <c r="T3" s="1381"/>
      <c r="U3" s="1381"/>
      <c r="V3" s="1381"/>
      <c r="W3" s="1381"/>
      <c r="Y3" s="1401" t="s">
        <v>309</v>
      </c>
      <c r="Z3" s="1401"/>
      <c r="AA3" s="1401"/>
      <c r="AB3" s="1401"/>
      <c r="AC3" s="1401"/>
      <c r="AD3" s="1401"/>
      <c r="AE3" s="1401"/>
      <c r="AH3" s="1401" t="s">
        <v>309</v>
      </c>
      <c r="AI3" s="1401"/>
      <c r="AJ3" s="1401"/>
      <c r="AK3" s="1401"/>
      <c r="AL3" s="1401"/>
      <c r="AM3" s="1401"/>
      <c r="AN3" s="1401"/>
    </row>
    <row r="4" spans="1:40" hidden="1" x14ac:dyDescent="0.2">
      <c r="A4" s="1391" t="str">
        <f>Dados!A10</f>
        <v>CONTRATO Nº __________/201__ - CONTRATANTE - PRESTAÇÃO DE SERVIÇOS --------</v>
      </c>
      <c r="B4" s="1391"/>
      <c r="C4" s="1391"/>
      <c r="D4" s="1391"/>
      <c r="E4" s="1391"/>
      <c r="F4" s="1391"/>
      <c r="G4" s="1391"/>
      <c r="I4" s="1381" t="s">
        <v>288</v>
      </c>
      <c r="J4" s="1381"/>
      <c r="K4" s="1381"/>
      <c r="L4" s="1381"/>
      <c r="M4" s="1381"/>
      <c r="N4" s="1381"/>
      <c r="O4" s="1381"/>
      <c r="Q4" s="1381" t="s">
        <v>288</v>
      </c>
      <c r="R4" s="1381"/>
      <c r="S4" s="1381"/>
      <c r="T4" s="1381"/>
      <c r="U4" s="1381"/>
      <c r="V4" s="1381"/>
      <c r="W4" s="1381"/>
      <c r="Y4" s="1401" t="s">
        <v>288</v>
      </c>
      <c r="Z4" s="1401"/>
      <c r="AA4" s="1401"/>
      <c r="AB4" s="1401"/>
      <c r="AC4" s="1401"/>
      <c r="AD4" s="1401"/>
      <c r="AE4" s="1401"/>
      <c r="AH4" s="1401" t="s">
        <v>288</v>
      </c>
      <c r="AI4" s="1401"/>
      <c r="AJ4" s="1401"/>
      <c r="AK4" s="1401"/>
      <c r="AL4" s="1401"/>
      <c r="AM4" s="1401"/>
      <c r="AN4" s="1401"/>
    </row>
    <row r="5" spans="1:40" hidden="1" x14ac:dyDescent="0.2">
      <c r="A5" s="1391" t="str">
        <f>Dados!H2</f>
        <v xml:space="preserve">REPACTUAÇÃO CONTRATUAL 20___ - </v>
      </c>
      <c r="B5" s="1391"/>
      <c r="C5" s="1391"/>
      <c r="D5" s="1391"/>
      <c r="E5" s="1391"/>
      <c r="F5" s="1391"/>
      <c r="G5" s="1391"/>
      <c r="I5" s="1381" t="s">
        <v>289</v>
      </c>
      <c r="J5" s="1381"/>
      <c r="K5" s="1381"/>
      <c r="L5" s="1381"/>
      <c r="M5" s="1381"/>
      <c r="N5" s="1381"/>
      <c r="O5" s="1381"/>
      <c r="Q5" s="1381" t="s">
        <v>289</v>
      </c>
      <c r="R5" s="1381"/>
      <c r="S5" s="1381"/>
      <c r="T5" s="1381"/>
      <c r="U5" s="1381"/>
      <c r="V5" s="1381"/>
      <c r="W5" s="1381"/>
      <c r="Y5" s="1401" t="s">
        <v>289</v>
      </c>
      <c r="Z5" s="1401"/>
      <c r="AA5" s="1401"/>
      <c r="AB5" s="1401"/>
      <c r="AC5" s="1401"/>
      <c r="AD5" s="1401"/>
      <c r="AE5" s="1401"/>
      <c r="AH5" s="1401" t="s">
        <v>289</v>
      </c>
      <c r="AI5" s="1401"/>
      <c r="AJ5" s="1401"/>
      <c r="AK5" s="1401"/>
      <c r="AL5" s="1401"/>
      <c r="AM5" s="1401"/>
      <c r="AN5" s="1401"/>
    </row>
    <row r="6" spans="1:40" x14ac:dyDescent="0.2">
      <c r="A6" s="214"/>
      <c r="B6" s="214"/>
      <c r="C6" s="214"/>
      <c r="I6" s="1381" t="s">
        <v>488</v>
      </c>
      <c r="J6" s="1381"/>
      <c r="K6" s="1381"/>
      <c r="L6" s="1381"/>
      <c r="M6" s="1381"/>
      <c r="N6" s="1381"/>
      <c r="O6" s="1381"/>
      <c r="Q6" s="1381" t="s">
        <v>549</v>
      </c>
      <c r="R6" s="1381"/>
      <c r="S6" s="1381"/>
      <c r="T6" s="1381"/>
      <c r="U6" s="1381"/>
      <c r="V6" s="1381"/>
      <c r="W6" s="1381"/>
      <c r="Y6" s="1401" t="s">
        <v>549</v>
      </c>
      <c r="Z6" s="1401"/>
      <c r="AA6" s="1401"/>
      <c r="AB6" s="1401"/>
      <c r="AC6" s="1401"/>
      <c r="AD6" s="1401"/>
      <c r="AE6" s="1401"/>
      <c r="AH6" s="1401" t="s">
        <v>598</v>
      </c>
      <c r="AI6" s="1401"/>
      <c r="AJ6" s="1401"/>
      <c r="AK6" s="1401"/>
      <c r="AL6" s="1401"/>
      <c r="AM6" s="1401"/>
      <c r="AN6" s="1401"/>
    </row>
    <row r="7" spans="1:40" x14ac:dyDescent="0.2">
      <c r="A7" s="214"/>
      <c r="B7" s="214"/>
      <c r="C7" s="214"/>
      <c r="I7" s="214"/>
      <c r="J7" s="214"/>
      <c r="K7" s="214"/>
      <c r="Q7" s="214"/>
      <c r="R7" s="214"/>
      <c r="S7" s="214"/>
      <c r="Y7" s="823"/>
      <c r="Z7" s="823"/>
      <c r="AA7" s="823"/>
      <c r="AH7" s="823"/>
      <c r="AI7" s="823"/>
      <c r="AJ7" s="823"/>
      <c r="AK7" s="202"/>
      <c r="AL7" s="202"/>
      <c r="AM7" s="202"/>
      <c r="AN7" s="202"/>
    </row>
    <row r="8" spans="1:40" ht="14.25" customHeight="1" x14ac:dyDescent="0.2">
      <c r="A8" s="1382" t="s">
        <v>277</v>
      </c>
      <c r="B8" s="1382"/>
      <c r="C8" s="1382"/>
      <c r="D8" s="1382"/>
      <c r="E8" s="1382"/>
      <c r="F8" s="1382"/>
      <c r="G8" s="1382"/>
      <c r="I8" s="1382" t="s">
        <v>277</v>
      </c>
      <c r="J8" s="1382"/>
      <c r="K8" s="1382"/>
      <c r="L8" s="1382"/>
      <c r="M8" s="1382"/>
      <c r="N8" s="1382"/>
      <c r="O8" s="1382"/>
      <c r="Q8" s="1382" t="s">
        <v>277</v>
      </c>
      <c r="R8" s="1382"/>
      <c r="S8" s="1382"/>
      <c r="T8" s="1382"/>
      <c r="U8" s="1382"/>
      <c r="V8" s="1382"/>
      <c r="W8" s="1382"/>
      <c r="Y8" s="1402" t="s">
        <v>277</v>
      </c>
      <c r="Z8" s="1402"/>
      <c r="AA8" s="1402"/>
      <c r="AB8" s="1402"/>
      <c r="AC8" s="1402"/>
      <c r="AD8" s="1402"/>
      <c r="AE8" s="1402"/>
      <c r="AH8" s="1402" t="s">
        <v>277</v>
      </c>
      <c r="AI8" s="1402"/>
      <c r="AJ8" s="1402"/>
      <c r="AK8" s="1402"/>
      <c r="AL8" s="1402"/>
      <c r="AM8" s="1402"/>
      <c r="AN8" s="1402"/>
    </row>
    <row r="9" spans="1:40" x14ac:dyDescent="0.2">
      <c r="AH9" s="202"/>
      <c r="AI9" s="202"/>
      <c r="AJ9" s="202"/>
      <c r="AK9" s="202"/>
      <c r="AL9" s="202"/>
      <c r="AM9" s="202"/>
      <c r="AN9" s="202"/>
    </row>
    <row r="10" spans="1:40" x14ac:dyDescent="0.2">
      <c r="A10" s="1361" t="s">
        <v>292</v>
      </c>
      <c r="B10" s="1362"/>
      <c r="C10" s="1362"/>
      <c r="D10" s="1362"/>
      <c r="E10" s="1362"/>
      <c r="F10" s="1362"/>
      <c r="G10" s="1363"/>
      <c r="I10" s="1361" t="s">
        <v>292</v>
      </c>
      <c r="J10" s="1362"/>
      <c r="K10" s="1362"/>
      <c r="L10" s="1362"/>
      <c r="M10" s="1362"/>
      <c r="N10" s="1362"/>
      <c r="O10" s="1363"/>
      <c r="Q10" s="1361" t="s">
        <v>292</v>
      </c>
      <c r="R10" s="1362"/>
      <c r="S10" s="1362"/>
      <c r="T10" s="1362"/>
      <c r="U10" s="1362"/>
      <c r="V10" s="1362"/>
      <c r="W10" s="1363"/>
      <c r="Y10" s="1403" t="s">
        <v>292</v>
      </c>
      <c r="Z10" s="1404"/>
      <c r="AA10" s="1404"/>
      <c r="AB10" s="1404"/>
      <c r="AC10" s="1404"/>
      <c r="AD10" s="1404"/>
      <c r="AE10" s="1405"/>
      <c r="AH10" s="1403" t="s">
        <v>292</v>
      </c>
      <c r="AI10" s="1404"/>
      <c r="AJ10" s="1404"/>
      <c r="AK10" s="1404"/>
      <c r="AL10" s="1404"/>
      <c r="AM10" s="1404"/>
      <c r="AN10" s="1405"/>
    </row>
    <row r="11" spans="1:40" ht="42.75" x14ac:dyDescent="0.2">
      <c r="A11" s="1" t="s">
        <v>63</v>
      </c>
      <c r="B11" s="1368" t="s">
        <v>150</v>
      </c>
      <c r="C11" s="1369"/>
      <c r="D11" s="1" t="s">
        <v>111</v>
      </c>
      <c r="E11" s="1" t="s">
        <v>88</v>
      </c>
      <c r="F11" s="1" t="s">
        <v>101</v>
      </c>
      <c r="G11" s="1" t="s">
        <v>89</v>
      </c>
      <c r="I11" s="1" t="s">
        <v>63</v>
      </c>
      <c r="J11" s="1368" t="s">
        <v>150</v>
      </c>
      <c r="K11" s="1369"/>
      <c r="L11" s="1" t="s">
        <v>111</v>
      </c>
      <c r="M11" s="1" t="s">
        <v>88</v>
      </c>
      <c r="N11" s="1" t="s">
        <v>101</v>
      </c>
      <c r="O11" s="1" t="s">
        <v>89</v>
      </c>
      <c r="Q11" s="1" t="s">
        <v>63</v>
      </c>
      <c r="R11" s="1368" t="s">
        <v>150</v>
      </c>
      <c r="S11" s="1369"/>
      <c r="T11" s="1" t="s">
        <v>111</v>
      </c>
      <c r="U11" s="1" t="s">
        <v>88</v>
      </c>
      <c r="V11" s="1" t="s">
        <v>101</v>
      </c>
      <c r="W11" s="1" t="s">
        <v>89</v>
      </c>
      <c r="Y11" s="824" t="s">
        <v>63</v>
      </c>
      <c r="Z11" s="1406" t="s">
        <v>150</v>
      </c>
      <c r="AA11" s="1407"/>
      <c r="AB11" s="824" t="s">
        <v>111</v>
      </c>
      <c r="AC11" s="824" t="s">
        <v>88</v>
      </c>
      <c r="AD11" s="824" t="s">
        <v>101</v>
      </c>
      <c r="AE11" s="824" t="s">
        <v>89</v>
      </c>
      <c r="AH11" s="824" t="s">
        <v>63</v>
      </c>
      <c r="AI11" s="1406" t="s">
        <v>150</v>
      </c>
      <c r="AJ11" s="1407"/>
      <c r="AK11" s="824" t="s">
        <v>111</v>
      </c>
      <c r="AL11" s="824" t="s">
        <v>88</v>
      </c>
      <c r="AM11" s="824" t="s">
        <v>101</v>
      </c>
      <c r="AN11" s="824" t="s">
        <v>89</v>
      </c>
    </row>
    <row r="12" spans="1:40" x14ac:dyDescent="0.2">
      <c r="A12" s="1383">
        <v>1</v>
      </c>
      <c r="B12" s="1359" t="str">
        <f>Dados!J30</f>
        <v>Escala 12x36 horas</v>
      </c>
      <c r="C12" s="1360"/>
      <c r="D12" s="2">
        <f>INDEX(Dados!$J$27:$M$32,MATCH(B12,Dados!$J$27:$J$32,0),4)</f>
        <v>15</v>
      </c>
      <c r="E12" s="1385">
        <f>Dados!$I$45</f>
        <v>5.5</v>
      </c>
      <c r="F12" s="1387">
        <f>$E$12*2</f>
        <v>11</v>
      </c>
      <c r="G12" s="3">
        <f>$F$12*D12</f>
        <v>165</v>
      </c>
      <c r="I12" s="1383">
        <v>1</v>
      </c>
      <c r="J12" s="1359" t="s">
        <v>140</v>
      </c>
      <c r="K12" s="1360"/>
      <c r="L12" s="2">
        <v>15</v>
      </c>
      <c r="M12" s="1385">
        <v>5.5</v>
      </c>
      <c r="N12" s="1387">
        <v>11</v>
      </c>
      <c r="O12" s="3">
        <v>165</v>
      </c>
      <c r="Q12" s="1383">
        <v>1</v>
      </c>
      <c r="R12" s="1359" t="s">
        <v>140</v>
      </c>
      <c r="S12" s="1360"/>
      <c r="T12" s="2">
        <v>15</v>
      </c>
      <c r="U12" s="1385">
        <v>5.5</v>
      </c>
      <c r="V12" s="1387">
        <v>11</v>
      </c>
      <c r="W12" s="3">
        <v>165</v>
      </c>
      <c r="Y12" s="1408">
        <v>1</v>
      </c>
      <c r="Z12" s="1410" t="s">
        <v>140</v>
      </c>
      <c r="AA12" s="1411"/>
      <c r="AB12" s="825">
        <v>15</v>
      </c>
      <c r="AC12" s="1412">
        <v>5.5</v>
      </c>
      <c r="AD12" s="1414">
        <v>11</v>
      </c>
      <c r="AE12" s="826">
        <v>165</v>
      </c>
      <c r="AH12" s="1408">
        <v>1</v>
      </c>
      <c r="AI12" s="1410" t="s">
        <v>140</v>
      </c>
      <c r="AJ12" s="1411"/>
      <c r="AK12" s="825">
        <v>15</v>
      </c>
      <c r="AL12" s="1412">
        <v>5.5</v>
      </c>
      <c r="AM12" s="1414">
        <v>11</v>
      </c>
      <c r="AN12" s="826">
        <v>165</v>
      </c>
    </row>
    <row r="13" spans="1:40" x14ac:dyDescent="0.2">
      <c r="A13" s="1384"/>
      <c r="B13" s="1359" t="str">
        <f>Dados!J31</f>
        <v>44 horas semanais - 5x2</v>
      </c>
      <c r="C13" s="1360"/>
      <c r="D13" s="2">
        <f>INDEX(Dados!$J$27:$M$32,MATCH(B13,Dados!$J$27:$J$32,0),4)</f>
        <v>22</v>
      </c>
      <c r="E13" s="1386"/>
      <c r="F13" s="1388"/>
      <c r="G13" s="3">
        <f>$F$12*D13</f>
        <v>242</v>
      </c>
      <c r="I13" s="1384"/>
      <c r="J13" s="1359" t="s">
        <v>141</v>
      </c>
      <c r="K13" s="1360"/>
      <c r="L13" s="2">
        <v>22</v>
      </c>
      <c r="M13" s="1386"/>
      <c r="N13" s="1388"/>
      <c r="O13" s="3">
        <v>242</v>
      </c>
      <c r="Q13" s="1384"/>
      <c r="R13" s="1359" t="s">
        <v>141</v>
      </c>
      <c r="S13" s="1360"/>
      <c r="T13" s="2">
        <v>22</v>
      </c>
      <c r="U13" s="1386"/>
      <c r="V13" s="1388"/>
      <c r="W13" s="3">
        <v>242</v>
      </c>
      <c r="Y13" s="1409"/>
      <c r="Z13" s="1410" t="s">
        <v>141</v>
      </c>
      <c r="AA13" s="1411"/>
      <c r="AB13" s="825">
        <v>22</v>
      </c>
      <c r="AC13" s="1413"/>
      <c r="AD13" s="1415"/>
      <c r="AE13" s="826">
        <v>242</v>
      </c>
      <c r="AH13" s="1409"/>
      <c r="AI13" s="1410" t="s">
        <v>141</v>
      </c>
      <c r="AJ13" s="1411"/>
      <c r="AK13" s="825">
        <v>22</v>
      </c>
      <c r="AL13" s="1413"/>
      <c r="AM13" s="1415"/>
      <c r="AN13" s="826">
        <v>242</v>
      </c>
    </row>
    <row r="14" spans="1:40" x14ac:dyDescent="0.2">
      <c r="A14" s="1376"/>
      <c r="B14" s="1377"/>
      <c r="C14" s="1377"/>
      <c r="D14" s="1377"/>
      <c r="E14" s="1377"/>
      <c r="F14" s="1377"/>
      <c r="G14" s="1378"/>
      <c r="I14" s="1376"/>
      <c r="J14" s="1377"/>
      <c r="K14" s="1377"/>
      <c r="L14" s="1377"/>
      <c r="M14" s="1377"/>
      <c r="N14" s="1377"/>
      <c r="O14" s="1378"/>
      <c r="Q14" s="1376"/>
      <c r="R14" s="1377"/>
      <c r="S14" s="1377"/>
      <c r="T14" s="1377"/>
      <c r="U14" s="1377"/>
      <c r="V14" s="1377"/>
      <c r="W14" s="1378"/>
      <c r="Y14" s="1416"/>
      <c r="Z14" s="1417"/>
      <c r="AA14" s="1417"/>
      <c r="AB14" s="1417"/>
      <c r="AC14" s="1417"/>
      <c r="AD14" s="1417"/>
      <c r="AE14" s="1418"/>
      <c r="AH14" s="1416"/>
      <c r="AI14" s="1417"/>
      <c r="AJ14" s="1417"/>
      <c r="AK14" s="1417"/>
      <c r="AL14" s="1417"/>
      <c r="AM14" s="1417"/>
      <c r="AN14" s="1418"/>
    </row>
    <row r="15" spans="1:40" hidden="1" x14ac:dyDescent="0.2">
      <c r="A15" s="1399" t="s">
        <v>90</v>
      </c>
      <c r="B15" s="1399"/>
      <c r="C15" s="1399"/>
      <c r="D15" s="1399"/>
      <c r="E15" s="1399"/>
      <c r="F15" s="1399"/>
      <c r="G15" s="1399"/>
      <c r="I15" s="1379" t="s">
        <v>90</v>
      </c>
      <c r="J15" s="1379"/>
      <c r="K15" s="1379"/>
      <c r="L15" s="1379"/>
      <c r="M15" s="1379"/>
      <c r="N15" s="1379"/>
      <c r="O15" s="1379"/>
      <c r="Q15" s="1379" t="s">
        <v>90</v>
      </c>
      <c r="R15" s="1379"/>
      <c r="S15" s="1379"/>
      <c r="T15" s="1379"/>
      <c r="U15" s="1379"/>
      <c r="V15" s="1379"/>
      <c r="W15" s="1379"/>
      <c r="Y15" s="1379" t="s">
        <v>90</v>
      </c>
      <c r="Z15" s="1379"/>
      <c r="AA15" s="1379"/>
      <c r="AB15" s="1379"/>
      <c r="AC15" s="1379"/>
      <c r="AD15" s="1379"/>
      <c r="AE15" s="1379"/>
      <c r="AH15" s="1379" t="s">
        <v>90</v>
      </c>
      <c r="AI15" s="1379"/>
      <c r="AJ15" s="1379"/>
      <c r="AK15" s="1379"/>
      <c r="AL15" s="1379"/>
      <c r="AM15" s="1379"/>
      <c r="AN15" s="1379"/>
    </row>
    <row r="16" spans="1:40" ht="42.75" hidden="1" x14ac:dyDescent="0.2">
      <c r="A16" s="1400" t="s">
        <v>91</v>
      </c>
      <c r="B16" s="1400"/>
      <c r="C16" s="206"/>
      <c r="D16" s="4" t="s">
        <v>92</v>
      </c>
      <c r="E16" s="4" t="s">
        <v>93</v>
      </c>
      <c r="F16" s="4" t="s">
        <v>94</v>
      </c>
      <c r="G16" s="4" t="s">
        <v>95</v>
      </c>
      <c r="I16" s="1380" t="s">
        <v>91</v>
      </c>
      <c r="J16" s="1380"/>
      <c r="K16" s="740"/>
      <c r="L16" s="741" t="s">
        <v>92</v>
      </c>
      <c r="M16" s="741" t="s">
        <v>93</v>
      </c>
      <c r="N16" s="741" t="s">
        <v>94</v>
      </c>
      <c r="O16" s="741" t="s">
        <v>95</v>
      </c>
      <c r="Q16" s="1380" t="s">
        <v>91</v>
      </c>
      <c r="R16" s="1380"/>
      <c r="S16" s="740"/>
      <c r="T16" s="741" t="s">
        <v>92</v>
      </c>
      <c r="U16" s="741" t="s">
        <v>93</v>
      </c>
      <c r="V16" s="741" t="s">
        <v>94</v>
      </c>
      <c r="W16" s="741" t="s">
        <v>95</v>
      </c>
      <c r="Y16" s="1380" t="s">
        <v>91</v>
      </c>
      <c r="Z16" s="1380"/>
      <c r="AA16" s="770"/>
      <c r="AB16" s="741" t="s">
        <v>92</v>
      </c>
      <c r="AC16" s="741" t="s">
        <v>93</v>
      </c>
      <c r="AD16" s="741" t="s">
        <v>94</v>
      </c>
      <c r="AE16" s="741" t="s">
        <v>95</v>
      </c>
      <c r="AH16" s="1380" t="s">
        <v>91</v>
      </c>
      <c r="AI16" s="1380"/>
      <c r="AJ16" s="1001"/>
      <c r="AK16" s="741" t="s">
        <v>92</v>
      </c>
      <c r="AL16" s="741" t="s">
        <v>93</v>
      </c>
      <c r="AM16" s="741" t="s">
        <v>94</v>
      </c>
      <c r="AN16" s="741" t="s">
        <v>95</v>
      </c>
    </row>
    <row r="17" spans="1:40" hidden="1" x14ac:dyDescent="0.2">
      <c r="A17" s="1389">
        <v>42736</v>
      </c>
      <c r="B17" s="1389"/>
      <c r="C17" s="204"/>
      <c r="D17" s="5">
        <v>22</v>
      </c>
      <c r="E17" s="5">
        <v>4</v>
      </c>
      <c r="F17" s="5">
        <v>5</v>
      </c>
      <c r="G17" s="6">
        <v>0</v>
      </c>
      <c r="I17" s="1372">
        <v>42736</v>
      </c>
      <c r="J17" s="1372"/>
      <c r="K17" s="742"/>
      <c r="L17" s="6">
        <v>22</v>
      </c>
      <c r="M17" s="6">
        <v>4</v>
      </c>
      <c r="N17" s="6">
        <v>5</v>
      </c>
      <c r="O17" s="6">
        <v>0</v>
      </c>
      <c r="Q17" s="1372">
        <v>42736</v>
      </c>
      <c r="R17" s="1372"/>
      <c r="S17" s="742"/>
      <c r="T17" s="6">
        <v>22</v>
      </c>
      <c r="U17" s="6">
        <v>4</v>
      </c>
      <c r="V17" s="6">
        <v>5</v>
      </c>
      <c r="W17" s="6">
        <v>0</v>
      </c>
      <c r="Y17" s="1372">
        <v>42736</v>
      </c>
      <c r="Z17" s="1372"/>
      <c r="AA17" s="769"/>
      <c r="AB17" s="6">
        <v>22</v>
      </c>
      <c r="AC17" s="6">
        <v>4</v>
      </c>
      <c r="AD17" s="6">
        <v>5</v>
      </c>
      <c r="AE17" s="6">
        <v>0</v>
      </c>
      <c r="AH17" s="1372">
        <v>42736</v>
      </c>
      <c r="AI17" s="1372"/>
      <c r="AJ17" s="998"/>
      <c r="AK17" s="6">
        <v>22</v>
      </c>
      <c r="AL17" s="6">
        <v>4</v>
      </c>
      <c r="AM17" s="6">
        <v>5</v>
      </c>
      <c r="AN17" s="6">
        <v>0</v>
      </c>
    </row>
    <row r="18" spans="1:40" hidden="1" x14ac:dyDescent="0.2">
      <c r="A18" s="1389">
        <v>42767</v>
      </c>
      <c r="B18" s="1389"/>
      <c r="C18" s="204"/>
      <c r="D18" s="5">
        <v>19</v>
      </c>
      <c r="E18" s="5">
        <v>4</v>
      </c>
      <c r="F18" s="5">
        <v>4</v>
      </c>
      <c r="G18" s="6">
        <v>1</v>
      </c>
      <c r="I18" s="1372">
        <v>42767</v>
      </c>
      <c r="J18" s="1372"/>
      <c r="K18" s="742"/>
      <c r="L18" s="6">
        <v>19</v>
      </c>
      <c r="M18" s="6">
        <v>4</v>
      </c>
      <c r="N18" s="6">
        <v>4</v>
      </c>
      <c r="O18" s="6">
        <v>1</v>
      </c>
      <c r="Q18" s="1372">
        <v>42767</v>
      </c>
      <c r="R18" s="1372"/>
      <c r="S18" s="742"/>
      <c r="T18" s="6">
        <v>19</v>
      </c>
      <c r="U18" s="6">
        <v>4</v>
      </c>
      <c r="V18" s="6">
        <v>4</v>
      </c>
      <c r="W18" s="6">
        <v>1</v>
      </c>
      <c r="Y18" s="1372">
        <v>42767</v>
      </c>
      <c r="Z18" s="1372"/>
      <c r="AA18" s="769"/>
      <c r="AB18" s="6">
        <v>19</v>
      </c>
      <c r="AC18" s="6">
        <v>4</v>
      </c>
      <c r="AD18" s="6">
        <v>4</v>
      </c>
      <c r="AE18" s="6">
        <v>1</v>
      </c>
      <c r="AH18" s="1372">
        <v>42767</v>
      </c>
      <c r="AI18" s="1372"/>
      <c r="AJ18" s="998"/>
      <c r="AK18" s="6">
        <v>19</v>
      </c>
      <c r="AL18" s="6">
        <v>4</v>
      </c>
      <c r="AM18" s="6">
        <v>4</v>
      </c>
      <c r="AN18" s="6">
        <v>1</v>
      </c>
    </row>
    <row r="19" spans="1:40" hidden="1" x14ac:dyDescent="0.2">
      <c r="A19" s="1389">
        <v>42795</v>
      </c>
      <c r="B19" s="1389"/>
      <c r="C19" s="204"/>
      <c r="D19" s="5">
        <v>23</v>
      </c>
      <c r="E19" s="5">
        <v>4</v>
      </c>
      <c r="F19" s="5">
        <v>4</v>
      </c>
      <c r="G19" s="6">
        <v>0</v>
      </c>
      <c r="I19" s="1372">
        <v>42795</v>
      </c>
      <c r="J19" s="1372"/>
      <c r="K19" s="742"/>
      <c r="L19" s="6">
        <v>23</v>
      </c>
      <c r="M19" s="6">
        <v>4</v>
      </c>
      <c r="N19" s="6">
        <v>4</v>
      </c>
      <c r="O19" s="6">
        <v>0</v>
      </c>
      <c r="Q19" s="1372">
        <v>42795</v>
      </c>
      <c r="R19" s="1372"/>
      <c r="S19" s="742"/>
      <c r="T19" s="6">
        <v>23</v>
      </c>
      <c r="U19" s="6">
        <v>4</v>
      </c>
      <c r="V19" s="6">
        <v>4</v>
      </c>
      <c r="W19" s="6">
        <v>0</v>
      </c>
      <c r="Y19" s="1372">
        <v>42795</v>
      </c>
      <c r="Z19" s="1372"/>
      <c r="AA19" s="769"/>
      <c r="AB19" s="6">
        <v>23</v>
      </c>
      <c r="AC19" s="6">
        <v>4</v>
      </c>
      <c r="AD19" s="6">
        <v>4</v>
      </c>
      <c r="AE19" s="6">
        <v>0</v>
      </c>
      <c r="AH19" s="1372">
        <v>42795</v>
      </c>
      <c r="AI19" s="1372"/>
      <c r="AJ19" s="998"/>
      <c r="AK19" s="6">
        <v>23</v>
      </c>
      <c r="AL19" s="6">
        <v>4</v>
      </c>
      <c r="AM19" s="6">
        <v>4</v>
      </c>
      <c r="AN19" s="6">
        <v>0</v>
      </c>
    </row>
    <row r="20" spans="1:40" hidden="1" x14ac:dyDescent="0.2">
      <c r="A20" s="1389">
        <v>42826</v>
      </c>
      <c r="B20" s="1389"/>
      <c r="C20" s="204"/>
      <c r="D20" s="5">
        <v>18</v>
      </c>
      <c r="E20" s="5">
        <v>5</v>
      </c>
      <c r="F20" s="5">
        <v>5</v>
      </c>
      <c r="G20" s="6">
        <v>2</v>
      </c>
      <c r="I20" s="1372">
        <v>42826</v>
      </c>
      <c r="J20" s="1372"/>
      <c r="K20" s="742"/>
      <c r="L20" s="6">
        <v>18</v>
      </c>
      <c r="M20" s="6">
        <v>5</v>
      </c>
      <c r="N20" s="6">
        <v>5</v>
      </c>
      <c r="O20" s="6">
        <v>2</v>
      </c>
      <c r="Q20" s="1372">
        <v>42826</v>
      </c>
      <c r="R20" s="1372"/>
      <c r="S20" s="742"/>
      <c r="T20" s="6">
        <v>18</v>
      </c>
      <c r="U20" s="6">
        <v>5</v>
      </c>
      <c r="V20" s="6">
        <v>5</v>
      </c>
      <c r="W20" s="6">
        <v>2</v>
      </c>
      <c r="Y20" s="1372">
        <v>42826</v>
      </c>
      <c r="Z20" s="1372"/>
      <c r="AA20" s="769"/>
      <c r="AB20" s="6">
        <v>18</v>
      </c>
      <c r="AC20" s="6">
        <v>5</v>
      </c>
      <c r="AD20" s="6">
        <v>5</v>
      </c>
      <c r="AE20" s="6">
        <v>2</v>
      </c>
      <c r="AH20" s="1372">
        <v>42826</v>
      </c>
      <c r="AI20" s="1372"/>
      <c r="AJ20" s="998"/>
      <c r="AK20" s="6">
        <v>18</v>
      </c>
      <c r="AL20" s="6">
        <v>5</v>
      </c>
      <c r="AM20" s="6">
        <v>5</v>
      </c>
      <c r="AN20" s="6">
        <v>2</v>
      </c>
    </row>
    <row r="21" spans="1:40" hidden="1" x14ac:dyDescent="0.2">
      <c r="A21" s="1389">
        <v>42856</v>
      </c>
      <c r="B21" s="1389"/>
      <c r="C21" s="204"/>
      <c r="D21" s="5">
        <v>22</v>
      </c>
      <c r="E21" s="5">
        <v>4</v>
      </c>
      <c r="F21" s="5">
        <v>4</v>
      </c>
      <c r="G21" s="6">
        <v>1</v>
      </c>
      <c r="I21" s="1372">
        <v>42856</v>
      </c>
      <c r="J21" s="1372"/>
      <c r="K21" s="742"/>
      <c r="L21" s="6">
        <v>22</v>
      </c>
      <c r="M21" s="6">
        <v>4</v>
      </c>
      <c r="N21" s="6">
        <v>4</v>
      </c>
      <c r="O21" s="6">
        <v>1</v>
      </c>
      <c r="Q21" s="1372">
        <v>42856</v>
      </c>
      <c r="R21" s="1372"/>
      <c r="S21" s="742"/>
      <c r="T21" s="6">
        <v>22</v>
      </c>
      <c r="U21" s="6">
        <v>4</v>
      </c>
      <c r="V21" s="6">
        <v>4</v>
      </c>
      <c r="W21" s="6">
        <v>1</v>
      </c>
      <c r="Y21" s="1372">
        <v>42856</v>
      </c>
      <c r="Z21" s="1372"/>
      <c r="AA21" s="769"/>
      <c r="AB21" s="6">
        <v>22</v>
      </c>
      <c r="AC21" s="6">
        <v>4</v>
      </c>
      <c r="AD21" s="6">
        <v>4</v>
      </c>
      <c r="AE21" s="6">
        <v>1</v>
      </c>
      <c r="AH21" s="1372">
        <v>42856</v>
      </c>
      <c r="AI21" s="1372"/>
      <c r="AJ21" s="998"/>
      <c r="AK21" s="6">
        <v>22</v>
      </c>
      <c r="AL21" s="6">
        <v>4</v>
      </c>
      <c r="AM21" s="6">
        <v>4</v>
      </c>
      <c r="AN21" s="6">
        <v>1</v>
      </c>
    </row>
    <row r="22" spans="1:40" hidden="1" x14ac:dyDescent="0.2">
      <c r="A22" s="1389">
        <v>42887</v>
      </c>
      <c r="B22" s="1389"/>
      <c r="C22" s="204"/>
      <c r="D22" s="5">
        <v>21</v>
      </c>
      <c r="E22" s="5">
        <v>4</v>
      </c>
      <c r="F22" s="5">
        <v>4</v>
      </c>
      <c r="G22" s="6">
        <v>1</v>
      </c>
      <c r="I22" s="1372">
        <v>42887</v>
      </c>
      <c r="J22" s="1372"/>
      <c r="K22" s="742"/>
      <c r="L22" s="6">
        <v>21</v>
      </c>
      <c r="M22" s="6">
        <v>4</v>
      </c>
      <c r="N22" s="6">
        <v>4</v>
      </c>
      <c r="O22" s="6">
        <v>1</v>
      </c>
      <c r="Q22" s="1372">
        <v>42887</v>
      </c>
      <c r="R22" s="1372"/>
      <c r="S22" s="742"/>
      <c r="T22" s="6">
        <v>21</v>
      </c>
      <c r="U22" s="6">
        <v>4</v>
      </c>
      <c r="V22" s="6">
        <v>4</v>
      </c>
      <c r="W22" s="6">
        <v>1</v>
      </c>
      <c r="Y22" s="1372">
        <v>42887</v>
      </c>
      <c r="Z22" s="1372"/>
      <c r="AA22" s="769"/>
      <c r="AB22" s="6">
        <v>21</v>
      </c>
      <c r="AC22" s="6">
        <v>4</v>
      </c>
      <c r="AD22" s="6">
        <v>4</v>
      </c>
      <c r="AE22" s="6">
        <v>1</v>
      </c>
      <c r="AH22" s="1372">
        <v>42887</v>
      </c>
      <c r="AI22" s="1372"/>
      <c r="AJ22" s="998"/>
      <c r="AK22" s="6">
        <v>21</v>
      </c>
      <c r="AL22" s="6">
        <v>4</v>
      </c>
      <c r="AM22" s="6">
        <v>4</v>
      </c>
      <c r="AN22" s="6">
        <v>1</v>
      </c>
    </row>
    <row r="23" spans="1:40" hidden="1" x14ac:dyDescent="0.2">
      <c r="A23" s="1389">
        <v>42917</v>
      </c>
      <c r="B23" s="1389"/>
      <c r="C23" s="204"/>
      <c r="D23" s="5">
        <v>21</v>
      </c>
      <c r="E23" s="5">
        <v>5</v>
      </c>
      <c r="F23" s="5">
        <v>5</v>
      </c>
      <c r="G23" s="6">
        <v>0</v>
      </c>
      <c r="I23" s="1372">
        <v>42917</v>
      </c>
      <c r="J23" s="1372"/>
      <c r="K23" s="742"/>
      <c r="L23" s="6">
        <v>21</v>
      </c>
      <c r="M23" s="6">
        <v>5</v>
      </c>
      <c r="N23" s="6">
        <v>5</v>
      </c>
      <c r="O23" s="6">
        <v>0</v>
      </c>
      <c r="Q23" s="1372">
        <v>42917</v>
      </c>
      <c r="R23" s="1372"/>
      <c r="S23" s="742"/>
      <c r="T23" s="6">
        <v>21</v>
      </c>
      <c r="U23" s="6">
        <v>5</v>
      </c>
      <c r="V23" s="6">
        <v>5</v>
      </c>
      <c r="W23" s="6">
        <v>0</v>
      </c>
      <c r="Y23" s="1372">
        <v>42917</v>
      </c>
      <c r="Z23" s="1372"/>
      <c r="AA23" s="769"/>
      <c r="AB23" s="6">
        <v>21</v>
      </c>
      <c r="AC23" s="6">
        <v>5</v>
      </c>
      <c r="AD23" s="6">
        <v>5</v>
      </c>
      <c r="AE23" s="6">
        <v>0</v>
      </c>
      <c r="AH23" s="1372">
        <v>42917</v>
      </c>
      <c r="AI23" s="1372"/>
      <c r="AJ23" s="998"/>
      <c r="AK23" s="6">
        <v>21</v>
      </c>
      <c r="AL23" s="6">
        <v>5</v>
      </c>
      <c r="AM23" s="6">
        <v>5</v>
      </c>
      <c r="AN23" s="6">
        <v>0</v>
      </c>
    </row>
    <row r="24" spans="1:40" hidden="1" x14ac:dyDescent="0.2">
      <c r="A24" s="1389">
        <v>42948</v>
      </c>
      <c r="B24" s="1389"/>
      <c r="C24" s="204"/>
      <c r="D24" s="5">
        <v>23</v>
      </c>
      <c r="E24" s="5">
        <v>4</v>
      </c>
      <c r="F24" s="5">
        <v>4</v>
      </c>
      <c r="G24" s="6">
        <v>0</v>
      </c>
      <c r="I24" s="1372">
        <v>42948</v>
      </c>
      <c r="J24" s="1372"/>
      <c r="K24" s="742"/>
      <c r="L24" s="6">
        <v>23</v>
      </c>
      <c r="M24" s="6">
        <v>4</v>
      </c>
      <c r="N24" s="6">
        <v>4</v>
      </c>
      <c r="O24" s="6">
        <v>0</v>
      </c>
      <c r="Q24" s="1372">
        <v>42948</v>
      </c>
      <c r="R24" s="1372"/>
      <c r="S24" s="742"/>
      <c r="T24" s="6">
        <v>23</v>
      </c>
      <c r="U24" s="6">
        <v>4</v>
      </c>
      <c r="V24" s="6">
        <v>4</v>
      </c>
      <c r="W24" s="6">
        <v>0</v>
      </c>
      <c r="Y24" s="1372">
        <v>42948</v>
      </c>
      <c r="Z24" s="1372"/>
      <c r="AA24" s="769"/>
      <c r="AB24" s="6">
        <v>23</v>
      </c>
      <c r="AC24" s="6">
        <v>4</v>
      </c>
      <c r="AD24" s="6">
        <v>4</v>
      </c>
      <c r="AE24" s="6">
        <v>0</v>
      </c>
      <c r="AH24" s="1372">
        <v>42948</v>
      </c>
      <c r="AI24" s="1372"/>
      <c r="AJ24" s="998"/>
      <c r="AK24" s="6">
        <v>23</v>
      </c>
      <c r="AL24" s="6">
        <v>4</v>
      </c>
      <c r="AM24" s="6">
        <v>4</v>
      </c>
      <c r="AN24" s="6">
        <v>0</v>
      </c>
    </row>
    <row r="25" spans="1:40" hidden="1" x14ac:dyDescent="0.2">
      <c r="A25" s="1389">
        <v>42979</v>
      </c>
      <c r="B25" s="1389"/>
      <c r="C25" s="204"/>
      <c r="D25" s="5">
        <v>20</v>
      </c>
      <c r="E25" s="5">
        <v>5</v>
      </c>
      <c r="F25" s="5">
        <v>4</v>
      </c>
      <c r="G25" s="6">
        <v>1</v>
      </c>
      <c r="I25" s="1372">
        <v>42979</v>
      </c>
      <c r="J25" s="1372"/>
      <c r="K25" s="742"/>
      <c r="L25" s="6">
        <v>20</v>
      </c>
      <c r="M25" s="6">
        <v>5</v>
      </c>
      <c r="N25" s="6">
        <v>4</v>
      </c>
      <c r="O25" s="6">
        <v>1</v>
      </c>
      <c r="Q25" s="1372">
        <v>42979</v>
      </c>
      <c r="R25" s="1372"/>
      <c r="S25" s="742"/>
      <c r="T25" s="6">
        <v>20</v>
      </c>
      <c r="U25" s="6">
        <v>5</v>
      </c>
      <c r="V25" s="6">
        <v>4</v>
      </c>
      <c r="W25" s="6">
        <v>1</v>
      </c>
      <c r="Y25" s="1372">
        <v>42979</v>
      </c>
      <c r="Z25" s="1372"/>
      <c r="AA25" s="769"/>
      <c r="AB25" s="6">
        <v>20</v>
      </c>
      <c r="AC25" s="6">
        <v>5</v>
      </c>
      <c r="AD25" s="6">
        <v>4</v>
      </c>
      <c r="AE25" s="6">
        <v>1</v>
      </c>
      <c r="AH25" s="1372">
        <v>42979</v>
      </c>
      <c r="AI25" s="1372"/>
      <c r="AJ25" s="998"/>
      <c r="AK25" s="6">
        <v>20</v>
      </c>
      <c r="AL25" s="6">
        <v>5</v>
      </c>
      <c r="AM25" s="6">
        <v>4</v>
      </c>
      <c r="AN25" s="6">
        <v>1</v>
      </c>
    </row>
    <row r="26" spans="1:40" hidden="1" x14ac:dyDescent="0.2">
      <c r="A26" s="1389">
        <v>43009</v>
      </c>
      <c r="B26" s="1389"/>
      <c r="C26" s="204"/>
      <c r="D26" s="5">
        <v>21</v>
      </c>
      <c r="E26" s="5">
        <v>4</v>
      </c>
      <c r="F26" s="5">
        <v>5</v>
      </c>
      <c r="G26" s="6">
        <v>1</v>
      </c>
      <c r="I26" s="1372">
        <v>43009</v>
      </c>
      <c r="J26" s="1372"/>
      <c r="K26" s="742"/>
      <c r="L26" s="6">
        <v>21</v>
      </c>
      <c r="M26" s="6">
        <v>4</v>
      </c>
      <c r="N26" s="6">
        <v>5</v>
      </c>
      <c r="O26" s="6">
        <v>1</v>
      </c>
      <c r="Q26" s="1372">
        <v>43009</v>
      </c>
      <c r="R26" s="1372"/>
      <c r="S26" s="742"/>
      <c r="T26" s="6">
        <v>21</v>
      </c>
      <c r="U26" s="6">
        <v>4</v>
      </c>
      <c r="V26" s="6">
        <v>5</v>
      </c>
      <c r="W26" s="6">
        <v>1</v>
      </c>
      <c r="Y26" s="1372">
        <v>43009</v>
      </c>
      <c r="Z26" s="1372"/>
      <c r="AA26" s="769"/>
      <c r="AB26" s="6">
        <v>21</v>
      </c>
      <c r="AC26" s="6">
        <v>4</v>
      </c>
      <c r="AD26" s="6">
        <v>5</v>
      </c>
      <c r="AE26" s="6">
        <v>1</v>
      </c>
      <c r="AH26" s="1372">
        <v>43009</v>
      </c>
      <c r="AI26" s="1372"/>
      <c r="AJ26" s="998"/>
      <c r="AK26" s="6">
        <v>21</v>
      </c>
      <c r="AL26" s="6">
        <v>4</v>
      </c>
      <c r="AM26" s="6">
        <v>5</v>
      </c>
      <c r="AN26" s="6">
        <v>1</v>
      </c>
    </row>
    <row r="27" spans="1:40" hidden="1" x14ac:dyDescent="0.2">
      <c r="A27" s="1389">
        <v>43040</v>
      </c>
      <c r="B27" s="1389"/>
      <c r="C27" s="204"/>
      <c r="D27" s="5">
        <v>20</v>
      </c>
      <c r="E27" s="5">
        <v>4</v>
      </c>
      <c r="F27" s="5">
        <v>4</v>
      </c>
      <c r="G27" s="6">
        <v>2</v>
      </c>
      <c r="I27" s="1372">
        <v>43040</v>
      </c>
      <c r="J27" s="1372"/>
      <c r="K27" s="742"/>
      <c r="L27" s="6">
        <v>20</v>
      </c>
      <c r="M27" s="6">
        <v>4</v>
      </c>
      <c r="N27" s="6">
        <v>4</v>
      </c>
      <c r="O27" s="6">
        <v>2</v>
      </c>
      <c r="Q27" s="1372">
        <v>43040</v>
      </c>
      <c r="R27" s="1372"/>
      <c r="S27" s="742"/>
      <c r="T27" s="6">
        <v>20</v>
      </c>
      <c r="U27" s="6">
        <v>4</v>
      </c>
      <c r="V27" s="6">
        <v>4</v>
      </c>
      <c r="W27" s="6">
        <v>2</v>
      </c>
      <c r="Y27" s="1372">
        <v>43040</v>
      </c>
      <c r="Z27" s="1372"/>
      <c r="AA27" s="769"/>
      <c r="AB27" s="6">
        <v>20</v>
      </c>
      <c r="AC27" s="6">
        <v>4</v>
      </c>
      <c r="AD27" s="6">
        <v>4</v>
      </c>
      <c r="AE27" s="6">
        <v>2</v>
      </c>
      <c r="AH27" s="1372">
        <v>43040</v>
      </c>
      <c r="AI27" s="1372"/>
      <c r="AJ27" s="998"/>
      <c r="AK27" s="6">
        <v>20</v>
      </c>
      <c r="AL27" s="6">
        <v>4</v>
      </c>
      <c r="AM27" s="6">
        <v>4</v>
      </c>
      <c r="AN27" s="6">
        <v>2</v>
      </c>
    </row>
    <row r="28" spans="1:40" hidden="1" x14ac:dyDescent="0.2">
      <c r="A28" s="1389">
        <v>43070</v>
      </c>
      <c r="B28" s="1389"/>
      <c r="C28" s="204"/>
      <c r="D28" s="5">
        <v>20</v>
      </c>
      <c r="E28" s="5">
        <v>5</v>
      </c>
      <c r="F28" s="5">
        <v>5</v>
      </c>
      <c r="G28" s="6">
        <v>1</v>
      </c>
      <c r="I28" s="1372">
        <v>43070</v>
      </c>
      <c r="J28" s="1372"/>
      <c r="K28" s="742"/>
      <c r="L28" s="6">
        <v>20</v>
      </c>
      <c r="M28" s="6">
        <v>5</v>
      </c>
      <c r="N28" s="6">
        <v>5</v>
      </c>
      <c r="O28" s="6">
        <v>1</v>
      </c>
      <c r="Q28" s="1372">
        <v>43070</v>
      </c>
      <c r="R28" s="1372"/>
      <c r="S28" s="742"/>
      <c r="T28" s="6">
        <v>20</v>
      </c>
      <c r="U28" s="6">
        <v>5</v>
      </c>
      <c r="V28" s="6">
        <v>5</v>
      </c>
      <c r="W28" s="6">
        <v>1</v>
      </c>
      <c r="Y28" s="1372">
        <v>43070</v>
      </c>
      <c r="Z28" s="1372"/>
      <c r="AA28" s="769"/>
      <c r="AB28" s="6">
        <v>20</v>
      </c>
      <c r="AC28" s="6">
        <v>5</v>
      </c>
      <c r="AD28" s="6">
        <v>5</v>
      </c>
      <c r="AE28" s="6">
        <v>1</v>
      </c>
      <c r="AH28" s="1372">
        <v>43070</v>
      </c>
      <c r="AI28" s="1372"/>
      <c r="AJ28" s="998"/>
      <c r="AK28" s="6">
        <v>20</v>
      </c>
      <c r="AL28" s="6">
        <v>5</v>
      </c>
      <c r="AM28" s="6">
        <v>5</v>
      </c>
      <c r="AN28" s="6">
        <v>1</v>
      </c>
    </row>
    <row r="29" spans="1:40" hidden="1" x14ac:dyDescent="0.2">
      <c r="A29" s="1392" t="s">
        <v>41</v>
      </c>
      <c r="B29" s="1393"/>
      <c r="C29" s="205"/>
      <c r="D29" s="7">
        <f>SUM(D17:D28)</f>
        <v>250</v>
      </c>
      <c r="E29" s="7">
        <f t="shared" ref="E29:G29" si="0">SUM(E17:E28)</f>
        <v>52</v>
      </c>
      <c r="F29" s="7">
        <f t="shared" si="0"/>
        <v>53</v>
      </c>
      <c r="G29" s="7">
        <f t="shared" si="0"/>
        <v>10</v>
      </c>
      <c r="I29" s="1373" t="s">
        <v>41</v>
      </c>
      <c r="J29" s="1374"/>
      <c r="K29" s="743"/>
      <c r="L29" s="744">
        <v>250</v>
      </c>
      <c r="M29" s="744">
        <v>52</v>
      </c>
      <c r="N29" s="744">
        <v>53</v>
      </c>
      <c r="O29" s="744">
        <v>10</v>
      </c>
      <c r="Q29" s="1373" t="s">
        <v>41</v>
      </c>
      <c r="R29" s="1374"/>
      <c r="S29" s="743"/>
      <c r="T29" s="744">
        <v>250</v>
      </c>
      <c r="U29" s="744">
        <v>52</v>
      </c>
      <c r="V29" s="744">
        <v>53</v>
      </c>
      <c r="W29" s="744">
        <v>10</v>
      </c>
      <c r="Y29" s="1373" t="s">
        <v>41</v>
      </c>
      <c r="Z29" s="1374"/>
      <c r="AA29" s="768"/>
      <c r="AB29" s="744">
        <v>250</v>
      </c>
      <c r="AC29" s="744">
        <v>52</v>
      </c>
      <c r="AD29" s="744">
        <v>53</v>
      </c>
      <c r="AE29" s="744">
        <v>10</v>
      </c>
      <c r="AH29" s="1373" t="s">
        <v>41</v>
      </c>
      <c r="AI29" s="1374"/>
      <c r="AJ29" s="999"/>
      <c r="AK29" s="744">
        <v>250</v>
      </c>
      <c r="AL29" s="744">
        <v>52</v>
      </c>
      <c r="AM29" s="744">
        <v>53</v>
      </c>
      <c r="AN29" s="744">
        <v>10</v>
      </c>
    </row>
    <row r="30" spans="1:40" hidden="1" x14ac:dyDescent="0.2">
      <c r="A30" s="1392" t="s">
        <v>135</v>
      </c>
      <c r="B30" s="1393"/>
      <c r="C30" s="205"/>
      <c r="D30" s="7">
        <f>D29/12</f>
        <v>21</v>
      </c>
      <c r="E30" s="7">
        <f t="shared" ref="E30:G30" si="1">E29/12</f>
        <v>4</v>
      </c>
      <c r="F30" s="7">
        <f t="shared" si="1"/>
        <v>4</v>
      </c>
      <c r="G30" s="7">
        <f t="shared" si="1"/>
        <v>1</v>
      </c>
      <c r="I30" s="1373" t="s">
        <v>135</v>
      </c>
      <c r="J30" s="1374"/>
      <c r="K30" s="743"/>
      <c r="L30" s="744">
        <v>21</v>
      </c>
      <c r="M30" s="744">
        <v>4</v>
      </c>
      <c r="N30" s="744">
        <v>4</v>
      </c>
      <c r="O30" s="744">
        <v>1</v>
      </c>
      <c r="Q30" s="1373" t="s">
        <v>135</v>
      </c>
      <c r="R30" s="1374"/>
      <c r="S30" s="743"/>
      <c r="T30" s="744">
        <v>21</v>
      </c>
      <c r="U30" s="744">
        <v>4</v>
      </c>
      <c r="V30" s="744">
        <v>4</v>
      </c>
      <c r="W30" s="744">
        <v>1</v>
      </c>
      <c r="Y30" s="1373" t="s">
        <v>135</v>
      </c>
      <c r="Z30" s="1374"/>
      <c r="AA30" s="768"/>
      <c r="AB30" s="744">
        <v>21</v>
      </c>
      <c r="AC30" s="744">
        <v>4</v>
      </c>
      <c r="AD30" s="744">
        <v>4</v>
      </c>
      <c r="AE30" s="744">
        <v>1</v>
      </c>
      <c r="AH30" s="1373" t="s">
        <v>135</v>
      </c>
      <c r="AI30" s="1374"/>
      <c r="AJ30" s="999"/>
      <c r="AK30" s="744">
        <v>21</v>
      </c>
      <c r="AL30" s="744">
        <v>4</v>
      </c>
      <c r="AM30" s="744">
        <v>4</v>
      </c>
      <c r="AN30" s="744">
        <v>1</v>
      </c>
    </row>
    <row r="31" spans="1:40" hidden="1" x14ac:dyDescent="0.2">
      <c r="A31" s="1397" t="s">
        <v>134</v>
      </c>
      <c r="B31" s="1398"/>
      <c r="C31" s="1398"/>
      <c r="D31" s="1398"/>
      <c r="E31" s="1398"/>
      <c r="F31" s="1398"/>
      <c r="G31" s="147">
        <f>SUM(D30)</f>
        <v>21</v>
      </c>
      <c r="I31" s="1373" t="s">
        <v>134</v>
      </c>
      <c r="J31" s="1375"/>
      <c r="K31" s="1375"/>
      <c r="L31" s="1375"/>
      <c r="M31" s="1375"/>
      <c r="N31" s="1375"/>
      <c r="O31" s="744">
        <v>21</v>
      </c>
      <c r="Q31" s="1373" t="s">
        <v>134</v>
      </c>
      <c r="R31" s="1375"/>
      <c r="S31" s="1375"/>
      <c r="T31" s="1375"/>
      <c r="U31" s="1375"/>
      <c r="V31" s="1375"/>
      <c r="W31" s="744">
        <v>21</v>
      </c>
      <c r="Y31" s="1373" t="s">
        <v>134</v>
      </c>
      <c r="Z31" s="1375"/>
      <c r="AA31" s="1375"/>
      <c r="AB31" s="1375"/>
      <c r="AC31" s="1375"/>
      <c r="AD31" s="1375"/>
      <c r="AE31" s="744">
        <v>21</v>
      </c>
      <c r="AH31" s="1373" t="s">
        <v>134</v>
      </c>
      <c r="AI31" s="1375"/>
      <c r="AJ31" s="1375"/>
      <c r="AK31" s="1375"/>
      <c r="AL31" s="1375"/>
      <c r="AM31" s="1375"/>
      <c r="AN31" s="744">
        <v>21</v>
      </c>
    </row>
    <row r="32" spans="1:40" hidden="1" x14ac:dyDescent="0.2">
      <c r="A32" s="1364"/>
      <c r="B32" s="1364"/>
      <c r="C32" s="1364"/>
      <c r="D32" s="1364"/>
      <c r="E32" s="1364"/>
      <c r="F32" s="1364"/>
      <c r="G32" s="1364"/>
      <c r="I32" s="1364"/>
      <c r="J32" s="1364"/>
      <c r="K32" s="1364"/>
      <c r="L32" s="1364"/>
      <c r="M32" s="1364"/>
      <c r="N32" s="1364"/>
      <c r="O32" s="1364"/>
      <c r="Q32" s="1364"/>
      <c r="R32" s="1364"/>
      <c r="S32" s="1364"/>
      <c r="T32" s="1364"/>
      <c r="U32" s="1364"/>
      <c r="V32" s="1364"/>
      <c r="W32" s="1364"/>
      <c r="Y32" s="1419"/>
      <c r="Z32" s="1419"/>
      <c r="AA32" s="1419"/>
      <c r="AB32" s="1419"/>
      <c r="AC32" s="1419"/>
      <c r="AD32" s="1419"/>
      <c r="AE32" s="1419"/>
      <c r="AH32" s="1419"/>
      <c r="AI32" s="1419"/>
      <c r="AJ32" s="1419"/>
      <c r="AK32" s="1419"/>
      <c r="AL32" s="1419"/>
      <c r="AM32" s="1419"/>
      <c r="AN32" s="1419"/>
    </row>
    <row r="33" spans="1:40" ht="15" customHeight="1" x14ac:dyDescent="0.2">
      <c r="A33" s="1358" t="s">
        <v>96</v>
      </c>
      <c r="B33" s="1358"/>
      <c r="C33" s="1358"/>
      <c r="D33" s="1358"/>
      <c r="E33" s="1358"/>
      <c r="F33" s="1358"/>
      <c r="G33" s="1358"/>
      <c r="I33" s="1358" t="s">
        <v>96</v>
      </c>
      <c r="J33" s="1358"/>
      <c r="K33" s="1358"/>
      <c r="L33" s="1358"/>
      <c r="M33" s="1358"/>
      <c r="N33" s="1358"/>
      <c r="O33" s="1358"/>
      <c r="Q33" s="1358" t="s">
        <v>96</v>
      </c>
      <c r="R33" s="1358"/>
      <c r="S33" s="1358"/>
      <c r="T33" s="1358"/>
      <c r="U33" s="1358"/>
      <c r="V33" s="1358"/>
      <c r="W33" s="1358"/>
      <c r="Y33" s="1420" t="s">
        <v>96</v>
      </c>
      <c r="Z33" s="1420"/>
      <c r="AA33" s="1420"/>
      <c r="AB33" s="1420"/>
      <c r="AC33" s="1420"/>
      <c r="AD33" s="1420"/>
      <c r="AE33" s="1420"/>
      <c r="AH33" s="1420" t="s">
        <v>96</v>
      </c>
      <c r="AI33" s="1420"/>
      <c r="AJ33" s="1420"/>
      <c r="AK33" s="1420"/>
      <c r="AL33" s="1420"/>
      <c r="AM33" s="1420"/>
      <c r="AN33" s="1420"/>
    </row>
    <row r="34" spans="1:40" ht="71.25" x14ac:dyDescent="0.2">
      <c r="A34" s="1" t="s">
        <v>63</v>
      </c>
      <c r="B34" s="1368" t="s">
        <v>97</v>
      </c>
      <c r="C34" s="1369"/>
      <c r="D34" s="168" t="s">
        <v>108</v>
      </c>
      <c r="E34" s="168" t="s">
        <v>180</v>
      </c>
      <c r="F34" s="168" t="s">
        <v>181</v>
      </c>
      <c r="G34" s="168" t="s">
        <v>182</v>
      </c>
      <c r="I34" s="1" t="s">
        <v>63</v>
      </c>
      <c r="J34" s="1368" t="s">
        <v>97</v>
      </c>
      <c r="K34" s="1369"/>
      <c r="L34" s="168" t="s">
        <v>108</v>
      </c>
      <c r="M34" s="168" t="s">
        <v>180</v>
      </c>
      <c r="N34" s="168" t="s">
        <v>181</v>
      </c>
      <c r="O34" s="168" t="s">
        <v>182</v>
      </c>
      <c r="Q34" s="1" t="s">
        <v>63</v>
      </c>
      <c r="R34" s="1368" t="s">
        <v>97</v>
      </c>
      <c r="S34" s="1369"/>
      <c r="T34" s="168" t="s">
        <v>108</v>
      </c>
      <c r="U34" s="168" t="s">
        <v>180</v>
      </c>
      <c r="V34" s="168" t="s">
        <v>181</v>
      </c>
      <c r="W34" s="168" t="s">
        <v>182</v>
      </c>
      <c r="Y34" s="824" t="s">
        <v>63</v>
      </c>
      <c r="Z34" s="1406" t="s">
        <v>97</v>
      </c>
      <c r="AA34" s="1407"/>
      <c r="AB34" s="168" t="s">
        <v>108</v>
      </c>
      <c r="AC34" s="168" t="s">
        <v>180</v>
      </c>
      <c r="AD34" s="168" t="s">
        <v>181</v>
      </c>
      <c r="AE34" s="168" t="s">
        <v>182</v>
      </c>
      <c r="AH34" s="824" t="s">
        <v>63</v>
      </c>
      <c r="AI34" s="1406" t="s">
        <v>97</v>
      </c>
      <c r="AJ34" s="1407"/>
      <c r="AK34" s="168" t="s">
        <v>108</v>
      </c>
      <c r="AL34" s="168" t="s">
        <v>180</v>
      </c>
      <c r="AM34" s="168" t="s">
        <v>181</v>
      </c>
      <c r="AN34" s="168" t="s">
        <v>182</v>
      </c>
    </row>
    <row r="35" spans="1:40" ht="31.5" customHeight="1" x14ac:dyDescent="0.2">
      <c r="A35" s="209">
        <v>1</v>
      </c>
      <c r="B35" s="1359" t="str">
        <f>Dados!P73</f>
        <v>Vigilante Armado, 12 horas diunas em escala 12x36, das 07h às 19h</v>
      </c>
      <c r="C35" s="1360"/>
      <c r="D35" s="8">
        <f>Dados!U73</f>
        <v>2192.65</v>
      </c>
      <c r="E35" s="9">
        <f t="shared" ref="E35:E37" si="2">$G$12</f>
        <v>165</v>
      </c>
      <c r="F35" s="8">
        <f>D35*Dados!$J$46</f>
        <v>131.56</v>
      </c>
      <c r="G35" s="8">
        <f>E35-F35</f>
        <v>33.44</v>
      </c>
      <c r="I35" s="697">
        <v>1</v>
      </c>
      <c r="J35" s="1359" t="s">
        <v>344</v>
      </c>
      <c r="K35" s="1360"/>
      <c r="L35" s="658">
        <f>Dados!U73*1.03</f>
        <v>2258.4299999999998</v>
      </c>
      <c r="M35" s="9">
        <v>165</v>
      </c>
      <c r="N35" s="8">
        <v>135.51</v>
      </c>
      <c r="O35" s="8">
        <v>29.49</v>
      </c>
      <c r="Q35" s="697">
        <v>1</v>
      </c>
      <c r="R35" s="1359" t="s">
        <v>344</v>
      </c>
      <c r="S35" s="1360"/>
      <c r="T35" s="658">
        <f>Dados!U73*1.03</f>
        <v>2258.4299999999998</v>
      </c>
      <c r="U35" s="9">
        <v>165</v>
      </c>
      <c r="V35" s="8">
        <v>135.51</v>
      </c>
      <c r="W35" s="8">
        <v>29.49</v>
      </c>
      <c r="Y35" s="827">
        <v>1</v>
      </c>
      <c r="Z35" s="1410" t="s">
        <v>344</v>
      </c>
      <c r="AA35" s="1411"/>
      <c r="AB35" s="828">
        <v>2258.4299999999998</v>
      </c>
      <c r="AC35" s="829">
        <v>165</v>
      </c>
      <c r="AD35" s="830">
        <v>135.51</v>
      </c>
      <c r="AE35" s="830">
        <v>29.49</v>
      </c>
      <c r="AH35" s="995">
        <v>1</v>
      </c>
      <c r="AI35" s="1410" t="s">
        <v>344</v>
      </c>
      <c r="AJ35" s="1411"/>
      <c r="AK35" s="828">
        <v>2593.73</v>
      </c>
      <c r="AL35" s="829">
        <v>165</v>
      </c>
      <c r="AM35" s="830">
        <f>AK35*6%</f>
        <v>155.62</v>
      </c>
      <c r="AN35" s="830">
        <f>AL35-AM35</f>
        <v>9.3800000000000008</v>
      </c>
    </row>
    <row r="36" spans="1:40" ht="45" customHeight="1" x14ac:dyDescent="0.2">
      <c r="A36" s="232">
        <v>2</v>
      </c>
      <c r="B36" s="1359" t="str">
        <f>Dados!P74</f>
        <v>Vigilante Desarmado Diurno, 44 horas semanais, sendo 8h48 trabalhadas de 2ª a 6ª feira, entre das 07h e 21h</v>
      </c>
      <c r="C36" s="1360"/>
      <c r="D36" s="8">
        <f>Dados!U74</f>
        <v>2192.65</v>
      </c>
      <c r="E36" s="9">
        <f>$G$13</f>
        <v>242</v>
      </c>
      <c r="F36" s="8">
        <f>D36*Dados!$J$46</f>
        <v>131.56</v>
      </c>
      <c r="G36" s="8">
        <f t="shared" ref="G36:G37" si="3">E36-F36</f>
        <v>110.44</v>
      </c>
      <c r="I36" s="697">
        <v>2</v>
      </c>
      <c r="J36" s="1359" t="s">
        <v>360</v>
      </c>
      <c r="K36" s="1360"/>
      <c r="L36" s="8">
        <f>Dados!U74*1.03</f>
        <v>2258.4299999999998</v>
      </c>
      <c r="M36" s="9">
        <v>242</v>
      </c>
      <c r="N36" s="8">
        <v>135.51</v>
      </c>
      <c r="O36" s="8">
        <v>106.49</v>
      </c>
      <c r="Q36" s="697">
        <v>2</v>
      </c>
      <c r="R36" s="1359" t="s">
        <v>360</v>
      </c>
      <c r="S36" s="1360"/>
      <c r="T36" s="8">
        <f>Dados!U74*1.03</f>
        <v>2258.4299999999998</v>
      </c>
      <c r="U36" s="9">
        <v>242</v>
      </c>
      <c r="V36" s="8">
        <v>135.51</v>
      </c>
      <c r="W36" s="8">
        <v>106.49</v>
      </c>
      <c r="Y36" s="827">
        <v>2</v>
      </c>
      <c r="Z36" s="1410" t="s">
        <v>360</v>
      </c>
      <c r="AA36" s="1411"/>
      <c r="AB36" s="828">
        <v>2258.4299999999998</v>
      </c>
      <c r="AC36" s="829">
        <v>242</v>
      </c>
      <c r="AD36" s="830">
        <v>135.51</v>
      </c>
      <c r="AE36" s="830">
        <v>106.49</v>
      </c>
      <c r="AH36" s="995">
        <v>2</v>
      </c>
      <c r="AI36" s="1410" t="s">
        <v>360</v>
      </c>
      <c r="AJ36" s="1411"/>
      <c r="AK36" s="828">
        <v>2593.73</v>
      </c>
      <c r="AL36" s="829">
        <v>242</v>
      </c>
      <c r="AM36" s="830">
        <f t="shared" ref="AM36:AM37" si="4">AK36*6%</f>
        <v>155.62</v>
      </c>
      <c r="AN36" s="830">
        <f t="shared" ref="AN36:AN37" si="5">AL36-AM36</f>
        <v>86.38</v>
      </c>
    </row>
    <row r="37" spans="1:40" ht="108" customHeight="1" x14ac:dyDescent="0.2">
      <c r="A37" s="232">
        <v>3</v>
      </c>
      <c r="B37" s="1359" t="str">
        <f>Dados!P75</f>
        <v>Vigilante Armado, 12 horas noturnas em escala 12x36, das 19h às 07h</v>
      </c>
      <c r="C37" s="1360"/>
      <c r="D37" s="8">
        <f>Dados!U75</f>
        <v>2192.65</v>
      </c>
      <c r="E37" s="9">
        <f t="shared" si="2"/>
        <v>165</v>
      </c>
      <c r="F37" s="8">
        <f>D37*Dados!$J$46</f>
        <v>131.56</v>
      </c>
      <c r="G37" s="8">
        <f t="shared" si="3"/>
        <v>33.44</v>
      </c>
      <c r="I37" s="697">
        <v>3</v>
      </c>
      <c r="J37" s="1359" t="s">
        <v>349</v>
      </c>
      <c r="K37" s="1360"/>
      <c r="L37" s="8">
        <f>Dados!U75*1.03</f>
        <v>2258.4299999999998</v>
      </c>
      <c r="M37" s="9">
        <v>165</v>
      </c>
      <c r="N37" s="8">
        <v>135.51</v>
      </c>
      <c r="O37" s="8">
        <v>29.49</v>
      </c>
      <c r="Q37" s="697">
        <v>3</v>
      </c>
      <c r="R37" s="1359" t="s">
        <v>349</v>
      </c>
      <c r="S37" s="1360"/>
      <c r="T37" s="8">
        <f>Dados!U75*1.03</f>
        <v>2258.4299999999998</v>
      </c>
      <c r="U37" s="9">
        <v>165</v>
      </c>
      <c r="V37" s="8">
        <v>135.51</v>
      </c>
      <c r="W37" s="8">
        <v>29.49</v>
      </c>
      <c r="Y37" s="827">
        <v>3</v>
      </c>
      <c r="Z37" s="1410" t="s">
        <v>349</v>
      </c>
      <c r="AA37" s="1411"/>
      <c r="AB37" s="828">
        <v>2258.4299999999998</v>
      </c>
      <c r="AC37" s="829">
        <v>165</v>
      </c>
      <c r="AD37" s="830">
        <v>135.51</v>
      </c>
      <c r="AE37" s="830">
        <v>29.49</v>
      </c>
      <c r="AH37" s="995">
        <v>3</v>
      </c>
      <c r="AI37" s="1410" t="s">
        <v>349</v>
      </c>
      <c r="AJ37" s="1411"/>
      <c r="AK37" s="828">
        <v>2593.73</v>
      </c>
      <c r="AL37" s="829">
        <v>165</v>
      </c>
      <c r="AM37" s="830">
        <f t="shared" si="4"/>
        <v>155.62</v>
      </c>
      <c r="AN37" s="830">
        <f t="shared" si="5"/>
        <v>9.3800000000000008</v>
      </c>
    </row>
    <row r="38" spans="1:40" hidden="1" x14ac:dyDescent="0.2">
      <c r="A38" s="1395" t="s">
        <v>136</v>
      </c>
      <c r="B38" s="1395"/>
      <c r="C38" s="1395"/>
      <c r="D38" s="1395"/>
      <c r="E38" s="1395"/>
      <c r="F38" s="1395"/>
      <c r="G38" s="1395"/>
      <c r="I38" s="1370" t="s">
        <v>136</v>
      </c>
      <c r="J38" s="1370"/>
      <c r="K38" s="1370"/>
      <c r="L38" s="1370"/>
      <c r="M38" s="1370"/>
      <c r="N38" s="1370"/>
      <c r="O38" s="1370"/>
      <c r="Q38" s="1370" t="s">
        <v>136</v>
      </c>
      <c r="R38" s="1370"/>
      <c r="S38" s="1370"/>
      <c r="T38" s="1370"/>
      <c r="U38" s="1370"/>
      <c r="V38" s="1370"/>
      <c r="W38" s="1370"/>
      <c r="Y38" s="1421" t="s">
        <v>136</v>
      </c>
      <c r="Z38" s="1421"/>
      <c r="AA38" s="1421"/>
      <c r="AB38" s="1421"/>
      <c r="AC38" s="1421"/>
      <c r="AD38" s="1421"/>
      <c r="AE38" s="1421"/>
      <c r="AH38" s="1421" t="s">
        <v>136</v>
      </c>
      <c r="AI38" s="1421"/>
      <c r="AJ38" s="1421"/>
      <c r="AK38" s="1421"/>
      <c r="AL38" s="1421"/>
      <c r="AM38" s="1421"/>
      <c r="AN38" s="1421"/>
    </row>
    <row r="39" spans="1:40" ht="0.75" customHeight="1" x14ac:dyDescent="0.2">
      <c r="A39" s="1396"/>
      <c r="B39" s="1396"/>
      <c r="C39" s="1396"/>
      <c r="D39" s="1396"/>
      <c r="E39" s="1396"/>
      <c r="F39" s="1396"/>
      <c r="G39" s="1396"/>
      <c r="I39" s="1295"/>
      <c r="J39" s="1295"/>
      <c r="K39" s="1295"/>
      <c r="L39" s="1295"/>
      <c r="M39" s="1295"/>
      <c r="N39" s="1295"/>
      <c r="O39" s="1295"/>
      <c r="Q39" s="1295"/>
      <c r="R39" s="1295"/>
      <c r="S39" s="1295"/>
      <c r="T39" s="1295"/>
      <c r="U39" s="1295"/>
      <c r="V39" s="1295"/>
      <c r="W39" s="1295"/>
      <c r="Y39" s="1422"/>
      <c r="Z39" s="1422"/>
      <c r="AA39" s="1422"/>
      <c r="AB39" s="1422"/>
      <c r="AC39" s="1422"/>
      <c r="AD39" s="1422"/>
      <c r="AE39" s="1422"/>
      <c r="AH39" s="1422"/>
      <c r="AI39" s="1422"/>
      <c r="AJ39" s="1422"/>
      <c r="AK39" s="1422"/>
      <c r="AL39" s="1422"/>
      <c r="AM39" s="1422"/>
      <c r="AN39" s="1422"/>
    </row>
    <row r="40" spans="1:40" ht="39" customHeight="1" x14ac:dyDescent="0.2">
      <c r="A40" s="208"/>
      <c r="B40" s="208"/>
      <c r="C40" s="208"/>
      <c r="D40" s="208"/>
      <c r="E40" s="208"/>
      <c r="F40" s="208"/>
      <c r="G40" s="208"/>
      <c r="I40" s="693"/>
      <c r="J40" s="693"/>
      <c r="K40" s="693"/>
      <c r="L40" s="693"/>
      <c r="M40" s="693"/>
      <c r="N40" s="693"/>
      <c r="O40" s="693"/>
      <c r="Q40" s="697">
        <v>4</v>
      </c>
      <c r="R40" s="1359" t="s">
        <v>555</v>
      </c>
      <c r="S40" s="1360"/>
      <c r="T40" s="8">
        <f>'Item 4 Inserido após o II TA '!G35</f>
        <v>2708.92</v>
      </c>
      <c r="U40" s="9">
        <v>242</v>
      </c>
      <c r="V40" s="8">
        <f>T40*6%</f>
        <v>162.54</v>
      </c>
      <c r="W40" s="8">
        <f>U40-V40</f>
        <v>79.459999999999994</v>
      </c>
      <c r="Y40" s="827">
        <v>4</v>
      </c>
      <c r="Z40" s="1410" t="s">
        <v>555</v>
      </c>
      <c r="AA40" s="1411"/>
      <c r="AB40" s="830">
        <v>2708.92</v>
      </c>
      <c r="AC40" s="829">
        <v>242</v>
      </c>
      <c r="AD40" s="830">
        <f>AB40*6%</f>
        <v>162.54</v>
      </c>
      <c r="AE40" s="830">
        <f>AC40-AD40</f>
        <v>79.459999999999994</v>
      </c>
      <c r="AH40" s="995">
        <v>4</v>
      </c>
      <c r="AI40" s="1410" t="s">
        <v>555</v>
      </c>
      <c r="AJ40" s="1411"/>
      <c r="AK40" s="830">
        <v>3111.12</v>
      </c>
      <c r="AL40" s="829">
        <v>242</v>
      </c>
      <c r="AM40" s="830">
        <f>AK40*6%</f>
        <v>186.67</v>
      </c>
      <c r="AN40" s="830">
        <f>AL40-AM40</f>
        <v>55.33</v>
      </c>
    </row>
    <row r="41" spans="1:40" x14ac:dyDescent="0.2">
      <c r="A41" s="208"/>
      <c r="B41" s="208"/>
      <c r="C41" s="208"/>
      <c r="D41" s="208"/>
      <c r="E41" s="208"/>
      <c r="F41" s="208"/>
      <c r="G41" s="208"/>
      <c r="I41" s="693"/>
      <c r="J41" s="693"/>
      <c r="K41" s="693"/>
      <c r="L41" s="693"/>
      <c r="M41" s="693"/>
      <c r="N41" s="693"/>
      <c r="O41" s="693"/>
      <c r="Q41" s="693"/>
      <c r="R41" s="693"/>
      <c r="S41" s="693"/>
      <c r="T41" s="693"/>
      <c r="U41" s="693"/>
      <c r="V41" s="693"/>
      <c r="W41" s="693"/>
      <c r="Y41" s="831"/>
      <c r="Z41" s="831"/>
      <c r="AA41" s="831"/>
      <c r="AB41" s="831"/>
      <c r="AC41" s="831"/>
      <c r="AD41" s="831"/>
      <c r="AE41" s="831"/>
      <c r="AH41" s="997"/>
      <c r="AI41" s="997"/>
      <c r="AJ41" s="997"/>
      <c r="AK41" s="997"/>
      <c r="AL41" s="997"/>
      <c r="AM41" s="997"/>
      <c r="AN41" s="997"/>
    </row>
    <row r="42" spans="1:40" x14ac:dyDescent="0.2">
      <c r="A42" s="1394" t="s">
        <v>173</v>
      </c>
      <c r="B42" s="1394"/>
      <c r="C42" s="164" t="str">
        <f>Dados!N82</f>
        <v>SINDESV/SINDESP-DF</v>
      </c>
      <c r="D42" s="208"/>
      <c r="E42" s="208"/>
      <c r="F42" s="208"/>
      <c r="G42" s="208"/>
      <c r="I42" s="1371" t="s">
        <v>173</v>
      </c>
      <c r="J42" s="1371"/>
      <c r="K42" s="662" t="s">
        <v>242</v>
      </c>
      <c r="L42" s="693"/>
      <c r="M42" s="693"/>
      <c r="N42" s="693"/>
      <c r="O42" s="693"/>
      <c r="Q42" s="1371" t="s">
        <v>173</v>
      </c>
      <c r="R42" s="1371"/>
      <c r="S42" s="662" t="s">
        <v>242</v>
      </c>
      <c r="T42" s="693"/>
      <c r="U42" s="693"/>
      <c r="V42" s="745"/>
      <c r="W42" s="745"/>
      <c r="Y42" s="1423" t="s">
        <v>173</v>
      </c>
      <c r="Z42" s="1423"/>
      <c r="AA42" s="832" t="s">
        <v>242</v>
      </c>
      <c r="AB42" s="831"/>
      <c r="AC42" s="831"/>
      <c r="AD42" s="833"/>
      <c r="AE42" s="833"/>
      <c r="AH42" s="1423" t="s">
        <v>173</v>
      </c>
      <c r="AI42" s="1423"/>
      <c r="AJ42" s="832" t="s">
        <v>242</v>
      </c>
      <c r="AK42" s="997"/>
      <c r="AL42" s="997"/>
      <c r="AM42" s="833"/>
      <c r="AN42" s="833"/>
    </row>
    <row r="43" spans="1:40" x14ac:dyDescent="0.2">
      <c r="A43" s="1394" t="s">
        <v>174</v>
      </c>
      <c r="B43" s="1394"/>
      <c r="C43" s="165" t="str">
        <f>Dados!Q82</f>
        <v>01/01/2020 a 31/12/2020</v>
      </c>
      <c r="D43" s="208"/>
      <c r="E43" s="208"/>
      <c r="F43" s="208"/>
      <c r="G43" s="208"/>
      <c r="I43" s="1371" t="s">
        <v>174</v>
      </c>
      <c r="J43" s="1371"/>
      <c r="K43" s="746" t="s">
        <v>516</v>
      </c>
      <c r="L43" s="693"/>
      <c r="M43" s="693"/>
      <c r="N43" s="693"/>
      <c r="O43" s="693"/>
      <c r="Q43" s="1371" t="s">
        <v>174</v>
      </c>
      <c r="R43" s="1371"/>
      <c r="S43" s="746" t="s">
        <v>516</v>
      </c>
      <c r="T43" s="693"/>
      <c r="U43" s="693"/>
      <c r="V43" s="693"/>
      <c r="W43" s="693"/>
      <c r="Y43" s="1423" t="s">
        <v>174</v>
      </c>
      <c r="Z43" s="1423"/>
      <c r="AA43" s="834" t="s">
        <v>559</v>
      </c>
      <c r="AB43" s="831"/>
      <c r="AC43" s="831"/>
      <c r="AD43" s="831"/>
      <c r="AE43" s="831"/>
      <c r="AH43" s="1423" t="s">
        <v>174</v>
      </c>
      <c r="AI43" s="1423"/>
      <c r="AJ43" s="834" t="s">
        <v>597</v>
      </c>
      <c r="AK43" s="997"/>
      <c r="AL43" s="997"/>
      <c r="AM43" s="997"/>
      <c r="AN43" s="997"/>
    </row>
    <row r="44" spans="1:40" ht="17.25" customHeight="1" x14ac:dyDescent="0.2">
      <c r="A44" s="1361" t="s">
        <v>290</v>
      </c>
      <c r="B44" s="1362"/>
      <c r="C44" s="1362"/>
      <c r="D44" s="1362"/>
      <c r="E44" s="1362"/>
      <c r="F44" s="1362"/>
      <c r="G44" s="1363"/>
      <c r="I44" s="1361" t="s">
        <v>290</v>
      </c>
      <c r="J44" s="1362"/>
      <c r="K44" s="1362"/>
      <c r="L44" s="1362"/>
      <c r="M44" s="1362"/>
      <c r="N44" s="1362"/>
      <c r="O44" s="1363"/>
      <c r="Q44" s="1361" t="s">
        <v>290</v>
      </c>
      <c r="R44" s="1362"/>
      <c r="S44" s="1362"/>
      <c r="T44" s="1362"/>
      <c r="U44" s="1362"/>
      <c r="V44" s="1362"/>
      <c r="W44" s="1363"/>
      <c r="Y44" s="1403" t="s">
        <v>290</v>
      </c>
      <c r="Z44" s="1404"/>
      <c r="AA44" s="1404"/>
      <c r="AB44" s="1404"/>
      <c r="AC44" s="1404"/>
      <c r="AD44" s="1404"/>
      <c r="AE44" s="1405"/>
      <c r="AH44" s="1403" t="s">
        <v>290</v>
      </c>
      <c r="AI44" s="1404"/>
      <c r="AJ44" s="1404"/>
      <c r="AK44" s="1404"/>
      <c r="AL44" s="1404"/>
      <c r="AM44" s="1404"/>
      <c r="AN44" s="1405"/>
    </row>
    <row r="45" spans="1:40" ht="46.5" customHeight="1" x14ac:dyDescent="0.2">
      <c r="A45" s="207" t="s">
        <v>63</v>
      </c>
      <c r="B45" s="1361" t="s">
        <v>85</v>
      </c>
      <c r="C45" s="1362"/>
      <c r="D45" s="1363"/>
      <c r="E45" s="1" t="s">
        <v>172</v>
      </c>
      <c r="F45" s="1" t="s">
        <v>98</v>
      </c>
      <c r="G45" s="1" t="s">
        <v>99</v>
      </c>
      <c r="I45" s="696" t="s">
        <v>63</v>
      </c>
      <c r="J45" s="1361" t="s">
        <v>85</v>
      </c>
      <c r="K45" s="1362"/>
      <c r="L45" s="1363"/>
      <c r="M45" s="1" t="s">
        <v>172</v>
      </c>
      <c r="N45" s="1" t="s">
        <v>98</v>
      </c>
      <c r="O45" s="1" t="s">
        <v>99</v>
      </c>
      <c r="Q45" s="696" t="s">
        <v>63</v>
      </c>
      <c r="R45" s="1361" t="s">
        <v>85</v>
      </c>
      <c r="S45" s="1362"/>
      <c r="T45" s="1363"/>
      <c r="U45" s="1" t="s">
        <v>172</v>
      </c>
      <c r="V45" s="1" t="s">
        <v>98</v>
      </c>
      <c r="W45" s="1" t="s">
        <v>99</v>
      </c>
      <c r="Y45" s="835" t="s">
        <v>63</v>
      </c>
      <c r="Z45" s="1403" t="s">
        <v>85</v>
      </c>
      <c r="AA45" s="1404"/>
      <c r="AB45" s="1405"/>
      <c r="AC45" s="824" t="s">
        <v>172</v>
      </c>
      <c r="AD45" s="824" t="s">
        <v>98</v>
      </c>
      <c r="AE45" s="824" t="s">
        <v>99</v>
      </c>
      <c r="AH45" s="996" t="s">
        <v>63</v>
      </c>
      <c r="AI45" s="1403" t="s">
        <v>85</v>
      </c>
      <c r="AJ45" s="1404"/>
      <c r="AK45" s="1405"/>
      <c r="AL45" s="824" t="s">
        <v>172</v>
      </c>
      <c r="AM45" s="824" t="s">
        <v>98</v>
      </c>
      <c r="AN45" s="824" t="s">
        <v>99</v>
      </c>
    </row>
    <row r="46" spans="1:40" x14ac:dyDescent="0.2">
      <c r="A46" s="1364">
        <v>1</v>
      </c>
      <c r="B46" s="1365" t="str">
        <f>Dados!J30</f>
        <v>Escala 12x36 horas</v>
      </c>
      <c r="C46" s="1365"/>
      <c r="D46" s="1365"/>
      <c r="E46" s="2">
        <f>INDEX(Dados!$J$27:$M$32,MATCH(B46,Dados!$J$27:$J$32,0),4)</f>
        <v>15</v>
      </c>
      <c r="F46" s="1366">
        <v>37.5</v>
      </c>
      <c r="G46" s="3">
        <f>$F$46*E46</f>
        <v>562.5</v>
      </c>
      <c r="I46" s="1364">
        <v>1</v>
      </c>
      <c r="J46" s="1365" t="s">
        <v>140</v>
      </c>
      <c r="K46" s="1365"/>
      <c r="L46" s="1365"/>
      <c r="M46" s="2">
        <v>15</v>
      </c>
      <c r="N46" s="1366">
        <v>39.29</v>
      </c>
      <c r="O46" s="3">
        <v>589.35</v>
      </c>
      <c r="Q46" s="1364">
        <v>1</v>
      </c>
      <c r="R46" s="1365" t="s">
        <v>140</v>
      </c>
      <c r="S46" s="1365"/>
      <c r="T46" s="1365"/>
      <c r="U46" s="2">
        <v>15</v>
      </c>
      <c r="V46" s="1366">
        <v>39.29</v>
      </c>
      <c r="W46" s="3">
        <v>589.35</v>
      </c>
      <c r="Y46" s="1419">
        <v>1</v>
      </c>
      <c r="Z46" s="1425" t="s">
        <v>140</v>
      </c>
      <c r="AA46" s="1425"/>
      <c r="AB46" s="1425"/>
      <c r="AC46" s="825">
        <v>15</v>
      </c>
      <c r="AD46" s="1426">
        <v>42.63</v>
      </c>
      <c r="AE46" s="826">
        <f>AD46*AC46</f>
        <v>639.45000000000005</v>
      </c>
      <c r="AH46" s="1419">
        <v>1</v>
      </c>
      <c r="AI46" s="1425" t="s">
        <v>140</v>
      </c>
      <c r="AJ46" s="1425"/>
      <c r="AK46" s="1425"/>
      <c r="AL46" s="825">
        <v>15</v>
      </c>
      <c r="AM46" s="1366">
        <v>45.12</v>
      </c>
      <c r="AN46" s="826">
        <f>AM46*AL46</f>
        <v>676.8</v>
      </c>
    </row>
    <row r="47" spans="1:40" x14ac:dyDescent="0.2">
      <c r="A47" s="1364"/>
      <c r="B47" s="1365" t="str">
        <f>Dados!J31</f>
        <v>44 horas semanais - 5x2</v>
      </c>
      <c r="C47" s="1365"/>
      <c r="D47" s="1365"/>
      <c r="E47" s="2">
        <f>INDEX(Dados!$J$27:$M$32,MATCH(B47,Dados!$J$27:$J$32,0),4)</f>
        <v>22</v>
      </c>
      <c r="F47" s="1366"/>
      <c r="G47" s="3">
        <f>$F$46*E47</f>
        <v>825</v>
      </c>
      <c r="I47" s="1364"/>
      <c r="J47" s="1365" t="s">
        <v>141</v>
      </c>
      <c r="K47" s="1365"/>
      <c r="L47" s="1365"/>
      <c r="M47" s="2">
        <v>22</v>
      </c>
      <c r="N47" s="1366"/>
      <c r="O47" s="3">
        <v>864.38</v>
      </c>
      <c r="Q47" s="1364"/>
      <c r="R47" s="1365" t="s">
        <v>141</v>
      </c>
      <c r="S47" s="1365"/>
      <c r="T47" s="1365"/>
      <c r="U47" s="2">
        <v>22</v>
      </c>
      <c r="V47" s="1366"/>
      <c r="W47" s="3">
        <v>864.38</v>
      </c>
      <c r="Y47" s="1419"/>
      <c r="Z47" s="1425" t="s">
        <v>141</v>
      </c>
      <c r="AA47" s="1425"/>
      <c r="AB47" s="1425"/>
      <c r="AC47" s="825">
        <v>22</v>
      </c>
      <c r="AD47" s="1426"/>
      <c r="AE47" s="826">
        <f>AD46*AC47</f>
        <v>937.86</v>
      </c>
      <c r="AH47" s="1419"/>
      <c r="AI47" s="1425" t="s">
        <v>141</v>
      </c>
      <c r="AJ47" s="1425"/>
      <c r="AK47" s="1425"/>
      <c r="AL47" s="825">
        <v>22</v>
      </c>
      <c r="AM47" s="1366"/>
      <c r="AN47" s="826">
        <f>AM46*AL47</f>
        <v>992.64</v>
      </c>
    </row>
    <row r="48" spans="1:40" ht="9.75" customHeight="1" x14ac:dyDescent="0.2">
      <c r="A48" s="11"/>
      <c r="B48" s="12"/>
      <c r="C48" s="12"/>
      <c r="D48" s="13"/>
      <c r="E48" s="14"/>
      <c r="F48" s="15"/>
      <c r="G48" s="12"/>
      <c r="I48" s="11"/>
      <c r="J48" s="12"/>
      <c r="K48" s="12"/>
      <c r="L48" s="13"/>
      <c r="M48" s="14"/>
      <c r="N48" s="15"/>
      <c r="O48" s="12"/>
      <c r="Q48" s="11"/>
      <c r="R48" s="12"/>
      <c r="S48" s="12"/>
      <c r="T48" s="13"/>
      <c r="U48" s="14"/>
      <c r="V48" s="15"/>
      <c r="W48" s="12"/>
      <c r="Y48" s="819"/>
      <c r="Z48" s="820"/>
      <c r="AA48" s="820"/>
      <c r="AB48" s="836"/>
      <c r="AC48" s="837"/>
      <c r="AD48" s="838"/>
      <c r="AE48" s="820"/>
      <c r="AH48" s="819"/>
      <c r="AI48" s="820"/>
      <c r="AJ48" s="820"/>
      <c r="AK48" s="836"/>
      <c r="AL48" s="837"/>
      <c r="AM48" s="838"/>
      <c r="AN48" s="820"/>
    </row>
    <row r="49" spans="1:40" x14ac:dyDescent="0.2">
      <c r="A49" s="1358" t="s">
        <v>280</v>
      </c>
      <c r="B49" s="1358"/>
      <c r="C49" s="1358"/>
      <c r="D49" s="1358"/>
      <c r="E49" s="1358"/>
      <c r="F49" s="1358"/>
      <c r="G49" s="1358"/>
      <c r="I49" s="1358" t="s">
        <v>280</v>
      </c>
      <c r="J49" s="1358"/>
      <c r="K49" s="1358"/>
      <c r="L49" s="1358"/>
      <c r="M49" s="1358"/>
      <c r="N49" s="1358"/>
      <c r="O49" s="1358"/>
      <c r="Q49" s="1358" t="s">
        <v>280</v>
      </c>
      <c r="R49" s="1358"/>
      <c r="S49" s="1358"/>
      <c r="T49" s="1358"/>
      <c r="U49" s="1358"/>
      <c r="V49" s="1358"/>
      <c r="W49" s="1358"/>
      <c r="Y49" s="1420" t="s">
        <v>280</v>
      </c>
      <c r="Z49" s="1420"/>
      <c r="AA49" s="1420"/>
      <c r="AB49" s="1420"/>
      <c r="AC49" s="1420"/>
      <c r="AD49" s="1420"/>
      <c r="AE49" s="1420"/>
      <c r="AG49" s="853">
        <f>AE47+AE52</f>
        <v>919.16</v>
      </c>
      <c r="AH49" s="1420" t="s">
        <v>280</v>
      </c>
      <c r="AI49" s="1420"/>
      <c r="AJ49" s="1420"/>
      <c r="AK49" s="1420"/>
      <c r="AL49" s="1420"/>
      <c r="AM49" s="1420"/>
      <c r="AN49" s="1420"/>
    </row>
    <row r="50" spans="1:40" ht="57" x14ac:dyDescent="0.2">
      <c r="A50" s="223" t="s">
        <v>63</v>
      </c>
      <c r="B50" s="1361" t="s">
        <v>85</v>
      </c>
      <c r="C50" s="1362"/>
      <c r="D50" s="1363"/>
      <c r="E50" s="1" t="s">
        <v>172</v>
      </c>
      <c r="F50" s="1" t="s">
        <v>98</v>
      </c>
      <c r="G50" s="1" t="s">
        <v>281</v>
      </c>
      <c r="I50" s="696" t="s">
        <v>63</v>
      </c>
      <c r="J50" s="1361" t="s">
        <v>85</v>
      </c>
      <c r="K50" s="1362"/>
      <c r="L50" s="1363"/>
      <c r="M50" s="1" t="s">
        <v>172</v>
      </c>
      <c r="N50" s="1" t="s">
        <v>98</v>
      </c>
      <c r="O50" s="1" t="s">
        <v>281</v>
      </c>
      <c r="Q50" s="696" t="s">
        <v>63</v>
      </c>
      <c r="R50" s="1361" t="s">
        <v>85</v>
      </c>
      <c r="S50" s="1362"/>
      <c r="T50" s="1363"/>
      <c r="U50" s="1" t="s">
        <v>172</v>
      </c>
      <c r="V50" s="1" t="s">
        <v>98</v>
      </c>
      <c r="W50" s="1" t="s">
        <v>281</v>
      </c>
      <c r="Y50" s="835" t="s">
        <v>63</v>
      </c>
      <c r="Z50" s="1403" t="s">
        <v>85</v>
      </c>
      <c r="AA50" s="1404"/>
      <c r="AB50" s="1405"/>
      <c r="AC50" s="824" t="s">
        <v>172</v>
      </c>
      <c r="AD50" s="824" t="s">
        <v>98</v>
      </c>
      <c r="AE50" s="824" t="s">
        <v>281</v>
      </c>
      <c r="AH50" s="996" t="s">
        <v>63</v>
      </c>
      <c r="AI50" s="1403" t="s">
        <v>85</v>
      </c>
      <c r="AJ50" s="1404"/>
      <c r="AK50" s="1405"/>
      <c r="AL50" s="824" t="s">
        <v>172</v>
      </c>
      <c r="AM50" s="824" t="s">
        <v>98</v>
      </c>
      <c r="AN50" s="824" t="s">
        <v>281</v>
      </c>
    </row>
    <row r="51" spans="1:40" x14ac:dyDescent="0.2">
      <c r="A51" s="1364">
        <v>1</v>
      </c>
      <c r="B51" s="1367" t="s">
        <v>291</v>
      </c>
      <c r="C51" s="1367"/>
      <c r="D51" s="1367"/>
      <c r="E51" s="2">
        <f>E46</f>
        <v>15</v>
      </c>
      <c r="F51" s="1366">
        <v>0.75</v>
      </c>
      <c r="G51" s="3">
        <f>-F51*E51</f>
        <v>-11.25</v>
      </c>
      <c r="I51" s="1364">
        <v>1</v>
      </c>
      <c r="J51" s="1367" t="s">
        <v>291</v>
      </c>
      <c r="K51" s="1367"/>
      <c r="L51" s="1367"/>
      <c r="M51" s="2">
        <v>15</v>
      </c>
      <c r="N51" s="1366">
        <v>0.79</v>
      </c>
      <c r="O51" s="3">
        <v>-11.85</v>
      </c>
      <c r="Q51" s="1364">
        <v>1</v>
      </c>
      <c r="R51" s="1367" t="s">
        <v>291</v>
      </c>
      <c r="S51" s="1367"/>
      <c r="T51" s="1367"/>
      <c r="U51" s="2">
        <v>15</v>
      </c>
      <c r="V51" s="1366">
        <v>0.79</v>
      </c>
      <c r="W51" s="3">
        <v>-11.85</v>
      </c>
      <c r="Y51" s="1419">
        <v>1</v>
      </c>
      <c r="Z51" s="1419" t="s">
        <v>291</v>
      </c>
      <c r="AA51" s="1419"/>
      <c r="AB51" s="1419"/>
      <c r="AC51" s="825">
        <v>15</v>
      </c>
      <c r="AD51" s="1366">
        <f>0.02*AD46</f>
        <v>0.85</v>
      </c>
      <c r="AE51" s="826">
        <f>-AD51*AC51</f>
        <v>-12.75</v>
      </c>
      <c r="AH51" s="1419">
        <v>1</v>
      </c>
      <c r="AI51" s="1419" t="s">
        <v>291</v>
      </c>
      <c r="AJ51" s="1419"/>
      <c r="AK51" s="1419"/>
      <c r="AL51" s="825">
        <v>15</v>
      </c>
      <c r="AM51" s="1366">
        <f>0.02*AM46</f>
        <v>0.9</v>
      </c>
      <c r="AN51" s="826">
        <f>-AM51*AL51</f>
        <v>-13.5</v>
      </c>
    </row>
    <row r="52" spans="1:40" x14ac:dyDescent="0.2">
      <c r="A52" s="1364"/>
      <c r="B52" s="1367"/>
      <c r="C52" s="1367"/>
      <c r="D52" s="1367"/>
      <c r="E52" s="2">
        <f>E47</f>
        <v>22</v>
      </c>
      <c r="F52" s="1366"/>
      <c r="G52" s="3">
        <f>-F51*E52</f>
        <v>-16.5</v>
      </c>
      <c r="I52" s="1364"/>
      <c r="J52" s="1367"/>
      <c r="K52" s="1367"/>
      <c r="L52" s="1367"/>
      <c r="M52" s="2">
        <v>22</v>
      </c>
      <c r="N52" s="1366"/>
      <c r="O52" s="3">
        <v>-17.38</v>
      </c>
      <c r="Q52" s="1364"/>
      <c r="R52" s="1367"/>
      <c r="S52" s="1367"/>
      <c r="T52" s="1367"/>
      <c r="U52" s="2">
        <v>22</v>
      </c>
      <c r="V52" s="1366"/>
      <c r="W52" s="3">
        <v>-17.38</v>
      </c>
      <c r="Y52" s="1419"/>
      <c r="Z52" s="1419"/>
      <c r="AA52" s="1419"/>
      <c r="AB52" s="1419"/>
      <c r="AC52" s="825">
        <v>22</v>
      </c>
      <c r="AD52" s="1366"/>
      <c r="AE52" s="826">
        <f>-AD51*AC52</f>
        <v>-18.7</v>
      </c>
      <c r="AH52" s="1419"/>
      <c r="AI52" s="1419"/>
      <c r="AJ52" s="1419"/>
      <c r="AK52" s="1419"/>
      <c r="AL52" s="825">
        <v>22</v>
      </c>
      <c r="AM52" s="1366"/>
      <c r="AN52" s="826">
        <f>-AM51*AL52</f>
        <v>-19.8</v>
      </c>
    </row>
    <row r="53" spans="1:40" x14ac:dyDescent="0.2">
      <c r="A53" s="11"/>
      <c r="B53" s="12"/>
      <c r="C53" s="12"/>
      <c r="D53" s="13"/>
      <c r="E53" s="14"/>
      <c r="F53" s="15"/>
      <c r="G53" s="12"/>
      <c r="I53" s="11"/>
      <c r="J53" s="12"/>
      <c r="K53" s="12"/>
      <c r="L53" s="13"/>
      <c r="M53" s="14"/>
      <c r="N53" s="15"/>
      <c r="O53" s="12"/>
      <c r="Q53" s="11"/>
      <c r="R53" s="12"/>
      <c r="S53" s="12"/>
      <c r="T53" s="13"/>
      <c r="U53" s="14"/>
      <c r="V53" s="15"/>
      <c r="W53" s="12"/>
      <c r="Y53" s="819"/>
      <c r="Z53" s="820"/>
      <c r="AA53" s="820"/>
      <c r="AB53" s="836"/>
      <c r="AC53" s="837"/>
      <c r="AD53" s="838"/>
      <c r="AE53" s="820"/>
      <c r="AH53" s="819"/>
      <c r="AI53" s="820"/>
      <c r="AJ53" s="820"/>
      <c r="AK53" s="836"/>
      <c r="AL53" s="837"/>
      <c r="AM53" s="838"/>
      <c r="AN53" s="820"/>
    </row>
    <row r="54" spans="1:40" x14ac:dyDescent="0.2">
      <c r="A54" s="11"/>
      <c r="B54" s="12"/>
      <c r="C54" s="12"/>
      <c r="D54" s="13"/>
      <c r="E54" s="14"/>
      <c r="F54" s="15"/>
      <c r="G54" s="12"/>
      <c r="I54" s="11"/>
      <c r="J54" s="12"/>
      <c r="K54" s="12"/>
      <c r="L54" s="13"/>
      <c r="M54" s="14"/>
      <c r="N54" s="15"/>
      <c r="O54" s="12"/>
      <c r="Q54" s="11"/>
      <c r="R54" s="12"/>
      <c r="S54" s="12"/>
      <c r="T54" s="13"/>
      <c r="U54" s="14"/>
      <c r="V54" s="15"/>
      <c r="W54" s="12"/>
      <c r="Y54" s="819"/>
      <c r="Z54" s="820"/>
      <c r="AA54" s="820"/>
      <c r="AB54" s="836"/>
      <c r="AC54" s="837"/>
      <c r="AD54" s="838"/>
      <c r="AE54" s="820"/>
      <c r="AH54" s="819"/>
      <c r="AI54" s="820"/>
      <c r="AJ54" s="820"/>
      <c r="AK54" s="836"/>
      <c r="AL54" s="837"/>
      <c r="AM54" s="838"/>
      <c r="AN54" s="820"/>
    </row>
    <row r="55" spans="1:40" x14ac:dyDescent="0.2">
      <c r="A55" s="1358" t="s">
        <v>278</v>
      </c>
      <c r="B55" s="1358"/>
      <c r="C55" s="1358"/>
      <c r="D55" s="1358"/>
      <c r="E55" s="1358"/>
      <c r="F55" s="158"/>
      <c r="G55" s="158"/>
      <c r="I55" s="1357" t="s">
        <v>278</v>
      </c>
      <c r="J55" s="1357"/>
      <c r="K55" s="1357"/>
      <c r="L55" s="1357"/>
      <c r="M55" s="1357"/>
      <c r="N55" s="158"/>
      <c r="O55" s="158"/>
      <c r="Q55" s="1357" t="s">
        <v>278</v>
      </c>
      <c r="R55" s="1357"/>
      <c r="S55" s="1357"/>
      <c r="T55" s="1357"/>
      <c r="U55" s="1357"/>
      <c r="V55" s="158"/>
      <c r="W55" s="158"/>
      <c r="Y55" s="1424" t="s">
        <v>278</v>
      </c>
      <c r="Z55" s="1424"/>
      <c r="AA55" s="1424"/>
      <c r="AB55" s="1424"/>
      <c r="AC55" s="1424"/>
      <c r="AD55" s="839"/>
      <c r="AE55" s="839"/>
      <c r="AH55" s="1424" t="s">
        <v>278</v>
      </c>
      <c r="AI55" s="1424"/>
      <c r="AJ55" s="1424"/>
      <c r="AK55" s="1424"/>
      <c r="AL55" s="1424"/>
      <c r="AM55" s="839"/>
      <c r="AN55" s="839"/>
    </row>
    <row r="56" spans="1:40" ht="21" customHeight="1" x14ac:dyDescent="0.2">
      <c r="A56" s="207" t="s">
        <v>63</v>
      </c>
      <c r="B56" s="1358" t="s">
        <v>162</v>
      </c>
      <c r="C56" s="1358"/>
      <c r="D56" s="1358"/>
      <c r="E56" s="207" t="s">
        <v>68</v>
      </c>
      <c r="F56" s="158"/>
      <c r="G56" s="158"/>
      <c r="I56" s="696" t="s">
        <v>63</v>
      </c>
      <c r="J56" s="1358" t="s">
        <v>162</v>
      </c>
      <c r="K56" s="1358"/>
      <c r="L56" s="1358"/>
      <c r="M56" s="696" t="s">
        <v>68</v>
      </c>
      <c r="N56" s="158"/>
      <c r="O56" s="158"/>
      <c r="Q56" s="696" t="s">
        <v>63</v>
      </c>
      <c r="R56" s="1358" t="s">
        <v>162</v>
      </c>
      <c r="S56" s="1358"/>
      <c r="T56" s="1358"/>
      <c r="U56" s="696" t="s">
        <v>68</v>
      </c>
      <c r="V56" s="158"/>
      <c r="W56" s="158"/>
      <c r="Y56" s="835" t="s">
        <v>63</v>
      </c>
      <c r="Z56" s="1420" t="s">
        <v>162</v>
      </c>
      <c r="AA56" s="1420"/>
      <c r="AB56" s="1420"/>
      <c r="AC56" s="835" t="s">
        <v>68</v>
      </c>
      <c r="AD56" s="839"/>
      <c r="AE56" s="839"/>
      <c r="AH56" s="996" t="s">
        <v>63</v>
      </c>
      <c r="AI56" s="1420" t="s">
        <v>162</v>
      </c>
      <c r="AJ56" s="1420"/>
      <c r="AK56" s="1420"/>
      <c r="AL56" s="996" t="s">
        <v>68</v>
      </c>
      <c r="AM56" s="839"/>
      <c r="AN56" s="839"/>
    </row>
    <row r="57" spans="1:40" ht="15" customHeight="1" x14ac:dyDescent="0.2">
      <c r="A57" s="209">
        <v>2</v>
      </c>
      <c r="B57" s="160" t="s">
        <v>515</v>
      </c>
      <c r="C57" s="163"/>
      <c r="D57" s="215"/>
      <c r="E57" s="167">
        <f>Dados!J50</f>
        <v>140</v>
      </c>
      <c r="F57" s="159"/>
      <c r="G57" s="159"/>
      <c r="I57" s="697">
        <v>2</v>
      </c>
      <c r="J57" s="747" t="s">
        <v>515</v>
      </c>
      <c r="K57" s="748"/>
      <c r="L57" s="215"/>
      <c r="M57" s="367">
        <v>140</v>
      </c>
      <c r="N57" s="159"/>
      <c r="O57" s="159"/>
      <c r="Q57" s="697">
        <v>2</v>
      </c>
      <c r="R57" s="747" t="s">
        <v>515</v>
      </c>
      <c r="S57" s="748"/>
      <c r="T57" s="215"/>
      <c r="U57" s="367">
        <v>140</v>
      </c>
      <c r="V57" s="159"/>
      <c r="W57" s="159"/>
      <c r="Y57" s="827">
        <v>2</v>
      </c>
      <c r="Z57" s="840" t="s">
        <v>515</v>
      </c>
      <c r="AA57" s="841"/>
      <c r="AB57" s="842"/>
      <c r="AC57" s="367">
        <v>151.9</v>
      </c>
      <c r="AD57" s="843"/>
      <c r="AE57" s="843"/>
      <c r="AH57" s="995">
        <v>2</v>
      </c>
      <c r="AI57" s="840" t="s">
        <v>515</v>
      </c>
      <c r="AJ57" s="841"/>
      <c r="AK57" s="842"/>
      <c r="AL57" s="367">
        <v>151.9</v>
      </c>
      <c r="AM57" s="843"/>
      <c r="AN57" s="843"/>
    </row>
    <row r="58" spans="1:40" ht="15" customHeight="1" x14ac:dyDescent="0.2">
      <c r="A58" s="209">
        <v>3</v>
      </c>
      <c r="B58" s="160" t="s">
        <v>295</v>
      </c>
      <c r="C58" s="163"/>
      <c r="D58" s="215"/>
      <c r="E58" s="167">
        <f>Dados!J51</f>
        <v>14</v>
      </c>
      <c r="F58" s="159"/>
      <c r="G58" s="159"/>
      <c r="I58" s="697">
        <v>3</v>
      </c>
      <c r="J58" s="747" t="s">
        <v>295</v>
      </c>
      <c r="K58" s="748"/>
      <c r="L58" s="215"/>
      <c r="M58" s="367">
        <v>14</v>
      </c>
      <c r="N58" s="159"/>
      <c r="O58" s="159"/>
      <c r="Q58" s="697">
        <v>3</v>
      </c>
      <c r="R58" s="747" t="s">
        <v>295</v>
      </c>
      <c r="S58" s="748"/>
      <c r="T58" s="215"/>
      <c r="U58" s="367">
        <v>14</v>
      </c>
      <c r="V58" s="159"/>
      <c r="W58" s="159"/>
      <c r="Y58" s="827">
        <v>3</v>
      </c>
      <c r="Z58" s="840" t="s">
        <v>295</v>
      </c>
      <c r="AA58" s="841"/>
      <c r="AB58" s="842"/>
      <c r="AC58" s="844">
        <v>15.19</v>
      </c>
      <c r="AD58" s="843"/>
      <c r="AE58" s="843"/>
      <c r="AH58" s="995">
        <v>3</v>
      </c>
      <c r="AI58" s="840" t="s">
        <v>295</v>
      </c>
      <c r="AJ58" s="841"/>
      <c r="AK58" s="842"/>
      <c r="AL58" s="367">
        <v>16.07</v>
      </c>
      <c r="AM58" s="843"/>
      <c r="AN58" s="843"/>
    </row>
    <row r="59" spans="1:40" x14ac:dyDescent="0.2">
      <c r="A59" s="209">
        <v>4</v>
      </c>
      <c r="B59" s="366" t="s">
        <v>294</v>
      </c>
      <c r="C59" s="163"/>
      <c r="D59" s="215"/>
      <c r="E59" s="367">
        <f>Dados!J52</f>
        <v>6.4</v>
      </c>
      <c r="I59" s="697">
        <v>4</v>
      </c>
      <c r="J59" s="749" t="s">
        <v>294</v>
      </c>
      <c r="K59" s="748"/>
      <c r="L59" s="215"/>
      <c r="M59" s="367">
        <f>2258.43*26*0.01124%</f>
        <v>6.6</v>
      </c>
      <c r="Q59" s="697">
        <v>4</v>
      </c>
      <c r="R59" s="749" t="s">
        <v>590</v>
      </c>
      <c r="S59" s="748"/>
      <c r="T59" s="215"/>
      <c r="U59" s="367">
        <f>2258.43*26*0.01124%</f>
        <v>6.6</v>
      </c>
      <c r="Y59" s="827">
        <v>4</v>
      </c>
      <c r="Z59" s="840" t="s">
        <v>294</v>
      </c>
      <c r="AA59" s="841"/>
      <c r="AB59" s="842"/>
      <c r="AC59" s="844">
        <f>2450.39*26*0.01236%</f>
        <v>7.87</v>
      </c>
      <c r="AD59" s="844">
        <f>'Item 4 Inserido após o II TA '!K35*26*0.01236%</f>
        <v>9.4499999999999993</v>
      </c>
      <c r="AH59" s="995">
        <v>4</v>
      </c>
      <c r="AI59" s="840" t="s">
        <v>294</v>
      </c>
      <c r="AJ59" s="841"/>
      <c r="AK59" s="842"/>
      <c r="AL59" s="1015">
        <f>2593.73*26*0.01236%</f>
        <v>8.34</v>
      </c>
      <c r="AM59" s="1015">
        <f>3111.12*26*0.01236%</f>
        <v>10</v>
      </c>
      <c r="AN59" s="202"/>
    </row>
    <row r="60" spans="1:40" x14ac:dyDescent="0.2">
      <c r="A60" s="209">
        <v>5</v>
      </c>
      <c r="B60" s="160" t="s">
        <v>293</v>
      </c>
      <c r="C60" s="163"/>
      <c r="D60" s="215"/>
      <c r="E60" s="167">
        <f>Dados!J53</f>
        <v>9</v>
      </c>
      <c r="I60" s="697">
        <v>5</v>
      </c>
      <c r="J60" s="747" t="s">
        <v>293</v>
      </c>
      <c r="K60" s="748"/>
      <c r="L60" s="215"/>
      <c r="M60" s="367">
        <v>9</v>
      </c>
      <c r="Q60" s="697">
        <v>5</v>
      </c>
      <c r="R60" s="747" t="s">
        <v>293</v>
      </c>
      <c r="S60" s="748"/>
      <c r="T60" s="215"/>
      <c r="U60" s="367">
        <v>9</v>
      </c>
      <c r="Y60" s="827">
        <v>5</v>
      </c>
      <c r="Z60" s="840" t="s">
        <v>560</v>
      </c>
      <c r="AA60" s="841"/>
      <c r="AB60" s="842"/>
      <c r="AC60" s="844">
        <v>9.76</v>
      </c>
      <c r="AH60" s="995">
        <v>5</v>
      </c>
      <c r="AI60" s="840" t="s">
        <v>560</v>
      </c>
      <c r="AJ60" s="841"/>
      <c r="AK60" s="842"/>
      <c r="AL60" s="367">
        <v>10.33</v>
      </c>
      <c r="AM60" s="202"/>
      <c r="AN60" s="202"/>
    </row>
    <row r="61" spans="1:40" hidden="1" x14ac:dyDescent="0.2">
      <c r="A61" s="209">
        <v>6</v>
      </c>
      <c r="B61" s="160" t="s">
        <v>283</v>
      </c>
      <c r="C61" s="163"/>
      <c r="D61" s="215"/>
      <c r="E61" s="167">
        <v>0</v>
      </c>
      <c r="I61" s="697">
        <v>6</v>
      </c>
      <c r="J61" s="747" t="s">
        <v>283</v>
      </c>
      <c r="K61" s="748"/>
      <c r="L61" s="215"/>
      <c r="M61" s="367">
        <v>0</v>
      </c>
      <c r="Q61" s="697">
        <v>6</v>
      </c>
      <c r="R61" s="747" t="s">
        <v>283</v>
      </c>
      <c r="S61" s="748"/>
      <c r="T61" s="215"/>
      <c r="U61" s="367">
        <v>0</v>
      </c>
      <c r="Y61" s="827">
        <v>6</v>
      </c>
      <c r="Z61" s="840" t="s">
        <v>283</v>
      </c>
      <c r="AA61" s="841"/>
      <c r="AB61" s="842"/>
      <c r="AC61" s="367">
        <v>0</v>
      </c>
      <c r="AH61" s="995">
        <v>6</v>
      </c>
      <c r="AI61" s="840" t="s">
        <v>283</v>
      </c>
      <c r="AJ61" s="841"/>
      <c r="AK61" s="842"/>
      <c r="AL61" s="367">
        <v>0</v>
      </c>
      <c r="AM61" s="202"/>
      <c r="AN61" s="202"/>
    </row>
    <row r="62" spans="1:40" hidden="1" x14ac:dyDescent="0.2">
      <c r="A62" s="224">
        <v>7</v>
      </c>
      <c r="B62" s="160" t="s">
        <v>296</v>
      </c>
      <c r="C62" s="163"/>
      <c r="D62" s="215"/>
      <c r="E62" s="167">
        <v>0</v>
      </c>
      <c r="I62" s="697">
        <v>7</v>
      </c>
      <c r="J62" s="747" t="s">
        <v>296</v>
      </c>
      <c r="K62" s="748"/>
      <c r="L62" s="215"/>
      <c r="M62" s="367">
        <v>0</v>
      </c>
      <c r="Q62" s="697">
        <v>7</v>
      </c>
      <c r="R62" s="747" t="s">
        <v>296</v>
      </c>
      <c r="S62" s="748"/>
      <c r="T62" s="215"/>
      <c r="U62" s="367">
        <v>0</v>
      </c>
      <c r="Y62" s="827">
        <v>7</v>
      </c>
      <c r="Z62" s="840" t="s">
        <v>296</v>
      </c>
      <c r="AA62" s="841"/>
      <c r="AB62" s="842"/>
      <c r="AC62" s="367">
        <v>0</v>
      </c>
      <c r="AH62" s="995">
        <v>7</v>
      </c>
      <c r="AI62" s="840" t="s">
        <v>296</v>
      </c>
      <c r="AJ62" s="841"/>
      <c r="AK62" s="842"/>
      <c r="AL62" s="367">
        <v>0</v>
      </c>
      <c r="AM62" s="202"/>
      <c r="AN62" s="202"/>
    </row>
    <row r="63" spans="1:40" hidden="1" x14ac:dyDescent="0.2">
      <c r="A63" s="224">
        <v>8</v>
      </c>
      <c r="B63" s="160" t="s">
        <v>297</v>
      </c>
      <c r="C63" s="163"/>
      <c r="D63" s="215"/>
      <c r="E63" s="167">
        <v>0.83</v>
      </c>
      <c r="I63" s="697">
        <v>8</v>
      </c>
      <c r="J63" s="747" t="s">
        <v>297</v>
      </c>
      <c r="K63" s="748"/>
      <c r="L63" s="215"/>
      <c r="M63" s="367">
        <v>0.83</v>
      </c>
      <c r="Q63" s="697">
        <v>8</v>
      </c>
      <c r="R63" s="747" t="s">
        <v>297</v>
      </c>
      <c r="S63" s="748"/>
      <c r="T63" s="215"/>
      <c r="U63" s="367">
        <v>0.83</v>
      </c>
      <c r="Y63" s="827">
        <v>8</v>
      </c>
      <c r="Z63" s="840" t="s">
        <v>297</v>
      </c>
      <c r="AA63" s="841"/>
      <c r="AB63" s="842"/>
      <c r="AC63" s="367">
        <v>0.83</v>
      </c>
      <c r="AH63" s="995">
        <v>8</v>
      </c>
      <c r="AI63" s="840" t="s">
        <v>297</v>
      </c>
      <c r="AJ63" s="841"/>
      <c r="AK63" s="842"/>
      <c r="AL63" s="367">
        <v>0.83</v>
      </c>
      <c r="AM63" s="202"/>
      <c r="AN63" s="202"/>
    </row>
    <row r="64" spans="1:40" x14ac:dyDescent="0.2">
      <c r="AH64" s="202"/>
      <c r="AI64" s="202"/>
      <c r="AJ64" s="202"/>
      <c r="AK64" s="202"/>
      <c r="AL64" s="202"/>
      <c r="AM64" s="202"/>
      <c r="AN64" s="202"/>
    </row>
    <row r="65" spans="1:40" x14ac:dyDescent="0.2">
      <c r="A65" s="360" t="s">
        <v>463</v>
      </c>
      <c r="I65" s="360" t="s">
        <v>463</v>
      </c>
      <c r="Q65" s="360" t="s">
        <v>463</v>
      </c>
      <c r="Y65" s="360" t="s">
        <v>463</v>
      </c>
      <c r="AH65" s="360" t="s">
        <v>463</v>
      </c>
      <c r="AI65" s="202"/>
      <c r="AJ65" s="202"/>
      <c r="AK65" s="202"/>
      <c r="AL65" s="202"/>
      <c r="AM65" s="202"/>
      <c r="AN65" s="202"/>
    </row>
  </sheetData>
  <sheetProtection selectLockedCells="1" selectUnlockedCells="1"/>
  <mergeCells count="267">
    <mergeCell ref="AH51:AH52"/>
    <mergeCell ref="AI51:AK52"/>
    <mergeCell ref="AM51:AM52"/>
    <mergeCell ref="AH55:AL55"/>
    <mergeCell ref="AI56:AK56"/>
    <mergeCell ref="AH43:AI43"/>
    <mergeCell ref="AH44:AN44"/>
    <mergeCell ref="AI45:AK45"/>
    <mergeCell ref="AH46:AH47"/>
    <mergeCell ref="AI46:AK46"/>
    <mergeCell ref="AM46:AM47"/>
    <mergeCell ref="AI47:AK47"/>
    <mergeCell ref="AH49:AN49"/>
    <mergeCell ref="AI50:AK50"/>
    <mergeCell ref="AH32:AN32"/>
    <mergeCell ref="AH33:AN33"/>
    <mergeCell ref="AI34:AJ34"/>
    <mergeCell ref="AI35:AJ35"/>
    <mergeCell ref="AI36:AJ36"/>
    <mergeCell ref="AI37:AJ37"/>
    <mergeCell ref="AH38:AN39"/>
    <mergeCell ref="AI40:AJ40"/>
    <mergeCell ref="AH42:AI4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M31"/>
    <mergeCell ref="AH14:AN14"/>
    <mergeCell ref="AH15:AN15"/>
    <mergeCell ref="AH16:AI16"/>
    <mergeCell ref="AH17:AI17"/>
    <mergeCell ref="AH18:AI18"/>
    <mergeCell ref="AH19:AI19"/>
    <mergeCell ref="AH20:AI20"/>
    <mergeCell ref="AH21:AI21"/>
    <mergeCell ref="AH22:AI22"/>
    <mergeCell ref="AH2:AN2"/>
    <mergeCell ref="AH3:AN3"/>
    <mergeCell ref="AH4:AN4"/>
    <mergeCell ref="AH5:AN5"/>
    <mergeCell ref="AH6:AN6"/>
    <mergeCell ref="AH8:AN8"/>
    <mergeCell ref="AH10:AN10"/>
    <mergeCell ref="AI11:AJ11"/>
    <mergeCell ref="AH12:AH13"/>
    <mergeCell ref="AI12:AJ12"/>
    <mergeCell ref="AL12:AL13"/>
    <mergeCell ref="AM12:AM13"/>
    <mergeCell ref="AI13:AJ13"/>
    <mergeCell ref="Y51:Y52"/>
    <mergeCell ref="Z51:AB52"/>
    <mergeCell ref="AD51:AD52"/>
    <mergeCell ref="Y55:AC55"/>
    <mergeCell ref="Z56:AB56"/>
    <mergeCell ref="Y43:Z43"/>
    <mergeCell ref="Y44:AE44"/>
    <mergeCell ref="Z45:AB45"/>
    <mergeCell ref="Y46:Y47"/>
    <mergeCell ref="Z46:AB46"/>
    <mergeCell ref="AD46:AD47"/>
    <mergeCell ref="Z47:AB47"/>
    <mergeCell ref="Y49:AE49"/>
    <mergeCell ref="Z50:AB50"/>
    <mergeCell ref="Y32:AE32"/>
    <mergeCell ref="Y33:AE33"/>
    <mergeCell ref="Z34:AA34"/>
    <mergeCell ref="Z35:AA35"/>
    <mergeCell ref="Z36:AA36"/>
    <mergeCell ref="Z37:AA37"/>
    <mergeCell ref="Y38:AE39"/>
    <mergeCell ref="Z40:AA40"/>
    <mergeCell ref="Y42:Z42"/>
    <mergeCell ref="Y23:Z23"/>
    <mergeCell ref="Y24:Z24"/>
    <mergeCell ref="Y25:Z25"/>
    <mergeCell ref="Y26:Z26"/>
    <mergeCell ref="Y27:Z27"/>
    <mergeCell ref="Y28:Z28"/>
    <mergeCell ref="Y29:Z29"/>
    <mergeCell ref="Y30:Z30"/>
    <mergeCell ref="Y31:AD31"/>
    <mergeCell ref="Y14:AE14"/>
    <mergeCell ref="Y15:AE15"/>
    <mergeCell ref="Y16:Z16"/>
    <mergeCell ref="Y17:Z17"/>
    <mergeCell ref="Y18:Z18"/>
    <mergeCell ref="Y19:Z19"/>
    <mergeCell ref="Y20:Z20"/>
    <mergeCell ref="Y21:Z21"/>
    <mergeCell ref="Y22:Z22"/>
    <mergeCell ref="Y2:AE2"/>
    <mergeCell ref="Y3:AE3"/>
    <mergeCell ref="Y4:AE4"/>
    <mergeCell ref="Y5:AE5"/>
    <mergeCell ref="Y6:AE6"/>
    <mergeCell ref="Y8:AE8"/>
    <mergeCell ref="Y10:AE10"/>
    <mergeCell ref="Z11:AA11"/>
    <mergeCell ref="Y12:Y13"/>
    <mergeCell ref="Z12:AA12"/>
    <mergeCell ref="AC12:AC13"/>
    <mergeCell ref="AD12:AD13"/>
    <mergeCell ref="Z13:AA13"/>
    <mergeCell ref="I55:M55"/>
    <mergeCell ref="J56:L56"/>
    <mergeCell ref="I6:O6"/>
    <mergeCell ref="I49:O49"/>
    <mergeCell ref="J50:L50"/>
    <mergeCell ref="I51:I52"/>
    <mergeCell ref="J51:L52"/>
    <mergeCell ref="N51:N52"/>
    <mergeCell ref="I42:J42"/>
    <mergeCell ref="I43:J43"/>
    <mergeCell ref="I44:O44"/>
    <mergeCell ref="J45:L45"/>
    <mergeCell ref="I46:I47"/>
    <mergeCell ref="J46:L46"/>
    <mergeCell ref="N46:N47"/>
    <mergeCell ref="J47:L47"/>
    <mergeCell ref="J34:K34"/>
    <mergeCell ref="J35:K35"/>
    <mergeCell ref="J36:K36"/>
    <mergeCell ref="J37:K37"/>
    <mergeCell ref="I38:O39"/>
    <mergeCell ref="I29:J29"/>
    <mergeCell ref="I30:J30"/>
    <mergeCell ref="I31:N31"/>
    <mergeCell ref="I32:O32"/>
    <mergeCell ref="I33:O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O14"/>
    <mergeCell ref="I15:O15"/>
    <mergeCell ref="I16:J16"/>
    <mergeCell ref="I17:J17"/>
    <mergeCell ref="I18:J18"/>
    <mergeCell ref="I10:O10"/>
    <mergeCell ref="J11:K11"/>
    <mergeCell ref="I12:I13"/>
    <mergeCell ref="J12:K12"/>
    <mergeCell ref="M12:M13"/>
    <mergeCell ref="N12:N13"/>
    <mergeCell ref="J13:K13"/>
    <mergeCell ref="I2:O2"/>
    <mergeCell ref="I3:O3"/>
    <mergeCell ref="I4:O4"/>
    <mergeCell ref="I5:O5"/>
    <mergeCell ref="I8:O8"/>
    <mergeCell ref="A20:B20"/>
    <mergeCell ref="A28:B28"/>
    <mergeCell ref="A29:B29"/>
    <mergeCell ref="B46:D46"/>
    <mergeCell ref="B34:C34"/>
    <mergeCell ref="B35:C35"/>
    <mergeCell ref="A42:B42"/>
    <mergeCell ref="A43:B43"/>
    <mergeCell ref="B36:C36"/>
    <mergeCell ref="B37:C37"/>
    <mergeCell ref="A21:B21"/>
    <mergeCell ref="A38:G39"/>
    <mergeCell ref="A30:B30"/>
    <mergeCell ref="A31:F31"/>
    <mergeCell ref="A32:G32"/>
    <mergeCell ref="A33:G33"/>
    <mergeCell ref="A15:G15"/>
    <mergeCell ref="A16:B16"/>
    <mergeCell ref="A17:B17"/>
    <mergeCell ref="A18:B18"/>
    <mergeCell ref="A19:B19"/>
    <mergeCell ref="A2:G2"/>
    <mergeCell ref="A3:G3"/>
    <mergeCell ref="A10:G10"/>
    <mergeCell ref="A14:G14"/>
    <mergeCell ref="B12:C12"/>
    <mergeCell ref="B11:C11"/>
    <mergeCell ref="A4:G4"/>
    <mergeCell ref="A5:G5"/>
    <mergeCell ref="A8:G8"/>
    <mergeCell ref="E12:E13"/>
    <mergeCell ref="F12:F13"/>
    <mergeCell ref="B13:C13"/>
    <mergeCell ref="A12:A13"/>
    <mergeCell ref="A22:B22"/>
    <mergeCell ref="A24:B24"/>
    <mergeCell ref="A25:B25"/>
    <mergeCell ref="A26:B26"/>
    <mergeCell ref="A27:B27"/>
    <mergeCell ref="A23:B23"/>
    <mergeCell ref="B56:D56"/>
    <mergeCell ref="A55:E55"/>
    <mergeCell ref="A44:G44"/>
    <mergeCell ref="B45:D45"/>
    <mergeCell ref="B50:D50"/>
    <mergeCell ref="A49:G49"/>
    <mergeCell ref="A46:A47"/>
    <mergeCell ref="F46:F47"/>
    <mergeCell ref="B47:D47"/>
    <mergeCell ref="A51:A52"/>
    <mergeCell ref="B51:D52"/>
    <mergeCell ref="F51:F52"/>
    <mergeCell ref="Q2:W2"/>
    <mergeCell ref="Q3:W3"/>
    <mergeCell ref="Q4:W4"/>
    <mergeCell ref="Q5:W5"/>
    <mergeCell ref="Q6:W6"/>
    <mergeCell ref="Q8:W8"/>
    <mergeCell ref="Q10:W10"/>
    <mergeCell ref="R11:S11"/>
    <mergeCell ref="Q12:Q13"/>
    <mergeCell ref="R12:S12"/>
    <mergeCell ref="U12:U13"/>
    <mergeCell ref="V12:V13"/>
    <mergeCell ref="R13:S13"/>
    <mergeCell ref="Q14:W14"/>
    <mergeCell ref="Q15:W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V31"/>
    <mergeCell ref="Q32:W32"/>
    <mergeCell ref="Q33:W33"/>
    <mergeCell ref="R34:S34"/>
    <mergeCell ref="R35:S35"/>
    <mergeCell ref="R36:S36"/>
    <mergeCell ref="R37:S37"/>
    <mergeCell ref="Q38:W39"/>
    <mergeCell ref="Q42:R42"/>
    <mergeCell ref="Q43:R43"/>
    <mergeCell ref="Q55:U55"/>
    <mergeCell ref="R56:T56"/>
    <mergeCell ref="R40:S40"/>
    <mergeCell ref="Q44:W44"/>
    <mergeCell ref="R45:T45"/>
    <mergeCell ref="Q46:Q47"/>
    <mergeCell ref="R46:T46"/>
    <mergeCell ref="V46:V47"/>
    <mergeCell ref="R47:T47"/>
    <mergeCell ref="Q49:W49"/>
    <mergeCell ref="R50:T50"/>
    <mergeCell ref="Q51:Q52"/>
    <mergeCell ref="R51:T52"/>
    <mergeCell ref="V51:V52"/>
  </mergeCells>
  <dataValidations disablePrompts="1" count="4">
    <dataValidation allowBlank="1" showInputMessage="1" showErrorMessage="1" errorTitle="Atenção" error="Não alterar manualmente" promptTitle="Quantidade de Dias" prompt="- Não alterar manualmente. Para alterar os dias, ir na Coluna &quot;B&quot;, Linha &quot;11&quot; e mudar a jornada de trabalho" sqref="D12:D13" xr:uid="{00000000-0002-0000-0B00-000000000000}"/>
    <dataValidation allowBlank="1" showInputMessage="1" showErrorMessage="1" errorTitle="Atenção" error="- Não alterar manualmente" promptTitle="Quantidade de dias" prompt="- Não alterar manualmente. Para alterar os dias, ir na Coluna &quot;B&quot;, Linha &quot;42&quot; e mudar a jornada de trabalho" sqref="E46:E47 E51:E52" xr:uid="{00000000-0002-0000-0B00-000001000000}"/>
    <dataValidation allowBlank="1" showInputMessage="1" showErrorMessage="1" errorTitle="Atenção" error="Não alterar manualmente" promptTitle="Valores Unitários" prompt="Não alterar manualmente. Os valores serão automaticamente alterados assim que escolher o Sindicato." sqref="E61:E63" xr:uid="{00000000-0002-0000-0B00-000002000000}"/>
    <dataValidation allowBlank="1" showInputMessage="1" showErrorMessage="1" errorTitle="Atenção" error="- Não alterar manualmente." promptTitle="Descrição/Fundamento" prompt="Não alterar manualmente. As Cláusulas serão automaticamente alteradas assim que escolher o Sindicato." sqref="B61:B63" xr:uid="{00000000-0002-0000-0B00-000003000000}"/>
  </dataValidations>
  <printOptions horizontalCentered="1"/>
  <pageMargins left="0.47244094488188981" right="0.31496062992125984" top="1.7716535433070868" bottom="0.55118110236220474" header="0.31496062992125984" footer="0.39370078740157483"/>
  <pageSetup paperSize="9" scale="76" fitToHeight="0" orientation="portrait" horizontalDpi="4294967294" r:id="rId1"/>
  <headerFooter alignWithMargins="0">
    <oddHeader>&amp;L&amp;"+,Negrito"&amp;8PROPOSTA Nº 053/2020 - CJF</oddHeader>
  </headerFooter>
  <ignoredErrors>
    <ignoredError sqref="E35" evalError="1"/>
    <ignoredError sqref="E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7">
    <tabColor rgb="FF92D050"/>
  </sheetPr>
  <dimension ref="A1:AE54"/>
  <sheetViews>
    <sheetView showGridLines="0" topLeftCell="Q1" zoomScaleNormal="100" zoomScaleSheetLayoutView="100" workbookViewId="0">
      <selection activeCell="AF20" sqref="AF20"/>
    </sheetView>
  </sheetViews>
  <sheetFormatPr defaultColWidth="9.140625" defaultRowHeight="16.5" customHeight="1" x14ac:dyDescent="0.2"/>
  <cols>
    <col min="1" max="1" width="7.140625" style="16" hidden="1" customWidth="1"/>
    <col min="2" max="2" width="56.7109375" style="17" hidden="1" customWidth="1"/>
    <col min="3" max="3" width="12.140625" style="345" hidden="1" customWidth="1"/>
    <col min="4" max="4" width="41.28515625" style="16" hidden="1" customWidth="1"/>
    <col min="5" max="5" width="57.85546875" style="17" hidden="1" customWidth="1"/>
    <col min="6" max="7" width="0" style="18" hidden="1" customWidth="1"/>
    <col min="8" max="8" width="55.140625" style="18" hidden="1" customWidth="1"/>
    <col min="9" max="9" width="13.140625" style="18" hidden="1" customWidth="1"/>
    <col min="10" max="10" width="36.42578125" style="18" hidden="1" customWidth="1"/>
    <col min="11" max="11" width="2" style="18" hidden="1" customWidth="1"/>
    <col min="12" max="13" width="9.140625" style="18"/>
    <col min="14" max="14" width="50" style="18" customWidth="1"/>
    <col min="15" max="15" width="14.85546875" style="18" customWidth="1"/>
    <col min="16" max="16" width="39.85546875" style="18" customWidth="1"/>
    <col min="17" max="17" width="55.140625" style="18" customWidth="1"/>
    <col min="18" max="18" width="9.140625" style="18"/>
    <col min="19" max="19" width="11.140625" style="18" hidden="1" customWidth="1"/>
    <col min="20" max="20" width="43.7109375" style="18" hidden="1" customWidth="1"/>
    <col min="21" max="21" width="14.7109375" style="18" hidden="1" customWidth="1"/>
    <col min="22" max="22" width="32.7109375" style="18" hidden="1" customWidth="1"/>
    <col min="23" max="23" width="72.7109375" style="18" hidden="1" customWidth="1"/>
    <col min="24" max="25" width="0" style="18" hidden="1" customWidth="1"/>
    <col min="26" max="26" width="10.42578125" style="18" customWidth="1"/>
    <col min="27" max="27" width="43.85546875" style="18" customWidth="1"/>
    <col min="28" max="28" width="11.28515625" style="18" customWidth="1"/>
    <col min="29" max="29" width="33.85546875" style="18" customWidth="1"/>
    <col min="30" max="30" width="66.7109375" style="18" customWidth="1"/>
    <col min="31" max="16384" width="9.140625" style="18"/>
  </cols>
  <sheetData>
    <row r="1" spans="1:31" ht="14.25" x14ac:dyDescent="0.2">
      <c r="G1" s="16"/>
      <c r="H1" s="17"/>
      <c r="I1" s="345"/>
      <c r="J1" s="16"/>
      <c r="K1" s="17"/>
    </row>
    <row r="2" spans="1:31" ht="14.25" x14ac:dyDescent="0.2">
      <c r="A2" s="1432" t="str">
        <f>Dados!A5</f>
        <v>CONSELHO DA JUSTIÇA FEDERAL - CJF</v>
      </c>
      <c r="B2" s="1432"/>
      <c r="C2" s="1432"/>
      <c r="D2" s="1432"/>
      <c r="E2" s="1432"/>
      <c r="G2" s="1432" t="str">
        <f>Dados!A5</f>
        <v>CONSELHO DA JUSTIÇA FEDERAL - CJF</v>
      </c>
      <c r="H2" s="1432"/>
      <c r="I2" s="1432"/>
      <c r="J2" s="1432"/>
      <c r="K2" s="1432"/>
      <c r="M2" s="1432" t="str">
        <f>Dados!A5</f>
        <v>CONSELHO DA JUSTIÇA FEDERAL - CJF</v>
      </c>
      <c r="N2" s="1432"/>
      <c r="O2" s="1432"/>
      <c r="P2" s="1432"/>
      <c r="Q2" s="1432"/>
      <c r="S2" s="1431" t="s">
        <v>306</v>
      </c>
      <c r="T2" s="1431"/>
      <c r="U2" s="1431"/>
      <c r="V2" s="1431"/>
      <c r="W2" s="1431"/>
      <c r="Z2" s="1431" t="s">
        <v>306</v>
      </c>
      <c r="AA2" s="1431"/>
      <c r="AB2" s="1431"/>
      <c r="AC2" s="1431"/>
      <c r="AD2" s="1431"/>
    </row>
    <row r="3" spans="1:31" s="10" customFormat="1" ht="14.25" x14ac:dyDescent="0.2">
      <c r="A3" s="1432" t="str">
        <f>Dados!A9</f>
        <v>PREGÃO ELETRÔNICO Nº 09/2020 - CJF</v>
      </c>
      <c r="B3" s="1432"/>
      <c r="C3" s="1432"/>
      <c r="D3" s="1432"/>
      <c r="E3" s="1432"/>
      <c r="G3" s="1432" t="str">
        <f>Dados!A9</f>
        <v>PREGÃO ELETRÔNICO Nº 09/2020 - CJF</v>
      </c>
      <c r="H3" s="1432"/>
      <c r="I3" s="1432"/>
      <c r="J3" s="1432"/>
      <c r="K3" s="1432"/>
      <c r="M3" s="1432" t="str">
        <f>Dados!A9</f>
        <v>PREGÃO ELETRÔNICO Nº 09/2020 - CJF</v>
      </c>
      <c r="N3" s="1432"/>
      <c r="O3" s="1432"/>
      <c r="P3" s="1432"/>
      <c r="Q3" s="1432"/>
      <c r="V3" s="850" t="s">
        <v>309</v>
      </c>
      <c r="W3" s="850"/>
      <c r="X3" s="850"/>
      <c r="Y3" s="850"/>
      <c r="AC3" s="850" t="s">
        <v>309</v>
      </c>
      <c r="AD3" s="850"/>
      <c r="AE3" s="850"/>
    </row>
    <row r="4" spans="1:31" s="10" customFormat="1" ht="14.25" hidden="1" customHeight="1" x14ac:dyDescent="0.2">
      <c r="A4" s="1432" t="str">
        <f>Dados!A10</f>
        <v>CONTRATO Nº __________/201__ - CONTRATANTE - PRESTAÇÃO DE SERVIÇOS --------</v>
      </c>
      <c r="B4" s="1432"/>
      <c r="C4" s="1432"/>
      <c r="D4" s="1432"/>
      <c r="E4" s="1432"/>
      <c r="G4" s="1432">
        <f>Dados!G10</f>
        <v>0</v>
      </c>
      <c r="H4" s="1432"/>
      <c r="I4" s="1432"/>
      <c r="J4" s="1432"/>
      <c r="K4" s="1432"/>
      <c r="M4" s="1432">
        <f>Dados!M10</f>
        <v>0</v>
      </c>
      <c r="N4" s="1432"/>
      <c r="O4" s="1432"/>
      <c r="P4" s="1432"/>
      <c r="Q4" s="1432"/>
      <c r="S4" s="1431" t="s">
        <v>309</v>
      </c>
      <c r="T4" s="1431"/>
      <c r="U4" s="1431"/>
      <c r="V4" s="1431"/>
      <c r="W4" s="1431"/>
      <c r="X4" s="810"/>
      <c r="Z4" s="1431" t="s">
        <v>309</v>
      </c>
      <c r="AA4" s="1431"/>
      <c r="AB4" s="1431"/>
      <c r="AC4" s="1431"/>
      <c r="AD4" s="1431"/>
    </row>
    <row r="5" spans="1:31" s="10" customFormat="1" ht="14.25" hidden="1" customHeight="1" x14ac:dyDescent="0.2">
      <c r="A5" s="1432" t="str">
        <f>Dados!H2</f>
        <v xml:space="preserve">REPACTUAÇÃO CONTRATUAL 20___ - </v>
      </c>
      <c r="B5" s="1432"/>
      <c r="C5" s="1432"/>
      <c r="D5" s="1432"/>
      <c r="E5" s="1432"/>
      <c r="G5" s="1432">
        <f>Dados!N2</f>
        <v>0</v>
      </c>
      <c r="H5" s="1432"/>
      <c r="I5" s="1432"/>
      <c r="J5" s="1432"/>
      <c r="K5" s="1432"/>
      <c r="M5" s="1432">
        <f>Dados!T2</f>
        <v>0</v>
      </c>
      <c r="N5" s="1432"/>
      <c r="O5" s="1432"/>
      <c r="P5" s="1432"/>
      <c r="Q5" s="1432"/>
      <c r="S5" s="818">
        <v>0</v>
      </c>
      <c r="T5" s="819"/>
      <c r="U5" s="819"/>
      <c r="V5" s="819"/>
      <c r="W5" s="820"/>
      <c r="X5" s="810"/>
      <c r="Z5" s="1003">
        <v>0</v>
      </c>
      <c r="AA5" s="819"/>
      <c r="AB5" s="819"/>
      <c r="AC5" s="819"/>
      <c r="AD5" s="820"/>
    </row>
    <row r="6" spans="1:31" s="10" customFormat="1" ht="14.25" x14ac:dyDescent="0.2">
      <c r="A6" s="19"/>
      <c r="B6" s="19"/>
      <c r="C6" s="346"/>
      <c r="D6" s="19"/>
      <c r="E6" s="19"/>
      <c r="G6" s="1434" t="s">
        <v>488</v>
      </c>
      <c r="H6" s="1434"/>
      <c r="I6" s="1434"/>
      <c r="J6" s="1434"/>
      <c r="K6" s="1434"/>
      <c r="M6" s="1434" t="s">
        <v>517</v>
      </c>
      <c r="N6" s="1434"/>
      <c r="O6" s="1434"/>
      <c r="P6" s="1434"/>
      <c r="Q6" s="1434"/>
      <c r="R6" s="821"/>
      <c r="V6" s="851" t="s">
        <v>557</v>
      </c>
      <c r="W6" s="851"/>
      <c r="X6" s="851"/>
      <c r="Y6" s="851"/>
      <c r="AC6" s="839" t="s">
        <v>614</v>
      </c>
      <c r="AD6" s="839"/>
      <c r="AE6" s="851"/>
    </row>
    <row r="7" spans="1:31" s="10" customFormat="1" ht="14.25" x14ac:dyDescent="0.2">
      <c r="A7" s="19"/>
      <c r="B7" s="19"/>
      <c r="C7" s="346"/>
      <c r="D7" s="19"/>
      <c r="E7" s="19"/>
      <c r="G7" s="19"/>
      <c r="H7" s="19"/>
      <c r="I7" s="346"/>
      <c r="J7" s="19"/>
      <c r="K7" s="19"/>
      <c r="S7" s="1402" t="s">
        <v>192</v>
      </c>
      <c r="T7" s="1402"/>
      <c r="U7" s="1402"/>
      <c r="V7" s="1402"/>
      <c r="W7" s="1402"/>
      <c r="X7" s="811"/>
      <c r="Z7" s="1402" t="s">
        <v>192</v>
      </c>
      <c r="AA7" s="1402"/>
      <c r="AB7" s="1402"/>
      <c r="AC7" s="1402"/>
      <c r="AD7" s="1402"/>
    </row>
    <row r="8" spans="1:31" s="10" customFormat="1" ht="14.25" customHeight="1" x14ac:dyDescent="0.2">
      <c r="A8" s="1433" t="s">
        <v>192</v>
      </c>
      <c r="B8" s="1433"/>
      <c r="C8" s="1433"/>
      <c r="D8" s="1433"/>
      <c r="E8" s="1433"/>
      <c r="F8" s="20"/>
      <c r="G8" s="1433" t="s">
        <v>192</v>
      </c>
      <c r="H8" s="1433"/>
      <c r="I8" s="1433"/>
      <c r="J8" s="1433"/>
      <c r="K8" s="1433"/>
      <c r="M8" s="1433" t="s">
        <v>192</v>
      </c>
      <c r="N8" s="1433"/>
      <c r="O8" s="1433"/>
      <c r="P8" s="1433"/>
      <c r="Q8" s="1433"/>
      <c r="S8" s="819"/>
      <c r="T8" s="819"/>
      <c r="U8" s="819"/>
      <c r="V8" s="819"/>
      <c r="W8" s="820"/>
      <c r="Z8" s="819"/>
      <c r="AA8" s="819"/>
      <c r="AB8" s="819"/>
      <c r="AC8" s="819"/>
      <c r="AD8" s="820"/>
    </row>
    <row r="9" spans="1:31" ht="16.5" customHeight="1" x14ac:dyDescent="0.2">
      <c r="C9" s="750">
        <f>Dados!G75</f>
        <v>0</v>
      </c>
      <c r="G9" s="16"/>
      <c r="H9" s="17"/>
      <c r="I9" s="750" t="str">
        <f>Dados!M75</f>
        <v>Vigilante</v>
      </c>
      <c r="J9" s="16"/>
      <c r="K9" s="17"/>
      <c r="M9" s="16"/>
      <c r="N9" s="17"/>
      <c r="O9" s="750">
        <f>Dados!S75</f>
        <v>2</v>
      </c>
      <c r="P9" s="16"/>
      <c r="Q9" s="17"/>
      <c r="X9" s="20"/>
    </row>
    <row r="10" spans="1:31" ht="19.5" customHeight="1" x14ac:dyDescent="0.2">
      <c r="A10" s="699" t="str">
        <f>Dados!A75</f>
        <v>2.1</v>
      </c>
      <c r="B10" s="751" t="str">
        <f>Dados!B75</f>
        <v>13º SALÁRIO, FÉRIAS E ADICIONAL DE FÉRIAS</v>
      </c>
      <c r="C10" s="752" t="s">
        <v>11</v>
      </c>
      <c r="D10" s="753" t="s">
        <v>80</v>
      </c>
      <c r="E10" s="753" t="s">
        <v>81</v>
      </c>
      <c r="G10" s="699" t="str">
        <f>Dados!A75</f>
        <v>2.1</v>
      </c>
      <c r="H10" s="751" t="str">
        <f>Dados!B75</f>
        <v>13º SALÁRIO, FÉRIAS E ADICIONAL DE FÉRIAS</v>
      </c>
      <c r="I10" s="752" t="s">
        <v>11</v>
      </c>
      <c r="J10" s="753" t="s">
        <v>80</v>
      </c>
      <c r="K10" s="753" t="s">
        <v>81</v>
      </c>
      <c r="M10" s="699" t="str">
        <f>Dados!M75</f>
        <v>Vigilante</v>
      </c>
      <c r="N10" s="751" t="str">
        <f>Dados!B75</f>
        <v>13º SALÁRIO, FÉRIAS E ADICIONAL DE FÉRIAS</v>
      </c>
      <c r="O10" s="752" t="s">
        <v>11</v>
      </c>
      <c r="P10" s="753" t="s">
        <v>80</v>
      </c>
      <c r="Q10" s="753" t="s">
        <v>81</v>
      </c>
      <c r="S10" s="771" t="s">
        <v>561</v>
      </c>
      <c r="T10" s="751" t="s">
        <v>212</v>
      </c>
      <c r="U10" s="752" t="s">
        <v>11</v>
      </c>
      <c r="V10" s="753" t="s">
        <v>80</v>
      </c>
      <c r="W10" s="753" t="s">
        <v>81</v>
      </c>
      <c r="Z10" s="1002" t="s">
        <v>561</v>
      </c>
      <c r="AA10" s="751" t="s">
        <v>212</v>
      </c>
      <c r="AB10" s="752" t="s">
        <v>11</v>
      </c>
      <c r="AC10" s="753" t="s">
        <v>80</v>
      </c>
      <c r="AD10" s="753" t="s">
        <v>81</v>
      </c>
    </row>
    <row r="11" spans="1:31" ht="55.15" customHeight="1" x14ac:dyDescent="0.2">
      <c r="A11" s="21" t="s">
        <v>1</v>
      </c>
      <c r="B11" s="24" t="str">
        <f>Dados!B76</f>
        <v xml:space="preserve">13º (décimo terceiro) salário  </v>
      </c>
      <c r="C11" s="347">
        <f>Dados!G76</f>
        <v>9.0899999999999995E-2</v>
      </c>
      <c r="D11" s="152" t="s">
        <v>522</v>
      </c>
      <c r="E11" s="754" t="s">
        <v>472</v>
      </c>
      <c r="G11" s="21" t="s">
        <v>1</v>
      </c>
      <c r="H11" s="24" t="str">
        <f>Dados!B76</f>
        <v xml:space="preserve">13º (décimo terceiro) salário  </v>
      </c>
      <c r="I11" s="347">
        <f>Dados!G76</f>
        <v>9.0899999999999995E-2</v>
      </c>
      <c r="J11" s="152" t="s">
        <v>522</v>
      </c>
      <c r="K11" s="754" t="s">
        <v>472</v>
      </c>
      <c r="M11" s="21" t="s">
        <v>1</v>
      </c>
      <c r="N11" s="24" t="str">
        <f>Dados!B76</f>
        <v xml:space="preserve">13º (décimo terceiro) salário  </v>
      </c>
      <c r="O11" s="347">
        <f>Dados!G76</f>
        <v>9.0899999999999995E-2</v>
      </c>
      <c r="P11" s="152" t="s">
        <v>522</v>
      </c>
      <c r="Q11" s="754" t="s">
        <v>472</v>
      </c>
      <c r="S11" s="21" t="s">
        <v>1</v>
      </c>
      <c r="T11" s="812" t="s">
        <v>157</v>
      </c>
      <c r="U11" s="347">
        <v>9.0899999999999995E-2</v>
      </c>
      <c r="V11" s="152" t="s">
        <v>522</v>
      </c>
      <c r="W11" s="754" t="s">
        <v>472</v>
      </c>
      <c r="Z11" s="21" t="s">
        <v>1</v>
      </c>
      <c r="AA11" s="812" t="s">
        <v>157</v>
      </c>
      <c r="AB11" s="347">
        <v>9.0899999999999995E-2</v>
      </c>
      <c r="AC11" s="152" t="s">
        <v>522</v>
      </c>
      <c r="AD11" s="754" t="s">
        <v>472</v>
      </c>
    </row>
    <row r="12" spans="1:31" ht="55.15" customHeight="1" x14ac:dyDescent="0.2">
      <c r="A12" s="21" t="s">
        <v>2</v>
      </c>
      <c r="B12" s="25" t="str">
        <f>Dados!B77</f>
        <v>Férias e Adicional de Férias</v>
      </c>
      <c r="C12" s="347">
        <f>Dados!G77</f>
        <v>0.1212</v>
      </c>
      <c r="D12" s="157" t="s">
        <v>160</v>
      </c>
      <c r="E12" s="754" t="s">
        <v>473</v>
      </c>
      <c r="G12" s="21" t="s">
        <v>2</v>
      </c>
      <c r="H12" s="25" t="str">
        <f>Dados!B77</f>
        <v>Férias e Adicional de Férias</v>
      </c>
      <c r="I12" s="347">
        <f>Dados!G77</f>
        <v>0.1212</v>
      </c>
      <c r="J12" s="157" t="s">
        <v>160</v>
      </c>
      <c r="K12" s="754" t="s">
        <v>473</v>
      </c>
      <c r="M12" s="21" t="s">
        <v>2</v>
      </c>
      <c r="N12" s="25" t="str">
        <f>Dados!B77</f>
        <v>Férias e Adicional de Férias</v>
      </c>
      <c r="O12" s="347">
        <f>Dados!G77</f>
        <v>0.1212</v>
      </c>
      <c r="P12" s="157" t="s">
        <v>160</v>
      </c>
      <c r="Q12" s="754" t="s">
        <v>473</v>
      </c>
      <c r="S12" s="21" t="s">
        <v>2</v>
      </c>
      <c r="T12" s="812" t="s">
        <v>224</v>
      </c>
      <c r="U12" s="347">
        <v>0.1212</v>
      </c>
      <c r="V12" s="157" t="s">
        <v>160</v>
      </c>
      <c r="W12" s="754" t="s">
        <v>473</v>
      </c>
      <c r="Z12" s="21" t="s">
        <v>2</v>
      </c>
      <c r="AA12" s="812" t="s">
        <v>224</v>
      </c>
      <c r="AB12" s="347">
        <v>0.1212</v>
      </c>
      <c r="AC12" s="157" t="s">
        <v>160</v>
      </c>
      <c r="AD12" s="754" t="s">
        <v>473</v>
      </c>
    </row>
    <row r="13" spans="1:31" ht="16.5" customHeight="1" x14ac:dyDescent="0.2">
      <c r="A13" s="1429" t="s">
        <v>41</v>
      </c>
      <c r="B13" s="1429"/>
      <c r="C13" s="348">
        <f>SUM(C11:C12)</f>
        <v>0.21210000000000001</v>
      </c>
      <c r="D13" s="153" t="s">
        <v>82</v>
      </c>
      <c r="E13" s="156" t="s">
        <v>82</v>
      </c>
      <c r="G13" s="1429" t="s">
        <v>41</v>
      </c>
      <c r="H13" s="1429"/>
      <c r="I13" s="348">
        <f>SUM(I11:I12)</f>
        <v>0.21210000000000001</v>
      </c>
      <c r="J13" s="153" t="s">
        <v>82</v>
      </c>
      <c r="K13" s="156" t="s">
        <v>82</v>
      </c>
      <c r="M13" s="1429" t="s">
        <v>41</v>
      </c>
      <c r="N13" s="1429"/>
      <c r="O13" s="348">
        <f>SUM(O11:O12)</f>
        <v>0.21210000000000001</v>
      </c>
      <c r="P13" s="153" t="s">
        <v>82</v>
      </c>
      <c r="Q13" s="156" t="s">
        <v>82</v>
      </c>
      <c r="S13" s="1429" t="s">
        <v>41</v>
      </c>
      <c r="T13" s="1429"/>
      <c r="U13" s="348">
        <f>SUM(U11:U12)</f>
        <v>0.21210000000000001</v>
      </c>
      <c r="V13" s="153" t="s">
        <v>82</v>
      </c>
      <c r="W13" s="156" t="s">
        <v>82</v>
      </c>
      <c r="Z13" s="1429" t="s">
        <v>41</v>
      </c>
      <c r="AA13" s="1429"/>
      <c r="AB13" s="348">
        <f>SUM(AB11:AB12)</f>
        <v>0.21210000000000001</v>
      </c>
      <c r="AC13" s="153" t="s">
        <v>82</v>
      </c>
      <c r="AD13" s="156" t="s">
        <v>82</v>
      </c>
    </row>
    <row r="14" spans="1:31" ht="16.5" customHeight="1" x14ac:dyDescent="0.2">
      <c r="A14" s="200" t="s">
        <v>232</v>
      </c>
      <c r="B14" s="23"/>
      <c r="C14" s="349"/>
      <c r="D14" s="154"/>
      <c r="E14" s="155"/>
      <c r="G14" s="200" t="s">
        <v>232</v>
      </c>
      <c r="H14" s="23"/>
      <c r="I14" s="349"/>
      <c r="J14" s="154"/>
      <c r="K14" s="155"/>
      <c r="M14" s="200" t="s">
        <v>232</v>
      </c>
      <c r="N14" s="23"/>
      <c r="O14" s="349"/>
      <c r="P14" s="154"/>
      <c r="Q14" s="155"/>
      <c r="S14" s="200" t="s">
        <v>232</v>
      </c>
      <c r="T14" s="23"/>
      <c r="U14" s="349"/>
      <c r="V14" s="154"/>
      <c r="W14" s="155"/>
      <c r="Z14" s="200" t="s">
        <v>232</v>
      </c>
      <c r="AA14" s="23"/>
      <c r="AB14" s="349"/>
      <c r="AC14" s="154"/>
      <c r="AD14" s="155"/>
    </row>
    <row r="15" spans="1:31" ht="16.5" customHeight="1" x14ac:dyDescent="0.2">
      <c r="A15" s="23"/>
      <c r="B15" s="23"/>
      <c r="C15" s="349"/>
      <c r="D15" s="154"/>
      <c r="E15" s="155"/>
      <c r="G15" s="23"/>
      <c r="H15" s="23"/>
      <c r="I15" s="349"/>
      <c r="J15" s="154"/>
      <c r="K15" s="155"/>
      <c r="M15" s="23"/>
      <c r="N15" s="23"/>
      <c r="O15" s="349"/>
      <c r="P15" s="154"/>
      <c r="Q15" s="155"/>
      <c r="S15" s="23"/>
      <c r="T15" s="23"/>
      <c r="U15" s="349"/>
      <c r="V15" s="154"/>
      <c r="W15" s="155"/>
      <c r="Z15" s="23"/>
      <c r="AA15" s="23"/>
      <c r="AB15" s="349"/>
      <c r="AC15" s="154"/>
      <c r="AD15" s="155"/>
    </row>
    <row r="16" spans="1:31" ht="16.5" customHeight="1" x14ac:dyDescent="0.2">
      <c r="A16" s="23"/>
      <c r="B16" s="23"/>
      <c r="C16" s="349"/>
      <c r="D16" s="154"/>
      <c r="E16" s="155"/>
      <c r="G16" s="23"/>
      <c r="H16" s="23"/>
      <c r="I16" s="349"/>
      <c r="J16" s="154"/>
      <c r="K16" s="155"/>
      <c r="M16" s="23"/>
      <c r="N16" s="23"/>
      <c r="O16" s="349"/>
      <c r="P16" s="154"/>
      <c r="Q16" s="155"/>
      <c r="S16" s="23"/>
      <c r="T16" s="23"/>
      <c r="U16" s="349"/>
      <c r="V16" s="154"/>
      <c r="W16" s="155"/>
      <c r="Z16" s="23"/>
      <c r="AA16" s="23"/>
      <c r="AB16" s="349"/>
      <c r="AC16" s="154"/>
      <c r="AD16" s="155"/>
    </row>
    <row r="17" spans="1:30" ht="41.45" customHeight="1" x14ac:dyDescent="0.2">
      <c r="A17" s="199" t="str">
        <f>Dados!A79</f>
        <v>2.2</v>
      </c>
      <c r="B17" s="755" t="str">
        <f>Dados!B79</f>
        <v>ENCARGOS PREVIDENCIÁRIOS (GPS), FUNDO DE GARANTIA POR TEMPO DE SERVIÇO (FGTS) E OUTRAS CONTRIBUIÇÕES</v>
      </c>
      <c r="C17" s="752" t="s">
        <v>11</v>
      </c>
      <c r="D17" s="756" t="s">
        <v>80</v>
      </c>
      <c r="E17" s="756" t="s">
        <v>81</v>
      </c>
      <c r="G17" s="199" t="str">
        <f>Dados!A79</f>
        <v>2.2</v>
      </c>
      <c r="H17" s="755" t="str">
        <f>Dados!B79</f>
        <v>ENCARGOS PREVIDENCIÁRIOS (GPS), FUNDO DE GARANTIA POR TEMPO DE SERVIÇO (FGTS) E OUTRAS CONTRIBUIÇÕES</v>
      </c>
      <c r="I17" s="752" t="s">
        <v>11</v>
      </c>
      <c r="J17" s="756" t="s">
        <v>80</v>
      </c>
      <c r="K17" s="756" t="s">
        <v>81</v>
      </c>
      <c r="M17" s="199" t="str">
        <f>Dados!A79</f>
        <v>2.2</v>
      </c>
      <c r="N17" s="755" t="str">
        <f>Dados!B79</f>
        <v>ENCARGOS PREVIDENCIÁRIOS (GPS), FUNDO DE GARANTIA POR TEMPO DE SERVIÇO (FGTS) E OUTRAS CONTRIBUIÇÕES</v>
      </c>
      <c r="O17" s="752" t="s">
        <v>11</v>
      </c>
      <c r="P17" s="756" t="s">
        <v>80</v>
      </c>
      <c r="Q17" s="756" t="s">
        <v>81</v>
      </c>
      <c r="S17" s="199" t="s">
        <v>210</v>
      </c>
      <c r="T17" s="755" t="s">
        <v>214</v>
      </c>
      <c r="U17" s="752" t="s">
        <v>11</v>
      </c>
      <c r="V17" s="756" t="s">
        <v>80</v>
      </c>
      <c r="W17" s="756" t="s">
        <v>81</v>
      </c>
      <c r="Z17" s="199" t="s">
        <v>210</v>
      </c>
      <c r="AA17" s="755" t="s">
        <v>214</v>
      </c>
      <c r="AB17" s="752" t="s">
        <v>11</v>
      </c>
      <c r="AC17" s="756" t="s">
        <v>80</v>
      </c>
      <c r="AD17" s="756" t="s">
        <v>81</v>
      </c>
    </row>
    <row r="18" spans="1:30" ht="16.5" customHeight="1" x14ac:dyDescent="0.2">
      <c r="A18" s="21" t="s">
        <v>1</v>
      </c>
      <c r="B18" s="22" t="str">
        <f>Dados!B80</f>
        <v>INSS</v>
      </c>
      <c r="C18" s="347">
        <f>Dados!G80</f>
        <v>0.2</v>
      </c>
      <c r="D18" s="153" t="s">
        <v>82</v>
      </c>
      <c r="E18" s="361" t="s">
        <v>151</v>
      </c>
      <c r="G18" s="21" t="s">
        <v>1</v>
      </c>
      <c r="H18" s="22" t="str">
        <f>Dados!B80</f>
        <v>INSS</v>
      </c>
      <c r="I18" s="347">
        <f>Dados!G80</f>
        <v>0.2</v>
      </c>
      <c r="J18" s="153" t="s">
        <v>82</v>
      </c>
      <c r="K18" s="361" t="s">
        <v>151</v>
      </c>
      <c r="M18" s="21" t="s">
        <v>1</v>
      </c>
      <c r="N18" s="22" t="str">
        <f>Dados!B80</f>
        <v>INSS</v>
      </c>
      <c r="O18" s="347">
        <f>Dados!G80</f>
        <v>0.2</v>
      </c>
      <c r="P18" s="153" t="s">
        <v>82</v>
      </c>
      <c r="Q18" s="361" t="s">
        <v>151</v>
      </c>
      <c r="S18" s="21" t="s">
        <v>1</v>
      </c>
      <c r="T18" s="813" t="s">
        <v>12</v>
      </c>
      <c r="U18" s="347">
        <v>0.2</v>
      </c>
      <c r="V18" s="153" t="s">
        <v>82</v>
      </c>
      <c r="W18" s="361" t="s">
        <v>151</v>
      </c>
      <c r="Z18" s="21" t="s">
        <v>1</v>
      </c>
      <c r="AA18" s="813" t="s">
        <v>12</v>
      </c>
      <c r="AB18" s="347">
        <v>0.2</v>
      </c>
      <c r="AC18" s="153" t="s">
        <v>82</v>
      </c>
      <c r="AD18" s="361" t="s">
        <v>151</v>
      </c>
    </row>
    <row r="19" spans="1:30" ht="27.6" customHeight="1" x14ac:dyDescent="0.2">
      <c r="A19" s="21" t="s">
        <v>2</v>
      </c>
      <c r="B19" s="22" t="str">
        <f>Dados!B81</f>
        <v>Salário Educação</v>
      </c>
      <c r="C19" s="347">
        <f>Dados!G81</f>
        <v>2.5000000000000001E-2</v>
      </c>
      <c r="D19" s="153" t="s">
        <v>82</v>
      </c>
      <c r="E19" s="361" t="s">
        <v>467</v>
      </c>
      <c r="G19" s="21" t="s">
        <v>2</v>
      </c>
      <c r="H19" s="22" t="str">
        <f>Dados!B81</f>
        <v>Salário Educação</v>
      </c>
      <c r="I19" s="347">
        <f>Dados!G81</f>
        <v>2.5000000000000001E-2</v>
      </c>
      <c r="J19" s="153" t="s">
        <v>82</v>
      </c>
      <c r="K19" s="361" t="s">
        <v>467</v>
      </c>
      <c r="M19" s="21" t="s">
        <v>2</v>
      </c>
      <c r="N19" s="22" t="str">
        <f>Dados!B81</f>
        <v>Salário Educação</v>
      </c>
      <c r="O19" s="347">
        <f>Dados!G81</f>
        <v>2.5000000000000001E-2</v>
      </c>
      <c r="P19" s="153" t="s">
        <v>82</v>
      </c>
      <c r="Q19" s="361" t="s">
        <v>467</v>
      </c>
      <c r="S19" s="21" t="s">
        <v>2</v>
      </c>
      <c r="T19" s="813" t="s">
        <v>154</v>
      </c>
      <c r="U19" s="347">
        <v>2.5000000000000001E-2</v>
      </c>
      <c r="V19" s="153" t="s">
        <v>82</v>
      </c>
      <c r="W19" s="361" t="s">
        <v>467</v>
      </c>
      <c r="Z19" s="21" t="s">
        <v>2</v>
      </c>
      <c r="AA19" s="813" t="s">
        <v>154</v>
      </c>
      <c r="AB19" s="347">
        <v>2.5000000000000001E-2</v>
      </c>
      <c r="AC19" s="153" t="s">
        <v>82</v>
      </c>
      <c r="AD19" s="361" t="s">
        <v>467</v>
      </c>
    </row>
    <row r="20" spans="1:30" ht="41.45" customHeight="1" x14ac:dyDescent="0.2">
      <c r="A20" s="21" t="s">
        <v>4</v>
      </c>
      <c r="B20" s="22" t="str">
        <f>Dados!B82</f>
        <v>Seguro Acidente do Trabalho - SAT = RAT x FAP</v>
      </c>
      <c r="C20" s="347">
        <f>Dados!G82</f>
        <v>2.4899999999999999E-2</v>
      </c>
      <c r="D20" s="152" t="s">
        <v>527</v>
      </c>
      <c r="E20" s="361" t="s">
        <v>156</v>
      </c>
      <c r="G20" s="21" t="s">
        <v>4</v>
      </c>
      <c r="H20" s="22" t="str">
        <f>Dados!B82</f>
        <v>Seguro Acidente do Trabalho - SAT = RAT x FAP</v>
      </c>
      <c r="I20" s="347">
        <v>2.5700000000000001E-2</v>
      </c>
      <c r="J20" s="152" t="s">
        <v>487</v>
      </c>
      <c r="K20" s="361" t="s">
        <v>156</v>
      </c>
      <c r="M20" s="21" t="s">
        <v>4</v>
      </c>
      <c r="N20" s="22" t="str">
        <f>Dados!B82</f>
        <v>Seguro Acidente do Trabalho - SAT = RAT x FAP</v>
      </c>
      <c r="O20" s="347">
        <v>2.5700000000000001E-2</v>
      </c>
      <c r="P20" s="152" t="s">
        <v>487</v>
      </c>
      <c r="Q20" s="361" t="s">
        <v>156</v>
      </c>
      <c r="S20" s="21" t="s">
        <v>4</v>
      </c>
      <c r="T20" s="813" t="s">
        <v>200</v>
      </c>
      <c r="U20" s="815">
        <f>3%*0.9132</f>
        <v>2.7400000000000001E-2</v>
      </c>
      <c r="V20" s="152" t="s">
        <v>487</v>
      </c>
      <c r="W20" s="361" t="s">
        <v>156</v>
      </c>
      <c r="Z20" s="21" t="s">
        <v>4</v>
      </c>
      <c r="AA20" s="813" t="s">
        <v>200</v>
      </c>
      <c r="AB20" s="814">
        <f>3%*1.1348</f>
        <v>3.4000000000000002E-2</v>
      </c>
      <c r="AC20" s="152" t="s">
        <v>599</v>
      </c>
      <c r="AD20" s="361" t="s">
        <v>156</v>
      </c>
    </row>
    <row r="21" spans="1:30" ht="16.5" customHeight="1" x14ac:dyDescent="0.2">
      <c r="A21" s="21" t="s">
        <v>5</v>
      </c>
      <c r="B21" s="22" t="str">
        <f>Dados!B83</f>
        <v>SESI ou SESC</v>
      </c>
      <c r="C21" s="347">
        <f>Dados!G83</f>
        <v>1.4999999999999999E-2</v>
      </c>
      <c r="D21" s="153" t="s">
        <v>82</v>
      </c>
      <c r="E21" s="361" t="s">
        <v>465</v>
      </c>
      <c r="G21" s="21" t="s">
        <v>5</v>
      </c>
      <c r="H21" s="22" t="str">
        <f>Dados!B83</f>
        <v>SESI ou SESC</v>
      </c>
      <c r="I21" s="347">
        <f>Dados!G83</f>
        <v>1.4999999999999999E-2</v>
      </c>
      <c r="J21" s="153" t="s">
        <v>82</v>
      </c>
      <c r="K21" s="361" t="s">
        <v>465</v>
      </c>
      <c r="M21" s="21" t="s">
        <v>5</v>
      </c>
      <c r="N21" s="22" t="str">
        <f>Dados!B83</f>
        <v>SESI ou SESC</v>
      </c>
      <c r="O21" s="347">
        <f>Dados!G83</f>
        <v>1.4999999999999999E-2</v>
      </c>
      <c r="P21" s="153" t="s">
        <v>82</v>
      </c>
      <c r="Q21" s="361" t="s">
        <v>465</v>
      </c>
      <c r="S21" s="21" t="s">
        <v>5</v>
      </c>
      <c r="T21" s="813" t="s">
        <v>13</v>
      </c>
      <c r="U21" s="814">
        <v>1.4999999999999999E-2</v>
      </c>
      <c r="V21" s="153" t="s">
        <v>82</v>
      </c>
      <c r="W21" s="361" t="s">
        <v>465</v>
      </c>
      <c r="Z21" s="21" t="s">
        <v>5</v>
      </c>
      <c r="AA21" s="813" t="s">
        <v>13</v>
      </c>
      <c r="AB21" s="814">
        <v>1.4999999999999999E-2</v>
      </c>
      <c r="AC21" s="153" t="s">
        <v>82</v>
      </c>
      <c r="AD21" s="361" t="s">
        <v>465</v>
      </c>
    </row>
    <row r="22" spans="1:30" ht="13.9" customHeight="1" x14ac:dyDescent="0.2">
      <c r="A22" s="21" t="s">
        <v>6</v>
      </c>
      <c r="B22" s="22" t="str">
        <f>Dados!B84</f>
        <v>SENAI ou SENAC</v>
      </c>
      <c r="C22" s="347">
        <f>Dados!G84</f>
        <v>0.01</v>
      </c>
      <c r="D22" s="153" t="s">
        <v>82</v>
      </c>
      <c r="E22" s="361" t="s">
        <v>152</v>
      </c>
      <c r="G22" s="21" t="s">
        <v>6</v>
      </c>
      <c r="H22" s="22" t="str">
        <f>Dados!B84</f>
        <v>SENAI ou SENAC</v>
      </c>
      <c r="I22" s="347">
        <f>Dados!G84</f>
        <v>0.01</v>
      </c>
      <c r="J22" s="153" t="s">
        <v>82</v>
      </c>
      <c r="K22" s="361" t="s">
        <v>152</v>
      </c>
      <c r="M22" s="21" t="s">
        <v>6</v>
      </c>
      <c r="N22" s="22" t="str">
        <f>Dados!B84</f>
        <v>SENAI ou SENAC</v>
      </c>
      <c r="O22" s="347">
        <f>Dados!G84</f>
        <v>0.01</v>
      </c>
      <c r="P22" s="153" t="s">
        <v>82</v>
      </c>
      <c r="Q22" s="361" t="s">
        <v>152</v>
      </c>
      <c r="S22" s="21" t="s">
        <v>6</v>
      </c>
      <c r="T22" s="813" t="s">
        <v>14</v>
      </c>
      <c r="U22" s="814">
        <v>0.01</v>
      </c>
      <c r="V22" s="153" t="s">
        <v>82</v>
      </c>
      <c r="W22" s="361" t="s">
        <v>152</v>
      </c>
      <c r="Z22" s="21" t="s">
        <v>6</v>
      </c>
      <c r="AA22" s="813" t="s">
        <v>14</v>
      </c>
      <c r="AB22" s="814">
        <v>0.01</v>
      </c>
      <c r="AC22" s="153" t="s">
        <v>82</v>
      </c>
      <c r="AD22" s="361" t="s">
        <v>152</v>
      </c>
    </row>
    <row r="23" spans="1:30" ht="16.5" customHeight="1" x14ac:dyDescent="0.2">
      <c r="A23" s="21" t="s">
        <v>7</v>
      </c>
      <c r="B23" s="22" t="str">
        <f>Dados!B85</f>
        <v>SEBRAE</v>
      </c>
      <c r="C23" s="347">
        <f>Dados!G85</f>
        <v>6.0000000000000001E-3</v>
      </c>
      <c r="D23" s="153" t="s">
        <v>82</v>
      </c>
      <c r="E23" s="361" t="s">
        <v>466</v>
      </c>
      <c r="G23" s="21" t="s">
        <v>7</v>
      </c>
      <c r="H23" s="22" t="str">
        <f>Dados!B85</f>
        <v>SEBRAE</v>
      </c>
      <c r="I23" s="347">
        <f>Dados!G85</f>
        <v>6.0000000000000001E-3</v>
      </c>
      <c r="J23" s="153" t="s">
        <v>82</v>
      </c>
      <c r="K23" s="361" t="s">
        <v>466</v>
      </c>
      <c r="M23" s="21" t="s">
        <v>7</v>
      </c>
      <c r="N23" s="22" t="str">
        <f>Dados!B85</f>
        <v>SEBRAE</v>
      </c>
      <c r="O23" s="347">
        <f>Dados!G85</f>
        <v>6.0000000000000001E-3</v>
      </c>
      <c r="P23" s="153" t="s">
        <v>82</v>
      </c>
      <c r="Q23" s="361" t="s">
        <v>466</v>
      </c>
      <c r="S23" s="21" t="s">
        <v>7</v>
      </c>
      <c r="T23" s="813" t="s">
        <v>17</v>
      </c>
      <c r="U23" s="814">
        <v>6.0000000000000001E-3</v>
      </c>
      <c r="V23" s="153" t="s">
        <v>82</v>
      </c>
      <c r="W23" s="361" t="s">
        <v>466</v>
      </c>
      <c r="Z23" s="21" t="s">
        <v>7</v>
      </c>
      <c r="AA23" s="813" t="s">
        <v>17</v>
      </c>
      <c r="AB23" s="814">
        <v>6.0000000000000001E-3</v>
      </c>
      <c r="AC23" s="153" t="s">
        <v>82</v>
      </c>
      <c r="AD23" s="361" t="s">
        <v>466</v>
      </c>
    </row>
    <row r="24" spans="1:30" ht="16.5" customHeight="1" x14ac:dyDescent="0.2">
      <c r="A24" s="21" t="s">
        <v>8</v>
      </c>
      <c r="B24" s="22" t="str">
        <f>Dados!B86</f>
        <v>INCRA</v>
      </c>
      <c r="C24" s="347">
        <f>Dados!G86</f>
        <v>2E-3</v>
      </c>
      <c r="D24" s="153" t="s">
        <v>82</v>
      </c>
      <c r="E24" s="361" t="s">
        <v>153</v>
      </c>
      <c r="G24" s="21" t="s">
        <v>8</v>
      </c>
      <c r="H24" s="22" t="str">
        <f>Dados!B86</f>
        <v>INCRA</v>
      </c>
      <c r="I24" s="347">
        <f>Dados!G86</f>
        <v>2E-3</v>
      </c>
      <c r="J24" s="153" t="s">
        <v>82</v>
      </c>
      <c r="K24" s="361" t="s">
        <v>153</v>
      </c>
      <c r="M24" s="21" t="s">
        <v>8</v>
      </c>
      <c r="N24" s="22" t="str">
        <f>Dados!B86</f>
        <v>INCRA</v>
      </c>
      <c r="O24" s="347">
        <f>Dados!G86</f>
        <v>2E-3</v>
      </c>
      <c r="P24" s="153" t="s">
        <v>82</v>
      </c>
      <c r="Q24" s="361" t="s">
        <v>153</v>
      </c>
      <c r="S24" s="21" t="s">
        <v>8</v>
      </c>
      <c r="T24" s="813" t="s">
        <v>15</v>
      </c>
      <c r="U24" s="814">
        <v>2E-3</v>
      </c>
      <c r="V24" s="153" t="s">
        <v>82</v>
      </c>
      <c r="W24" s="361" t="s">
        <v>153</v>
      </c>
      <c r="Z24" s="21" t="s">
        <v>8</v>
      </c>
      <c r="AA24" s="813" t="s">
        <v>15</v>
      </c>
      <c r="AB24" s="814">
        <v>2E-3</v>
      </c>
      <c r="AC24" s="153" t="s">
        <v>82</v>
      </c>
      <c r="AD24" s="361" t="s">
        <v>153</v>
      </c>
    </row>
    <row r="25" spans="1:30" ht="16.5" customHeight="1" x14ac:dyDescent="0.2">
      <c r="A25" s="21" t="s">
        <v>9</v>
      </c>
      <c r="B25" s="22" t="str">
        <f>Dados!B87</f>
        <v>FGTS</v>
      </c>
      <c r="C25" s="347">
        <f>Dados!G87</f>
        <v>0.08</v>
      </c>
      <c r="D25" s="153" t="s">
        <v>82</v>
      </c>
      <c r="E25" s="361" t="s">
        <v>155</v>
      </c>
      <c r="G25" s="21" t="s">
        <v>9</v>
      </c>
      <c r="H25" s="22" t="str">
        <f>Dados!B87</f>
        <v>FGTS</v>
      </c>
      <c r="I25" s="347">
        <f>Dados!G87</f>
        <v>0.08</v>
      </c>
      <c r="J25" s="153" t="s">
        <v>82</v>
      </c>
      <c r="K25" s="361" t="s">
        <v>155</v>
      </c>
      <c r="M25" s="21" t="s">
        <v>9</v>
      </c>
      <c r="N25" s="22" t="str">
        <f>Dados!B87</f>
        <v>FGTS</v>
      </c>
      <c r="O25" s="347">
        <f>Dados!G87</f>
        <v>0.08</v>
      </c>
      <c r="P25" s="153" t="s">
        <v>82</v>
      </c>
      <c r="Q25" s="361" t="s">
        <v>155</v>
      </c>
      <c r="S25" s="21" t="s">
        <v>9</v>
      </c>
      <c r="T25" s="813" t="s">
        <v>16</v>
      </c>
      <c r="U25" s="814">
        <v>0.08</v>
      </c>
      <c r="V25" s="153" t="s">
        <v>82</v>
      </c>
      <c r="W25" s="361" t="s">
        <v>155</v>
      </c>
      <c r="Z25" s="21" t="s">
        <v>9</v>
      </c>
      <c r="AA25" s="813" t="s">
        <v>16</v>
      </c>
      <c r="AB25" s="814">
        <v>0.08</v>
      </c>
      <c r="AC25" s="153" t="s">
        <v>82</v>
      </c>
      <c r="AD25" s="361" t="s">
        <v>155</v>
      </c>
    </row>
    <row r="26" spans="1:30" ht="16.5" customHeight="1" x14ac:dyDescent="0.2">
      <c r="A26" s="1429" t="s">
        <v>41</v>
      </c>
      <c r="B26" s="1429"/>
      <c r="C26" s="348">
        <f>SUM(C18:C25)</f>
        <v>0.3629</v>
      </c>
      <c r="D26" s="153" t="s">
        <v>82</v>
      </c>
      <c r="E26" s="156" t="s">
        <v>82</v>
      </c>
      <c r="G26" s="1429" t="s">
        <v>41</v>
      </c>
      <c r="H26" s="1429"/>
      <c r="I26" s="348">
        <f>SUM(I18:I25)</f>
        <v>0.36370000000000002</v>
      </c>
      <c r="J26" s="153" t="s">
        <v>82</v>
      </c>
      <c r="K26" s="156" t="s">
        <v>82</v>
      </c>
      <c r="M26" s="1429" t="s">
        <v>41</v>
      </c>
      <c r="N26" s="1429"/>
      <c r="O26" s="348">
        <f>SUM(O18:O25)</f>
        <v>0.36370000000000002</v>
      </c>
      <c r="P26" s="153" t="s">
        <v>82</v>
      </c>
      <c r="Q26" s="156" t="s">
        <v>82</v>
      </c>
      <c r="S26" s="1429" t="s">
        <v>41</v>
      </c>
      <c r="T26" s="1429"/>
      <c r="U26" s="816">
        <f>SUM(U18:U25)</f>
        <v>0.3654</v>
      </c>
      <c r="V26" s="153" t="s">
        <v>82</v>
      </c>
      <c r="W26" s="156" t="s">
        <v>82</v>
      </c>
      <c r="Z26" s="1429" t="s">
        <v>41</v>
      </c>
      <c r="AA26" s="1429"/>
      <c r="AB26" s="348">
        <f>SUM(AB18:AB25)</f>
        <v>0.372</v>
      </c>
      <c r="AC26" s="153" t="s">
        <v>82</v>
      </c>
      <c r="AD26" s="156" t="s">
        <v>82</v>
      </c>
    </row>
    <row r="27" spans="1:30" ht="16.5" customHeight="1" x14ac:dyDescent="0.2">
      <c r="A27" s="1427" t="s">
        <v>247</v>
      </c>
      <c r="B27" s="1427"/>
      <c r="C27" s="1427"/>
      <c r="D27" s="1427"/>
      <c r="E27" s="1427"/>
      <c r="G27" s="1427" t="s">
        <v>247</v>
      </c>
      <c r="H27" s="1427"/>
      <c r="I27" s="1427"/>
      <c r="J27" s="1427"/>
      <c r="K27" s="1427"/>
      <c r="M27" s="1427" t="s">
        <v>247</v>
      </c>
      <c r="N27" s="1427"/>
      <c r="O27" s="1427"/>
      <c r="P27" s="1427"/>
      <c r="Q27" s="1427"/>
      <c r="S27" s="1427" t="s">
        <v>247</v>
      </c>
      <c r="T27" s="1427"/>
      <c r="U27" s="1427"/>
      <c r="V27" s="1427"/>
      <c r="W27" s="1427"/>
      <c r="Z27" s="1427" t="s">
        <v>247</v>
      </c>
      <c r="AA27" s="1427"/>
      <c r="AB27" s="1427"/>
      <c r="AC27" s="1427"/>
      <c r="AD27" s="1427"/>
    </row>
    <row r="28" spans="1:30" ht="16.5" customHeight="1" x14ac:dyDescent="0.2">
      <c r="A28" s="23"/>
      <c r="B28" s="23"/>
      <c r="C28" s="349"/>
      <c r="D28" s="154"/>
      <c r="E28" s="155"/>
      <c r="G28" s="23"/>
      <c r="H28" s="23"/>
      <c r="I28" s="349"/>
      <c r="J28" s="154"/>
      <c r="K28" s="155"/>
    </row>
    <row r="29" spans="1:30" ht="16.5" customHeight="1" x14ac:dyDescent="0.2">
      <c r="A29" s="23"/>
      <c r="B29" s="23"/>
      <c r="C29" s="349"/>
      <c r="D29" s="154"/>
      <c r="E29" s="155"/>
      <c r="G29" s="23"/>
      <c r="H29" s="23"/>
      <c r="I29" s="349"/>
      <c r="J29" s="154"/>
      <c r="K29" s="155"/>
      <c r="M29" s="1428"/>
      <c r="N29" s="1428"/>
      <c r="O29" s="1428"/>
      <c r="P29" s="1428"/>
      <c r="Q29" s="1428"/>
      <c r="S29" s="1428"/>
      <c r="T29" s="1428"/>
      <c r="U29" s="1428"/>
      <c r="V29" s="1428"/>
      <c r="W29" s="1428"/>
      <c r="Z29" s="1428"/>
      <c r="AA29" s="1428"/>
      <c r="AB29" s="1428"/>
      <c r="AC29" s="1428"/>
      <c r="AD29" s="1428"/>
    </row>
    <row r="30" spans="1:30" ht="16.5" customHeight="1" x14ac:dyDescent="0.2">
      <c r="A30" s="699" t="str">
        <f>Dados!A89</f>
        <v>3.</v>
      </c>
      <c r="B30" s="751" t="str">
        <f>Dados!B89</f>
        <v>PROVISÕES PARA RESCISÃO</v>
      </c>
      <c r="C30" s="752" t="s">
        <v>11</v>
      </c>
      <c r="D30" s="753" t="s">
        <v>80</v>
      </c>
      <c r="E30" s="753" t="s">
        <v>81</v>
      </c>
      <c r="G30" s="699" t="str">
        <f>Dados!A89</f>
        <v>3.</v>
      </c>
      <c r="H30" s="751" t="str">
        <f>Dados!B89</f>
        <v>PROVISÕES PARA RESCISÃO</v>
      </c>
      <c r="I30" s="752" t="s">
        <v>11</v>
      </c>
      <c r="J30" s="753" t="s">
        <v>80</v>
      </c>
      <c r="K30" s="753" t="s">
        <v>81</v>
      </c>
      <c r="M30" s="699" t="s">
        <v>213</v>
      </c>
      <c r="N30" s="751" t="s">
        <v>49</v>
      </c>
      <c r="O30" s="752" t="s">
        <v>11</v>
      </c>
      <c r="P30" s="753" t="s">
        <v>80</v>
      </c>
      <c r="Q30" s="753" t="s">
        <v>81</v>
      </c>
      <c r="S30" s="767" t="s">
        <v>213</v>
      </c>
      <c r="T30" s="751" t="s">
        <v>49</v>
      </c>
      <c r="U30" s="752" t="s">
        <v>11</v>
      </c>
      <c r="V30" s="753" t="s">
        <v>80</v>
      </c>
      <c r="W30" s="753" t="s">
        <v>81</v>
      </c>
      <c r="Z30" s="1002" t="s">
        <v>213</v>
      </c>
      <c r="AA30" s="751" t="s">
        <v>49</v>
      </c>
      <c r="AB30" s="752" t="s">
        <v>11</v>
      </c>
      <c r="AC30" s="753" t="s">
        <v>80</v>
      </c>
      <c r="AD30" s="753" t="s">
        <v>81</v>
      </c>
    </row>
    <row r="31" spans="1:30" ht="45.75" customHeight="1" x14ac:dyDescent="0.2">
      <c r="A31" s="26" t="s">
        <v>1</v>
      </c>
      <c r="B31" s="27" t="str">
        <f>Dados!B90</f>
        <v>Aviso Prévio Indenizado </v>
      </c>
      <c r="C31" s="351">
        <f>Dados!G90</f>
        <v>2.5000000000000001E-3</v>
      </c>
      <c r="D31" s="157" t="s">
        <v>457</v>
      </c>
      <c r="E31" s="757" t="s">
        <v>468</v>
      </c>
      <c r="G31" s="26" t="s">
        <v>1</v>
      </c>
      <c r="H31" s="27" t="str">
        <f>Dados!B90</f>
        <v>Aviso Prévio Indenizado </v>
      </c>
      <c r="I31" s="351">
        <f>Dados!G90</f>
        <v>2.5000000000000001E-3</v>
      </c>
      <c r="J31" s="157" t="s">
        <v>457</v>
      </c>
      <c r="K31" s="757" t="s">
        <v>468</v>
      </c>
      <c r="M31" s="26" t="s">
        <v>1</v>
      </c>
      <c r="N31" s="27" t="s">
        <v>50</v>
      </c>
      <c r="O31" s="351">
        <v>2.5000000000000001E-3</v>
      </c>
      <c r="P31" s="157" t="s">
        <v>457</v>
      </c>
      <c r="Q31" s="757" t="s">
        <v>468</v>
      </c>
      <c r="S31" s="26" t="s">
        <v>1</v>
      </c>
      <c r="T31" s="27" t="s">
        <v>50</v>
      </c>
      <c r="U31" s="351">
        <v>2.5000000000000001E-3</v>
      </c>
      <c r="V31" s="157" t="s">
        <v>457</v>
      </c>
      <c r="W31" s="757" t="s">
        <v>468</v>
      </c>
      <c r="Z31" s="26" t="s">
        <v>1</v>
      </c>
      <c r="AA31" s="27" t="s">
        <v>50</v>
      </c>
      <c r="AB31" s="351">
        <v>2.5000000000000001E-3</v>
      </c>
      <c r="AC31" s="157" t="s">
        <v>457</v>
      </c>
      <c r="AD31" s="757" t="s">
        <v>468</v>
      </c>
    </row>
    <row r="32" spans="1:30" ht="36.75" customHeight="1" x14ac:dyDescent="0.2">
      <c r="A32" s="26" t="s">
        <v>2</v>
      </c>
      <c r="B32" s="27" t="str">
        <f>Dados!B91</f>
        <v>Incidência do FGTS sobre aviso prévio indenizado</v>
      </c>
      <c r="C32" s="351">
        <f>Dados!G91</f>
        <v>2.0000000000000001E-4</v>
      </c>
      <c r="D32" s="157" t="s">
        <v>510</v>
      </c>
      <c r="E32" s="342" t="s">
        <v>440</v>
      </c>
      <c r="G32" s="26" t="s">
        <v>2</v>
      </c>
      <c r="H32" s="27" t="str">
        <f>Dados!B91</f>
        <v>Incidência do FGTS sobre aviso prévio indenizado</v>
      </c>
      <c r="I32" s="351">
        <f>Dados!G91</f>
        <v>2.0000000000000001E-4</v>
      </c>
      <c r="J32" s="157" t="s">
        <v>510</v>
      </c>
      <c r="K32" s="342" t="s">
        <v>440</v>
      </c>
      <c r="M32" s="26" t="s">
        <v>2</v>
      </c>
      <c r="N32" s="27" t="s">
        <v>110</v>
      </c>
      <c r="O32" s="351">
        <v>2.0000000000000001E-4</v>
      </c>
      <c r="P32" s="157" t="s">
        <v>510</v>
      </c>
      <c r="Q32" s="342" t="s">
        <v>440</v>
      </c>
      <c r="S32" s="26" t="s">
        <v>2</v>
      </c>
      <c r="T32" s="27" t="s">
        <v>110</v>
      </c>
      <c r="U32" s="351">
        <v>2.0000000000000001E-4</v>
      </c>
      <c r="V32" s="157" t="s">
        <v>510</v>
      </c>
      <c r="W32" s="342" t="s">
        <v>440</v>
      </c>
      <c r="Z32" s="26" t="s">
        <v>2</v>
      </c>
      <c r="AA32" s="27" t="s">
        <v>110</v>
      </c>
      <c r="AB32" s="351">
        <v>2.0000000000000001E-4</v>
      </c>
      <c r="AC32" s="157" t="s">
        <v>510</v>
      </c>
      <c r="AD32" s="342" t="s">
        <v>440</v>
      </c>
    </row>
    <row r="33" spans="1:30" ht="38.25" customHeight="1" x14ac:dyDescent="0.2">
      <c r="A33" s="26" t="s">
        <v>4</v>
      </c>
      <c r="B33" s="27" t="str">
        <f>Dados!B92</f>
        <v xml:space="preserve">Multa sobre FGTS sobre o aviso prévio indenizado </v>
      </c>
      <c r="C33" s="758">
        <f>Dados!G92</f>
        <v>9.9999999999999995E-7</v>
      </c>
      <c r="D33" s="157" t="s">
        <v>458</v>
      </c>
      <c r="E33" s="362" t="s">
        <v>65</v>
      </c>
      <c r="G33" s="26" t="s">
        <v>4</v>
      </c>
      <c r="H33" s="27" t="str">
        <f>Dados!B92</f>
        <v xml:space="preserve">Multa sobre FGTS sobre o aviso prévio indenizado </v>
      </c>
      <c r="I33" s="758">
        <f>Dados!G92</f>
        <v>9.9999999999999995E-7</v>
      </c>
      <c r="J33" s="157" t="s">
        <v>458</v>
      </c>
      <c r="K33" s="362" t="s">
        <v>65</v>
      </c>
      <c r="M33" s="26" t="s">
        <v>4</v>
      </c>
      <c r="N33" s="27" t="s">
        <v>298</v>
      </c>
      <c r="O33" s="758">
        <v>9.9999999999999995E-7</v>
      </c>
      <c r="P33" s="157" t="s">
        <v>458</v>
      </c>
      <c r="Q33" s="362" t="s">
        <v>65</v>
      </c>
      <c r="S33" s="26" t="s">
        <v>4</v>
      </c>
      <c r="T33" s="27" t="s">
        <v>298</v>
      </c>
      <c r="U33" s="758">
        <v>9.9999999999999995E-7</v>
      </c>
      <c r="V33" s="157" t="s">
        <v>458</v>
      </c>
      <c r="W33" s="362" t="s">
        <v>65</v>
      </c>
      <c r="Z33" s="26" t="s">
        <v>4</v>
      </c>
      <c r="AA33" s="27" t="s">
        <v>298</v>
      </c>
      <c r="AB33" s="758">
        <v>9.9999999999999995E-7</v>
      </c>
      <c r="AC33" s="157" t="s">
        <v>458</v>
      </c>
      <c r="AD33" s="362" t="s">
        <v>65</v>
      </c>
    </row>
    <row r="34" spans="1:30" ht="40.5" customHeight="1" x14ac:dyDescent="0.2">
      <c r="A34" s="26" t="s">
        <v>5</v>
      </c>
      <c r="B34" s="27" t="str">
        <f>Dados!B93</f>
        <v>Aviso Prévio Trabalhado</v>
      </c>
      <c r="C34" s="351">
        <f>Dados!G93</f>
        <v>1.9400000000000001E-2</v>
      </c>
      <c r="D34" s="157" t="s">
        <v>285</v>
      </c>
      <c r="E34" s="754" t="s">
        <v>476</v>
      </c>
      <c r="G34" s="26" t="s">
        <v>5</v>
      </c>
      <c r="H34" s="27" t="str">
        <f>Dados!B93</f>
        <v>Aviso Prévio Trabalhado</v>
      </c>
      <c r="I34" s="351">
        <f>Dados!G93</f>
        <v>1.9400000000000001E-2</v>
      </c>
      <c r="J34" s="157" t="s">
        <v>285</v>
      </c>
      <c r="K34" s="754" t="s">
        <v>476</v>
      </c>
      <c r="M34" s="26" t="s">
        <v>5</v>
      </c>
      <c r="N34" s="27" t="s">
        <v>158</v>
      </c>
      <c r="O34" s="759">
        <v>1.9400000000000001E-3</v>
      </c>
      <c r="P34" s="157" t="s">
        <v>513</v>
      </c>
      <c r="Q34" s="754" t="s">
        <v>514</v>
      </c>
      <c r="S34" s="26" t="s">
        <v>5</v>
      </c>
      <c r="T34" s="27" t="s">
        <v>158</v>
      </c>
      <c r="U34" s="759">
        <v>1.9400000000000001E-3</v>
      </c>
      <c r="V34" s="157" t="s">
        <v>513</v>
      </c>
      <c r="W34" s="754" t="s">
        <v>514</v>
      </c>
      <c r="Y34" s="849">
        <f>(0.3654*0.00194)*100</f>
        <v>7.0000000000000007E-2</v>
      </c>
      <c r="Z34" s="26" t="s">
        <v>5</v>
      </c>
      <c r="AA34" s="27" t="s">
        <v>158</v>
      </c>
      <c r="AB34" s="759">
        <v>1.9400000000000001E-3</v>
      </c>
      <c r="AC34" s="157" t="s">
        <v>513</v>
      </c>
      <c r="AD34" s="754" t="s">
        <v>514</v>
      </c>
    </row>
    <row r="35" spans="1:30" ht="42" customHeight="1" x14ac:dyDescent="0.2">
      <c r="A35" s="26" t="s">
        <v>6</v>
      </c>
      <c r="B35" s="27" t="str">
        <f>Dados!B94</f>
        <v>Incidência de GPS, FGTS e outras contribuições sobre o aviso prévio trabalhado</v>
      </c>
      <c r="C35" s="351">
        <f>Dados!G94</f>
        <v>7.0000000000000001E-3</v>
      </c>
      <c r="D35" s="157" t="s">
        <v>524</v>
      </c>
      <c r="E35" s="343" t="s">
        <v>485</v>
      </c>
      <c r="G35" s="26" t="s">
        <v>6</v>
      </c>
      <c r="H35" s="27" t="str">
        <f>Dados!B94</f>
        <v>Incidência de GPS, FGTS e outras contribuições sobre o aviso prévio trabalhado</v>
      </c>
      <c r="I35" s="351">
        <v>7.1000000000000004E-3</v>
      </c>
      <c r="J35" s="157" t="s">
        <v>523</v>
      </c>
      <c r="K35" s="343" t="s">
        <v>485</v>
      </c>
      <c r="M35" s="26" t="s">
        <v>6</v>
      </c>
      <c r="N35" s="27" t="s">
        <v>257</v>
      </c>
      <c r="O35" s="351">
        <v>6.9999999999999999E-4</v>
      </c>
      <c r="P35" s="157" t="s">
        <v>509</v>
      </c>
      <c r="Q35" s="343" t="s">
        <v>485</v>
      </c>
      <c r="S35" s="26" t="s">
        <v>6</v>
      </c>
      <c r="T35" s="27" t="s">
        <v>257</v>
      </c>
      <c r="U35" s="351">
        <v>6.9999999999999999E-4</v>
      </c>
      <c r="V35" s="157" t="s">
        <v>509</v>
      </c>
      <c r="W35" s="343" t="s">
        <v>485</v>
      </c>
      <c r="Z35" s="26" t="s">
        <v>6</v>
      </c>
      <c r="AA35" s="27" t="s">
        <v>257</v>
      </c>
      <c r="AB35" s="351">
        <v>6.9999999999999999E-4</v>
      </c>
      <c r="AC35" s="157" t="s">
        <v>509</v>
      </c>
      <c r="AD35" s="343" t="s">
        <v>485</v>
      </c>
    </row>
    <row r="36" spans="1:30" ht="33" customHeight="1" x14ac:dyDescent="0.2">
      <c r="A36" s="26" t="s">
        <v>7</v>
      </c>
      <c r="B36" s="27" t="str">
        <f>Dados!B95</f>
        <v xml:space="preserve">Multa sobre FGTS sobre o aviso prévio trabalhado </v>
      </c>
      <c r="C36" s="351">
        <f>Dados!G95</f>
        <v>1E-4</v>
      </c>
      <c r="D36" s="157" t="s">
        <v>441</v>
      </c>
      <c r="E36" s="362" t="s">
        <v>65</v>
      </c>
      <c r="G36" s="26" t="s">
        <v>7</v>
      </c>
      <c r="H36" s="27" t="str">
        <f>Dados!B95</f>
        <v xml:space="preserve">Multa sobre FGTS sobre o aviso prévio trabalhado </v>
      </c>
      <c r="I36" s="351">
        <f>Dados!G95</f>
        <v>1E-4</v>
      </c>
      <c r="J36" s="157" t="s">
        <v>441</v>
      </c>
      <c r="K36" s="362" t="s">
        <v>65</v>
      </c>
      <c r="M36" s="26" t="s">
        <v>7</v>
      </c>
      <c r="N36" s="27" t="s">
        <v>299</v>
      </c>
      <c r="O36" s="758">
        <v>7.9999999999999996E-6</v>
      </c>
      <c r="P36" s="157" t="s">
        <v>511</v>
      </c>
      <c r="Q36" s="362" t="s">
        <v>65</v>
      </c>
      <c r="S36" s="26" t="s">
        <v>7</v>
      </c>
      <c r="T36" s="27" t="s">
        <v>299</v>
      </c>
      <c r="U36" s="758">
        <v>7.9999999999999996E-6</v>
      </c>
      <c r="V36" s="157" t="s">
        <v>511</v>
      </c>
      <c r="W36" s="362" t="s">
        <v>65</v>
      </c>
      <c r="Z36" s="26" t="s">
        <v>7</v>
      </c>
      <c r="AA36" s="27" t="s">
        <v>299</v>
      </c>
      <c r="AB36" s="758">
        <v>7.9999999999999996E-6</v>
      </c>
      <c r="AC36" s="157" t="s">
        <v>511</v>
      </c>
      <c r="AD36" s="362" t="s">
        <v>65</v>
      </c>
    </row>
    <row r="37" spans="1:30" ht="33" customHeight="1" x14ac:dyDescent="0.2">
      <c r="A37" s="26" t="s">
        <v>8</v>
      </c>
      <c r="B37" s="27" t="str">
        <f>Dados!B96</f>
        <v>Multa FGTS - rescisão sem justa causa</v>
      </c>
      <c r="C37" s="351">
        <f>Dados!G96</f>
        <v>3.49E-2</v>
      </c>
      <c r="D37" s="157" t="s">
        <v>421</v>
      </c>
      <c r="E37" s="754" t="s">
        <v>474</v>
      </c>
      <c r="G37" s="26" t="s">
        <v>8</v>
      </c>
      <c r="H37" s="27" t="str">
        <f>Dados!B96</f>
        <v>Multa FGTS - rescisão sem justa causa</v>
      </c>
      <c r="I37" s="351">
        <f>Dados!G96</f>
        <v>3.49E-2</v>
      </c>
      <c r="J37" s="157" t="s">
        <v>421</v>
      </c>
      <c r="K37" s="754" t="s">
        <v>474</v>
      </c>
      <c r="M37" s="26" t="s">
        <v>8</v>
      </c>
      <c r="N37" s="27" t="s">
        <v>483</v>
      </c>
      <c r="O37" s="351">
        <v>3.49E-2</v>
      </c>
      <c r="P37" s="157" t="s">
        <v>421</v>
      </c>
      <c r="Q37" s="754" t="s">
        <v>474</v>
      </c>
      <c r="S37" s="26" t="s">
        <v>8</v>
      </c>
      <c r="T37" s="27" t="s">
        <v>483</v>
      </c>
      <c r="U37" s="351">
        <v>3.49E-2</v>
      </c>
      <c r="V37" s="157" t="s">
        <v>421</v>
      </c>
      <c r="W37" s="754" t="s">
        <v>474</v>
      </c>
      <c r="Z37" s="26" t="s">
        <v>8</v>
      </c>
      <c r="AA37" s="27" t="s">
        <v>483</v>
      </c>
      <c r="AB37" s="351">
        <v>3.49E-2</v>
      </c>
      <c r="AC37" s="157" t="s">
        <v>421</v>
      </c>
      <c r="AD37" s="754" t="s">
        <v>474</v>
      </c>
    </row>
    <row r="38" spans="1:30" ht="16.5" customHeight="1" x14ac:dyDescent="0.2">
      <c r="A38" s="1429" t="s">
        <v>41</v>
      </c>
      <c r="B38" s="1429"/>
      <c r="C38" s="352">
        <f>SUM(C31:C37)</f>
        <v>6.4100000000000004E-2</v>
      </c>
      <c r="D38" s="153" t="s">
        <v>82</v>
      </c>
      <c r="E38" s="156" t="s">
        <v>82</v>
      </c>
      <c r="G38" s="1429" t="s">
        <v>41</v>
      </c>
      <c r="H38" s="1429"/>
      <c r="I38" s="352">
        <f>SUM(I31:I37)</f>
        <v>6.4199999999999993E-2</v>
      </c>
      <c r="J38" s="153" t="s">
        <v>82</v>
      </c>
      <c r="K38" s="156" t="s">
        <v>82</v>
      </c>
      <c r="M38" s="1429" t="s">
        <v>41</v>
      </c>
      <c r="N38" s="1429"/>
      <c r="O38" s="352">
        <f>SUM(O31:O37)</f>
        <v>4.02E-2</v>
      </c>
      <c r="P38" s="153" t="s">
        <v>82</v>
      </c>
      <c r="Q38" s="156" t="s">
        <v>82</v>
      </c>
      <c r="S38" s="1429" t="s">
        <v>41</v>
      </c>
      <c r="T38" s="1429"/>
      <c r="U38" s="352">
        <f>SUM(U31:U37)</f>
        <v>4.02E-2</v>
      </c>
      <c r="V38" s="153" t="s">
        <v>82</v>
      </c>
      <c r="W38" s="156" t="s">
        <v>82</v>
      </c>
      <c r="Z38" s="1429" t="s">
        <v>41</v>
      </c>
      <c r="AA38" s="1429"/>
      <c r="AB38" s="352">
        <f>SUM(AB31:AB37)</f>
        <v>4.02E-2</v>
      </c>
      <c r="AC38" s="153" t="s">
        <v>82</v>
      </c>
      <c r="AD38" s="156" t="s">
        <v>82</v>
      </c>
    </row>
    <row r="39" spans="1:30" s="17" customFormat="1" ht="14.25" customHeight="1" x14ac:dyDescent="0.2">
      <c r="A39" s="1427" t="s">
        <v>469</v>
      </c>
      <c r="B39" s="1427"/>
      <c r="C39" s="1427"/>
      <c r="D39" s="1427"/>
      <c r="E39" s="1427"/>
      <c r="G39" s="1427" t="s">
        <v>469</v>
      </c>
      <c r="H39" s="1427"/>
      <c r="I39" s="1427"/>
      <c r="J39" s="1427"/>
      <c r="K39" s="1427"/>
      <c r="M39" s="1427" t="s">
        <v>469</v>
      </c>
      <c r="N39" s="1427"/>
      <c r="O39" s="1427"/>
      <c r="P39" s="1427"/>
      <c r="Q39" s="1427"/>
      <c r="S39" s="1427" t="s">
        <v>469</v>
      </c>
      <c r="T39" s="1427"/>
      <c r="U39" s="1427"/>
      <c r="V39" s="1427"/>
      <c r="W39" s="1427"/>
      <c r="Z39" s="1427" t="s">
        <v>469</v>
      </c>
      <c r="AA39" s="1427"/>
      <c r="AB39" s="1427"/>
      <c r="AC39" s="1427"/>
      <c r="AD39" s="1427"/>
    </row>
    <row r="40" spans="1:30" s="17" customFormat="1" ht="14.25" x14ac:dyDescent="0.2">
      <c r="A40" s="1430"/>
      <c r="B40" s="1430"/>
      <c r="C40" s="1430"/>
      <c r="D40" s="1430"/>
      <c r="E40" s="1430"/>
      <c r="G40" s="1430"/>
      <c r="H40" s="1430"/>
      <c r="I40" s="1430"/>
      <c r="J40" s="1430"/>
      <c r="K40" s="1430"/>
      <c r="M40" s="1430"/>
      <c r="N40" s="1430"/>
      <c r="O40" s="1430"/>
      <c r="P40" s="1430"/>
      <c r="Q40" s="1430"/>
      <c r="S40" s="1430"/>
      <c r="T40" s="1430"/>
      <c r="U40" s="1430"/>
      <c r="V40" s="1430"/>
      <c r="W40" s="1430"/>
      <c r="Z40" s="1430"/>
      <c r="AA40" s="1430"/>
      <c r="AB40" s="1430"/>
      <c r="AC40" s="1430"/>
      <c r="AD40" s="1430"/>
    </row>
    <row r="41" spans="1:30" ht="14.25" customHeight="1" x14ac:dyDescent="0.2">
      <c r="A41" s="1430" t="s">
        <v>247</v>
      </c>
      <c r="B41" s="1430"/>
      <c r="C41" s="1430"/>
      <c r="D41" s="1430"/>
      <c r="E41" s="1430"/>
      <c r="G41" s="1430" t="s">
        <v>247</v>
      </c>
      <c r="H41" s="1430"/>
      <c r="I41" s="1430"/>
      <c r="J41" s="1430"/>
      <c r="K41" s="1430"/>
      <c r="M41" s="1430" t="s">
        <v>247</v>
      </c>
      <c r="N41" s="1430"/>
      <c r="O41" s="1430"/>
      <c r="P41" s="1430"/>
      <c r="Q41" s="1430"/>
      <c r="S41" s="1430" t="s">
        <v>247</v>
      </c>
      <c r="T41" s="1430"/>
      <c r="U41" s="1430"/>
      <c r="V41" s="1430"/>
      <c r="W41" s="1430"/>
      <c r="Z41" s="1430" t="s">
        <v>247</v>
      </c>
      <c r="AA41" s="1430"/>
      <c r="AB41" s="1430"/>
      <c r="AC41" s="1430"/>
      <c r="AD41" s="1430"/>
    </row>
    <row r="42" spans="1:30" ht="14.25" x14ac:dyDescent="0.2">
      <c r="A42" s="698"/>
      <c r="B42" s="698"/>
      <c r="C42" s="350"/>
      <c r="D42" s="698"/>
      <c r="E42" s="698"/>
      <c r="G42" s="698"/>
      <c r="H42" s="698"/>
      <c r="I42" s="350"/>
      <c r="J42" s="698"/>
      <c r="K42" s="698"/>
    </row>
    <row r="43" spans="1:30" ht="16.5" customHeight="1" x14ac:dyDescent="0.2">
      <c r="A43" s="23"/>
      <c r="B43" s="23"/>
      <c r="C43" s="349"/>
      <c r="D43" s="154"/>
      <c r="E43" s="155"/>
      <c r="G43" s="23"/>
      <c r="H43" s="23"/>
      <c r="I43" s="349"/>
      <c r="J43" s="154"/>
      <c r="K43" s="155"/>
    </row>
    <row r="44" spans="1:30" ht="16.5" customHeight="1" x14ac:dyDescent="0.2">
      <c r="A44" s="699" t="str">
        <f>Dados!A98</f>
        <v>4.1</v>
      </c>
      <c r="B44" s="760" t="str">
        <f>Dados!B98</f>
        <v>SUBSTITUTO NAS AUSÊNCIAS LEGAIS</v>
      </c>
      <c r="C44" s="752" t="s">
        <v>11</v>
      </c>
      <c r="D44" s="753" t="s">
        <v>80</v>
      </c>
      <c r="E44" s="753" t="s">
        <v>81</v>
      </c>
      <c r="G44" s="699" t="str">
        <f>Dados!A98</f>
        <v>4.1</v>
      </c>
      <c r="H44" s="760" t="str">
        <f>Dados!B98</f>
        <v>SUBSTITUTO NAS AUSÊNCIAS LEGAIS</v>
      </c>
      <c r="I44" s="752" t="s">
        <v>11</v>
      </c>
      <c r="J44" s="753" t="s">
        <v>80</v>
      </c>
      <c r="K44" s="753" t="s">
        <v>81</v>
      </c>
      <c r="M44" s="699" t="str">
        <f>Dados!A98</f>
        <v>4.1</v>
      </c>
      <c r="N44" s="760" t="str">
        <f>Dados!B98</f>
        <v>SUBSTITUTO NAS AUSÊNCIAS LEGAIS</v>
      </c>
      <c r="O44" s="752" t="s">
        <v>11</v>
      </c>
      <c r="P44" s="753" t="s">
        <v>80</v>
      </c>
      <c r="Q44" s="753" t="s">
        <v>81</v>
      </c>
      <c r="S44" s="767" t="s">
        <v>42</v>
      </c>
      <c r="T44" s="852" t="s">
        <v>261</v>
      </c>
      <c r="U44" s="752" t="s">
        <v>11</v>
      </c>
      <c r="V44" s="753" t="s">
        <v>80</v>
      </c>
      <c r="W44" s="753" t="s">
        <v>81</v>
      </c>
      <c r="Z44" s="1002" t="s">
        <v>42</v>
      </c>
      <c r="AA44" s="948" t="s">
        <v>261</v>
      </c>
      <c r="AB44" s="752" t="s">
        <v>11</v>
      </c>
      <c r="AC44" s="753" t="s">
        <v>80</v>
      </c>
      <c r="AD44" s="753" t="s">
        <v>81</v>
      </c>
    </row>
    <row r="45" spans="1:30" ht="13.9" customHeight="1" x14ac:dyDescent="0.2">
      <c r="A45" s="26" t="s">
        <v>1</v>
      </c>
      <c r="B45" s="343" t="str">
        <f>Dados!B99</f>
        <v>Substituto na cobertura de Férias</v>
      </c>
      <c r="C45" s="351">
        <f>Dados!G99</f>
        <v>6.8999999999999999E-3</v>
      </c>
      <c r="D45" s="152" t="s">
        <v>442</v>
      </c>
      <c r="E45" s="361" t="s">
        <v>239</v>
      </c>
      <c r="G45" s="26" t="s">
        <v>1</v>
      </c>
      <c r="H45" s="343" t="str">
        <f>Dados!B99</f>
        <v>Substituto na cobertura de Férias</v>
      </c>
      <c r="I45" s="351">
        <f>Dados!G99</f>
        <v>6.8999999999999999E-3</v>
      </c>
      <c r="J45" s="152" t="s">
        <v>442</v>
      </c>
      <c r="K45" s="361" t="s">
        <v>239</v>
      </c>
      <c r="M45" s="26" t="s">
        <v>1</v>
      </c>
      <c r="N45" s="343" t="str">
        <f>Dados!B99</f>
        <v>Substituto na cobertura de Férias</v>
      </c>
      <c r="O45" s="351">
        <f>Dados!G99</f>
        <v>6.8999999999999999E-3</v>
      </c>
      <c r="P45" s="152" t="s">
        <v>442</v>
      </c>
      <c r="Q45" s="361" t="s">
        <v>239</v>
      </c>
      <c r="S45" s="26" t="s">
        <v>1</v>
      </c>
      <c r="T45" s="822" t="s">
        <v>260</v>
      </c>
      <c r="U45" s="803">
        <v>6.8999999999999999E-3</v>
      </c>
      <c r="V45" s="152" t="s">
        <v>442</v>
      </c>
      <c r="W45" s="361" t="s">
        <v>239</v>
      </c>
      <c r="Z45" s="26" t="s">
        <v>1</v>
      </c>
      <c r="AA45" s="822" t="s">
        <v>260</v>
      </c>
      <c r="AB45" s="803">
        <v>6.8999999999999999E-3</v>
      </c>
      <c r="AC45" s="152" t="s">
        <v>442</v>
      </c>
      <c r="AD45" s="361" t="s">
        <v>239</v>
      </c>
    </row>
    <row r="46" spans="1:30" ht="27.6" customHeight="1" x14ac:dyDescent="0.2">
      <c r="A46" s="26" t="s">
        <v>2</v>
      </c>
      <c r="B46" s="343" t="str">
        <f>Dados!B100</f>
        <v>Substituto na cobertura de Ausências Legais</v>
      </c>
      <c r="C46" s="351">
        <f>Dados!G100</f>
        <v>1E-4</v>
      </c>
      <c r="D46" s="152" t="s">
        <v>286</v>
      </c>
      <c r="E46" s="361" t="s">
        <v>461</v>
      </c>
      <c r="G46" s="26" t="s">
        <v>2</v>
      </c>
      <c r="H46" s="343" t="str">
        <f>Dados!B100</f>
        <v>Substituto na cobertura de Ausências Legais</v>
      </c>
      <c r="I46" s="351">
        <f>Dados!G100</f>
        <v>1E-4</v>
      </c>
      <c r="J46" s="152" t="s">
        <v>286</v>
      </c>
      <c r="K46" s="361" t="s">
        <v>461</v>
      </c>
      <c r="M46" s="26" t="s">
        <v>2</v>
      </c>
      <c r="N46" s="343" t="str">
        <f>Dados!B100</f>
        <v>Substituto na cobertura de Ausências Legais</v>
      </c>
      <c r="O46" s="351">
        <f>Dados!G100</f>
        <v>1E-4</v>
      </c>
      <c r="P46" s="152" t="s">
        <v>286</v>
      </c>
      <c r="Q46" s="361" t="s">
        <v>461</v>
      </c>
      <c r="S46" s="26" t="s">
        <v>2</v>
      </c>
      <c r="T46" s="822" t="s">
        <v>262</v>
      </c>
      <c r="U46" s="803">
        <v>1E-4</v>
      </c>
      <c r="V46" s="152" t="s">
        <v>286</v>
      </c>
      <c r="W46" s="361" t="s">
        <v>461</v>
      </c>
      <c r="Z46" s="26" t="s">
        <v>2</v>
      </c>
      <c r="AA46" s="822" t="s">
        <v>262</v>
      </c>
      <c r="AB46" s="803">
        <v>1E-4</v>
      </c>
      <c r="AC46" s="152" t="s">
        <v>286</v>
      </c>
      <c r="AD46" s="361" t="s">
        <v>461</v>
      </c>
    </row>
    <row r="47" spans="1:30" ht="41.45" customHeight="1" x14ac:dyDescent="0.2">
      <c r="A47" s="26" t="s">
        <v>4</v>
      </c>
      <c r="B47" s="343" t="str">
        <f>Dados!B101</f>
        <v>Substituto na cobertura de Licença-Paternidade</v>
      </c>
      <c r="C47" s="351">
        <f>Dados!G101</f>
        <v>1E-4</v>
      </c>
      <c r="D47" s="152" t="s">
        <v>286</v>
      </c>
      <c r="E47" s="361" t="s">
        <v>470</v>
      </c>
      <c r="G47" s="26" t="s">
        <v>4</v>
      </c>
      <c r="H47" s="343" t="str">
        <f>Dados!B101</f>
        <v>Substituto na cobertura de Licença-Paternidade</v>
      </c>
      <c r="I47" s="351">
        <f>Dados!G101</f>
        <v>1E-4</v>
      </c>
      <c r="J47" s="152" t="s">
        <v>286</v>
      </c>
      <c r="K47" s="361" t="s">
        <v>470</v>
      </c>
      <c r="M47" s="26" t="s">
        <v>4</v>
      </c>
      <c r="N47" s="343" t="str">
        <f>Dados!B101</f>
        <v>Substituto na cobertura de Licença-Paternidade</v>
      </c>
      <c r="O47" s="351">
        <f>Dados!G101</f>
        <v>1E-4</v>
      </c>
      <c r="P47" s="152" t="s">
        <v>286</v>
      </c>
      <c r="Q47" s="361" t="s">
        <v>470</v>
      </c>
      <c r="S47" s="26" t="s">
        <v>4</v>
      </c>
      <c r="T47" s="822" t="s">
        <v>263</v>
      </c>
      <c r="U47" s="803">
        <v>1E-4</v>
      </c>
      <c r="V47" s="152" t="s">
        <v>286</v>
      </c>
      <c r="W47" s="361" t="s">
        <v>470</v>
      </c>
      <c r="Z47" s="26" t="s">
        <v>4</v>
      </c>
      <c r="AA47" s="822" t="s">
        <v>263</v>
      </c>
      <c r="AB47" s="803">
        <v>1E-4</v>
      </c>
      <c r="AC47" s="152" t="s">
        <v>286</v>
      </c>
      <c r="AD47" s="361" t="s">
        <v>470</v>
      </c>
    </row>
    <row r="48" spans="1:30" ht="41.45" customHeight="1" x14ac:dyDescent="0.2">
      <c r="A48" s="26" t="s">
        <v>5</v>
      </c>
      <c r="B48" s="343" t="str">
        <f>Dados!B102</f>
        <v>Substituto na cobertura de Ausência por acidente de trabalho</v>
      </c>
      <c r="C48" s="351">
        <f>Dados!G102</f>
        <v>1E-4</v>
      </c>
      <c r="D48" s="152" t="s">
        <v>287</v>
      </c>
      <c r="E48" s="361" t="s">
        <v>471</v>
      </c>
      <c r="G48" s="26" t="s">
        <v>5</v>
      </c>
      <c r="H48" s="343" t="str">
        <f>Dados!B102</f>
        <v>Substituto na cobertura de Ausência por acidente de trabalho</v>
      </c>
      <c r="I48" s="351">
        <f>Dados!G102</f>
        <v>1E-4</v>
      </c>
      <c r="J48" s="152" t="s">
        <v>287</v>
      </c>
      <c r="K48" s="361" t="s">
        <v>471</v>
      </c>
      <c r="M48" s="26" t="s">
        <v>5</v>
      </c>
      <c r="N48" s="343" t="str">
        <f>Dados!B102</f>
        <v>Substituto na cobertura de Ausência por acidente de trabalho</v>
      </c>
      <c r="O48" s="351">
        <f>Dados!G102</f>
        <v>1E-4</v>
      </c>
      <c r="P48" s="152" t="s">
        <v>287</v>
      </c>
      <c r="Q48" s="361" t="s">
        <v>471</v>
      </c>
      <c r="S48" s="26" t="s">
        <v>5</v>
      </c>
      <c r="T48" s="822" t="s">
        <v>264</v>
      </c>
      <c r="U48" s="803">
        <v>1E-4</v>
      </c>
      <c r="V48" s="152" t="s">
        <v>287</v>
      </c>
      <c r="W48" s="361" t="s">
        <v>471</v>
      </c>
      <c r="Z48" s="26" t="s">
        <v>5</v>
      </c>
      <c r="AA48" s="822" t="s">
        <v>264</v>
      </c>
      <c r="AB48" s="803">
        <v>1E-4</v>
      </c>
      <c r="AC48" s="152" t="s">
        <v>287</v>
      </c>
      <c r="AD48" s="361" t="s">
        <v>471</v>
      </c>
    </row>
    <row r="49" spans="1:30" ht="45.6" customHeight="1" x14ac:dyDescent="0.2">
      <c r="A49" s="26" t="s">
        <v>6</v>
      </c>
      <c r="B49" s="343" t="str">
        <f>Dados!B103</f>
        <v>Substituto na cobertura de Afastamento Maternidade</v>
      </c>
      <c r="C49" s="351">
        <f>Dados!G103</f>
        <v>1E-4</v>
      </c>
      <c r="D49" s="157" t="s">
        <v>459</v>
      </c>
      <c r="E49" s="754" t="s">
        <v>462</v>
      </c>
      <c r="G49" s="26" t="s">
        <v>6</v>
      </c>
      <c r="H49" s="343" t="str">
        <f>Dados!B103</f>
        <v>Substituto na cobertura de Afastamento Maternidade</v>
      </c>
      <c r="I49" s="351">
        <f>Dados!G103</f>
        <v>1E-4</v>
      </c>
      <c r="J49" s="157" t="s">
        <v>459</v>
      </c>
      <c r="K49" s="754" t="s">
        <v>462</v>
      </c>
      <c r="M49" s="26" t="s">
        <v>6</v>
      </c>
      <c r="N49" s="343" t="str">
        <f>Dados!B103</f>
        <v>Substituto na cobertura de Afastamento Maternidade</v>
      </c>
      <c r="O49" s="351">
        <f>Dados!G103</f>
        <v>1E-4</v>
      </c>
      <c r="P49" s="157" t="s">
        <v>459</v>
      </c>
      <c r="Q49" s="754" t="s">
        <v>462</v>
      </c>
      <c r="S49" s="26" t="s">
        <v>6</v>
      </c>
      <c r="T49" s="822" t="s">
        <v>265</v>
      </c>
      <c r="U49" s="803">
        <v>1E-4</v>
      </c>
      <c r="V49" s="157" t="s">
        <v>459</v>
      </c>
      <c r="W49" s="754" t="s">
        <v>462</v>
      </c>
      <c r="Z49" s="26" t="s">
        <v>6</v>
      </c>
      <c r="AA49" s="822" t="s">
        <v>265</v>
      </c>
      <c r="AB49" s="803">
        <v>1E-4</v>
      </c>
      <c r="AC49" s="157" t="s">
        <v>459</v>
      </c>
      <c r="AD49" s="754" t="s">
        <v>462</v>
      </c>
    </row>
    <row r="50" spans="1:30" ht="35.450000000000003" customHeight="1" x14ac:dyDescent="0.2">
      <c r="A50" s="26" t="s">
        <v>7</v>
      </c>
      <c r="B50" s="343" t="str">
        <f>Dados!B104</f>
        <v>Substituto na cobertura de Outras ausências (especificar)</v>
      </c>
      <c r="C50" s="351">
        <f>Dados!G104</f>
        <v>0</v>
      </c>
      <c r="D50" s="153" t="s">
        <v>82</v>
      </c>
      <c r="E50" s="153" t="s">
        <v>82</v>
      </c>
      <c r="G50" s="26" t="s">
        <v>7</v>
      </c>
      <c r="H50" s="343" t="str">
        <f>Dados!B104</f>
        <v>Substituto na cobertura de Outras ausências (especificar)</v>
      </c>
      <c r="I50" s="351">
        <f>Dados!G104</f>
        <v>0</v>
      </c>
      <c r="J50" s="153" t="s">
        <v>82</v>
      </c>
      <c r="K50" s="153" t="s">
        <v>82</v>
      </c>
      <c r="M50" s="26" t="s">
        <v>7</v>
      </c>
      <c r="N50" s="343" t="str">
        <f>Dados!B104</f>
        <v>Substituto na cobertura de Outras ausências (especificar)</v>
      </c>
      <c r="O50" s="351">
        <f>Dados!G104</f>
        <v>0</v>
      </c>
      <c r="P50" s="153" t="s">
        <v>82</v>
      </c>
      <c r="Q50" s="153" t="s">
        <v>82</v>
      </c>
      <c r="S50" s="26" t="s">
        <v>7</v>
      </c>
      <c r="T50" s="822" t="s">
        <v>266</v>
      </c>
      <c r="U50" s="803">
        <v>0</v>
      </c>
      <c r="V50" s="153" t="s">
        <v>82</v>
      </c>
      <c r="W50" s="153" t="s">
        <v>82</v>
      </c>
      <c r="Z50" s="26" t="s">
        <v>7</v>
      </c>
      <c r="AA50" s="822" t="s">
        <v>266</v>
      </c>
      <c r="AB50" s="803">
        <v>0</v>
      </c>
      <c r="AC50" s="153" t="s">
        <v>82</v>
      </c>
      <c r="AD50" s="153" t="s">
        <v>82</v>
      </c>
    </row>
    <row r="51" spans="1:30" ht="16.5" customHeight="1" x14ac:dyDescent="0.2">
      <c r="A51" s="1357" t="s">
        <v>48</v>
      </c>
      <c r="B51" s="1357"/>
      <c r="C51" s="352">
        <f>SUM(C45:C50)</f>
        <v>7.3000000000000001E-3</v>
      </c>
      <c r="D51" s="153" t="s">
        <v>82</v>
      </c>
      <c r="E51" s="153" t="s">
        <v>82</v>
      </c>
      <c r="G51" s="1357" t="s">
        <v>48</v>
      </c>
      <c r="H51" s="1357"/>
      <c r="I51" s="352">
        <f>SUM(I45:I50)</f>
        <v>7.3000000000000001E-3</v>
      </c>
      <c r="J51" s="153" t="s">
        <v>82</v>
      </c>
      <c r="K51" s="153" t="s">
        <v>82</v>
      </c>
      <c r="M51" s="1357" t="s">
        <v>48</v>
      </c>
      <c r="N51" s="1357"/>
      <c r="O51" s="352">
        <f>SUM(O45:O50)</f>
        <v>7.3000000000000001E-3</v>
      </c>
      <c r="P51" s="153" t="s">
        <v>82</v>
      </c>
      <c r="Q51" s="153" t="s">
        <v>82</v>
      </c>
      <c r="S51" s="1357" t="s">
        <v>48</v>
      </c>
      <c r="T51" s="1357"/>
      <c r="U51" s="352">
        <f>SUM(U45:U50)</f>
        <v>7.3000000000000001E-3</v>
      </c>
      <c r="V51" s="153" t="s">
        <v>82</v>
      </c>
      <c r="W51" s="153" t="s">
        <v>82</v>
      </c>
      <c r="Z51" s="1357" t="s">
        <v>48</v>
      </c>
      <c r="AA51" s="1357"/>
      <c r="AB51" s="352">
        <f>SUM(AB45:AB50)</f>
        <v>7.3000000000000001E-3</v>
      </c>
      <c r="AC51" s="153" t="s">
        <v>82</v>
      </c>
      <c r="AD51" s="153" t="s">
        <v>82</v>
      </c>
    </row>
    <row r="52" spans="1:30" ht="14.25" customHeight="1" x14ac:dyDescent="0.2">
      <c r="A52" s="1427" t="s">
        <v>247</v>
      </c>
      <c r="B52" s="1427"/>
      <c r="C52" s="1427"/>
      <c r="D52" s="1427"/>
      <c r="E52" s="1427"/>
      <c r="G52" s="1427" t="s">
        <v>247</v>
      </c>
      <c r="H52" s="1427"/>
      <c r="I52" s="1427"/>
      <c r="J52" s="1427"/>
      <c r="K52" s="1427"/>
      <c r="M52" s="1427" t="s">
        <v>247</v>
      </c>
      <c r="N52" s="1427"/>
      <c r="O52" s="1427"/>
      <c r="P52" s="1427"/>
      <c r="Q52" s="1427"/>
      <c r="S52" s="1427" t="s">
        <v>247</v>
      </c>
      <c r="T52" s="1427"/>
      <c r="U52" s="1427"/>
      <c r="V52" s="1427"/>
      <c r="W52" s="1427"/>
      <c r="Z52" s="1427" t="s">
        <v>247</v>
      </c>
      <c r="AA52" s="1427"/>
      <c r="AB52" s="1427"/>
      <c r="AC52" s="1427"/>
      <c r="AD52" s="1427"/>
    </row>
    <row r="53" spans="1:30" ht="14.25" x14ac:dyDescent="0.2">
      <c r="A53" s="200"/>
      <c r="B53" s="18"/>
      <c r="C53" s="353"/>
      <c r="D53" s="18"/>
      <c r="E53" s="18"/>
    </row>
    <row r="54" spans="1:30" ht="14.25" x14ac:dyDescent="0.2">
      <c r="U54" s="817">
        <f>U13+U26+U38+U51</f>
        <v>0.625</v>
      </c>
      <c r="AB54" s="817">
        <f>AB13+AB26+AB38+AB51</f>
        <v>0.63160000000000005</v>
      </c>
    </row>
  </sheetData>
  <mergeCells count="66">
    <mergeCell ref="M8:Q8"/>
    <mergeCell ref="M41:Q41"/>
    <mergeCell ref="M38:N38"/>
    <mergeCell ref="G38:H38"/>
    <mergeCell ref="G39:K40"/>
    <mergeCell ref="G41:K41"/>
    <mergeCell ref="G8:K8"/>
    <mergeCell ref="G13:H13"/>
    <mergeCell ref="G26:H26"/>
    <mergeCell ref="G27:K27"/>
    <mergeCell ref="M13:N13"/>
    <mergeCell ref="M26:N26"/>
    <mergeCell ref="M27:Q27"/>
    <mergeCell ref="G6:K6"/>
    <mergeCell ref="M2:Q2"/>
    <mergeCell ref="M3:Q3"/>
    <mergeCell ref="M4:Q4"/>
    <mergeCell ref="M5:Q5"/>
    <mergeCell ref="M6:Q6"/>
    <mergeCell ref="G2:K2"/>
    <mergeCell ref="G3:K3"/>
    <mergeCell ref="G4:K4"/>
    <mergeCell ref="G5:K5"/>
    <mergeCell ref="A27:E27"/>
    <mergeCell ref="A52:E52"/>
    <mergeCell ref="A41:E41"/>
    <mergeCell ref="A13:B13"/>
    <mergeCell ref="A2:E2"/>
    <mergeCell ref="A3:E3"/>
    <mergeCell ref="A8:E8"/>
    <mergeCell ref="A26:B26"/>
    <mergeCell ref="A4:E4"/>
    <mergeCell ref="A5:E5"/>
    <mergeCell ref="M52:Q52"/>
    <mergeCell ref="M29:Q29"/>
    <mergeCell ref="M39:Q40"/>
    <mergeCell ref="A51:B51"/>
    <mergeCell ref="A38:B38"/>
    <mergeCell ref="A39:E40"/>
    <mergeCell ref="G51:H51"/>
    <mergeCell ref="G52:K52"/>
    <mergeCell ref="M51:N51"/>
    <mergeCell ref="S39:W40"/>
    <mergeCell ref="S41:W41"/>
    <mergeCell ref="S51:T51"/>
    <mergeCell ref="S52:W52"/>
    <mergeCell ref="S2:W2"/>
    <mergeCell ref="S4:W4"/>
    <mergeCell ref="S7:W7"/>
    <mergeCell ref="S13:T13"/>
    <mergeCell ref="S26:T26"/>
    <mergeCell ref="S27:W27"/>
    <mergeCell ref="S29:W29"/>
    <mergeCell ref="S38:T38"/>
    <mergeCell ref="Z2:AD2"/>
    <mergeCell ref="Z4:AD4"/>
    <mergeCell ref="Z7:AD7"/>
    <mergeCell ref="Z13:AA13"/>
    <mergeCell ref="Z26:AA26"/>
    <mergeCell ref="Z51:AA51"/>
    <mergeCell ref="Z52:AD52"/>
    <mergeCell ref="Z27:AD27"/>
    <mergeCell ref="Z29:AD29"/>
    <mergeCell ref="Z38:AA38"/>
    <mergeCell ref="Z39:AD40"/>
    <mergeCell ref="Z41:AD41"/>
  </mergeCells>
  <printOptions horizontalCentered="1"/>
  <pageMargins left="0.31496062992125984" right="0.35433070866141736" top="1.4566929133858268" bottom="0.43307086614173229" header="0.19685039370078741" footer="0.27559055118110237"/>
  <pageSetup paperSize="9" scale="53" fitToHeight="0" orientation="portrait" r:id="rId1"/>
  <headerFooter alignWithMargins="0">
    <oddHeader>&amp;L&amp;"+,Negrito"&amp;8PROPOSTA Nº 053/2020 - CJF</oddHeader>
  </headerFooter>
  <colBreaks count="3" manualBreakCount="3">
    <brk id="5" min="13" max="54" man="1"/>
    <brk id="11" min="13" max="54" man="1"/>
    <brk id="17" min="13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0">
    <tabColor rgb="FF92D050"/>
    <pageSetUpPr fitToPage="1"/>
  </sheetPr>
  <dimension ref="A2:E22"/>
  <sheetViews>
    <sheetView view="pageBreakPreview" zoomScale="90" zoomScaleNormal="130" zoomScaleSheetLayoutView="90" workbookViewId="0">
      <selection activeCell="H24" sqref="H24"/>
    </sheetView>
  </sheetViews>
  <sheetFormatPr defaultRowHeight="14.25" x14ac:dyDescent="0.2"/>
  <cols>
    <col min="1" max="1" width="5.28515625" style="216" customWidth="1"/>
    <col min="2" max="2" width="24.85546875" style="216" customWidth="1"/>
    <col min="3" max="3" width="8.7109375" style="216" customWidth="1"/>
    <col min="4" max="4" width="59.7109375" style="216" customWidth="1"/>
    <col min="5" max="5" width="52.28515625" style="216" customWidth="1"/>
    <col min="6" max="257" width="9.140625" style="216"/>
    <col min="258" max="258" width="27.140625" style="216" customWidth="1"/>
    <col min="259" max="259" width="35.85546875" style="216" customWidth="1"/>
    <col min="260" max="260" width="43.42578125" style="216" customWidth="1"/>
    <col min="261" max="261" width="52.28515625" style="216" customWidth="1"/>
    <col min="262" max="513" width="9.140625" style="216"/>
    <col min="514" max="514" width="27.140625" style="216" customWidth="1"/>
    <col min="515" max="515" width="35.85546875" style="216" customWidth="1"/>
    <col min="516" max="516" width="43.42578125" style="216" customWidth="1"/>
    <col min="517" max="517" width="52.28515625" style="216" customWidth="1"/>
    <col min="518" max="769" width="9.140625" style="216"/>
    <col min="770" max="770" width="27.140625" style="216" customWidth="1"/>
    <col min="771" max="771" width="35.85546875" style="216" customWidth="1"/>
    <col min="772" max="772" width="43.42578125" style="216" customWidth="1"/>
    <col min="773" max="773" width="52.28515625" style="216" customWidth="1"/>
    <col min="774" max="1025" width="9.140625" style="216"/>
    <col min="1026" max="1026" width="27.140625" style="216" customWidth="1"/>
    <col min="1027" max="1027" width="35.85546875" style="216" customWidth="1"/>
    <col min="1028" max="1028" width="43.42578125" style="216" customWidth="1"/>
    <col min="1029" max="1029" width="52.28515625" style="216" customWidth="1"/>
    <col min="1030" max="1281" width="9.140625" style="216"/>
    <col min="1282" max="1282" width="27.140625" style="216" customWidth="1"/>
    <col min="1283" max="1283" width="35.85546875" style="216" customWidth="1"/>
    <col min="1284" max="1284" width="43.42578125" style="216" customWidth="1"/>
    <col min="1285" max="1285" width="52.28515625" style="216" customWidth="1"/>
    <col min="1286" max="1537" width="9.140625" style="216"/>
    <col min="1538" max="1538" width="27.140625" style="216" customWidth="1"/>
    <col min="1539" max="1539" width="35.85546875" style="216" customWidth="1"/>
    <col min="1540" max="1540" width="43.42578125" style="216" customWidth="1"/>
    <col min="1541" max="1541" width="52.28515625" style="216" customWidth="1"/>
    <col min="1542" max="1793" width="9.140625" style="216"/>
    <col min="1794" max="1794" width="27.140625" style="216" customWidth="1"/>
    <col min="1795" max="1795" width="35.85546875" style="216" customWidth="1"/>
    <col min="1796" max="1796" width="43.42578125" style="216" customWidth="1"/>
    <col min="1797" max="1797" width="52.28515625" style="216" customWidth="1"/>
    <col min="1798" max="2049" width="9.140625" style="216"/>
    <col min="2050" max="2050" width="27.140625" style="216" customWidth="1"/>
    <col min="2051" max="2051" width="35.85546875" style="216" customWidth="1"/>
    <col min="2052" max="2052" width="43.42578125" style="216" customWidth="1"/>
    <col min="2053" max="2053" width="52.28515625" style="216" customWidth="1"/>
    <col min="2054" max="2305" width="9.140625" style="216"/>
    <col min="2306" max="2306" width="27.140625" style="216" customWidth="1"/>
    <col min="2307" max="2307" width="35.85546875" style="216" customWidth="1"/>
    <col min="2308" max="2308" width="43.42578125" style="216" customWidth="1"/>
    <col min="2309" max="2309" width="52.28515625" style="216" customWidth="1"/>
    <col min="2310" max="2561" width="9.140625" style="216"/>
    <col min="2562" max="2562" width="27.140625" style="216" customWidth="1"/>
    <col min="2563" max="2563" width="35.85546875" style="216" customWidth="1"/>
    <col min="2564" max="2564" width="43.42578125" style="216" customWidth="1"/>
    <col min="2565" max="2565" width="52.28515625" style="216" customWidth="1"/>
    <col min="2566" max="2817" width="9.140625" style="216"/>
    <col min="2818" max="2818" width="27.140625" style="216" customWidth="1"/>
    <col min="2819" max="2819" width="35.85546875" style="216" customWidth="1"/>
    <col min="2820" max="2820" width="43.42578125" style="216" customWidth="1"/>
    <col min="2821" max="2821" width="52.28515625" style="216" customWidth="1"/>
    <col min="2822" max="3073" width="9.140625" style="216"/>
    <col min="3074" max="3074" width="27.140625" style="216" customWidth="1"/>
    <col min="3075" max="3075" width="35.85546875" style="216" customWidth="1"/>
    <col min="3076" max="3076" width="43.42578125" style="216" customWidth="1"/>
    <col min="3077" max="3077" width="52.28515625" style="216" customWidth="1"/>
    <col min="3078" max="3329" width="9.140625" style="216"/>
    <col min="3330" max="3330" width="27.140625" style="216" customWidth="1"/>
    <col min="3331" max="3331" width="35.85546875" style="216" customWidth="1"/>
    <col min="3332" max="3332" width="43.42578125" style="216" customWidth="1"/>
    <col min="3333" max="3333" width="52.28515625" style="216" customWidth="1"/>
    <col min="3334" max="3585" width="9.140625" style="216"/>
    <col min="3586" max="3586" width="27.140625" style="216" customWidth="1"/>
    <col min="3587" max="3587" width="35.85546875" style="216" customWidth="1"/>
    <col min="3588" max="3588" width="43.42578125" style="216" customWidth="1"/>
    <col min="3589" max="3589" width="52.28515625" style="216" customWidth="1"/>
    <col min="3590" max="3841" width="9.140625" style="216"/>
    <col min="3842" max="3842" width="27.140625" style="216" customWidth="1"/>
    <col min="3843" max="3843" width="35.85546875" style="216" customWidth="1"/>
    <col min="3844" max="3844" width="43.42578125" style="216" customWidth="1"/>
    <col min="3845" max="3845" width="52.28515625" style="216" customWidth="1"/>
    <col min="3846" max="4097" width="9.140625" style="216"/>
    <col min="4098" max="4098" width="27.140625" style="216" customWidth="1"/>
    <col min="4099" max="4099" width="35.85546875" style="216" customWidth="1"/>
    <col min="4100" max="4100" width="43.42578125" style="216" customWidth="1"/>
    <col min="4101" max="4101" width="52.28515625" style="216" customWidth="1"/>
    <col min="4102" max="4353" width="9.140625" style="216"/>
    <col min="4354" max="4354" width="27.140625" style="216" customWidth="1"/>
    <col min="4355" max="4355" width="35.85546875" style="216" customWidth="1"/>
    <col min="4356" max="4356" width="43.42578125" style="216" customWidth="1"/>
    <col min="4357" max="4357" width="52.28515625" style="216" customWidth="1"/>
    <col min="4358" max="4609" width="9.140625" style="216"/>
    <col min="4610" max="4610" width="27.140625" style="216" customWidth="1"/>
    <col min="4611" max="4611" width="35.85546875" style="216" customWidth="1"/>
    <col min="4612" max="4612" width="43.42578125" style="216" customWidth="1"/>
    <col min="4613" max="4613" width="52.28515625" style="216" customWidth="1"/>
    <col min="4614" max="4865" width="9.140625" style="216"/>
    <col min="4866" max="4866" width="27.140625" style="216" customWidth="1"/>
    <col min="4867" max="4867" width="35.85546875" style="216" customWidth="1"/>
    <col min="4868" max="4868" width="43.42578125" style="216" customWidth="1"/>
    <col min="4869" max="4869" width="52.28515625" style="216" customWidth="1"/>
    <col min="4870" max="5121" width="9.140625" style="216"/>
    <col min="5122" max="5122" width="27.140625" style="216" customWidth="1"/>
    <col min="5123" max="5123" width="35.85546875" style="216" customWidth="1"/>
    <col min="5124" max="5124" width="43.42578125" style="216" customWidth="1"/>
    <col min="5125" max="5125" width="52.28515625" style="216" customWidth="1"/>
    <col min="5126" max="5377" width="9.140625" style="216"/>
    <col min="5378" max="5378" width="27.140625" style="216" customWidth="1"/>
    <col min="5379" max="5379" width="35.85546875" style="216" customWidth="1"/>
    <col min="5380" max="5380" width="43.42578125" style="216" customWidth="1"/>
    <col min="5381" max="5381" width="52.28515625" style="216" customWidth="1"/>
    <col min="5382" max="5633" width="9.140625" style="216"/>
    <col min="5634" max="5634" width="27.140625" style="216" customWidth="1"/>
    <col min="5635" max="5635" width="35.85546875" style="216" customWidth="1"/>
    <col min="5636" max="5636" width="43.42578125" style="216" customWidth="1"/>
    <col min="5637" max="5637" width="52.28515625" style="216" customWidth="1"/>
    <col min="5638" max="5889" width="9.140625" style="216"/>
    <col min="5890" max="5890" width="27.140625" style="216" customWidth="1"/>
    <col min="5891" max="5891" width="35.85546875" style="216" customWidth="1"/>
    <col min="5892" max="5892" width="43.42578125" style="216" customWidth="1"/>
    <col min="5893" max="5893" width="52.28515625" style="216" customWidth="1"/>
    <col min="5894" max="6145" width="9.140625" style="216"/>
    <col min="6146" max="6146" width="27.140625" style="216" customWidth="1"/>
    <col min="6147" max="6147" width="35.85546875" style="216" customWidth="1"/>
    <col min="6148" max="6148" width="43.42578125" style="216" customWidth="1"/>
    <col min="6149" max="6149" width="52.28515625" style="216" customWidth="1"/>
    <col min="6150" max="6401" width="9.140625" style="216"/>
    <col min="6402" max="6402" width="27.140625" style="216" customWidth="1"/>
    <col min="6403" max="6403" width="35.85546875" style="216" customWidth="1"/>
    <col min="6404" max="6404" width="43.42578125" style="216" customWidth="1"/>
    <col min="6405" max="6405" width="52.28515625" style="216" customWidth="1"/>
    <col min="6406" max="6657" width="9.140625" style="216"/>
    <col min="6658" max="6658" width="27.140625" style="216" customWidth="1"/>
    <col min="6659" max="6659" width="35.85546875" style="216" customWidth="1"/>
    <col min="6660" max="6660" width="43.42578125" style="216" customWidth="1"/>
    <col min="6661" max="6661" width="52.28515625" style="216" customWidth="1"/>
    <col min="6662" max="6913" width="9.140625" style="216"/>
    <col min="6914" max="6914" width="27.140625" style="216" customWidth="1"/>
    <col min="6915" max="6915" width="35.85546875" style="216" customWidth="1"/>
    <col min="6916" max="6916" width="43.42578125" style="216" customWidth="1"/>
    <col min="6917" max="6917" width="52.28515625" style="216" customWidth="1"/>
    <col min="6918" max="7169" width="9.140625" style="216"/>
    <col min="7170" max="7170" width="27.140625" style="216" customWidth="1"/>
    <col min="7171" max="7171" width="35.85546875" style="216" customWidth="1"/>
    <col min="7172" max="7172" width="43.42578125" style="216" customWidth="1"/>
    <col min="7173" max="7173" width="52.28515625" style="216" customWidth="1"/>
    <col min="7174" max="7425" width="9.140625" style="216"/>
    <col min="7426" max="7426" width="27.140625" style="216" customWidth="1"/>
    <col min="7427" max="7427" width="35.85546875" style="216" customWidth="1"/>
    <col min="7428" max="7428" width="43.42578125" style="216" customWidth="1"/>
    <col min="7429" max="7429" width="52.28515625" style="216" customWidth="1"/>
    <col min="7430" max="7681" width="9.140625" style="216"/>
    <col min="7682" max="7682" width="27.140625" style="216" customWidth="1"/>
    <col min="7683" max="7683" width="35.85546875" style="216" customWidth="1"/>
    <col min="7684" max="7684" width="43.42578125" style="216" customWidth="1"/>
    <col min="7685" max="7685" width="52.28515625" style="216" customWidth="1"/>
    <col min="7686" max="7937" width="9.140625" style="216"/>
    <col min="7938" max="7938" width="27.140625" style="216" customWidth="1"/>
    <col min="7939" max="7939" width="35.85546875" style="216" customWidth="1"/>
    <col min="7940" max="7940" width="43.42578125" style="216" customWidth="1"/>
    <col min="7941" max="7941" width="52.28515625" style="216" customWidth="1"/>
    <col min="7942" max="8193" width="9.140625" style="216"/>
    <col min="8194" max="8194" width="27.140625" style="216" customWidth="1"/>
    <col min="8195" max="8195" width="35.85546875" style="216" customWidth="1"/>
    <col min="8196" max="8196" width="43.42578125" style="216" customWidth="1"/>
    <col min="8197" max="8197" width="52.28515625" style="216" customWidth="1"/>
    <col min="8198" max="8449" width="9.140625" style="216"/>
    <col min="8450" max="8450" width="27.140625" style="216" customWidth="1"/>
    <col min="8451" max="8451" width="35.85546875" style="216" customWidth="1"/>
    <col min="8452" max="8452" width="43.42578125" style="216" customWidth="1"/>
    <col min="8453" max="8453" width="52.28515625" style="216" customWidth="1"/>
    <col min="8454" max="8705" width="9.140625" style="216"/>
    <col min="8706" max="8706" width="27.140625" style="216" customWidth="1"/>
    <col min="8707" max="8707" width="35.85546875" style="216" customWidth="1"/>
    <col min="8708" max="8708" width="43.42578125" style="216" customWidth="1"/>
    <col min="8709" max="8709" width="52.28515625" style="216" customWidth="1"/>
    <col min="8710" max="8961" width="9.140625" style="216"/>
    <col min="8962" max="8962" width="27.140625" style="216" customWidth="1"/>
    <col min="8963" max="8963" width="35.85546875" style="216" customWidth="1"/>
    <col min="8964" max="8964" width="43.42578125" style="216" customWidth="1"/>
    <col min="8965" max="8965" width="52.28515625" style="216" customWidth="1"/>
    <col min="8966" max="9217" width="9.140625" style="216"/>
    <col min="9218" max="9218" width="27.140625" style="216" customWidth="1"/>
    <col min="9219" max="9219" width="35.85546875" style="216" customWidth="1"/>
    <col min="9220" max="9220" width="43.42578125" style="216" customWidth="1"/>
    <col min="9221" max="9221" width="52.28515625" style="216" customWidth="1"/>
    <col min="9222" max="9473" width="9.140625" style="216"/>
    <col min="9474" max="9474" width="27.140625" style="216" customWidth="1"/>
    <col min="9475" max="9475" width="35.85546875" style="216" customWidth="1"/>
    <col min="9476" max="9476" width="43.42578125" style="216" customWidth="1"/>
    <col min="9477" max="9477" width="52.28515625" style="216" customWidth="1"/>
    <col min="9478" max="9729" width="9.140625" style="216"/>
    <col min="9730" max="9730" width="27.140625" style="216" customWidth="1"/>
    <col min="9731" max="9731" width="35.85546875" style="216" customWidth="1"/>
    <col min="9732" max="9732" width="43.42578125" style="216" customWidth="1"/>
    <col min="9733" max="9733" width="52.28515625" style="216" customWidth="1"/>
    <col min="9734" max="9985" width="9.140625" style="216"/>
    <col min="9986" max="9986" width="27.140625" style="216" customWidth="1"/>
    <col min="9987" max="9987" width="35.85546875" style="216" customWidth="1"/>
    <col min="9988" max="9988" width="43.42578125" style="216" customWidth="1"/>
    <col min="9989" max="9989" width="52.28515625" style="216" customWidth="1"/>
    <col min="9990" max="10241" width="9.140625" style="216"/>
    <col min="10242" max="10242" width="27.140625" style="216" customWidth="1"/>
    <col min="10243" max="10243" width="35.85546875" style="216" customWidth="1"/>
    <col min="10244" max="10244" width="43.42578125" style="216" customWidth="1"/>
    <col min="10245" max="10245" width="52.28515625" style="216" customWidth="1"/>
    <col min="10246" max="10497" width="9.140625" style="216"/>
    <col min="10498" max="10498" width="27.140625" style="216" customWidth="1"/>
    <col min="10499" max="10499" width="35.85546875" style="216" customWidth="1"/>
    <col min="10500" max="10500" width="43.42578125" style="216" customWidth="1"/>
    <col min="10501" max="10501" width="52.28515625" style="216" customWidth="1"/>
    <col min="10502" max="10753" width="9.140625" style="216"/>
    <col min="10754" max="10754" width="27.140625" style="216" customWidth="1"/>
    <col min="10755" max="10755" width="35.85546875" style="216" customWidth="1"/>
    <col min="10756" max="10756" width="43.42578125" style="216" customWidth="1"/>
    <col min="10757" max="10757" width="52.28515625" style="216" customWidth="1"/>
    <col min="10758" max="11009" width="9.140625" style="216"/>
    <col min="11010" max="11010" width="27.140625" style="216" customWidth="1"/>
    <col min="11011" max="11011" width="35.85546875" style="216" customWidth="1"/>
    <col min="11012" max="11012" width="43.42578125" style="216" customWidth="1"/>
    <col min="11013" max="11013" width="52.28515625" style="216" customWidth="1"/>
    <col min="11014" max="11265" width="9.140625" style="216"/>
    <col min="11266" max="11266" width="27.140625" style="216" customWidth="1"/>
    <col min="11267" max="11267" width="35.85546875" style="216" customWidth="1"/>
    <col min="11268" max="11268" width="43.42578125" style="216" customWidth="1"/>
    <col min="11269" max="11269" width="52.28515625" style="216" customWidth="1"/>
    <col min="11270" max="11521" width="9.140625" style="216"/>
    <col min="11522" max="11522" width="27.140625" style="216" customWidth="1"/>
    <col min="11523" max="11523" width="35.85546875" style="216" customWidth="1"/>
    <col min="11524" max="11524" width="43.42578125" style="216" customWidth="1"/>
    <col min="11525" max="11525" width="52.28515625" style="216" customWidth="1"/>
    <col min="11526" max="11777" width="9.140625" style="216"/>
    <col min="11778" max="11778" width="27.140625" style="216" customWidth="1"/>
    <col min="11779" max="11779" width="35.85546875" style="216" customWidth="1"/>
    <col min="11780" max="11780" width="43.42578125" style="216" customWidth="1"/>
    <col min="11781" max="11781" width="52.28515625" style="216" customWidth="1"/>
    <col min="11782" max="12033" width="9.140625" style="216"/>
    <col min="12034" max="12034" width="27.140625" style="216" customWidth="1"/>
    <col min="12035" max="12035" width="35.85546875" style="216" customWidth="1"/>
    <col min="12036" max="12036" width="43.42578125" style="216" customWidth="1"/>
    <col min="12037" max="12037" width="52.28515625" style="216" customWidth="1"/>
    <col min="12038" max="12289" width="9.140625" style="216"/>
    <col min="12290" max="12290" width="27.140625" style="216" customWidth="1"/>
    <col min="12291" max="12291" width="35.85546875" style="216" customWidth="1"/>
    <col min="12292" max="12292" width="43.42578125" style="216" customWidth="1"/>
    <col min="12293" max="12293" width="52.28515625" style="216" customWidth="1"/>
    <col min="12294" max="12545" width="9.140625" style="216"/>
    <col min="12546" max="12546" width="27.140625" style="216" customWidth="1"/>
    <col min="12547" max="12547" width="35.85546875" style="216" customWidth="1"/>
    <col min="12548" max="12548" width="43.42578125" style="216" customWidth="1"/>
    <col min="12549" max="12549" width="52.28515625" style="216" customWidth="1"/>
    <col min="12550" max="12801" width="9.140625" style="216"/>
    <col min="12802" max="12802" width="27.140625" style="216" customWidth="1"/>
    <col min="12803" max="12803" width="35.85546875" style="216" customWidth="1"/>
    <col min="12804" max="12804" width="43.42578125" style="216" customWidth="1"/>
    <col min="12805" max="12805" width="52.28515625" style="216" customWidth="1"/>
    <col min="12806" max="13057" width="9.140625" style="216"/>
    <col min="13058" max="13058" width="27.140625" style="216" customWidth="1"/>
    <col min="13059" max="13059" width="35.85546875" style="216" customWidth="1"/>
    <col min="13060" max="13060" width="43.42578125" style="216" customWidth="1"/>
    <col min="13061" max="13061" width="52.28515625" style="216" customWidth="1"/>
    <col min="13062" max="13313" width="9.140625" style="216"/>
    <col min="13314" max="13314" width="27.140625" style="216" customWidth="1"/>
    <col min="13315" max="13315" width="35.85546875" style="216" customWidth="1"/>
    <col min="13316" max="13316" width="43.42578125" style="216" customWidth="1"/>
    <col min="13317" max="13317" width="52.28515625" style="216" customWidth="1"/>
    <col min="13318" max="13569" width="9.140625" style="216"/>
    <col min="13570" max="13570" width="27.140625" style="216" customWidth="1"/>
    <col min="13571" max="13571" width="35.85546875" style="216" customWidth="1"/>
    <col min="13572" max="13572" width="43.42578125" style="216" customWidth="1"/>
    <col min="13573" max="13573" width="52.28515625" style="216" customWidth="1"/>
    <col min="13574" max="13825" width="9.140625" style="216"/>
    <col min="13826" max="13826" width="27.140625" style="216" customWidth="1"/>
    <col min="13827" max="13827" width="35.85546875" style="216" customWidth="1"/>
    <col min="13828" max="13828" width="43.42578125" style="216" customWidth="1"/>
    <col min="13829" max="13829" width="52.28515625" style="216" customWidth="1"/>
    <col min="13830" max="14081" width="9.140625" style="216"/>
    <col min="14082" max="14082" width="27.140625" style="216" customWidth="1"/>
    <col min="14083" max="14083" width="35.85546875" style="216" customWidth="1"/>
    <col min="14084" max="14084" width="43.42578125" style="216" customWidth="1"/>
    <col min="14085" max="14085" width="52.28515625" style="216" customWidth="1"/>
    <col min="14086" max="14337" width="9.140625" style="216"/>
    <col min="14338" max="14338" width="27.140625" style="216" customWidth="1"/>
    <col min="14339" max="14339" width="35.85546875" style="216" customWidth="1"/>
    <col min="14340" max="14340" width="43.42578125" style="216" customWidth="1"/>
    <col min="14341" max="14341" width="52.28515625" style="216" customWidth="1"/>
    <col min="14342" max="14593" width="9.140625" style="216"/>
    <col min="14594" max="14594" width="27.140625" style="216" customWidth="1"/>
    <col min="14595" max="14595" width="35.85546875" style="216" customWidth="1"/>
    <col min="14596" max="14596" width="43.42578125" style="216" customWidth="1"/>
    <col min="14597" max="14597" width="52.28515625" style="216" customWidth="1"/>
    <col min="14598" max="14849" width="9.140625" style="216"/>
    <col min="14850" max="14850" width="27.140625" style="216" customWidth="1"/>
    <col min="14851" max="14851" width="35.85546875" style="216" customWidth="1"/>
    <col min="14852" max="14852" width="43.42578125" style="216" customWidth="1"/>
    <col min="14853" max="14853" width="52.28515625" style="216" customWidth="1"/>
    <col min="14854" max="15105" width="9.140625" style="216"/>
    <col min="15106" max="15106" width="27.140625" style="216" customWidth="1"/>
    <col min="15107" max="15107" width="35.85546875" style="216" customWidth="1"/>
    <col min="15108" max="15108" width="43.42578125" style="216" customWidth="1"/>
    <col min="15109" max="15109" width="52.28515625" style="216" customWidth="1"/>
    <col min="15110" max="15361" width="9.140625" style="216"/>
    <col min="15362" max="15362" width="27.140625" style="216" customWidth="1"/>
    <col min="15363" max="15363" width="35.85546875" style="216" customWidth="1"/>
    <col min="15364" max="15364" width="43.42578125" style="216" customWidth="1"/>
    <col min="15365" max="15365" width="52.28515625" style="216" customWidth="1"/>
    <col min="15366" max="15617" width="9.140625" style="216"/>
    <col min="15618" max="15618" width="27.140625" style="216" customWidth="1"/>
    <col min="15619" max="15619" width="35.85546875" style="216" customWidth="1"/>
    <col min="15620" max="15620" width="43.42578125" style="216" customWidth="1"/>
    <col min="15621" max="15621" width="52.28515625" style="216" customWidth="1"/>
    <col min="15622" max="15873" width="9.140625" style="216"/>
    <col min="15874" max="15874" width="27.140625" style="216" customWidth="1"/>
    <col min="15875" max="15875" width="35.85546875" style="216" customWidth="1"/>
    <col min="15876" max="15876" width="43.42578125" style="216" customWidth="1"/>
    <col min="15877" max="15877" width="52.28515625" style="216" customWidth="1"/>
    <col min="15878" max="16129" width="9.140625" style="216"/>
    <col min="16130" max="16130" width="27.140625" style="216" customWidth="1"/>
    <col min="16131" max="16131" width="35.85546875" style="216" customWidth="1"/>
    <col min="16132" max="16132" width="43.42578125" style="216" customWidth="1"/>
    <col min="16133" max="16133" width="52.28515625" style="216" customWidth="1"/>
    <col min="16134" max="16384" width="9.140625" style="216"/>
  </cols>
  <sheetData>
    <row r="2" spans="1:5" x14ac:dyDescent="0.2">
      <c r="A2" s="1436" t="str">
        <f>Dados!A5</f>
        <v>CONSELHO DA JUSTIÇA FEDERAL - CJF</v>
      </c>
      <c r="B2" s="1436"/>
      <c r="C2" s="1436"/>
      <c r="D2" s="1436"/>
      <c r="E2" s="1436"/>
    </row>
    <row r="3" spans="1:5" x14ac:dyDescent="0.2">
      <c r="A3" s="1436" t="str">
        <f>Dados!A9</f>
        <v>PREGÃO ELETRÔNICO Nº 09/2020 - CJF</v>
      </c>
      <c r="B3" s="1436"/>
      <c r="C3" s="1436"/>
      <c r="D3" s="1436"/>
      <c r="E3" s="1436"/>
    </row>
    <row r="4" spans="1:5" hidden="1" x14ac:dyDescent="0.2">
      <c r="A4" s="1440" t="str">
        <f>Dados!A10</f>
        <v>CONTRATO Nº __________/201__ - CONTRATANTE - PRESTAÇÃO DE SERVIÇOS --------</v>
      </c>
      <c r="B4" s="1440"/>
      <c r="C4" s="1440"/>
      <c r="D4" s="1440"/>
      <c r="E4" s="1440"/>
    </row>
    <row r="5" spans="1:5" hidden="1" x14ac:dyDescent="0.2">
      <c r="A5" s="1440" t="str">
        <f>Dados!H2</f>
        <v xml:space="preserve">REPACTUAÇÃO CONTRATUAL 20___ - </v>
      </c>
      <c r="B5" s="1440"/>
      <c r="C5" s="1440"/>
      <c r="D5" s="1440"/>
      <c r="E5" s="1440"/>
    </row>
    <row r="6" spans="1:5" x14ac:dyDescent="0.2">
      <c r="A6" s="202"/>
      <c r="B6" s="217"/>
      <c r="C6" s="217"/>
      <c r="D6" s="169"/>
      <c r="E6" s="217"/>
    </row>
    <row r="7" spans="1:5" x14ac:dyDescent="0.2">
      <c r="A7" s="202"/>
      <c r="B7" s="217"/>
      <c r="C7" s="217"/>
      <c r="D7" s="169"/>
      <c r="E7" s="217"/>
    </row>
    <row r="8" spans="1:5" ht="14.25" customHeight="1" x14ac:dyDescent="0.2">
      <c r="A8" s="1382" t="s">
        <v>276</v>
      </c>
      <c r="B8" s="1382"/>
      <c r="C8" s="1382"/>
      <c r="D8" s="1382"/>
      <c r="E8" s="1382"/>
    </row>
    <row r="9" spans="1:5" x14ac:dyDescent="0.2">
      <c r="A9" s="202"/>
      <c r="B9" s="210"/>
      <c r="C9" s="210"/>
      <c r="D9" s="210"/>
      <c r="E9" s="210"/>
    </row>
    <row r="10" spans="1:5" x14ac:dyDescent="0.2">
      <c r="A10" s="170"/>
      <c r="B10" s="171" t="s">
        <v>63</v>
      </c>
      <c r="C10" s="172" t="s">
        <v>11</v>
      </c>
      <c r="D10" s="171" t="s">
        <v>80</v>
      </c>
      <c r="E10" s="172" t="s">
        <v>81</v>
      </c>
    </row>
    <row r="11" spans="1:5" ht="71.25" x14ac:dyDescent="0.2">
      <c r="A11" s="173" t="s">
        <v>1</v>
      </c>
      <c r="B11" s="174" t="s">
        <v>183</v>
      </c>
      <c r="C11" s="175">
        <f>Dados!J67</f>
        <v>0.01</v>
      </c>
      <c r="D11" s="176" t="s">
        <v>273</v>
      </c>
      <c r="E11" s="177" t="s">
        <v>184</v>
      </c>
    </row>
    <row r="12" spans="1:5" ht="85.5" x14ac:dyDescent="0.2">
      <c r="A12" s="173" t="s">
        <v>2</v>
      </c>
      <c r="B12" s="174" t="s">
        <v>18</v>
      </c>
      <c r="C12" s="175">
        <f>Dados!J68</f>
        <v>0.01</v>
      </c>
      <c r="D12" s="177" t="s">
        <v>274</v>
      </c>
      <c r="E12" s="177" t="s">
        <v>189</v>
      </c>
    </row>
    <row r="13" spans="1:5" ht="57.75" x14ac:dyDescent="0.2">
      <c r="A13" s="173" t="s">
        <v>4</v>
      </c>
      <c r="B13" s="174" t="s">
        <v>21</v>
      </c>
      <c r="C13" s="179"/>
      <c r="D13" s="177" t="s">
        <v>275</v>
      </c>
      <c r="E13" s="178" t="s">
        <v>185</v>
      </c>
    </row>
    <row r="14" spans="1:5" x14ac:dyDescent="0.2">
      <c r="A14" s="1441" t="s">
        <v>271</v>
      </c>
      <c r="B14" s="1437" t="s">
        <v>186</v>
      </c>
      <c r="C14" s="1438"/>
      <c r="D14" s="1438"/>
      <c r="E14" s="1439"/>
    </row>
    <row r="15" spans="1:5" ht="28.5" x14ac:dyDescent="0.2">
      <c r="A15" s="1443"/>
      <c r="B15" s="174" t="s">
        <v>20</v>
      </c>
      <c r="C15" s="175">
        <f>Dados!E72</f>
        <v>0.03</v>
      </c>
      <c r="D15" s="179"/>
      <c r="E15" s="177" t="s">
        <v>199</v>
      </c>
    </row>
    <row r="16" spans="1:5" ht="28.5" x14ac:dyDescent="0.2">
      <c r="A16" s="1442"/>
      <c r="B16" s="174" t="s">
        <v>19</v>
      </c>
      <c r="C16" s="175">
        <f>Dados!F72</f>
        <v>6.4999999999999997E-3</v>
      </c>
      <c r="D16" s="179"/>
      <c r="E16" s="177" t="s">
        <v>198</v>
      </c>
    </row>
    <row r="17" spans="1:5" x14ac:dyDescent="0.2">
      <c r="A17" s="1441" t="s">
        <v>272</v>
      </c>
      <c r="B17" s="1437" t="s">
        <v>187</v>
      </c>
      <c r="C17" s="1438"/>
      <c r="D17" s="1438"/>
      <c r="E17" s="1439"/>
    </row>
    <row r="18" spans="1:5" x14ac:dyDescent="0.2">
      <c r="A18" s="1442"/>
      <c r="B18" s="174" t="s">
        <v>188</v>
      </c>
      <c r="C18" s="175">
        <f>Dados!C72</f>
        <v>0.05</v>
      </c>
      <c r="D18" s="179"/>
      <c r="E18" s="179"/>
    </row>
    <row r="19" spans="1:5" x14ac:dyDescent="0.2">
      <c r="A19" s="217"/>
      <c r="B19" s="180"/>
      <c r="C19" s="180"/>
      <c r="D19" s="181"/>
      <c r="E19" s="182"/>
    </row>
    <row r="20" spans="1:5" x14ac:dyDescent="0.2">
      <c r="A20" s="218" t="s">
        <v>190</v>
      </c>
      <c r="B20" s="183"/>
      <c r="C20" s="183"/>
      <c r="D20" s="184"/>
      <c r="E20" s="185"/>
    </row>
    <row r="21" spans="1:5" hidden="1" x14ac:dyDescent="0.2">
      <c r="A21" s="1435" t="s">
        <v>191</v>
      </c>
      <c r="B21" s="1435"/>
      <c r="C21" s="1435"/>
      <c r="D21" s="1435"/>
      <c r="E21" s="1435"/>
    </row>
    <row r="22" spans="1:5" hidden="1" x14ac:dyDescent="0.2">
      <c r="A22" s="1435"/>
      <c r="B22" s="1435"/>
      <c r="C22" s="1435"/>
      <c r="D22" s="1435"/>
      <c r="E22" s="1435"/>
    </row>
  </sheetData>
  <mergeCells count="10">
    <mergeCell ref="A21:E22"/>
    <mergeCell ref="A2:E2"/>
    <mergeCell ref="A3:E3"/>
    <mergeCell ref="A8:E8"/>
    <mergeCell ref="B14:E14"/>
    <mergeCell ref="B17:E17"/>
    <mergeCell ref="A4:E4"/>
    <mergeCell ref="A5:E5"/>
    <mergeCell ref="A17:A18"/>
    <mergeCell ref="A14:A16"/>
  </mergeCells>
  <dataValidations count="1">
    <dataValidation allowBlank="1" showInputMessage="1" showErrorMessage="1" errorTitle="Alerta" error="Re-exibir no caso de SPED/DACON. As informações estão ocultas nas Coluna &quot;A&quot; Linhas &quot;21-22&quot; e Coluna &quot;D&quot; Linhas &quot;13-14&quot;." promptTitle="PIS e COFINS" prompt="Re-exibir no caso de SPED/DACON. As informações estão ocultas nas Coluna &quot;A&quot; Linhas &quot;21-22&quot; e Coluna &quot;D&quot; Linhas &quot;13-14&quot;." sqref="A21:E22" xr:uid="{00000000-0002-0000-0D00-000000000000}"/>
  </dataValidations>
  <printOptions horizontalCentered="1"/>
  <pageMargins left="0.51181102362204722" right="0.51181102362204722" top="1.9685039370078741" bottom="0.78740157480314965" header="0.31496062992125984" footer="0.31496062992125984"/>
  <pageSetup paperSize="9" scale="61" fitToHeight="0" orientation="portrait" horizontalDpi="1200" verticalDpi="1200" r:id="rId1"/>
  <headerFooter>
    <oddHeader>&amp;L&amp;"+,Negrito"&amp;8PROPOSTA Nº 053/2020 - CJF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3">
    <tabColor rgb="FFFFFF00"/>
    <pageSetUpPr fitToPage="1"/>
  </sheetPr>
  <dimension ref="A2:P118"/>
  <sheetViews>
    <sheetView tabSelected="1" topLeftCell="A6" zoomScaleNormal="100" zoomScaleSheetLayoutView="90" workbookViewId="0">
      <selection activeCell="K118" sqref="K118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15.42578125" style="28" bestFit="1" customWidth="1"/>
    <col min="13" max="13" width="7" style="28" customWidth="1"/>
    <col min="14" max="14" width="6.140625" style="28" customWidth="1"/>
    <col min="15" max="15" width="5" style="28" customWidth="1"/>
    <col min="16" max="16" width="13.140625" style="28" customWidth="1"/>
    <col min="17" max="16384" width="9.140625" style="28"/>
  </cols>
  <sheetData>
    <row r="2" spans="1:13" x14ac:dyDescent="0.2">
      <c r="A2" s="1455" t="str">
        <f>Dados!A5</f>
        <v>CONSELHO DA JUSTIÇA FEDERAL - CJF</v>
      </c>
      <c r="B2" s="1455"/>
      <c r="C2" s="1455"/>
      <c r="D2" s="1455"/>
      <c r="E2" s="1455"/>
      <c r="F2" s="1455"/>
      <c r="G2" s="1455"/>
      <c r="H2" s="1455"/>
    </row>
    <row r="3" spans="1:13" x14ac:dyDescent="0.2">
      <c r="A3" s="1455" t="str">
        <f>Dados!A9</f>
        <v>PREGÃO ELETRÔNICO Nº 09/2020 - CJF</v>
      </c>
      <c r="B3" s="1455"/>
      <c r="C3" s="1455"/>
      <c r="D3" s="1455"/>
      <c r="E3" s="1455"/>
      <c r="F3" s="1455"/>
      <c r="G3" s="1455"/>
      <c r="H3" s="1455"/>
    </row>
    <row r="4" spans="1:13" hidden="1" x14ac:dyDescent="0.2">
      <c r="A4" s="1455" t="str">
        <f>Dados!A10</f>
        <v>CONTRATO Nº __________/201__ - CONTRATANTE - PRESTAÇÃO DE SERVIÇOS --------</v>
      </c>
      <c r="B4" s="1455"/>
      <c r="C4" s="1455"/>
      <c r="D4" s="1455"/>
      <c r="E4" s="1455"/>
      <c r="F4" s="1455"/>
      <c r="G4" s="1455"/>
      <c r="H4" s="1455"/>
    </row>
    <row r="5" spans="1:13" hidden="1" x14ac:dyDescent="0.2">
      <c r="A5" s="1455" t="str">
        <f>Dados!H2</f>
        <v xml:space="preserve">REPACTUAÇÃO CONTRATUAL 20___ - </v>
      </c>
      <c r="B5" s="1455"/>
      <c r="C5" s="1455"/>
      <c r="D5" s="1455"/>
      <c r="E5" s="1455"/>
      <c r="F5" s="1455"/>
      <c r="G5" s="1455"/>
      <c r="H5" s="1455"/>
    </row>
    <row r="8" spans="1:13" x14ac:dyDescent="0.2">
      <c r="A8" s="1455" t="s">
        <v>118</v>
      </c>
      <c r="B8" s="1455"/>
      <c r="C8" s="1455"/>
      <c r="D8" s="1455"/>
      <c r="E8" s="1455"/>
      <c r="F8" s="1455"/>
      <c r="G8" s="1455"/>
      <c r="H8" s="1455"/>
    </row>
    <row r="9" spans="1:13" x14ac:dyDescent="0.2">
      <c r="A9" s="102"/>
      <c r="B9" s="102"/>
      <c r="C9" s="102"/>
      <c r="D9" s="102"/>
      <c r="E9" s="102"/>
      <c r="F9" s="102"/>
      <c r="G9" s="102"/>
      <c r="H9" s="102"/>
    </row>
    <row r="10" spans="1:13" s="33" customFormat="1" ht="42.75" x14ac:dyDescent="0.2">
      <c r="A10" s="1448" t="s">
        <v>63</v>
      </c>
      <c r="B10" s="1448" t="s">
        <v>85</v>
      </c>
      <c r="C10" s="1448"/>
      <c r="D10" s="947" t="s">
        <v>193</v>
      </c>
      <c r="E10" s="1452" t="s">
        <v>64</v>
      </c>
      <c r="F10" s="947" t="s">
        <v>74</v>
      </c>
      <c r="G10" s="947" t="s">
        <v>194</v>
      </c>
      <c r="H10" s="947" t="s">
        <v>353</v>
      </c>
    </row>
    <row r="11" spans="1:13" s="33" customFormat="1" ht="18" customHeight="1" x14ac:dyDescent="0.2">
      <c r="A11" s="1448"/>
      <c r="B11" s="1448"/>
      <c r="C11" s="1448"/>
      <c r="D11" s="186" t="s">
        <v>112</v>
      </c>
      <c r="E11" s="1453"/>
      <c r="F11" s="187" t="s">
        <v>113</v>
      </c>
      <c r="G11" s="186" t="s">
        <v>114</v>
      </c>
      <c r="H11" s="186" t="s">
        <v>351</v>
      </c>
    </row>
    <row r="12" spans="1:13" s="219" customFormat="1" ht="30.75" customHeight="1" x14ac:dyDescent="0.2">
      <c r="A12" s="104">
        <v>1</v>
      </c>
      <c r="B12" s="1454" t="str">
        <f>Dados!P73</f>
        <v>Vigilante Armado, 12 horas diunas em escala 12x36, das 07h às 19h</v>
      </c>
      <c r="C12" s="1454"/>
      <c r="D12" s="937">
        <f>'Item 01'!G184</f>
        <v>6476.4</v>
      </c>
      <c r="E12" s="104">
        <f>Dados!R73</f>
        <v>5</v>
      </c>
      <c r="F12" s="104">
        <f>Dados!T73</f>
        <v>10</v>
      </c>
      <c r="G12" s="105">
        <f>D12*F12</f>
        <v>64764</v>
      </c>
      <c r="H12" s="105">
        <f>G12*Dados!$G$26</f>
        <v>1295280</v>
      </c>
    </row>
    <row r="13" spans="1:13" s="219" customFormat="1" ht="30.75" customHeight="1" x14ac:dyDescent="0.2">
      <c r="A13" s="104">
        <v>2</v>
      </c>
      <c r="B13" s="1454" t="str">
        <f>Dados!P74</f>
        <v>Vigilante Desarmado Diurno, 44 horas semanais, sendo 8h48 trabalhadas de 2ª a 6ª feira, entre das 07h e 21h</v>
      </c>
      <c r="C13" s="1454"/>
      <c r="D13" s="937">
        <f>'Item 02'!G184</f>
        <v>6848.84</v>
      </c>
      <c r="E13" s="104">
        <f>Dados!R74</f>
        <v>6</v>
      </c>
      <c r="F13" s="104">
        <f>Dados!T74</f>
        <v>6</v>
      </c>
      <c r="G13" s="105">
        <f t="shared" ref="G13:G14" si="0">D13*F13</f>
        <v>41093.040000000001</v>
      </c>
      <c r="H13" s="105">
        <f>G13*Dados!$G$26</f>
        <v>821860.8</v>
      </c>
      <c r="M13" s="355"/>
    </row>
    <row r="14" spans="1:13" s="219" customFormat="1" ht="30.75" customHeight="1" x14ac:dyDescent="0.2">
      <c r="A14" s="104">
        <v>3</v>
      </c>
      <c r="B14" s="1454" t="str">
        <f>Dados!P75</f>
        <v>Vigilante Armado, 12 horas noturnas em escala 12x36, das 19h às 07h</v>
      </c>
      <c r="C14" s="1454"/>
      <c r="D14" s="937">
        <f>'Item 03'!G184</f>
        <v>7082.34</v>
      </c>
      <c r="E14" s="104">
        <f>Dados!R75</f>
        <v>5</v>
      </c>
      <c r="F14" s="104">
        <f>Dados!T75</f>
        <v>10</v>
      </c>
      <c r="G14" s="105">
        <f t="shared" si="0"/>
        <v>70823.399999999994</v>
      </c>
      <c r="H14" s="105">
        <f>G14*Dados!$G$26</f>
        <v>1416468</v>
      </c>
      <c r="M14" s="356"/>
    </row>
    <row r="15" spans="1:13" ht="22.5" customHeight="1" x14ac:dyDescent="0.2">
      <c r="A15" s="1445" t="s">
        <v>53</v>
      </c>
      <c r="B15" s="1445"/>
      <c r="C15" s="1445"/>
      <c r="D15" s="106" t="s">
        <v>54</v>
      </c>
      <c r="E15" s="107">
        <f>SUM(E12:E14)</f>
        <v>16</v>
      </c>
      <c r="F15" s="107">
        <f>SUM(F12:F14)</f>
        <v>26</v>
      </c>
      <c r="G15" s="108">
        <f>SUM(G12:G14)</f>
        <v>176680.44</v>
      </c>
      <c r="H15" s="108">
        <f>SUM(H12:H14)</f>
        <v>3533608.8</v>
      </c>
    </row>
    <row r="16" spans="1:13" ht="15" customHeight="1" x14ac:dyDescent="0.2">
      <c r="G16" s="960"/>
      <c r="H16" s="761"/>
    </row>
    <row r="17" spans="1:8" ht="15" customHeight="1" x14ac:dyDescent="0.2">
      <c r="G17" s="960"/>
      <c r="H17" s="761"/>
    </row>
    <row r="18" spans="1:8" ht="15" hidden="1" customHeight="1" x14ac:dyDescent="0.2">
      <c r="B18" s="1450" t="s">
        <v>490</v>
      </c>
      <c r="C18" s="1450"/>
      <c r="D18" s="1450"/>
      <c r="E18" s="1450"/>
      <c r="F18" s="1450"/>
      <c r="G18" s="1450"/>
      <c r="H18" s="761"/>
    </row>
    <row r="19" spans="1:8" ht="15" hidden="1" customHeight="1" x14ac:dyDescent="0.2">
      <c r="A19" s="33"/>
      <c r="B19" s="1451" t="s">
        <v>612</v>
      </c>
      <c r="C19" s="1451"/>
      <c r="D19" s="1451"/>
      <c r="E19" s="1451"/>
      <c r="F19" s="1451"/>
      <c r="G19" s="1451"/>
      <c r="H19" s="762"/>
    </row>
    <row r="20" spans="1:8" ht="43.5" hidden="1" customHeight="1" x14ac:dyDescent="0.2">
      <c r="A20" s="1448" t="s">
        <v>63</v>
      </c>
      <c r="B20" s="1448" t="s">
        <v>85</v>
      </c>
      <c r="C20" s="1448"/>
      <c r="D20" s="947" t="s">
        <v>193</v>
      </c>
      <c r="E20" s="1452" t="s">
        <v>64</v>
      </c>
      <c r="F20" s="947" t="s">
        <v>74</v>
      </c>
      <c r="G20" s="947" t="s">
        <v>194</v>
      </c>
      <c r="H20" s="947" t="s">
        <v>353</v>
      </c>
    </row>
    <row r="21" spans="1:8" ht="15" hidden="1" customHeight="1" x14ac:dyDescent="0.2">
      <c r="A21" s="1448"/>
      <c r="B21" s="1448"/>
      <c r="C21" s="1448"/>
      <c r="D21" s="186" t="s">
        <v>112</v>
      </c>
      <c r="E21" s="1453"/>
      <c r="F21" s="187" t="s">
        <v>113</v>
      </c>
      <c r="G21" s="186" t="s">
        <v>114</v>
      </c>
      <c r="H21" s="186" t="s">
        <v>351</v>
      </c>
    </row>
    <row r="22" spans="1:8" ht="33" hidden="1" customHeight="1" x14ac:dyDescent="0.2">
      <c r="A22" s="104">
        <v>1</v>
      </c>
      <c r="B22" s="1454" t="str">
        <f>Dados!P73</f>
        <v>Vigilante Armado, 12 horas diunas em escala 12x36, das 07h às 19h</v>
      </c>
      <c r="C22" s="1454"/>
      <c r="D22" s="937">
        <f>'Item 01'!O182</f>
        <v>6671.1</v>
      </c>
      <c r="E22" s="104">
        <f>Dados!R73</f>
        <v>5</v>
      </c>
      <c r="F22" s="104">
        <f>Dados!T73</f>
        <v>10</v>
      </c>
      <c r="G22" s="105">
        <f>D22*F22</f>
        <v>66711</v>
      </c>
      <c r="H22" s="105">
        <f>G22*Dados!$G$26</f>
        <v>1334220</v>
      </c>
    </row>
    <row r="23" spans="1:8" ht="34.5" hidden="1" customHeight="1" x14ac:dyDescent="0.2">
      <c r="A23" s="104">
        <v>2</v>
      </c>
      <c r="B23" s="1456" t="str">
        <f>Dados!P74</f>
        <v>Vigilante Desarmado Diurno, 44 horas semanais, sendo 8h48 trabalhadas de 2ª a 6ª feira, entre das 07h e 21h</v>
      </c>
      <c r="C23" s="1457"/>
      <c r="D23" s="937">
        <f>'Item 02'!J186</f>
        <v>7057.23</v>
      </c>
      <c r="E23" s="104">
        <f>Dados!R74</f>
        <v>6</v>
      </c>
      <c r="F23" s="104">
        <f>Dados!T74</f>
        <v>6</v>
      </c>
      <c r="G23" s="105">
        <f>D23*F23</f>
        <v>42343.38</v>
      </c>
      <c r="H23" s="105">
        <f>G23*Dados!$G$26</f>
        <v>846867.6</v>
      </c>
    </row>
    <row r="24" spans="1:8" ht="38.25" hidden="1" customHeight="1" x14ac:dyDescent="0.2">
      <c r="A24" s="104">
        <v>3</v>
      </c>
      <c r="B24" s="1454" t="str">
        <f>Dados!P75</f>
        <v>Vigilante Armado, 12 horas noturnas em escala 12x36, das 19h às 07h</v>
      </c>
      <c r="C24" s="1454"/>
      <c r="D24" s="937">
        <f>'Item 03'!O182</f>
        <v>7295.6</v>
      </c>
      <c r="E24" s="104">
        <f>Dados!R75</f>
        <v>5</v>
      </c>
      <c r="F24" s="104">
        <f>Dados!T75</f>
        <v>10</v>
      </c>
      <c r="G24" s="105">
        <f t="shared" ref="G24" si="1">D24*F24</f>
        <v>72956</v>
      </c>
      <c r="H24" s="105">
        <f>G24*Dados!$G$26</f>
        <v>1459120</v>
      </c>
    </row>
    <row r="25" spans="1:8" ht="28.5" hidden="1" customHeight="1" x14ac:dyDescent="0.2">
      <c r="A25" s="1445" t="s">
        <v>53</v>
      </c>
      <c r="B25" s="1445"/>
      <c r="C25" s="1445"/>
      <c r="D25" s="106" t="s">
        <v>54</v>
      </c>
      <c r="E25" s="107">
        <f>SUM(E22:E24)</f>
        <v>16</v>
      </c>
      <c r="F25" s="107">
        <f>SUM(F22:F24)</f>
        <v>26</v>
      </c>
      <c r="G25" s="108">
        <f>SUM(G22:G24)</f>
        <v>182010.38</v>
      </c>
      <c r="H25" s="108">
        <f>SUM(H22:H24)</f>
        <v>3640207.6</v>
      </c>
    </row>
    <row r="26" spans="1:8" ht="15" hidden="1" customHeight="1" x14ac:dyDescent="0.2">
      <c r="A26" s="33"/>
      <c r="B26" s="33"/>
      <c r="C26" s="33"/>
      <c r="D26" s="33"/>
      <c r="E26" s="33"/>
      <c r="F26" s="33"/>
      <c r="G26" s="33"/>
      <c r="H26" s="33"/>
    </row>
    <row r="27" spans="1:8" ht="15" hidden="1" customHeight="1" x14ac:dyDescent="0.2"/>
    <row r="28" spans="1:8" ht="12" hidden="1" customHeight="1" x14ac:dyDescent="0.2">
      <c r="B28" s="1450" t="s">
        <v>490</v>
      </c>
      <c r="C28" s="1450"/>
      <c r="D28" s="1450"/>
      <c r="E28" s="1450"/>
      <c r="F28" s="1450"/>
      <c r="G28" s="1450"/>
      <c r="H28" s="761"/>
    </row>
    <row r="29" spans="1:8" ht="12" hidden="1" customHeight="1" x14ac:dyDescent="0.2">
      <c r="A29" s="33"/>
      <c r="B29" s="1444" t="s">
        <v>579</v>
      </c>
      <c r="C29" s="1444"/>
      <c r="D29" s="1444"/>
      <c r="E29" s="1444"/>
      <c r="F29" s="1444"/>
      <c r="G29" s="1444"/>
      <c r="H29" s="762"/>
    </row>
    <row r="30" spans="1:8" ht="12" hidden="1" customHeight="1" x14ac:dyDescent="0.2">
      <c r="A30" s="1448" t="s">
        <v>63</v>
      </c>
      <c r="B30" s="1449" t="s">
        <v>85</v>
      </c>
      <c r="C30" s="1449"/>
      <c r="D30" s="947" t="s">
        <v>193</v>
      </c>
      <c r="E30" s="1452" t="s">
        <v>64</v>
      </c>
      <c r="F30" s="947" t="s">
        <v>74</v>
      </c>
      <c r="G30" s="947" t="s">
        <v>194</v>
      </c>
      <c r="H30" s="947" t="s">
        <v>353</v>
      </c>
    </row>
    <row r="31" spans="1:8" ht="45" hidden="1" customHeight="1" x14ac:dyDescent="0.2">
      <c r="A31" s="1448"/>
      <c r="B31" s="1449"/>
      <c r="C31" s="1449"/>
      <c r="D31" s="186" t="s">
        <v>112</v>
      </c>
      <c r="E31" s="1453"/>
      <c r="F31" s="187" t="s">
        <v>113</v>
      </c>
      <c r="G31" s="186" t="s">
        <v>114</v>
      </c>
      <c r="H31" s="186" t="s">
        <v>351</v>
      </c>
    </row>
    <row r="32" spans="1:8" ht="30.75" hidden="1" customHeight="1" x14ac:dyDescent="0.2">
      <c r="A32" s="104">
        <v>1</v>
      </c>
      <c r="B32" s="1454" t="str">
        <f>Dados!P73</f>
        <v>Vigilante Armado, 12 horas diunas em escala 12x36, das 07h às 19h</v>
      </c>
      <c r="C32" s="1454"/>
      <c r="D32" s="937">
        <f>'Item 01'!W182</f>
        <v>6575.91</v>
      </c>
      <c r="E32" s="104">
        <f>Dados!R73</f>
        <v>5</v>
      </c>
      <c r="F32" s="104">
        <f>Dados!T73</f>
        <v>10</v>
      </c>
      <c r="G32" s="105">
        <f>D32*F32</f>
        <v>65759.100000000006</v>
      </c>
      <c r="H32" s="105">
        <f>G32*Dados!$G$26</f>
        <v>1315182</v>
      </c>
    </row>
    <row r="33" spans="1:16" ht="31.5" hidden="1" customHeight="1" x14ac:dyDescent="0.2">
      <c r="A33" s="104">
        <v>2</v>
      </c>
      <c r="B33" s="1454" t="str">
        <f>Dados!P74</f>
        <v>Vigilante Desarmado Diurno, 44 horas semanais, sendo 8h48 trabalhadas de 2ª a 6ª feira, entre das 07h e 21h</v>
      </c>
      <c r="C33" s="1454"/>
      <c r="D33" s="937">
        <f>'Item 02'!M186</f>
        <v>6962.03</v>
      </c>
      <c r="E33" s="104">
        <f>Dados!R74</f>
        <v>6</v>
      </c>
      <c r="F33" s="104">
        <f>Dados!T74</f>
        <v>6</v>
      </c>
      <c r="G33" s="105">
        <f t="shared" ref="G33:G34" si="2">D33*F33</f>
        <v>41772.18</v>
      </c>
      <c r="H33" s="105">
        <f>G33*Dados!$G$26</f>
        <v>835443.6</v>
      </c>
    </row>
    <row r="34" spans="1:16" ht="32.25" hidden="1" customHeight="1" x14ac:dyDescent="0.2">
      <c r="A34" s="104">
        <v>3</v>
      </c>
      <c r="B34" s="1454" t="str">
        <f>Dados!P75</f>
        <v>Vigilante Armado, 12 horas noturnas em escala 12x36, das 19h às 07h</v>
      </c>
      <c r="C34" s="1454"/>
      <c r="D34" s="937">
        <f>'Item 03'!W182</f>
        <v>7189.99</v>
      </c>
      <c r="E34" s="104">
        <f>Dados!R75</f>
        <v>5</v>
      </c>
      <c r="F34" s="104">
        <f>Dados!T75</f>
        <v>10</v>
      </c>
      <c r="G34" s="105">
        <f t="shared" si="2"/>
        <v>71899.899999999994</v>
      </c>
      <c r="H34" s="105">
        <f>G34*Dados!$G$26</f>
        <v>1437998</v>
      </c>
    </row>
    <row r="35" spans="1:16" ht="33" hidden="1" customHeight="1" x14ac:dyDescent="0.2">
      <c r="A35" s="1445" t="s">
        <v>53</v>
      </c>
      <c r="B35" s="1445"/>
      <c r="C35" s="1445"/>
      <c r="D35" s="106" t="s">
        <v>54</v>
      </c>
      <c r="E35" s="107">
        <f>SUM(E32:E34)</f>
        <v>16</v>
      </c>
      <c r="F35" s="107">
        <f>SUM(F32:F34)</f>
        <v>26</v>
      </c>
      <c r="G35" s="108">
        <f>SUM(G32:G34)</f>
        <v>179431.18</v>
      </c>
      <c r="H35" s="108">
        <f>SUM(H32:H34)</f>
        <v>3588623.6</v>
      </c>
      <c r="K35" s="655"/>
    </row>
    <row r="36" spans="1:16" ht="12" hidden="1" customHeight="1" x14ac:dyDescent="0.2">
      <c r="K36" s="700"/>
    </row>
    <row r="37" spans="1:16" ht="12" hidden="1" customHeight="1" x14ac:dyDescent="0.2">
      <c r="B37" s="1450" t="s">
        <v>537</v>
      </c>
      <c r="C37" s="1450"/>
      <c r="D37" s="1450"/>
      <c r="E37" s="1450"/>
      <c r="F37" s="1450"/>
      <c r="G37" s="1450"/>
      <c r="H37" s="761"/>
    </row>
    <row r="38" spans="1:16" ht="12" hidden="1" customHeight="1" x14ac:dyDescent="0.2">
      <c r="A38" s="33"/>
      <c r="B38" s="1444" t="s">
        <v>553</v>
      </c>
      <c r="C38" s="1444"/>
      <c r="D38" s="1444"/>
      <c r="E38" s="1444"/>
      <c r="F38" s="1444"/>
      <c r="G38" s="1444"/>
      <c r="H38" s="762"/>
    </row>
    <row r="39" spans="1:16" ht="12" hidden="1" customHeight="1" x14ac:dyDescent="0.2">
      <c r="A39" s="1448" t="s">
        <v>63</v>
      </c>
      <c r="B39" s="1449" t="s">
        <v>85</v>
      </c>
      <c r="C39" s="1449"/>
      <c r="D39" s="947" t="s">
        <v>193</v>
      </c>
      <c r="E39" s="1452" t="s">
        <v>64</v>
      </c>
      <c r="F39" s="947" t="s">
        <v>74</v>
      </c>
      <c r="G39" s="947" t="s">
        <v>194</v>
      </c>
      <c r="H39" s="947" t="s">
        <v>353</v>
      </c>
    </row>
    <row r="40" spans="1:16" ht="37.5" hidden="1" customHeight="1" x14ac:dyDescent="0.2">
      <c r="A40" s="1448"/>
      <c r="B40" s="1449"/>
      <c r="C40" s="1449"/>
      <c r="D40" s="186" t="s">
        <v>112</v>
      </c>
      <c r="E40" s="1453"/>
      <c r="F40" s="187" t="s">
        <v>113</v>
      </c>
      <c r="G40" s="186" t="s">
        <v>114</v>
      </c>
      <c r="H40" s="186" t="s">
        <v>351</v>
      </c>
    </row>
    <row r="41" spans="1:16" ht="26.25" hidden="1" customHeight="1" x14ac:dyDescent="0.2">
      <c r="A41" s="104">
        <v>1</v>
      </c>
      <c r="B41" s="1454" t="str">
        <f>Dados!P73</f>
        <v>Vigilante Armado, 12 horas diunas em escala 12x36, das 07h às 19h</v>
      </c>
      <c r="C41" s="1454"/>
      <c r="D41" s="937">
        <f>'Item 01'!Y182</f>
        <v>6590.23</v>
      </c>
      <c r="E41" s="104">
        <f>Dados!R73</f>
        <v>5</v>
      </c>
      <c r="F41" s="104">
        <f>Dados!T73</f>
        <v>10</v>
      </c>
      <c r="G41" s="105">
        <f>D41*F41</f>
        <v>65902.3</v>
      </c>
      <c r="H41" s="105">
        <f>G41*Dados!$G$26</f>
        <v>1318046</v>
      </c>
    </row>
    <row r="42" spans="1:16" ht="27.75" hidden="1" customHeight="1" x14ac:dyDescent="0.2">
      <c r="A42" s="104">
        <v>2</v>
      </c>
      <c r="B42" s="1454" t="str">
        <f>Dados!P74</f>
        <v>Vigilante Desarmado Diurno, 44 horas semanais, sendo 8h48 trabalhadas de 2ª a 6ª feira, entre das 07h e 21h</v>
      </c>
      <c r="C42" s="1454"/>
      <c r="D42" s="937">
        <f>'Item 02'!R186</f>
        <v>6978.44</v>
      </c>
      <c r="E42" s="104">
        <v>9</v>
      </c>
      <c r="F42" s="104">
        <v>9</v>
      </c>
      <c r="G42" s="105">
        <f t="shared" ref="G42:G43" si="3">D42*F42</f>
        <v>62805.96</v>
      </c>
      <c r="H42" s="105">
        <f>G42*Dados!$G$26</f>
        <v>1256119.2</v>
      </c>
      <c r="P42" s="655"/>
    </row>
    <row r="43" spans="1:16" ht="84" hidden="1" customHeight="1" thickBot="1" x14ac:dyDescent="0.25">
      <c r="A43" s="104">
        <v>3</v>
      </c>
      <c r="B43" s="1454" t="str">
        <f>Dados!P75</f>
        <v>Vigilante Armado, 12 horas noturnas em escala 12x36, das 19h às 07h</v>
      </c>
      <c r="C43" s="1454"/>
      <c r="D43" s="937">
        <f>'Item 03'!Y182</f>
        <v>7204.31</v>
      </c>
      <c r="E43" s="104">
        <v>6</v>
      </c>
      <c r="F43" s="104">
        <f>E43*2</f>
        <v>12</v>
      </c>
      <c r="G43" s="105">
        <f t="shared" si="3"/>
        <v>86451.72</v>
      </c>
      <c r="H43" s="105">
        <f>G43*Dados!$G$26</f>
        <v>1729034.4</v>
      </c>
      <c r="K43" s="701"/>
    </row>
    <row r="44" spans="1:16" ht="30" hidden="1" customHeight="1" x14ac:dyDescent="0.2">
      <c r="A44" s="104">
        <v>4</v>
      </c>
      <c r="B44" s="1446" t="s">
        <v>536</v>
      </c>
      <c r="C44" s="1447"/>
      <c r="D44" s="937">
        <f>'Item 4 Inserido após o II TA '!G182</f>
        <v>8066.92</v>
      </c>
      <c r="E44" s="104">
        <v>1</v>
      </c>
      <c r="F44" s="104">
        <v>1</v>
      </c>
      <c r="G44" s="105">
        <f>E44*D44</f>
        <v>8066.92</v>
      </c>
      <c r="H44" s="105">
        <f>G44*20</f>
        <v>161338.4</v>
      </c>
      <c r="K44" s="702"/>
    </row>
    <row r="45" spans="1:16" ht="12" hidden="1" customHeight="1" x14ac:dyDescent="0.2">
      <c r="A45" s="1445" t="s">
        <v>53</v>
      </c>
      <c r="B45" s="1445"/>
      <c r="C45" s="1445"/>
      <c r="D45" s="106" t="s">
        <v>54</v>
      </c>
      <c r="E45" s="107">
        <f>SUM(E41:E44)</f>
        <v>21</v>
      </c>
      <c r="F45" s="107">
        <f>SUM(F41:F44)</f>
        <v>32</v>
      </c>
      <c r="G45" s="108">
        <f>SUM(G41:G44)</f>
        <v>223226.9</v>
      </c>
      <c r="H45" s="108">
        <f>SUM(H41:H44)</f>
        <v>4464538</v>
      </c>
      <c r="K45" s="580"/>
    </row>
    <row r="46" spans="1:16" ht="12" hidden="1" customHeight="1" x14ac:dyDescent="0.2">
      <c r="K46" s="579"/>
    </row>
    <row r="47" spans="1:16" ht="12" hidden="1" customHeight="1" x14ac:dyDescent="0.2">
      <c r="K47" s="579"/>
    </row>
    <row r="48" spans="1:16" ht="12" hidden="1" customHeight="1" x14ac:dyDescent="0.2">
      <c r="B48" s="1450" t="s">
        <v>578</v>
      </c>
      <c r="C48" s="1450"/>
      <c r="D48" s="1450"/>
      <c r="E48" s="1450"/>
      <c r="F48" s="1450"/>
      <c r="G48" s="1450"/>
      <c r="K48" s="579"/>
    </row>
    <row r="49" spans="1:12" ht="34.9" hidden="1" customHeight="1" thickBot="1" x14ac:dyDescent="0.25">
      <c r="B49" s="1444" t="s">
        <v>579</v>
      </c>
      <c r="C49" s="1444"/>
      <c r="D49" s="1444"/>
      <c r="E49" s="1444"/>
      <c r="F49" s="1444"/>
      <c r="G49" s="1444"/>
      <c r="K49" s="582"/>
    </row>
    <row r="50" spans="1:12" ht="12" hidden="1" customHeight="1" x14ac:dyDescent="0.2">
      <c r="A50" s="1448" t="s">
        <v>63</v>
      </c>
      <c r="B50" s="1449" t="s">
        <v>85</v>
      </c>
      <c r="C50" s="1449"/>
      <c r="D50" s="947" t="s">
        <v>193</v>
      </c>
      <c r="E50" s="1452" t="s">
        <v>64</v>
      </c>
      <c r="F50" s="947" t="s">
        <v>74</v>
      </c>
      <c r="G50" s="947" t="s">
        <v>194</v>
      </c>
      <c r="H50" s="947" t="s">
        <v>353</v>
      </c>
      <c r="K50" s="578"/>
    </row>
    <row r="51" spans="1:12" ht="12" hidden="1" customHeight="1" x14ac:dyDescent="0.2">
      <c r="A51" s="1448"/>
      <c r="B51" s="1449"/>
      <c r="C51" s="1449"/>
      <c r="D51" s="186" t="s">
        <v>112</v>
      </c>
      <c r="E51" s="1453"/>
      <c r="F51" s="187" t="s">
        <v>113</v>
      </c>
      <c r="G51" s="186" t="s">
        <v>114</v>
      </c>
      <c r="H51" s="186" t="s">
        <v>351</v>
      </c>
    </row>
    <row r="52" spans="1:12" ht="27" hidden="1" customHeight="1" thickBot="1" x14ac:dyDescent="0.25">
      <c r="A52" s="104">
        <v>1</v>
      </c>
      <c r="B52" s="1454" t="str">
        <f>B41</f>
        <v>Vigilante Armado, 12 horas diunas em escala 12x36, das 07h às 19h</v>
      </c>
      <c r="C52" s="1454"/>
      <c r="D52" s="937">
        <f>'Item 01'!AC182</f>
        <v>6585.61</v>
      </c>
      <c r="E52" s="104">
        <v>5</v>
      </c>
      <c r="F52" s="104">
        <v>10</v>
      </c>
      <c r="G52" s="105">
        <f>D52*F52</f>
        <v>65856.100000000006</v>
      </c>
      <c r="H52" s="105">
        <f>G52*Dados!$G$26</f>
        <v>1317122</v>
      </c>
    </row>
    <row r="53" spans="1:12" ht="27" hidden="1" customHeight="1" thickBot="1" x14ac:dyDescent="0.25">
      <c r="A53" s="104">
        <v>2</v>
      </c>
      <c r="B53" s="1454" t="str">
        <f>B42</f>
        <v>Vigilante Desarmado Diurno, 44 horas semanais, sendo 8h48 trabalhadas de 2ª a 6ª feira, entre das 07h e 21h</v>
      </c>
      <c r="C53" s="1454"/>
      <c r="D53" s="937">
        <f>'Item 02'!V182</f>
        <v>6971.66</v>
      </c>
      <c r="E53" s="104">
        <v>6</v>
      </c>
      <c r="F53" s="104">
        <v>6</v>
      </c>
      <c r="G53" s="105">
        <f t="shared" ref="G53:G54" si="4">D53*F53</f>
        <v>41829.96</v>
      </c>
      <c r="H53" s="105">
        <f>G53*Dados!$G$26</f>
        <v>836599.2</v>
      </c>
      <c r="K53" s="659"/>
      <c r="L53" s="660"/>
    </row>
    <row r="54" spans="1:12" ht="27" hidden="1" customHeight="1" x14ac:dyDescent="0.2">
      <c r="A54" s="104">
        <v>3</v>
      </c>
      <c r="B54" s="1454" t="str">
        <f>B43</f>
        <v>Vigilante Armado, 12 horas noturnas em escala 12x36, das 19h às 07h</v>
      </c>
      <c r="C54" s="1454"/>
      <c r="D54" s="937">
        <f>'Item 03'!AC182</f>
        <v>7199.71</v>
      </c>
      <c r="E54" s="104">
        <v>5</v>
      </c>
      <c r="F54" s="104">
        <f>E54*2</f>
        <v>10</v>
      </c>
      <c r="G54" s="105">
        <f t="shared" si="4"/>
        <v>71997.100000000006</v>
      </c>
      <c r="H54" s="105">
        <f>G54*Dados!$G$26</f>
        <v>1439942</v>
      </c>
    </row>
    <row r="55" spans="1:12" ht="27" hidden="1" customHeight="1" x14ac:dyDescent="0.2">
      <c r="A55" s="1445" t="s">
        <v>53</v>
      </c>
      <c r="B55" s="1445"/>
      <c r="C55" s="1445"/>
      <c r="D55" s="106" t="s">
        <v>54</v>
      </c>
      <c r="E55" s="107">
        <f>SUM(E52:E54)</f>
        <v>16</v>
      </c>
      <c r="F55" s="107">
        <f>SUM(F52:F54)</f>
        <v>26</v>
      </c>
      <c r="G55" s="108">
        <f>SUM(G52:G54)</f>
        <v>179683.16</v>
      </c>
      <c r="H55" s="108">
        <f>SUM(H52:H54)</f>
        <v>3593663.2</v>
      </c>
    </row>
    <row r="56" spans="1:12" ht="27" hidden="1" customHeight="1" x14ac:dyDescent="0.2"/>
    <row r="57" spans="1:12" ht="12" hidden="1" customHeight="1" x14ac:dyDescent="0.2">
      <c r="B57" s="1450" t="s">
        <v>578</v>
      </c>
      <c r="C57" s="1450"/>
      <c r="D57" s="1450"/>
      <c r="E57" s="1450"/>
      <c r="F57" s="1450"/>
      <c r="G57" s="1450"/>
    </row>
    <row r="58" spans="1:12" ht="20.45" hidden="1" customHeight="1" x14ac:dyDescent="0.2">
      <c r="B58" s="1444" t="s">
        <v>582</v>
      </c>
      <c r="C58" s="1444"/>
      <c r="D58" s="1444"/>
      <c r="E58" s="1444"/>
      <c r="F58" s="1444"/>
      <c r="G58" s="1444"/>
    </row>
    <row r="59" spans="1:12" ht="12" hidden="1" customHeight="1" x14ac:dyDescent="0.2">
      <c r="A59" s="1448" t="s">
        <v>63</v>
      </c>
      <c r="B59" s="1449" t="s">
        <v>580</v>
      </c>
      <c r="C59" s="1449"/>
      <c r="D59" s="947" t="s">
        <v>193</v>
      </c>
      <c r="E59" s="1452" t="s">
        <v>64</v>
      </c>
      <c r="F59" s="947" t="s">
        <v>74</v>
      </c>
      <c r="G59" s="947" t="s">
        <v>194</v>
      </c>
      <c r="H59" s="947" t="s">
        <v>353</v>
      </c>
    </row>
    <row r="60" spans="1:12" ht="12" hidden="1" customHeight="1" x14ac:dyDescent="0.2">
      <c r="A60" s="1448"/>
      <c r="B60" s="1449"/>
      <c r="C60" s="1449"/>
      <c r="D60" s="186" t="s">
        <v>112</v>
      </c>
      <c r="E60" s="1453"/>
      <c r="F60" s="187" t="s">
        <v>113</v>
      </c>
      <c r="G60" s="186" t="s">
        <v>114</v>
      </c>
      <c r="H60" s="186" t="s">
        <v>351</v>
      </c>
    </row>
    <row r="61" spans="1:12" ht="25.9" hidden="1" customHeight="1" x14ac:dyDescent="0.2">
      <c r="A61" s="104">
        <v>1</v>
      </c>
      <c r="B61" s="1454" t="str">
        <f>B52</f>
        <v>Vigilante Armado, 12 horas diunas em escala 12x36, das 07h às 19h</v>
      </c>
      <c r="C61" s="1454"/>
      <c r="D61" s="937">
        <f>'Item 01'!AE182</f>
        <v>7128.58</v>
      </c>
      <c r="E61" s="104">
        <v>5</v>
      </c>
      <c r="F61" s="104">
        <v>10</v>
      </c>
      <c r="G61" s="105">
        <f>D61*F61</f>
        <v>71285.8</v>
      </c>
      <c r="H61" s="105">
        <f>G61*Dados!$G$26</f>
        <v>1425716</v>
      </c>
    </row>
    <row r="62" spans="1:12" ht="25.9" hidden="1" customHeight="1" x14ac:dyDescent="0.2">
      <c r="A62" s="104">
        <v>2</v>
      </c>
      <c r="B62" s="1454" t="str">
        <f>B53</f>
        <v>Vigilante Desarmado Diurno, 44 horas semanais, sendo 8h48 trabalhadas de 2ª a 6ª feira, entre das 07h e 21h</v>
      </c>
      <c r="C62" s="1454"/>
      <c r="D62" s="937">
        <f>'Item 02'!X182</f>
        <v>7540.25</v>
      </c>
      <c r="E62" s="104">
        <v>6</v>
      </c>
      <c r="F62" s="104">
        <v>6</v>
      </c>
      <c r="G62" s="105">
        <f t="shared" ref="G62:G63" si="5">D62*F62</f>
        <v>45241.5</v>
      </c>
      <c r="H62" s="105">
        <f>G62*Dados!$G$26</f>
        <v>904830</v>
      </c>
    </row>
    <row r="63" spans="1:12" ht="25.9" hidden="1" customHeight="1" x14ac:dyDescent="0.2">
      <c r="A63" s="104">
        <v>3</v>
      </c>
      <c r="B63" s="1454" t="str">
        <f>B54</f>
        <v>Vigilante Armado, 12 horas noturnas em escala 12x36, das 19h às 07h</v>
      </c>
      <c r="C63" s="1454"/>
      <c r="D63" s="937">
        <f>'Item 03'!AE182</f>
        <v>7795.73</v>
      </c>
      <c r="E63" s="104">
        <v>5</v>
      </c>
      <c r="F63" s="104">
        <f>E63*2</f>
        <v>10</v>
      </c>
      <c r="G63" s="105">
        <f t="shared" si="5"/>
        <v>77957.3</v>
      </c>
      <c r="H63" s="105">
        <f>G63*Dados!$G$26</f>
        <v>1559146</v>
      </c>
    </row>
    <row r="64" spans="1:12" ht="12" hidden="1" customHeight="1" x14ac:dyDescent="0.2">
      <c r="A64" s="1445" t="s">
        <v>53</v>
      </c>
      <c r="B64" s="1445"/>
      <c r="C64" s="1445"/>
      <c r="D64" s="106" t="s">
        <v>54</v>
      </c>
      <c r="E64" s="107">
        <f>SUM(E61:E63)</f>
        <v>16</v>
      </c>
      <c r="F64" s="107">
        <f>SUM(F61:F63)</f>
        <v>26</v>
      </c>
      <c r="G64" s="108">
        <f>SUM(G61:G63)</f>
        <v>194484.6</v>
      </c>
      <c r="H64" s="108">
        <f>SUM(H61:H63)</f>
        <v>3889692</v>
      </c>
    </row>
    <row r="65" spans="1:8" ht="12" hidden="1" customHeight="1" x14ac:dyDescent="0.2"/>
    <row r="66" spans="1:8" ht="12" hidden="1" customHeight="1" x14ac:dyDescent="0.2"/>
    <row r="67" spans="1:8" ht="12" hidden="1" customHeight="1" x14ac:dyDescent="0.2">
      <c r="B67" s="1450" t="s">
        <v>578</v>
      </c>
      <c r="C67" s="1450"/>
      <c r="D67" s="1450"/>
      <c r="E67" s="1450"/>
      <c r="F67" s="1450"/>
      <c r="G67" s="1450"/>
    </row>
    <row r="68" spans="1:8" ht="18" hidden="1" customHeight="1" x14ac:dyDescent="0.2">
      <c r="B68" s="1444" t="s">
        <v>584</v>
      </c>
      <c r="C68" s="1444"/>
      <c r="D68" s="1444"/>
      <c r="E68" s="1444"/>
      <c r="F68" s="1444"/>
      <c r="G68" s="1444"/>
    </row>
    <row r="69" spans="1:8" ht="12" hidden="1" customHeight="1" x14ac:dyDescent="0.2">
      <c r="A69" s="1448" t="s">
        <v>63</v>
      </c>
      <c r="B69" s="1449" t="s">
        <v>85</v>
      </c>
      <c r="C69" s="1449"/>
      <c r="D69" s="947" t="s">
        <v>193</v>
      </c>
      <c r="E69" s="1452" t="s">
        <v>64</v>
      </c>
      <c r="F69" s="947" t="s">
        <v>74</v>
      </c>
      <c r="G69" s="947" t="s">
        <v>194</v>
      </c>
      <c r="H69" s="947" t="s">
        <v>353</v>
      </c>
    </row>
    <row r="70" spans="1:8" ht="12" hidden="1" customHeight="1" x14ac:dyDescent="0.2">
      <c r="A70" s="1448"/>
      <c r="B70" s="1449"/>
      <c r="C70" s="1449"/>
      <c r="D70" s="186" t="s">
        <v>112</v>
      </c>
      <c r="E70" s="1453"/>
      <c r="F70" s="187" t="s">
        <v>113</v>
      </c>
      <c r="G70" s="186" t="s">
        <v>114</v>
      </c>
      <c r="H70" s="186" t="s">
        <v>351</v>
      </c>
    </row>
    <row r="71" spans="1:8" ht="24" hidden="1" customHeight="1" x14ac:dyDescent="0.2">
      <c r="A71" s="104">
        <v>1</v>
      </c>
      <c r="B71" s="1454" t="str">
        <f>B41</f>
        <v>Vigilante Armado, 12 horas diunas em escala 12x36, das 07h às 19h</v>
      </c>
      <c r="C71" s="1454"/>
      <c r="D71" s="937">
        <f>'Item 01'!AA182</f>
        <v>6580.75</v>
      </c>
      <c r="E71" s="104">
        <v>5</v>
      </c>
      <c r="F71" s="104">
        <v>10</v>
      </c>
      <c r="G71" s="105">
        <f>D71*F71</f>
        <v>65807.5</v>
      </c>
      <c r="H71" s="105">
        <f>G71*Dados!$G$26</f>
        <v>1316150</v>
      </c>
    </row>
    <row r="72" spans="1:8" ht="24" hidden="1" customHeight="1" x14ac:dyDescent="0.2">
      <c r="A72" s="104">
        <v>2</v>
      </c>
      <c r="B72" s="1454" t="str">
        <f>B42</f>
        <v>Vigilante Desarmado Diurno, 44 horas semanais, sendo 8h48 trabalhadas de 2ª a 6ª feira, entre das 07h e 21h</v>
      </c>
      <c r="C72" s="1454"/>
      <c r="D72" s="937">
        <f>'Item 02'!T182</f>
        <v>6964.52</v>
      </c>
      <c r="E72" s="104">
        <v>9</v>
      </c>
      <c r="F72" s="104">
        <v>9</v>
      </c>
      <c r="G72" s="105">
        <f t="shared" ref="G72:G73" si="6">D72*F72</f>
        <v>62680.68</v>
      </c>
      <c r="H72" s="105">
        <f>G72*Dados!$G$26</f>
        <v>1253613.6000000001</v>
      </c>
    </row>
    <row r="73" spans="1:8" ht="24" hidden="1" customHeight="1" x14ac:dyDescent="0.2">
      <c r="A73" s="104">
        <v>3</v>
      </c>
      <c r="B73" s="1454" t="str">
        <f>B43</f>
        <v>Vigilante Armado, 12 horas noturnas em escala 12x36, das 19h às 07h</v>
      </c>
      <c r="C73" s="1454"/>
      <c r="D73" s="937">
        <f>'Item 03'!AA182</f>
        <v>7194.85</v>
      </c>
      <c r="E73" s="104">
        <v>6</v>
      </c>
      <c r="F73" s="104">
        <f>E73*2</f>
        <v>12</v>
      </c>
      <c r="G73" s="105">
        <f t="shared" si="6"/>
        <v>86338.2</v>
      </c>
      <c r="H73" s="105">
        <f>G73*Dados!$G$26</f>
        <v>1726764</v>
      </c>
    </row>
    <row r="74" spans="1:8" ht="24" hidden="1" customHeight="1" x14ac:dyDescent="0.2">
      <c r="A74" s="104">
        <v>4</v>
      </c>
      <c r="B74" s="1446" t="str">
        <f>B44</f>
        <v>Supervisor, 44 horas semanais, sendo 8h48 trabalhadas de 2ª a 6ª feira, entre 07h e 21h</v>
      </c>
      <c r="C74" s="1447"/>
      <c r="D74" s="937">
        <f>'Item 4 Inserido após o II TA '!I182</f>
        <v>8052.98</v>
      </c>
      <c r="E74" s="104">
        <v>1</v>
      </c>
      <c r="F74" s="104">
        <v>1</v>
      </c>
      <c r="G74" s="105">
        <f>E74*D74</f>
        <v>8052.98</v>
      </c>
      <c r="H74" s="105">
        <f>G74*20</f>
        <v>161059.6</v>
      </c>
    </row>
    <row r="75" spans="1:8" ht="18" hidden="1" customHeight="1" x14ac:dyDescent="0.2">
      <c r="A75" s="1445" t="s">
        <v>53</v>
      </c>
      <c r="B75" s="1445"/>
      <c r="C75" s="1445"/>
      <c r="D75" s="106" t="s">
        <v>54</v>
      </c>
      <c r="E75" s="107">
        <f>SUM(E71:E74)</f>
        <v>21</v>
      </c>
      <c r="F75" s="107">
        <f>SUM(F71:F74)</f>
        <v>32</v>
      </c>
      <c r="G75" s="108">
        <f>SUM(G71:G74)</f>
        <v>222879.35999999999</v>
      </c>
      <c r="H75" s="108">
        <f>SUM(H71:H74)</f>
        <v>4457587.2</v>
      </c>
    </row>
    <row r="76" spans="1:8" hidden="1" x14ac:dyDescent="0.2"/>
    <row r="77" spans="1:8" hidden="1" x14ac:dyDescent="0.2">
      <c r="B77" s="1450" t="s">
        <v>578</v>
      </c>
      <c r="C77" s="1450"/>
      <c r="D77" s="1450"/>
      <c r="E77" s="1450"/>
      <c r="F77" s="1450"/>
      <c r="G77" s="1450"/>
    </row>
    <row r="78" spans="1:8" ht="23.45" hidden="1" customHeight="1" x14ac:dyDescent="0.2">
      <c r="B78" s="1444" t="s">
        <v>581</v>
      </c>
      <c r="C78" s="1444"/>
      <c r="D78" s="1444"/>
      <c r="E78" s="1444"/>
      <c r="F78" s="1444"/>
      <c r="G78" s="1444"/>
    </row>
    <row r="79" spans="1:8" ht="23.45" hidden="1" customHeight="1" x14ac:dyDescent="0.2">
      <c r="A79" s="1448" t="s">
        <v>63</v>
      </c>
      <c r="B79" s="1449" t="s">
        <v>85</v>
      </c>
      <c r="C79" s="1449"/>
      <c r="D79" s="947" t="s">
        <v>193</v>
      </c>
      <c r="E79" s="1452" t="s">
        <v>64</v>
      </c>
      <c r="F79" s="947" t="s">
        <v>74</v>
      </c>
      <c r="G79" s="947" t="s">
        <v>194</v>
      </c>
      <c r="H79" s="947" t="s">
        <v>353</v>
      </c>
    </row>
    <row r="80" spans="1:8" ht="23.45" hidden="1" customHeight="1" x14ac:dyDescent="0.2">
      <c r="A80" s="1448"/>
      <c r="B80" s="1449"/>
      <c r="C80" s="1449"/>
      <c r="D80" s="186" t="s">
        <v>112</v>
      </c>
      <c r="E80" s="1453"/>
      <c r="F80" s="187" t="s">
        <v>113</v>
      </c>
      <c r="G80" s="186" t="s">
        <v>114</v>
      </c>
      <c r="H80" s="186" t="s">
        <v>351</v>
      </c>
    </row>
    <row r="81" spans="1:11" ht="23.45" hidden="1" customHeight="1" x14ac:dyDescent="0.2">
      <c r="A81" s="104">
        <v>1</v>
      </c>
      <c r="B81" s="1454" t="str">
        <f>B71</f>
        <v>Vigilante Armado, 12 horas diunas em escala 12x36, das 07h às 19h</v>
      </c>
      <c r="C81" s="1454"/>
      <c r="D81" s="937">
        <f>'Item 01'!AG182</f>
        <v>7133.89</v>
      </c>
      <c r="E81" s="104">
        <v>5</v>
      </c>
      <c r="F81" s="104">
        <v>10</v>
      </c>
      <c r="G81" s="105">
        <f>D81*F81</f>
        <v>71338.899999999994</v>
      </c>
      <c r="H81" s="105">
        <f>G81*Dados!$G$26</f>
        <v>1426778</v>
      </c>
    </row>
    <row r="82" spans="1:11" ht="23.45" hidden="1" customHeight="1" x14ac:dyDescent="0.2">
      <c r="A82" s="104">
        <v>2</v>
      </c>
      <c r="B82" s="1454" t="str">
        <f>B72</f>
        <v>Vigilante Desarmado Diurno, 44 horas semanais, sendo 8h48 trabalhadas de 2ª a 6ª feira, entre das 07h e 21h</v>
      </c>
      <c r="C82" s="1454"/>
      <c r="D82" s="937">
        <f>'Item 02'!Z182</f>
        <v>7542.96</v>
      </c>
      <c r="E82" s="104">
        <v>9</v>
      </c>
      <c r="F82" s="104">
        <v>9</v>
      </c>
      <c r="G82" s="105">
        <f t="shared" ref="G82:G83" si="7">D82*F82</f>
        <v>67886.64</v>
      </c>
      <c r="H82" s="105">
        <f>G82*Dados!$G$26</f>
        <v>1357732.8</v>
      </c>
    </row>
    <row r="83" spans="1:11" ht="23.45" hidden="1" customHeight="1" x14ac:dyDescent="0.2">
      <c r="A83" s="104">
        <v>3</v>
      </c>
      <c r="B83" s="1454" t="str">
        <f>B73</f>
        <v>Vigilante Armado, 12 horas noturnas em escala 12x36, das 19h às 07h</v>
      </c>
      <c r="C83" s="1454"/>
      <c r="D83" s="937">
        <f>'Item 03'!AG182</f>
        <v>7801.06</v>
      </c>
      <c r="E83" s="104">
        <v>6</v>
      </c>
      <c r="F83" s="104">
        <f>E83*2</f>
        <v>12</v>
      </c>
      <c r="G83" s="105">
        <f t="shared" si="7"/>
        <v>93612.72</v>
      </c>
      <c r="H83" s="105">
        <f>G83*Dados!$G$26</f>
        <v>1872254.4</v>
      </c>
    </row>
    <row r="84" spans="1:11" ht="23.45" hidden="1" customHeight="1" x14ac:dyDescent="0.2">
      <c r="A84" s="104">
        <v>4</v>
      </c>
      <c r="B84" s="1446" t="str">
        <f>B74</f>
        <v>Supervisor, 44 horas semanais, sendo 8h48 trabalhadas de 2ª a 6ª feira, entre 07h e 21h</v>
      </c>
      <c r="C84" s="1447"/>
      <c r="D84" s="937">
        <f>'Item 4 Inserido após o II TA '!K182</f>
        <v>8727.2099999999991</v>
      </c>
      <c r="E84" s="104">
        <v>1</v>
      </c>
      <c r="F84" s="104">
        <v>1</v>
      </c>
      <c r="G84" s="105">
        <f>E84*D84</f>
        <v>8727.2099999999991</v>
      </c>
      <c r="H84" s="105">
        <f>G84*20</f>
        <v>174544.2</v>
      </c>
    </row>
    <row r="85" spans="1:11" ht="23.45" hidden="1" customHeight="1" x14ac:dyDescent="0.2">
      <c r="A85" s="1445" t="s">
        <v>53</v>
      </c>
      <c r="B85" s="1445"/>
      <c r="C85" s="1445"/>
      <c r="D85" s="106" t="s">
        <v>54</v>
      </c>
      <c r="E85" s="107">
        <f>SUM(E81:E84)</f>
        <v>21</v>
      </c>
      <c r="F85" s="107">
        <f>SUM(F81:F84)</f>
        <v>32</v>
      </c>
      <c r="G85" s="108">
        <f>SUM(G81:G84)</f>
        <v>241565.47</v>
      </c>
      <c r="H85" s="108">
        <f>SUM(H81:H84)</f>
        <v>4831309.4000000004</v>
      </c>
    </row>
    <row r="86" spans="1:11" hidden="1" x14ac:dyDescent="0.2"/>
    <row r="87" spans="1:11" hidden="1" x14ac:dyDescent="0.2"/>
    <row r="88" spans="1:11" hidden="1" x14ac:dyDescent="0.2">
      <c r="B88" s="1450" t="s">
        <v>578</v>
      </c>
      <c r="C88" s="1450"/>
      <c r="D88" s="1450"/>
      <c r="E88" s="1450"/>
      <c r="F88" s="1450"/>
      <c r="G88" s="1450"/>
    </row>
    <row r="89" spans="1:11" ht="30.6" hidden="1" customHeight="1" x14ac:dyDescent="0.2">
      <c r="B89" s="1444" t="s">
        <v>583</v>
      </c>
      <c r="C89" s="1444"/>
      <c r="D89" s="1444"/>
      <c r="E89" s="1444"/>
      <c r="F89" s="1444"/>
      <c r="G89" s="1444"/>
    </row>
    <row r="90" spans="1:11" ht="42.75" hidden="1" x14ac:dyDescent="0.2">
      <c r="A90" s="1448" t="s">
        <v>63</v>
      </c>
      <c r="B90" s="1449" t="s">
        <v>85</v>
      </c>
      <c r="C90" s="1449"/>
      <c r="D90" s="947" t="s">
        <v>193</v>
      </c>
      <c r="E90" s="1452" t="s">
        <v>64</v>
      </c>
      <c r="F90" s="947" t="s">
        <v>74</v>
      </c>
      <c r="G90" s="947" t="s">
        <v>194</v>
      </c>
      <c r="H90" s="947" t="s">
        <v>353</v>
      </c>
    </row>
    <row r="91" spans="1:11" hidden="1" x14ac:dyDescent="0.2">
      <c r="A91" s="1448"/>
      <c r="B91" s="1449"/>
      <c r="C91" s="1449"/>
      <c r="D91" s="186" t="s">
        <v>112</v>
      </c>
      <c r="E91" s="1453"/>
      <c r="F91" s="187" t="s">
        <v>113</v>
      </c>
      <c r="G91" s="186" t="s">
        <v>114</v>
      </c>
      <c r="H91" s="186" t="s">
        <v>351</v>
      </c>
    </row>
    <row r="92" spans="1:11" ht="24.6" hidden="1" customHeight="1" x14ac:dyDescent="0.2">
      <c r="A92" s="104">
        <v>1</v>
      </c>
      <c r="B92" s="1454" t="str">
        <f>B81</f>
        <v>Vigilante Armado, 12 horas diunas em escala 12x36, das 07h às 19h</v>
      </c>
      <c r="C92" s="1454"/>
      <c r="D92" s="937">
        <f>'Item 01'!AI182</f>
        <v>7145.54</v>
      </c>
      <c r="E92" s="104">
        <v>5</v>
      </c>
      <c r="F92" s="104">
        <v>10</v>
      </c>
      <c r="G92" s="105">
        <f>D92*F92</f>
        <v>71455.399999999994</v>
      </c>
      <c r="H92" s="105">
        <f>G92*Dados!$G$26</f>
        <v>1429108</v>
      </c>
      <c r="K92" s="655">
        <f>G92*20</f>
        <v>1429108</v>
      </c>
    </row>
    <row r="93" spans="1:11" ht="24.6" hidden="1" customHeight="1" x14ac:dyDescent="0.2">
      <c r="A93" s="104">
        <v>2</v>
      </c>
      <c r="B93" s="1454" t="str">
        <f>B82</f>
        <v>Vigilante Desarmado Diurno, 44 horas semanais, sendo 8h48 trabalhadas de 2ª a 6ª feira, entre das 07h e 21h</v>
      </c>
      <c r="C93" s="1454"/>
      <c r="D93" s="937">
        <f>'Item 02'!AB182</f>
        <v>7554.23</v>
      </c>
      <c r="E93" s="104">
        <v>9</v>
      </c>
      <c r="F93" s="104">
        <v>9</v>
      </c>
      <c r="G93" s="105">
        <f>D93*F93</f>
        <v>67988.070000000007</v>
      </c>
      <c r="H93" s="105">
        <f>G93*Dados!$G$26</f>
        <v>1359761.4</v>
      </c>
      <c r="K93" s="655">
        <f t="shared" ref="K93:K94" si="8">G93*20</f>
        <v>1359761.4</v>
      </c>
    </row>
    <row r="94" spans="1:11" ht="24.6" hidden="1" customHeight="1" x14ac:dyDescent="0.2">
      <c r="A94" s="104">
        <v>3</v>
      </c>
      <c r="B94" s="1454" t="str">
        <f>B83</f>
        <v>Vigilante Armado, 12 horas noturnas em escala 12x36, das 19h às 07h</v>
      </c>
      <c r="C94" s="1454"/>
      <c r="D94" s="937">
        <f>'Item 03'!AI182</f>
        <v>7812.67</v>
      </c>
      <c r="E94" s="104">
        <v>6</v>
      </c>
      <c r="F94" s="104">
        <f>E94*2</f>
        <v>12</v>
      </c>
      <c r="G94" s="105">
        <f t="shared" ref="G94" si="9">D94*F94</f>
        <v>93752.04</v>
      </c>
      <c r="H94" s="105">
        <f>G94*Dados!$G$26</f>
        <v>1875040.8</v>
      </c>
      <c r="K94" s="655">
        <f t="shared" si="8"/>
        <v>1875040.8</v>
      </c>
    </row>
    <row r="95" spans="1:11" ht="24.6" hidden="1" customHeight="1" x14ac:dyDescent="0.2">
      <c r="A95" s="104">
        <v>4</v>
      </c>
      <c r="B95" s="1446" t="str">
        <f>B84</f>
        <v>Supervisor, 44 horas semanais, sendo 8h48 trabalhadas de 2ª a 6ª feira, entre 07h e 21h</v>
      </c>
      <c r="C95" s="1447"/>
      <c r="D95" s="937">
        <f>'Item 4 Inserido após o II TA '!M182</f>
        <v>8737.2900000000009</v>
      </c>
      <c r="E95" s="104">
        <v>1</v>
      </c>
      <c r="F95" s="104">
        <v>1</v>
      </c>
      <c r="G95" s="105">
        <f>E95*D95</f>
        <v>8737.2900000000009</v>
      </c>
      <c r="H95" s="105">
        <f>G95*20</f>
        <v>174745.8</v>
      </c>
      <c r="K95" s="655">
        <f>G95*20</f>
        <v>174745.8</v>
      </c>
    </row>
    <row r="96" spans="1:11" hidden="1" x14ac:dyDescent="0.2">
      <c r="A96" s="1445" t="s">
        <v>53</v>
      </c>
      <c r="B96" s="1445"/>
      <c r="C96" s="1445"/>
      <c r="D96" s="106" t="s">
        <v>54</v>
      </c>
      <c r="E96" s="107">
        <f>SUM(E92:E95)</f>
        <v>21</v>
      </c>
      <c r="F96" s="107">
        <f>SUM(F92:F95)</f>
        <v>32</v>
      </c>
      <c r="G96" s="108">
        <f>SUM(G92:G95)</f>
        <v>241932.79999999999</v>
      </c>
      <c r="H96" s="108">
        <f>SUM(H92:H95)</f>
        <v>4838656</v>
      </c>
    </row>
    <row r="97" spans="1:8" hidden="1" x14ac:dyDescent="0.2"/>
    <row r="98" spans="1:8" hidden="1" x14ac:dyDescent="0.2"/>
    <row r="99" spans="1:8" hidden="1" x14ac:dyDescent="0.2">
      <c r="B99" s="1450" t="s">
        <v>608</v>
      </c>
      <c r="C99" s="1450"/>
      <c r="D99" s="1450"/>
      <c r="E99" s="1450"/>
      <c r="F99" s="1450"/>
      <c r="G99" s="1450"/>
    </row>
    <row r="100" spans="1:8" hidden="1" x14ac:dyDescent="0.2">
      <c r="B100" s="1444" t="s">
        <v>613</v>
      </c>
      <c r="C100" s="1444"/>
      <c r="D100" s="1444"/>
      <c r="E100" s="1444"/>
      <c r="F100" s="1444"/>
      <c r="G100" s="1444"/>
    </row>
    <row r="101" spans="1:8" ht="42.75" hidden="1" x14ac:dyDescent="0.2">
      <c r="A101" s="1448" t="s">
        <v>63</v>
      </c>
      <c r="B101" s="1449" t="s">
        <v>85</v>
      </c>
      <c r="C101" s="1449"/>
      <c r="D101" s="1004" t="s">
        <v>193</v>
      </c>
      <c r="E101" s="1452" t="s">
        <v>64</v>
      </c>
      <c r="F101" s="1004" t="s">
        <v>74</v>
      </c>
      <c r="G101" s="1004" t="s">
        <v>194</v>
      </c>
      <c r="H101" s="1004" t="s">
        <v>353</v>
      </c>
    </row>
    <row r="102" spans="1:8" hidden="1" x14ac:dyDescent="0.2">
      <c r="A102" s="1448"/>
      <c r="B102" s="1449"/>
      <c r="C102" s="1449"/>
      <c r="D102" s="186" t="s">
        <v>112</v>
      </c>
      <c r="E102" s="1453"/>
      <c r="F102" s="187" t="s">
        <v>113</v>
      </c>
      <c r="G102" s="186" t="s">
        <v>114</v>
      </c>
      <c r="H102" s="186" t="s">
        <v>351</v>
      </c>
    </row>
    <row r="103" spans="1:8" hidden="1" x14ac:dyDescent="0.2">
      <c r="A103" s="104">
        <v>1</v>
      </c>
      <c r="B103" s="1454" t="str">
        <f>B92</f>
        <v>Vigilante Armado, 12 horas diunas em escala 12x36, das 07h às 19h</v>
      </c>
      <c r="C103" s="1454"/>
      <c r="D103" s="983">
        <f>'Item 01'!AK182</f>
        <v>7565.45</v>
      </c>
      <c r="E103" s="104">
        <v>5</v>
      </c>
      <c r="F103" s="104">
        <v>10</v>
      </c>
      <c r="G103" s="105">
        <f>D103*F103</f>
        <v>75654.5</v>
      </c>
      <c r="H103" s="105">
        <f>G103*Dados!$G$26</f>
        <v>1513090</v>
      </c>
    </row>
    <row r="104" spans="1:8" hidden="1" x14ac:dyDescent="0.2">
      <c r="A104" s="104">
        <v>2</v>
      </c>
      <c r="B104" s="1454" t="str">
        <f>B93</f>
        <v>Vigilante Desarmado Diurno, 44 horas semanais, sendo 8h48 trabalhadas de 2ª a 6ª feira, entre das 07h e 21h</v>
      </c>
      <c r="C104" s="1454"/>
      <c r="D104" s="983">
        <f>'Item 02'!AD182</f>
        <v>7993.24</v>
      </c>
      <c r="E104" s="104">
        <v>9</v>
      </c>
      <c r="F104" s="104">
        <v>9</v>
      </c>
      <c r="G104" s="105">
        <f>D104*F104</f>
        <v>71939.16</v>
      </c>
      <c r="H104" s="105">
        <f>G104*Dados!$G$26</f>
        <v>1438783.2</v>
      </c>
    </row>
    <row r="105" spans="1:8" hidden="1" x14ac:dyDescent="0.2">
      <c r="A105" s="104">
        <v>3</v>
      </c>
      <c r="B105" s="1454" t="str">
        <f>B94</f>
        <v>Vigilante Armado, 12 horas noturnas em escala 12x36, das 19h às 07h</v>
      </c>
      <c r="C105" s="1454"/>
      <c r="D105" s="983">
        <f>'Item 03'!AK182</f>
        <v>8274.93</v>
      </c>
      <c r="E105" s="104">
        <v>6</v>
      </c>
      <c r="F105" s="104">
        <f>E105*2</f>
        <v>12</v>
      </c>
      <c r="G105" s="105">
        <f t="shared" ref="G105" si="10">D105*F105</f>
        <v>99299.16</v>
      </c>
      <c r="H105" s="105">
        <f>G105*Dados!$G$26</f>
        <v>1985983.2</v>
      </c>
    </row>
    <row r="106" spans="1:8" hidden="1" x14ac:dyDescent="0.2">
      <c r="A106" s="104">
        <v>4</v>
      </c>
      <c r="B106" s="1446" t="str">
        <f>B95</f>
        <v>Supervisor, 44 horas semanais, sendo 8h48 trabalhadas de 2ª a 6ª feira, entre 07h e 21h</v>
      </c>
      <c r="C106" s="1447"/>
      <c r="D106" s="983">
        <f>'Item 4 Inserido após o II TA '!O182</f>
        <v>9252.76</v>
      </c>
      <c r="E106" s="104">
        <v>1</v>
      </c>
      <c r="F106" s="104">
        <v>1</v>
      </c>
      <c r="G106" s="105">
        <f>E106*D106</f>
        <v>9252.76</v>
      </c>
      <c r="H106" s="105">
        <f>G106*20</f>
        <v>185055.2</v>
      </c>
    </row>
    <row r="107" spans="1:8" hidden="1" x14ac:dyDescent="0.2">
      <c r="A107" s="1445" t="s">
        <v>53</v>
      </c>
      <c r="B107" s="1445"/>
      <c r="C107" s="1445"/>
      <c r="D107" s="106" t="s">
        <v>54</v>
      </c>
      <c r="E107" s="107">
        <f>SUM(E103:E106)</f>
        <v>21</v>
      </c>
      <c r="F107" s="107">
        <f>SUM(F103:F106)</f>
        <v>32</v>
      </c>
      <c r="G107" s="108">
        <f>SUM(G103:G106)</f>
        <v>256145.58</v>
      </c>
      <c r="H107" s="108">
        <f>SUM(H103:H106)</f>
        <v>5122911.5999999996</v>
      </c>
    </row>
    <row r="108" spans="1:8" hidden="1" x14ac:dyDescent="0.2"/>
    <row r="110" spans="1:8" x14ac:dyDescent="0.2">
      <c r="B110" s="1450" t="s">
        <v>616</v>
      </c>
      <c r="C110" s="1450"/>
      <c r="D110" s="1450"/>
      <c r="E110" s="1450"/>
      <c r="F110" s="1450"/>
      <c r="G110" s="1450"/>
    </row>
    <row r="111" spans="1:8" x14ac:dyDescent="0.2">
      <c r="B111" s="1444" t="s">
        <v>617</v>
      </c>
      <c r="C111" s="1444"/>
      <c r="D111" s="1444"/>
      <c r="E111" s="1444"/>
      <c r="F111" s="1444"/>
      <c r="G111" s="1444"/>
    </row>
    <row r="112" spans="1:8" ht="42.75" x14ac:dyDescent="0.2">
      <c r="A112" s="1448" t="s">
        <v>63</v>
      </c>
      <c r="B112" s="1449" t="s">
        <v>85</v>
      </c>
      <c r="C112" s="1449"/>
      <c r="D112" s="1017" t="s">
        <v>193</v>
      </c>
      <c r="E112" s="1452" t="s">
        <v>64</v>
      </c>
      <c r="F112" s="1017" t="s">
        <v>74</v>
      </c>
      <c r="G112" s="1017" t="s">
        <v>194</v>
      </c>
      <c r="H112" s="1017" t="s">
        <v>353</v>
      </c>
    </row>
    <row r="113" spans="1:8" x14ac:dyDescent="0.2">
      <c r="A113" s="1448"/>
      <c r="B113" s="1449"/>
      <c r="C113" s="1449"/>
      <c r="D113" s="186" t="s">
        <v>112</v>
      </c>
      <c r="E113" s="1453"/>
      <c r="F113" s="187" t="s">
        <v>113</v>
      </c>
      <c r="G113" s="186" t="s">
        <v>114</v>
      </c>
      <c r="H113" s="186" t="s">
        <v>351</v>
      </c>
    </row>
    <row r="114" spans="1:8" x14ac:dyDescent="0.2">
      <c r="A114" s="104">
        <v>1</v>
      </c>
      <c r="B114" s="1454" t="str">
        <f>B103</f>
        <v>Vigilante Armado, 12 horas diunas em escala 12x36, das 07h às 19h</v>
      </c>
      <c r="C114" s="1454"/>
      <c r="D114" s="1016">
        <f>'Item 01'!AK182</f>
        <v>7565.45</v>
      </c>
      <c r="E114" s="104">
        <v>5</v>
      </c>
      <c r="F114" s="104">
        <v>10</v>
      </c>
      <c r="G114" s="105">
        <f>D114*F114</f>
        <v>75654.5</v>
      </c>
      <c r="H114" s="105">
        <f>G114*Dados!$G$26</f>
        <v>1513090</v>
      </c>
    </row>
    <row r="115" spans="1:8" x14ac:dyDescent="0.2">
      <c r="A115" s="104">
        <v>2</v>
      </c>
      <c r="B115" s="1454" t="str">
        <f>B104</f>
        <v>Vigilante Desarmado Diurno, 44 horas semanais, sendo 8h48 trabalhadas de 2ª a 6ª feira, entre das 07h e 21h</v>
      </c>
      <c r="C115" s="1454"/>
      <c r="D115" s="1016">
        <f>'Item 02'!AD182</f>
        <v>7993.24</v>
      </c>
      <c r="E115" s="104">
        <v>9</v>
      </c>
      <c r="F115" s="104">
        <v>9</v>
      </c>
      <c r="G115" s="105">
        <f>D115*F115</f>
        <v>71939.16</v>
      </c>
      <c r="H115" s="105">
        <f>G115*Dados!$G$26</f>
        <v>1438783.2</v>
      </c>
    </row>
    <row r="116" spans="1:8" x14ac:dyDescent="0.2">
      <c r="A116" s="104">
        <v>3</v>
      </c>
      <c r="B116" s="1454" t="str">
        <f>B105</f>
        <v>Vigilante Armado, 12 horas noturnas em escala 12x36, das 19h às 07h</v>
      </c>
      <c r="C116" s="1454"/>
      <c r="D116" s="1016">
        <f>'Item 03'!AK182</f>
        <v>8274.93</v>
      </c>
      <c r="E116" s="104">
        <v>6</v>
      </c>
      <c r="F116" s="104">
        <f>E116*2</f>
        <v>12</v>
      </c>
      <c r="G116" s="105">
        <f t="shared" ref="G116" si="11">D116*F116</f>
        <v>99299.16</v>
      </c>
      <c r="H116" s="105">
        <f>G116*Dados!$G$26</f>
        <v>1985983.2</v>
      </c>
    </row>
    <row r="117" spans="1:8" x14ac:dyDescent="0.2">
      <c r="A117" s="104">
        <v>4</v>
      </c>
      <c r="B117" s="1446" t="str">
        <f>B106</f>
        <v>Supervisor, 44 horas semanais, sendo 8h48 trabalhadas de 2ª a 6ª feira, entre 07h e 21h</v>
      </c>
      <c r="C117" s="1447"/>
      <c r="D117" s="1016">
        <f>'Item 4 Inserido após o II TA '!O182</f>
        <v>9252.76</v>
      </c>
      <c r="E117" s="104">
        <v>1</v>
      </c>
      <c r="F117" s="104">
        <v>1</v>
      </c>
      <c r="G117" s="105">
        <f>E117*D117</f>
        <v>9252.76</v>
      </c>
      <c r="H117" s="105">
        <f>G117*20</f>
        <v>185055.2</v>
      </c>
    </row>
    <row r="118" spans="1:8" x14ac:dyDescent="0.2">
      <c r="A118" s="1445" t="s">
        <v>53</v>
      </c>
      <c r="B118" s="1445"/>
      <c r="C118" s="1445"/>
      <c r="D118" s="106" t="s">
        <v>54</v>
      </c>
      <c r="E118" s="107">
        <f>SUM(E114:E117)</f>
        <v>21</v>
      </c>
      <c r="F118" s="107">
        <f>SUM(F114:F117)</f>
        <v>32</v>
      </c>
      <c r="G118" s="108">
        <f>SUM(G114:G117)</f>
        <v>256145.58</v>
      </c>
      <c r="H118" s="108">
        <f>SUM(H114:H117)</f>
        <v>5122911.5999999996</v>
      </c>
    </row>
  </sheetData>
  <mergeCells count="108">
    <mergeCell ref="B114:C114"/>
    <mergeCell ref="B115:C115"/>
    <mergeCell ref="B116:C116"/>
    <mergeCell ref="B117:C117"/>
    <mergeCell ref="A118:C118"/>
    <mergeCell ref="B110:G110"/>
    <mergeCell ref="B111:G111"/>
    <mergeCell ref="A112:A113"/>
    <mergeCell ref="B112:C113"/>
    <mergeCell ref="E112:E113"/>
    <mergeCell ref="B103:C103"/>
    <mergeCell ref="B104:C104"/>
    <mergeCell ref="B105:C105"/>
    <mergeCell ref="B106:C106"/>
    <mergeCell ref="A107:C107"/>
    <mergeCell ref="B99:G99"/>
    <mergeCell ref="B100:G100"/>
    <mergeCell ref="A101:A102"/>
    <mergeCell ref="B101:C102"/>
    <mergeCell ref="E101:E102"/>
    <mergeCell ref="B94:C94"/>
    <mergeCell ref="B95:C95"/>
    <mergeCell ref="A96:C96"/>
    <mergeCell ref="A90:A91"/>
    <mergeCell ref="B90:C91"/>
    <mergeCell ref="B77:G77"/>
    <mergeCell ref="B78:G78"/>
    <mergeCell ref="B88:G88"/>
    <mergeCell ref="B89:G89"/>
    <mergeCell ref="E79:E80"/>
    <mergeCell ref="B81:C81"/>
    <mergeCell ref="B82:C82"/>
    <mergeCell ref="B83:C83"/>
    <mergeCell ref="B84:C84"/>
    <mergeCell ref="A79:A80"/>
    <mergeCell ref="B79:C80"/>
    <mergeCell ref="E90:E91"/>
    <mergeCell ref="B92:C92"/>
    <mergeCell ref="B93:C93"/>
    <mergeCell ref="A85:C85"/>
    <mergeCell ref="B71:C71"/>
    <mergeCell ref="B72:C72"/>
    <mergeCell ref="B73:C73"/>
    <mergeCell ref="B74:C74"/>
    <mergeCell ref="A75:C75"/>
    <mergeCell ref="B63:C63"/>
    <mergeCell ref="A64:C64"/>
    <mergeCell ref="B67:G67"/>
    <mergeCell ref="B68:G68"/>
    <mergeCell ref="A69:A70"/>
    <mergeCell ref="B69:C70"/>
    <mergeCell ref="E69:E70"/>
    <mergeCell ref="E50:E51"/>
    <mergeCell ref="B52:C52"/>
    <mergeCell ref="B53:C53"/>
    <mergeCell ref="B61:C61"/>
    <mergeCell ref="B62:C62"/>
    <mergeCell ref="B57:G57"/>
    <mergeCell ref="B58:G58"/>
    <mergeCell ref="A59:A60"/>
    <mergeCell ref="B59:C60"/>
    <mergeCell ref="E59:E60"/>
    <mergeCell ref="B33:C33"/>
    <mergeCell ref="B34:C34"/>
    <mergeCell ref="A35:C35"/>
    <mergeCell ref="B37:G37"/>
    <mergeCell ref="B38:G38"/>
    <mergeCell ref="B54:C54"/>
    <mergeCell ref="A55:C55"/>
    <mergeCell ref="A50:A51"/>
    <mergeCell ref="B50:C51"/>
    <mergeCell ref="E39:E40"/>
    <mergeCell ref="B41:C41"/>
    <mergeCell ref="B42:C42"/>
    <mergeCell ref="B43:C43"/>
    <mergeCell ref="B22:C22"/>
    <mergeCell ref="B23:C23"/>
    <mergeCell ref="B24:C24"/>
    <mergeCell ref="A25:C25"/>
    <mergeCell ref="B32:C32"/>
    <mergeCell ref="B28:G28"/>
    <mergeCell ref="B29:G29"/>
    <mergeCell ref="A30:A31"/>
    <mergeCell ref="B30:C31"/>
    <mergeCell ref="E30:E31"/>
    <mergeCell ref="A2:H2"/>
    <mergeCell ref="A3:H3"/>
    <mergeCell ref="B10:C11"/>
    <mergeCell ref="A8:H8"/>
    <mergeCell ref="E10:E11"/>
    <mergeCell ref="A4:H4"/>
    <mergeCell ref="A5:H5"/>
    <mergeCell ref="A15:C15"/>
    <mergeCell ref="A10:A11"/>
    <mergeCell ref="B12:C12"/>
    <mergeCell ref="B13:C13"/>
    <mergeCell ref="B14:C14"/>
    <mergeCell ref="B19:G19"/>
    <mergeCell ref="B18:G18"/>
    <mergeCell ref="A20:A21"/>
    <mergeCell ref="B20:C21"/>
    <mergeCell ref="E20:E21"/>
    <mergeCell ref="B49:G49"/>
    <mergeCell ref="A45:C45"/>
    <mergeCell ref="B44:C44"/>
    <mergeCell ref="A39:A40"/>
    <mergeCell ref="B39:C40"/>
    <mergeCell ref="B48:G48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1" fitToHeight="0" orientation="portrait" r:id="rId1"/>
  <headerFooter>
    <oddHeader>&amp;L&amp;"+,Negrito"&amp;8PROPOSTA Nº 053/2020 - CJF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AA06-5D3A-4E52-9113-99EB422A4098}">
  <sheetPr>
    <tabColor theme="2" tint="-0.499984740745262"/>
  </sheetPr>
  <dimension ref="A2:H18"/>
  <sheetViews>
    <sheetView workbookViewId="0">
      <selection activeCell="B13" sqref="B13"/>
    </sheetView>
  </sheetViews>
  <sheetFormatPr defaultRowHeight="12.75" x14ac:dyDescent="0.2"/>
  <cols>
    <col min="1" max="1" width="29.28515625" customWidth="1"/>
    <col min="2" max="2" width="20.28515625" customWidth="1"/>
    <col min="3" max="3" width="26.28515625" customWidth="1"/>
  </cols>
  <sheetData>
    <row r="2" spans="1:2" x14ac:dyDescent="0.2">
      <c r="A2" s="906" t="s">
        <v>585</v>
      </c>
    </row>
    <row r="3" spans="1:2" x14ac:dyDescent="0.2">
      <c r="A3" s="906" t="s">
        <v>587</v>
      </c>
      <c r="B3" s="907">
        <v>223226.9</v>
      </c>
    </row>
    <row r="4" spans="1:2" ht="25.5" x14ac:dyDescent="0.2">
      <c r="A4" s="908" t="s">
        <v>586</v>
      </c>
      <c r="B4" s="907">
        <f>Resumo!H96</f>
        <v>4838656</v>
      </c>
    </row>
    <row r="5" spans="1:2" ht="25.5" x14ac:dyDescent="0.2">
      <c r="A5" s="908" t="s">
        <v>588</v>
      </c>
      <c r="B5" s="907">
        <f>0.05*B4</f>
        <v>241932.79999999999</v>
      </c>
    </row>
    <row r="6" spans="1:2" x14ac:dyDescent="0.2">
      <c r="A6" s="906" t="s">
        <v>589</v>
      </c>
      <c r="B6" s="907">
        <f>B5-B3</f>
        <v>18705.900000000001</v>
      </c>
    </row>
    <row r="10" spans="1:2" x14ac:dyDescent="0.2">
      <c r="A10" s="906" t="s">
        <v>585</v>
      </c>
    </row>
    <row r="11" spans="1:2" x14ac:dyDescent="0.2">
      <c r="A11" s="906" t="s">
        <v>610</v>
      </c>
      <c r="B11" s="959">
        <f>B5</f>
        <v>241932.79999999999</v>
      </c>
    </row>
    <row r="12" spans="1:2" ht="38.25" x14ac:dyDescent="0.2">
      <c r="A12" s="908" t="s">
        <v>609</v>
      </c>
      <c r="B12" s="907">
        <f>Resumo!H107</f>
        <v>5122911.5999999996</v>
      </c>
    </row>
    <row r="13" spans="1:2" ht="25.5" x14ac:dyDescent="0.2">
      <c r="A13" s="908" t="s">
        <v>611</v>
      </c>
      <c r="B13" s="907">
        <f>0.05*B12</f>
        <v>256145.58</v>
      </c>
    </row>
    <row r="14" spans="1:2" x14ac:dyDescent="0.2">
      <c r="A14" s="906" t="s">
        <v>589</v>
      </c>
      <c r="B14" s="907">
        <f>B13-B11</f>
        <v>14212.78</v>
      </c>
    </row>
    <row r="18" spans="8:8" x14ac:dyDescent="0.2">
      <c r="H18">
        <v>241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7EBC-FC8B-45F1-BB59-F6706193E427}">
  <sheetPr>
    <tabColor rgb="FFFFFF00"/>
    <pageSetUpPr fitToPage="1"/>
  </sheetPr>
  <dimension ref="A2:P48"/>
  <sheetViews>
    <sheetView topLeftCell="B1" zoomScaleNormal="100" zoomScaleSheetLayoutView="90" workbookViewId="0">
      <selection activeCell="M19" sqref="M19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9.140625" style="28"/>
    <col min="13" max="13" width="7" style="28" customWidth="1"/>
    <col min="14" max="14" width="6.140625" style="28" customWidth="1"/>
    <col min="15" max="15" width="5" style="28" customWidth="1"/>
    <col min="16" max="16" width="15.42578125" style="28" bestFit="1" customWidth="1"/>
    <col min="17" max="16384" width="9.140625" style="28"/>
  </cols>
  <sheetData>
    <row r="2" spans="1:16" ht="15" customHeight="1" x14ac:dyDescent="0.2">
      <c r="A2" s="220"/>
      <c r="B2" s="1451" t="s">
        <v>544</v>
      </c>
      <c r="C2" s="1451"/>
      <c r="D2" s="1451"/>
      <c r="E2" s="1451"/>
      <c r="F2" s="1451"/>
      <c r="G2" s="1451"/>
      <c r="H2" s="221"/>
    </row>
    <row r="3" spans="1:16" ht="43.5" customHeight="1" x14ac:dyDescent="0.2">
      <c r="A3" s="1448" t="s">
        <v>63</v>
      </c>
      <c r="B3" s="1448" t="s">
        <v>85</v>
      </c>
      <c r="C3" s="1448"/>
      <c r="D3" s="657" t="s">
        <v>193</v>
      </c>
      <c r="E3" s="1452" t="s">
        <v>64</v>
      </c>
      <c r="F3" s="657" t="s">
        <v>74</v>
      </c>
      <c r="G3" s="657" t="s">
        <v>194</v>
      </c>
      <c r="H3" s="657" t="s">
        <v>353</v>
      </c>
    </row>
    <row r="4" spans="1:16" ht="15" customHeight="1" x14ac:dyDescent="0.2">
      <c r="A4" s="1448"/>
      <c r="B4" s="1448"/>
      <c r="C4" s="1448"/>
      <c r="D4" s="186" t="s">
        <v>112</v>
      </c>
      <c r="E4" s="1453"/>
      <c r="F4" s="187" t="s">
        <v>113</v>
      </c>
      <c r="G4" s="186" t="s">
        <v>114</v>
      </c>
      <c r="H4" s="186" t="s">
        <v>351</v>
      </c>
    </row>
    <row r="5" spans="1:16" ht="33" customHeight="1" x14ac:dyDescent="0.2">
      <c r="A5" s="104">
        <v>1</v>
      </c>
      <c r="B5" s="1454" t="str">
        <f>Dados!P73</f>
        <v>Vigilante Armado, 12 horas diunas em escala 12x36, das 07h às 19h</v>
      </c>
      <c r="C5" s="1454"/>
      <c r="D5" s="656">
        <f>'Item 01'!O182</f>
        <v>6671.1</v>
      </c>
      <c r="E5" s="104">
        <f>Dados!R73</f>
        <v>5</v>
      </c>
      <c r="F5" s="104">
        <f>Dados!T73</f>
        <v>10</v>
      </c>
      <c r="G5" s="105">
        <f>D5*F5</f>
        <v>66711</v>
      </c>
      <c r="H5" s="105">
        <f>G5*Dados!$G$26</f>
        <v>1334220</v>
      </c>
    </row>
    <row r="6" spans="1:16" ht="34.5" customHeight="1" x14ac:dyDescent="0.2">
      <c r="A6" s="104">
        <v>2</v>
      </c>
      <c r="B6" s="1456" t="str">
        <f>Dados!P74</f>
        <v>Vigilante Desarmado Diurno, 44 horas semanais, sendo 8h48 trabalhadas de 2ª a 6ª feira, entre das 07h e 21h</v>
      </c>
      <c r="C6" s="1457"/>
      <c r="D6" s="656">
        <f>'Item 02'!J186</f>
        <v>7057.23</v>
      </c>
      <c r="E6" s="104">
        <f>Dados!R74</f>
        <v>6</v>
      </c>
      <c r="F6" s="104">
        <f>Dados!T74</f>
        <v>6</v>
      </c>
      <c r="G6" s="105">
        <f>D6*F6</f>
        <v>42343.38</v>
      </c>
      <c r="H6" s="105">
        <f>G6*Dados!$G$26</f>
        <v>846867.6</v>
      </c>
    </row>
    <row r="7" spans="1:16" ht="38.25" customHeight="1" x14ac:dyDescent="0.2">
      <c r="A7" s="104">
        <v>3</v>
      </c>
      <c r="B7" s="1454" t="str">
        <f>Dados!P75</f>
        <v>Vigilante Armado, 12 horas noturnas em escala 12x36, das 19h às 07h</v>
      </c>
      <c r="C7" s="1454"/>
      <c r="D7" s="656">
        <f>'Item 03'!O182</f>
        <v>7295.6</v>
      </c>
      <c r="E7" s="104">
        <f>Dados!R75</f>
        <v>5</v>
      </c>
      <c r="F7" s="104">
        <f>Dados!T75</f>
        <v>10</v>
      </c>
      <c r="G7" s="105">
        <f t="shared" ref="G7" si="0">D7*F7</f>
        <v>72956</v>
      </c>
      <c r="H7" s="105">
        <f>G7*Dados!$G$26</f>
        <v>1459120</v>
      </c>
    </row>
    <row r="8" spans="1:16" ht="28.5" customHeight="1" x14ac:dyDescent="0.2">
      <c r="A8" s="1445" t="s">
        <v>53</v>
      </c>
      <c r="B8" s="1445"/>
      <c r="C8" s="1445"/>
      <c r="D8" s="106" t="s">
        <v>54</v>
      </c>
      <c r="E8" s="107">
        <f>SUM(E5:E7)</f>
        <v>16</v>
      </c>
      <c r="F8" s="107">
        <f>SUM(F5:F7)</f>
        <v>26</v>
      </c>
      <c r="G8" s="108">
        <f>SUM(G5:G7)</f>
        <v>182010.38</v>
      </c>
      <c r="H8" s="108">
        <f>SUM(H5:H7)</f>
        <v>3640207.6</v>
      </c>
    </row>
    <row r="9" spans="1:16" ht="15" customHeight="1" x14ac:dyDescent="0.2">
      <c r="A9" s="220"/>
      <c r="B9" s="220"/>
      <c r="C9" s="220"/>
      <c r="D9" s="220"/>
      <c r="E9" s="220"/>
      <c r="F9" s="220"/>
      <c r="G9" s="220"/>
      <c r="H9" s="220"/>
    </row>
    <row r="10" spans="1:16" ht="12" customHeight="1" x14ac:dyDescent="0.2"/>
    <row r="11" spans="1:16" ht="12" customHeight="1" x14ac:dyDescent="0.2">
      <c r="A11" s="220"/>
      <c r="B11" s="1444" t="s">
        <v>545</v>
      </c>
      <c r="C11" s="1458"/>
      <c r="D11" s="1458"/>
      <c r="E11" s="1458"/>
      <c r="F11" s="1458"/>
      <c r="G11" s="1458"/>
      <c r="H11" s="221"/>
    </row>
    <row r="12" spans="1:16" ht="12" customHeight="1" x14ac:dyDescent="0.2">
      <c r="A12" s="1448" t="s">
        <v>63</v>
      </c>
      <c r="B12" s="1449" t="s">
        <v>85</v>
      </c>
      <c r="C12" s="1449"/>
      <c r="D12" s="657" t="s">
        <v>193</v>
      </c>
      <c r="E12" s="1452" t="s">
        <v>64</v>
      </c>
      <c r="F12" s="657" t="s">
        <v>74</v>
      </c>
      <c r="G12" s="657" t="s">
        <v>194</v>
      </c>
      <c r="H12" s="657" t="s">
        <v>353</v>
      </c>
    </row>
    <row r="13" spans="1:16" ht="37.5" customHeight="1" x14ac:dyDescent="0.2">
      <c r="A13" s="1448"/>
      <c r="B13" s="1449"/>
      <c r="C13" s="1449"/>
      <c r="D13" s="186" t="s">
        <v>112</v>
      </c>
      <c r="E13" s="1453"/>
      <c r="F13" s="187" t="s">
        <v>113</v>
      </c>
      <c r="G13" s="186" t="s">
        <v>114</v>
      </c>
      <c r="H13" s="186" t="s">
        <v>351</v>
      </c>
    </row>
    <row r="14" spans="1:16" ht="26.25" customHeight="1" x14ac:dyDescent="0.2">
      <c r="A14" s="104">
        <v>1</v>
      </c>
      <c r="B14" s="1454" t="str">
        <f>Dados!P73</f>
        <v>Vigilante Armado, 12 horas diunas em escala 12x36, das 07h às 19h</v>
      </c>
      <c r="C14" s="1454"/>
      <c r="D14" s="656">
        <f>D5</f>
        <v>6671.1</v>
      </c>
      <c r="E14" s="104">
        <f>Dados!R73</f>
        <v>5</v>
      </c>
      <c r="F14" s="104">
        <f>Dados!T73</f>
        <v>10</v>
      </c>
      <c r="G14" s="105">
        <f>D14*F14</f>
        <v>66711</v>
      </c>
      <c r="H14" s="105">
        <f>G14*Dados!$G$26</f>
        <v>1334220</v>
      </c>
    </row>
    <row r="15" spans="1:16" ht="27.75" customHeight="1" thickBot="1" x14ac:dyDescent="0.25">
      <c r="A15" s="104">
        <v>2</v>
      </c>
      <c r="B15" s="1454" t="str">
        <f>Dados!P74</f>
        <v>Vigilante Desarmado Diurno, 44 horas semanais, sendo 8h48 trabalhadas de 2ª a 6ª feira, entre das 07h e 21h</v>
      </c>
      <c r="C15" s="1454"/>
      <c r="D15" s="656">
        <f>D6</f>
        <v>7057.23</v>
      </c>
      <c r="E15" s="104">
        <v>9</v>
      </c>
      <c r="F15" s="104">
        <v>9</v>
      </c>
      <c r="G15" s="105">
        <f t="shared" ref="G15:G16" si="1">D15*F15</f>
        <v>63515.07</v>
      </c>
      <c r="H15" s="105">
        <f>G15*Dados!$G$26</f>
        <v>1270301.3999999999</v>
      </c>
      <c r="P15" s="655"/>
    </row>
    <row r="16" spans="1:16" ht="84" customHeight="1" x14ac:dyDescent="0.2">
      <c r="A16" s="104">
        <v>3</v>
      </c>
      <c r="B16" s="1454" t="str">
        <f>Dados!P75</f>
        <v>Vigilante Armado, 12 horas noturnas em escala 12x36, das 19h às 07h</v>
      </c>
      <c r="C16" s="1454"/>
      <c r="D16" s="656">
        <f>D7</f>
        <v>7295.6</v>
      </c>
      <c r="E16" s="104">
        <v>6</v>
      </c>
      <c r="F16" s="104">
        <f>E16*2</f>
        <v>12</v>
      </c>
      <c r="G16" s="105">
        <f t="shared" si="1"/>
        <v>87547.199999999997</v>
      </c>
      <c r="H16" s="105">
        <f>G16*Dados!$G$26</f>
        <v>1750944</v>
      </c>
      <c r="K16" s="581" t="s">
        <v>538</v>
      </c>
    </row>
    <row r="17" spans="1:11" ht="30" customHeight="1" x14ac:dyDescent="0.2">
      <c r="A17" s="104">
        <v>4</v>
      </c>
      <c r="B17" s="1446" t="s">
        <v>536</v>
      </c>
      <c r="C17" s="1447"/>
      <c r="D17" s="656">
        <f>'Item 4 Inserido após o II TA '!G182</f>
        <v>8066.92</v>
      </c>
      <c r="E17" s="104">
        <v>1</v>
      </c>
      <c r="F17" s="104">
        <v>1</v>
      </c>
      <c r="G17" s="105">
        <f>E17*D17</f>
        <v>8066.92</v>
      </c>
      <c r="H17" s="105">
        <f>G17*20</f>
        <v>161338.4</v>
      </c>
      <c r="K17" s="579">
        <f>H18-H8</f>
        <v>876596.2</v>
      </c>
    </row>
    <row r="18" spans="1:11" ht="12" customHeight="1" x14ac:dyDescent="0.2">
      <c r="A18" s="1445" t="s">
        <v>53</v>
      </c>
      <c r="B18" s="1445"/>
      <c r="C18" s="1445"/>
      <c r="D18" s="106" t="s">
        <v>54</v>
      </c>
      <c r="E18" s="107">
        <f>SUM(E14:E17)</f>
        <v>21</v>
      </c>
      <c r="F18" s="107">
        <f>SUM(F14:F17)</f>
        <v>32</v>
      </c>
      <c r="G18" s="108">
        <f>SUM(G14:G17)</f>
        <v>225840.19</v>
      </c>
      <c r="H18" s="108">
        <f>SUM(H14:H17)</f>
        <v>4516803.8</v>
      </c>
      <c r="K18" s="580"/>
    </row>
    <row r="19" spans="1:11" ht="12" customHeight="1" x14ac:dyDescent="0.2">
      <c r="K19" s="579">
        <f>K17*100</f>
        <v>87659620</v>
      </c>
    </row>
    <row r="20" spans="1:11" ht="12" customHeight="1" x14ac:dyDescent="0.2">
      <c r="K20" s="579"/>
    </row>
    <row r="21" spans="1:11" ht="12" customHeight="1" thickBot="1" x14ac:dyDescent="0.25">
      <c r="K21" s="582">
        <f>K19/H8</f>
        <v>24.080939779368599</v>
      </c>
    </row>
    <row r="22" spans="1:11" ht="12" customHeight="1" x14ac:dyDescent="0.2">
      <c r="K22" s="578"/>
    </row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8" customHeight="1" x14ac:dyDescent="0.2"/>
  </sheetData>
  <mergeCells count="17">
    <mergeCell ref="B17:C17"/>
    <mergeCell ref="A18:C18"/>
    <mergeCell ref="A12:A13"/>
    <mergeCell ref="B12:C13"/>
    <mergeCell ref="E12:E13"/>
    <mergeCell ref="B14:C14"/>
    <mergeCell ref="B15:C15"/>
    <mergeCell ref="B16:C16"/>
    <mergeCell ref="B2:G2"/>
    <mergeCell ref="B11:G11"/>
    <mergeCell ref="A8:C8"/>
    <mergeCell ref="A3:A4"/>
    <mergeCell ref="B3:C4"/>
    <mergeCell ref="E3:E4"/>
    <mergeCell ref="B5:C5"/>
    <mergeCell ref="B6:C6"/>
    <mergeCell ref="B7:C7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2" fitToHeight="0" orientation="portrait" r:id="rId1"/>
  <headerFooter>
    <oddHeader>&amp;L&amp;"+,Negrito"&amp;8PROPOSTA Nº 053/2020 - CJF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  <pageSetUpPr fitToPage="1"/>
  </sheetPr>
  <dimension ref="A1:Q80"/>
  <sheetViews>
    <sheetView view="pageBreakPreview" topLeftCell="A19" zoomScale="80" zoomScaleNormal="100" zoomScaleSheetLayoutView="80" workbookViewId="0">
      <selection activeCell="G95" sqref="G95"/>
    </sheetView>
  </sheetViews>
  <sheetFormatPr defaultColWidth="9.140625" defaultRowHeight="18" x14ac:dyDescent="0.2"/>
  <cols>
    <col min="1" max="1" width="8.85546875" style="38" customWidth="1"/>
    <col min="2" max="2" width="25.7109375" style="38" customWidth="1"/>
    <col min="3" max="3" width="27.140625" style="38" customWidth="1"/>
    <col min="4" max="4" width="15.140625" style="38" customWidth="1"/>
    <col min="5" max="5" width="19.7109375" style="38" customWidth="1"/>
    <col min="6" max="6" width="16.5703125" style="38" customWidth="1"/>
    <col min="7" max="7" width="18" style="38" customWidth="1"/>
    <col min="8" max="8" width="13.7109375" style="38" customWidth="1"/>
    <col min="9" max="9" width="7.28515625" style="38" customWidth="1"/>
    <col min="10" max="10" width="13.7109375" style="38" customWidth="1"/>
    <col min="11" max="11" width="10.28515625" style="38" customWidth="1"/>
    <col min="12" max="12" width="10" style="39" bestFit="1" customWidth="1"/>
    <col min="13" max="13" width="13.7109375" style="39" bestFit="1" customWidth="1"/>
    <col min="14" max="15" width="9.140625" style="39"/>
    <col min="16" max="16" width="12.28515625" style="39" bestFit="1" customWidth="1"/>
    <col min="17" max="16384" width="9.140625" style="39"/>
  </cols>
  <sheetData>
    <row r="1" spans="1:17" x14ac:dyDescent="0.2">
      <c r="A1" s="37" t="str">
        <f>Dados!A1</f>
        <v>PROPOSTA Nº 053/2020</v>
      </c>
      <c r="Q1" s="40"/>
    </row>
    <row r="2" spans="1:17" ht="22.5" customHeight="1" x14ac:dyDescent="0.2"/>
    <row r="3" spans="1:17" s="41" customFormat="1" x14ac:dyDescent="0.2">
      <c r="A3" s="38" t="s">
        <v>253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s="41" customFormat="1" x14ac:dyDescent="0.2">
      <c r="A4" s="42" t="str">
        <f>Dados!A5</f>
        <v>CONSELHO DA JUSTIÇA FEDERAL - CJF</v>
      </c>
      <c r="B4" s="37"/>
      <c r="C4" s="37"/>
      <c r="D4" s="37"/>
      <c r="E4" s="37"/>
      <c r="F4" s="37"/>
      <c r="G4" s="37"/>
      <c r="H4" s="37"/>
      <c r="I4" s="37"/>
      <c r="J4" s="38"/>
      <c r="K4" s="37"/>
    </row>
    <row r="5" spans="1:17" s="41" customFormat="1" x14ac:dyDescent="0.2">
      <c r="A5" s="43" t="str">
        <f>Dados!A6</f>
        <v>Poder Judiciário</v>
      </c>
      <c r="B5" s="37"/>
      <c r="C5" s="37"/>
      <c r="D5" s="37"/>
      <c r="E5" s="37"/>
      <c r="F5" s="37"/>
      <c r="G5" s="37"/>
      <c r="H5" s="37"/>
      <c r="I5" s="37"/>
      <c r="J5" s="38"/>
      <c r="K5" s="37"/>
    </row>
    <row r="6" spans="1:17" s="41" customFormat="1" x14ac:dyDescent="0.2">
      <c r="A6" s="43" t="str">
        <f>Dados!A7</f>
        <v>Setor de Clubes Sul - SCES, Trecho III, Polo 8, Lote 9, Edifício Sede - Brasília/DF</v>
      </c>
      <c r="B6" s="37"/>
      <c r="C6" s="37"/>
      <c r="D6" s="37"/>
      <c r="E6" s="37"/>
      <c r="F6" s="37"/>
      <c r="G6" s="37"/>
      <c r="H6" s="37"/>
      <c r="I6" s="37"/>
      <c r="J6" s="38"/>
      <c r="K6" s="37"/>
    </row>
    <row r="7" spans="1:17" s="41" customFormat="1" x14ac:dyDescent="0.2">
      <c r="A7" s="43" t="str">
        <f>"Processo Administrativo nº:" &amp; " " &amp; Dados!G14</f>
        <v>Processo Administrativo nº: 0000793-29.2020.4.90.8000</v>
      </c>
      <c r="B7" s="37"/>
      <c r="C7" s="37"/>
      <c r="D7" s="37"/>
      <c r="E7" s="37"/>
      <c r="F7" s="37"/>
      <c r="G7" s="37"/>
      <c r="H7" s="37"/>
      <c r="I7" s="37"/>
      <c r="J7" s="38"/>
      <c r="K7" s="37"/>
    </row>
    <row r="8" spans="1:17" x14ac:dyDescent="0.2">
      <c r="A8" s="44"/>
    </row>
    <row r="9" spans="1:17" x14ac:dyDescent="0.2">
      <c r="A9" s="37" t="s">
        <v>357</v>
      </c>
    </row>
    <row r="10" spans="1:17" x14ac:dyDescent="0.2">
      <c r="A10" s="44"/>
    </row>
    <row r="11" spans="1:17" x14ac:dyDescent="0.2">
      <c r="A11" s="37" t="s">
        <v>195</v>
      </c>
      <c r="B11" s="42" t="str">
        <f>Dados!A9</f>
        <v>PREGÃO ELETRÔNICO Nº 09/2020 - CJF</v>
      </c>
    </row>
    <row r="12" spans="1:17" x14ac:dyDescent="0.2">
      <c r="A12" s="37" t="str">
        <f>"Data da abertura: "&amp;TEXT(Dados!G15,"dd/mm/aaaa")&amp; " às " &amp; "" &amp; TEXT(Dados!G18,"hh:mm")&amp; " " &amp; "horas"</f>
        <v>Data da abertura: 22/06/2020 às 10:00 horas</v>
      </c>
      <c r="B12" s="42"/>
    </row>
    <row r="13" spans="1:17" x14ac:dyDescent="0.2">
      <c r="A13" s="44"/>
    </row>
    <row r="14" spans="1:17" x14ac:dyDescent="0.2">
      <c r="B14" s="43" t="s">
        <v>358</v>
      </c>
    </row>
    <row r="15" spans="1:17" ht="7.5" customHeight="1" x14ac:dyDescent="0.2"/>
    <row r="16" spans="1:17" ht="12.75" customHeight="1" x14ac:dyDescent="0.2">
      <c r="A16" s="1138" t="s">
        <v>311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</row>
    <row r="17" spans="1:16" ht="16.5" customHeight="1" x14ac:dyDescent="0.2">
      <c r="A17" s="1138"/>
      <c r="B17" s="1138"/>
      <c r="C17" s="1138"/>
      <c r="D17" s="1138"/>
      <c r="E17" s="1138"/>
      <c r="F17" s="1138"/>
      <c r="G17" s="1138"/>
      <c r="H17" s="1138"/>
      <c r="I17" s="1138"/>
      <c r="J17" s="1138"/>
      <c r="K17" s="1138"/>
    </row>
    <row r="18" spans="1:16" ht="12.75" customHeight="1" x14ac:dyDescent="0.2">
      <c r="A18" s="1138"/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</row>
    <row r="19" spans="1:16" ht="12.75" customHeight="1" x14ac:dyDescent="0.2">
      <c r="A19" s="1138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</row>
    <row r="20" spans="1:16" ht="7.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</row>
    <row r="21" spans="1:16" s="47" customFormat="1" ht="36" x14ac:dyDescent="0.2">
      <c r="A21" s="1139" t="s">
        <v>63</v>
      </c>
      <c r="B21" s="1141" t="s">
        <v>85</v>
      </c>
      <c r="C21" s="1142"/>
      <c r="D21" s="1143"/>
      <c r="E21" s="46" t="s">
        <v>196</v>
      </c>
      <c r="F21" s="1147" t="s">
        <v>64</v>
      </c>
      <c r="G21" s="192" t="s">
        <v>74</v>
      </c>
      <c r="H21" s="1136" t="s">
        <v>197</v>
      </c>
      <c r="I21" s="1137"/>
      <c r="J21" s="1136" t="s">
        <v>352</v>
      </c>
      <c r="K21" s="1137"/>
      <c r="P21" s="48"/>
    </row>
    <row r="22" spans="1:16" s="47" customFormat="1" ht="18" customHeight="1" x14ac:dyDescent="0.2">
      <c r="A22" s="1140"/>
      <c r="B22" s="1144"/>
      <c r="C22" s="1145"/>
      <c r="D22" s="1146"/>
      <c r="E22" s="49" t="s">
        <v>112</v>
      </c>
      <c r="F22" s="1148"/>
      <c r="G22" s="50" t="s">
        <v>113</v>
      </c>
      <c r="H22" s="1134" t="s">
        <v>114</v>
      </c>
      <c r="I22" s="1135"/>
      <c r="J22" s="1134" t="s">
        <v>351</v>
      </c>
      <c r="K22" s="1135"/>
      <c r="P22" s="48"/>
    </row>
    <row r="23" spans="1:16" s="55" customFormat="1" ht="36" customHeight="1" x14ac:dyDescent="0.2">
      <c r="A23" s="109">
        <v>1</v>
      </c>
      <c r="B23" s="1121" t="str">
        <f>Dados!P73</f>
        <v>Vigilante Armado, 12 horas diunas em escala 12x36, das 07h às 19h</v>
      </c>
      <c r="C23" s="1122"/>
      <c r="D23" s="1123"/>
      <c r="E23" s="51">
        <f>Resumo!D12</f>
        <v>6476.4</v>
      </c>
      <c r="F23" s="52">
        <f>Dados!R73</f>
        <v>5</v>
      </c>
      <c r="G23" s="52">
        <f>Dados!T73</f>
        <v>10</v>
      </c>
      <c r="H23" s="1119">
        <f>E23*G23</f>
        <v>64764</v>
      </c>
      <c r="I23" s="1120"/>
      <c r="J23" s="1119">
        <f>H23*Dados!$G$26</f>
        <v>1295280</v>
      </c>
      <c r="K23" s="1120"/>
      <c r="L23" s="53"/>
      <c r="M23" s="54"/>
    </row>
    <row r="24" spans="1:16" s="55" customFormat="1" ht="36" customHeight="1" x14ac:dyDescent="0.2">
      <c r="A24" s="230">
        <v>2</v>
      </c>
      <c r="B24" s="1121" t="str">
        <f>Dados!P74</f>
        <v>Vigilante Desarmado Diurno, 44 horas semanais, sendo 8h48 trabalhadas de 2ª a 6ª feira, entre das 07h e 21h</v>
      </c>
      <c r="C24" s="1122"/>
      <c r="D24" s="1123"/>
      <c r="E24" s="51">
        <f>Resumo!D13</f>
        <v>6848.84</v>
      </c>
      <c r="F24" s="52">
        <f>Dados!R74</f>
        <v>6</v>
      </c>
      <c r="G24" s="52">
        <f>Dados!T74</f>
        <v>6</v>
      </c>
      <c r="H24" s="1119">
        <f t="shared" ref="H24:H25" si="0">E24*G24</f>
        <v>41093.040000000001</v>
      </c>
      <c r="I24" s="1120"/>
      <c r="J24" s="1119">
        <f>H24*Dados!$G$26</f>
        <v>821860.8</v>
      </c>
      <c r="K24" s="1120"/>
      <c r="L24" s="53"/>
      <c r="M24" s="54"/>
    </row>
    <row r="25" spans="1:16" s="55" customFormat="1" ht="36" customHeight="1" x14ac:dyDescent="0.2">
      <c r="A25" s="109">
        <v>3</v>
      </c>
      <c r="B25" s="1121" t="str">
        <f>Dados!P75</f>
        <v>Vigilante Armado, 12 horas noturnas em escala 12x36, das 19h às 07h</v>
      </c>
      <c r="C25" s="1122"/>
      <c r="D25" s="1123"/>
      <c r="E25" s="51">
        <f>Resumo!D14</f>
        <v>7082.34</v>
      </c>
      <c r="F25" s="52">
        <f>Dados!R75</f>
        <v>5</v>
      </c>
      <c r="G25" s="52">
        <f>Dados!T75</f>
        <v>10</v>
      </c>
      <c r="H25" s="1119">
        <f t="shared" si="0"/>
        <v>70823.399999999994</v>
      </c>
      <c r="I25" s="1120"/>
      <c r="J25" s="1119">
        <f>H25*Dados!$G$26</f>
        <v>1416468</v>
      </c>
      <c r="K25" s="1120"/>
      <c r="L25" s="53"/>
      <c r="M25" s="54"/>
    </row>
    <row r="26" spans="1:16" s="58" customFormat="1" ht="24" customHeight="1" x14ac:dyDescent="0.2">
      <c r="A26" s="1126" t="s">
        <v>53</v>
      </c>
      <c r="B26" s="1127"/>
      <c r="C26" s="1127"/>
      <c r="D26" s="1128"/>
      <c r="E26" s="56" t="s">
        <v>54</v>
      </c>
      <c r="F26" s="57">
        <f>SUM(F23:F25)</f>
        <v>16</v>
      </c>
      <c r="G26" s="57">
        <f>SUM(G23:G25)</f>
        <v>26</v>
      </c>
      <c r="H26" s="1124">
        <f>SUM(H23:I25)</f>
        <v>176680.44</v>
      </c>
      <c r="I26" s="1125"/>
      <c r="J26" s="1124">
        <f>SUM(J23:K25)</f>
        <v>3533608.8</v>
      </c>
      <c r="K26" s="1125"/>
    </row>
    <row r="27" spans="1:16" s="59" customFormat="1" ht="6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6" s="59" customFormat="1" x14ac:dyDescent="0.2">
      <c r="A28" s="222" t="s">
        <v>525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6" s="59" customFormat="1" x14ac:dyDescent="0.2">
      <c r="A29" s="222" t="s">
        <v>526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6" s="59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6" ht="18" customHeight="1" x14ac:dyDescent="0.2">
      <c r="A31" s="38" t="s">
        <v>55</v>
      </c>
      <c r="C31" s="1130" t="s">
        <v>312</v>
      </c>
      <c r="D31" s="1130"/>
      <c r="E31" s="1130"/>
      <c r="F31" s="1130"/>
      <c r="G31" s="1130"/>
      <c r="H31" s="1130"/>
      <c r="I31" s="1130"/>
      <c r="J31" s="1130"/>
      <c r="K31" s="1130"/>
    </row>
    <row r="32" spans="1:16" x14ac:dyDescent="0.25">
      <c r="A32" s="60"/>
      <c r="E32" s="45"/>
      <c r="F32" s="45"/>
      <c r="G32" s="45"/>
      <c r="H32" s="45"/>
      <c r="I32" s="45"/>
      <c r="J32" s="45"/>
    </row>
    <row r="33" spans="1:11" ht="18" customHeight="1" x14ac:dyDescent="0.2">
      <c r="C33" s="1130" t="s">
        <v>86</v>
      </c>
      <c r="D33" s="1130"/>
      <c r="E33" s="1130"/>
      <c r="F33" s="1130"/>
      <c r="G33" s="1130"/>
      <c r="H33" s="1130"/>
      <c r="I33" s="1130"/>
      <c r="J33" s="1130"/>
      <c r="K33" s="1130"/>
    </row>
    <row r="34" spans="1:11" x14ac:dyDescent="0.2">
      <c r="C34" s="1130"/>
      <c r="D34" s="1130"/>
      <c r="E34" s="1130"/>
      <c r="F34" s="1130"/>
      <c r="G34" s="1130"/>
      <c r="H34" s="1130"/>
      <c r="I34" s="1130"/>
      <c r="J34" s="1130"/>
      <c r="K34" s="1130"/>
    </row>
    <row r="35" spans="1:11" x14ac:dyDescent="0.2">
      <c r="C35" s="1130"/>
      <c r="D35" s="1130"/>
      <c r="E35" s="1130"/>
      <c r="F35" s="1130"/>
      <c r="G35" s="1130"/>
      <c r="H35" s="1130"/>
      <c r="I35" s="1130"/>
      <c r="J35" s="1130"/>
      <c r="K35" s="1130"/>
    </row>
    <row r="36" spans="1:11" x14ac:dyDescent="0.2">
      <c r="C36" s="45"/>
      <c r="D36" s="45"/>
      <c r="E36" s="45"/>
      <c r="F36" s="45"/>
      <c r="G36" s="45"/>
      <c r="H36" s="45"/>
      <c r="I36" s="45"/>
      <c r="J36" s="45"/>
    </row>
    <row r="37" spans="1:11" ht="18" hidden="1" customHeight="1" x14ac:dyDescent="0.2">
      <c r="C37" s="1131" t="s">
        <v>270</v>
      </c>
      <c r="D37" s="1131"/>
      <c r="E37" s="1131"/>
      <c r="F37" s="1131"/>
      <c r="G37" s="1131"/>
      <c r="H37" s="1131"/>
      <c r="I37" s="1131"/>
      <c r="J37" s="1131"/>
      <c r="K37" s="1131"/>
    </row>
    <row r="38" spans="1:11" hidden="1" x14ac:dyDescent="0.2">
      <c r="C38" s="1131"/>
      <c r="D38" s="1131"/>
      <c r="E38" s="1131"/>
      <c r="F38" s="1131"/>
      <c r="G38" s="1131"/>
      <c r="H38" s="1131"/>
      <c r="I38" s="1131"/>
      <c r="J38" s="1131"/>
      <c r="K38" s="1131"/>
    </row>
    <row r="39" spans="1:11" hidden="1" x14ac:dyDescent="0.2">
      <c r="C39" s="228"/>
      <c r="D39" s="228"/>
      <c r="E39" s="228"/>
      <c r="F39" s="228"/>
      <c r="G39" s="228"/>
      <c r="H39" s="228"/>
      <c r="I39" s="228"/>
      <c r="J39" s="228"/>
      <c r="K39" s="228"/>
    </row>
    <row r="40" spans="1:11" x14ac:dyDescent="0.2">
      <c r="C40" s="1131" t="s">
        <v>313</v>
      </c>
      <c r="D40" s="1131"/>
      <c r="E40" s="1131"/>
      <c r="F40" s="1131"/>
      <c r="G40" s="1131"/>
      <c r="H40" s="1131"/>
      <c r="I40" s="1131"/>
      <c r="J40" s="1131"/>
      <c r="K40" s="1131"/>
    </row>
    <row r="41" spans="1:11" x14ac:dyDescent="0.2">
      <c r="C41" s="1131"/>
      <c r="D41" s="1131"/>
      <c r="E41" s="1131"/>
      <c r="F41" s="1131"/>
      <c r="G41" s="1131"/>
      <c r="H41" s="1131"/>
      <c r="I41" s="1131"/>
      <c r="J41" s="1131"/>
      <c r="K41" s="1131"/>
    </row>
    <row r="42" spans="1:11" x14ac:dyDescent="0.2"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1" x14ac:dyDescent="0.2">
      <c r="A43" s="38" t="s">
        <v>56</v>
      </c>
      <c r="C43" s="43" t="s">
        <v>240</v>
      </c>
      <c r="D43" s="43"/>
    </row>
    <row r="44" spans="1:11" x14ac:dyDescent="0.2">
      <c r="E44" s="45"/>
      <c r="F44" s="45"/>
      <c r="G44" s="45"/>
      <c r="H44" s="45"/>
      <c r="I44" s="45"/>
      <c r="J44" s="45"/>
    </row>
    <row r="45" spans="1:11" x14ac:dyDescent="0.2">
      <c r="A45" s="38" t="s">
        <v>57</v>
      </c>
      <c r="C45" s="38" t="s">
        <v>109</v>
      </c>
    </row>
    <row r="47" spans="1:11" ht="18" customHeight="1" x14ac:dyDescent="0.2">
      <c r="A47" s="38" t="s">
        <v>58</v>
      </c>
      <c r="C47" s="1132" t="str">
        <f>"Declaramos que iremos cumprir os termos da Convenção Coletiva de Trabalho -" &amp; " " &amp; Dados!$N$82 &amp; "" &amp; ", e de que reconhecemos a Categoria Sindical, como sendo aquela que regerá durante a vigência do contrato os salários e benefícios dos profissionais a serem alocados na execução dos serviços objeto do Edital em epígrafe."</f>
        <v>Declaramos que iremos cumprir os termos da Convenção Coletiva de Trabalho - SINDESV/SINDESP-DF, e de que reconhecemos a Categoria Sindical, como sendo aquela que regerá durante a vigência do contrato os salários e benefícios dos profissionais a serem alocados na execução dos serviços objeto do Edital em epígrafe.</v>
      </c>
      <c r="D47" s="1132"/>
      <c r="E47" s="1132"/>
      <c r="F47" s="1132"/>
      <c r="G47" s="1132"/>
      <c r="H47" s="1132"/>
      <c r="I47" s="1132"/>
      <c r="J47" s="1132"/>
      <c r="K47" s="1132"/>
    </row>
    <row r="48" spans="1:11" x14ac:dyDescent="0.2">
      <c r="C48" s="1132"/>
      <c r="D48" s="1132"/>
      <c r="E48" s="1132"/>
      <c r="F48" s="1132"/>
      <c r="G48" s="1132"/>
      <c r="H48" s="1132"/>
      <c r="I48" s="1132"/>
      <c r="J48" s="1132"/>
      <c r="K48" s="1132"/>
    </row>
    <row r="49" spans="1:11" x14ac:dyDescent="0.2">
      <c r="C49" s="1132"/>
      <c r="D49" s="1132"/>
      <c r="E49" s="1132"/>
      <c r="F49" s="1132"/>
      <c r="G49" s="1132"/>
      <c r="H49" s="1132"/>
      <c r="I49" s="1132"/>
      <c r="J49" s="1132"/>
      <c r="K49" s="1132"/>
    </row>
    <row r="50" spans="1:11" x14ac:dyDescent="0.2">
      <c r="C50" s="1132" t="str">
        <f>"Declaramos ainda, que os preços desta proposta foram elaborados de acordo com a CCT" &amp; " " &amp; Dados!$G$24 &amp; "" &amp; ", registro no M.T.E" &amp;  " " &amp; Dados!$L$82 &amp; "" &amp; ", vigência" &amp; " " &amp; Dados!$Q$82 &amp; "" &amp; ", sendo a data-base da categoria" &amp; " " &amp; TEXT(Dados!$U$82,"[$-416]d-mmm;@") &amp; "" &amp; ". Os reajustes terão como base os mesmos percentuais acordados na data-base."</f>
        <v>Declaramos ainda, que os preços desta proposta foram elaborados de acordo com a CCT 2020/2020, registro no M.T.E DF000040/2020, vigência 01/01/2020 a 31/12/2020, sendo a data-base da categoria 1-jan. Os reajustes terão como base os mesmos percentuais acordados na data-base.</v>
      </c>
      <c r="D50" s="1132"/>
      <c r="E50" s="1132"/>
      <c r="F50" s="1132"/>
      <c r="G50" s="1132"/>
      <c r="H50" s="1132"/>
      <c r="I50" s="1132"/>
      <c r="J50" s="1132"/>
      <c r="K50" s="1132"/>
    </row>
    <row r="51" spans="1:11" x14ac:dyDescent="0.2">
      <c r="C51" s="1132"/>
      <c r="D51" s="1132"/>
      <c r="E51" s="1132"/>
      <c r="F51" s="1132"/>
      <c r="G51" s="1132"/>
      <c r="H51" s="1132"/>
      <c r="I51" s="1132"/>
      <c r="J51" s="1132"/>
      <c r="K51" s="1132"/>
    </row>
    <row r="52" spans="1:11" x14ac:dyDescent="0.2">
      <c r="C52" s="1132"/>
      <c r="D52" s="1132"/>
      <c r="E52" s="1132"/>
      <c r="F52" s="1132"/>
      <c r="G52" s="1132"/>
      <c r="H52" s="1132"/>
      <c r="I52" s="1132"/>
      <c r="J52" s="1132"/>
      <c r="K52" s="1132"/>
    </row>
    <row r="53" spans="1:11" s="61" customFormat="1" hidden="1" x14ac:dyDescent="0.2">
      <c r="A53" s="194"/>
      <c r="B53" s="194"/>
      <c r="C53" s="226" t="s">
        <v>284</v>
      </c>
      <c r="D53" s="203"/>
      <c r="E53" s="203"/>
      <c r="F53" s="203"/>
      <c r="G53" s="203"/>
      <c r="H53" s="203"/>
      <c r="I53" s="203"/>
      <c r="J53" s="203"/>
      <c r="K53" s="203"/>
    </row>
    <row r="54" spans="1:11" s="61" customFormat="1" x14ac:dyDescent="0.2">
      <c r="A54" s="194"/>
      <c r="B54" s="194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1:11" x14ac:dyDescent="0.2">
      <c r="A55" s="38" t="s">
        <v>59</v>
      </c>
      <c r="C55" s="193" t="s">
        <v>446</v>
      </c>
      <c r="J55" s="194"/>
    </row>
    <row r="56" spans="1:11" x14ac:dyDescent="0.25">
      <c r="C56" s="193" t="s">
        <v>447</v>
      </c>
      <c r="I56" s="62"/>
      <c r="J56" s="62"/>
    </row>
    <row r="57" spans="1:11" x14ac:dyDescent="0.25">
      <c r="C57" s="193" t="s">
        <v>448</v>
      </c>
      <c r="E57" s="43"/>
      <c r="F57" s="43"/>
      <c r="G57" s="43"/>
      <c r="I57" s="62"/>
      <c r="J57" s="62"/>
    </row>
    <row r="58" spans="1:11" x14ac:dyDescent="0.25">
      <c r="C58" s="193" t="s">
        <v>449</v>
      </c>
      <c r="I58" s="62"/>
      <c r="J58" s="62"/>
    </row>
    <row r="59" spans="1:11" x14ac:dyDescent="0.25">
      <c r="C59" s="193" t="s">
        <v>450</v>
      </c>
      <c r="F59" s="63"/>
      <c r="G59" s="62"/>
      <c r="I59" s="62"/>
      <c r="J59" s="62"/>
    </row>
    <row r="60" spans="1:11" x14ac:dyDescent="0.25">
      <c r="C60" s="193" t="s">
        <v>451</v>
      </c>
      <c r="I60" s="62"/>
      <c r="J60" s="62"/>
    </row>
    <row r="61" spans="1:11" x14ac:dyDescent="0.25">
      <c r="C61" s="193" t="s">
        <v>452</v>
      </c>
      <c r="D61" s="358"/>
      <c r="E61" s="39"/>
      <c r="F61" s="359"/>
      <c r="G61" s="359"/>
      <c r="I61" s="62"/>
      <c r="J61" s="62"/>
    </row>
    <row r="62" spans="1:11" x14ac:dyDescent="0.25">
      <c r="C62" s="193" t="s">
        <v>453</v>
      </c>
      <c r="D62" s="358"/>
      <c r="E62" s="39"/>
      <c r="F62" s="359"/>
      <c r="G62" s="359"/>
      <c r="I62" s="62"/>
      <c r="J62" s="62"/>
    </row>
    <row r="63" spans="1:11" x14ac:dyDescent="0.2">
      <c r="G63" s="359"/>
    </row>
    <row r="64" spans="1:11" x14ac:dyDescent="0.2">
      <c r="A64" s="38" t="s">
        <v>60</v>
      </c>
      <c r="C64" s="38" t="s">
        <v>454</v>
      </c>
    </row>
    <row r="65" spans="1:11" x14ac:dyDescent="0.2">
      <c r="C65" s="38" t="s">
        <v>455</v>
      </c>
    </row>
    <row r="66" spans="1:11" x14ac:dyDescent="0.2">
      <c r="C66" s="38" t="s">
        <v>61</v>
      </c>
      <c r="E66" s="43"/>
      <c r="F66" s="43"/>
    </row>
    <row r="68" spans="1:11" x14ac:dyDescent="0.2">
      <c r="A68" s="38" t="s">
        <v>435</v>
      </c>
      <c r="C68" s="38" t="s">
        <v>464</v>
      </c>
    </row>
    <row r="69" spans="1:11" x14ac:dyDescent="0.2">
      <c r="C69" s="359"/>
      <c r="D69" s="359"/>
      <c r="G69" s="359"/>
    </row>
    <row r="70" spans="1:11" ht="18" customHeight="1" x14ac:dyDescent="0.2">
      <c r="A70" s="38" t="s">
        <v>62</v>
      </c>
      <c r="C70" s="193" t="s">
        <v>314</v>
      </c>
    </row>
    <row r="72" spans="1:11" s="339" customFormat="1" x14ac:dyDescent="0.2">
      <c r="A72" s="338" t="s">
        <v>304</v>
      </c>
      <c r="B72" s="338"/>
      <c r="C72" s="338" t="s">
        <v>303</v>
      </c>
      <c r="D72" s="338"/>
      <c r="E72" s="338"/>
      <c r="F72" s="338"/>
      <c r="G72" s="338"/>
      <c r="H72" s="338"/>
      <c r="I72" s="338"/>
      <c r="J72" s="338"/>
      <c r="K72" s="338"/>
    </row>
    <row r="73" spans="1:11" ht="24.75" customHeight="1" x14ac:dyDescent="0.2"/>
    <row r="74" spans="1:11" x14ac:dyDescent="0.2">
      <c r="A74" s="1133" t="str">
        <f>"Brasília/DF," &amp; " " &amp; TEXT(Dados!$G$16,"[$-F800]dddd, mmmm dd, aaaa")</f>
        <v>Brasília/DF, terça-feira, 30 de junho de 2020</v>
      </c>
      <c r="B74" s="1133"/>
      <c r="C74" s="1133"/>
      <c r="D74" s="1133"/>
      <c r="E74" s="1133"/>
      <c r="F74" s="1133"/>
      <c r="G74" s="1133"/>
      <c r="H74" s="1133"/>
      <c r="I74" s="1133"/>
      <c r="J74" s="1133"/>
      <c r="K74" s="1133"/>
    </row>
    <row r="77" spans="1:11" x14ac:dyDescent="0.2">
      <c r="H77" s="64"/>
    </row>
    <row r="78" spans="1:11" x14ac:dyDescent="0.2">
      <c r="A78" s="1129" t="s">
        <v>246</v>
      </c>
      <c r="B78" s="1129"/>
      <c r="C78" s="1129"/>
      <c r="D78" s="1129"/>
      <c r="E78" s="1129"/>
      <c r="F78" s="1129"/>
      <c r="G78" s="1129"/>
      <c r="H78" s="1129"/>
      <c r="I78" s="1129"/>
      <c r="J78" s="1129"/>
      <c r="K78" s="1129"/>
    </row>
    <row r="79" spans="1:11" x14ac:dyDescent="0.2">
      <c r="A79" s="1129" t="str">
        <f>C56</f>
        <v>CNPJ: 03.497.401/0001-97</v>
      </c>
      <c r="B79" s="1129"/>
      <c r="C79" s="1129"/>
      <c r="D79" s="1129"/>
      <c r="E79" s="1129"/>
      <c r="F79" s="1129"/>
      <c r="G79" s="1129"/>
      <c r="H79" s="1129"/>
      <c r="I79" s="1129"/>
      <c r="J79" s="1129"/>
      <c r="K79" s="1129"/>
    </row>
    <row r="80" spans="1:11" x14ac:dyDescent="0.2">
      <c r="A80" s="1129" t="s">
        <v>456</v>
      </c>
      <c r="B80" s="1129"/>
      <c r="C80" s="1129"/>
      <c r="D80" s="1129"/>
      <c r="E80" s="1129"/>
      <c r="F80" s="1129"/>
      <c r="G80" s="1129"/>
      <c r="H80" s="1129"/>
      <c r="I80" s="1129"/>
      <c r="J80" s="1129"/>
      <c r="K80" s="1129"/>
    </row>
  </sheetData>
  <mergeCells count="30">
    <mergeCell ref="A16:K19"/>
    <mergeCell ref="A21:A22"/>
    <mergeCell ref="J21:K21"/>
    <mergeCell ref="H22:I22"/>
    <mergeCell ref="B21:D22"/>
    <mergeCell ref="F21:F22"/>
    <mergeCell ref="B23:D23"/>
    <mergeCell ref="H23:I23"/>
    <mergeCell ref="J23:K23"/>
    <mergeCell ref="J22:K22"/>
    <mergeCell ref="H21:I21"/>
    <mergeCell ref="H26:I26"/>
    <mergeCell ref="J26:K26"/>
    <mergeCell ref="A26:D26"/>
    <mergeCell ref="A80:K80"/>
    <mergeCell ref="C31:K31"/>
    <mergeCell ref="C33:K35"/>
    <mergeCell ref="C37:K38"/>
    <mergeCell ref="C47:K49"/>
    <mergeCell ref="C50:K52"/>
    <mergeCell ref="A79:K79"/>
    <mergeCell ref="A78:K78"/>
    <mergeCell ref="C40:K41"/>
    <mergeCell ref="A74:K74"/>
    <mergeCell ref="H24:I24"/>
    <mergeCell ref="H25:I25"/>
    <mergeCell ref="B24:D24"/>
    <mergeCell ref="B25:D25"/>
    <mergeCell ref="J24:K24"/>
    <mergeCell ref="J25:K25"/>
  </mergeCells>
  <printOptions horizontalCentered="1"/>
  <pageMargins left="0.51181102362204722" right="0.43307086614173229" top="1.24" bottom="0.15748031496062992" header="0.51181102362204722" footer="0.27559055118110237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K184"/>
  <sheetViews>
    <sheetView topLeftCell="A14" zoomScaleNormal="100" zoomScaleSheetLayoutView="100" workbookViewId="0">
      <selection activeCell="AK175" sqref="AK175"/>
    </sheetView>
  </sheetViews>
  <sheetFormatPr defaultColWidth="9.140625" defaultRowHeight="14.25" x14ac:dyDescent="0.2"/>
  <cols>
    <col min="1" max="1" width="5.8554687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17.28515625" style="34" customWidth="1"/>
    <col min="6" max="6" width="15.42578125" style="34" customWidth="1"/>
    <col min="7" max="7" width="28.5703125" style="66" customWidth="1"/>
    <col min="8" max="8" width="11" style="35" hidden="1" customWidth="1"/>
    <col min="9" max="9" width="7.28515625" style="35" hidden="1" customWidth="1"/>
    <col min="10" max="10" width="27.28515625" style="35" hidden="1" customWidth="1"/>
    <col min="11" max="11" width="20.140625" style="35" hidden="1" customWidth="1"/>
    <col min="12" max="12" width="16.5703125" style="35" hidden="1" customWidth="1"/>
    <col min="13" max="13" width="22" style="35" hidden="1" customWidth="1"/>
    <col min="14" max="14" width="21.7109375" style="35" hidden="1" customWidth="1"/>
    <col min="15" max="15" width="19.140625" style="35" hidden="1" customWidth="1"/>
    <col min="16" max="17" width="9.140625" style="35" hidden="1" customWidth="1"/>
    <col min="18" max="18" width="27.28515625" style="35" hidden="1" customWidth="1"/>
    <col min="19" max="19" width="18.140625" style="35" hidden="1" customWidth="1"/>
    <col min="20" max="20" width="4.85546875" style="35" hidden="1" customWidth="1"/>
    <col min="21" max="22" width="3.28515625" style="35" hidden="1" customWidth="1"/>
    <col min="23" max="23" width="4.7109375" style="35" hidden="1" customWidth="1"/>
    <col min="24" max="24" width="19.140625" style="35" hidden="1" customWidth="1"/>
    <col min="25" max="25" width="20.5703125" style="35" hidden="1" customWidth="1"/>
    <col min="26" max="27" width="18.85546875" style="35" hidden="1" customWidth="1"/>
    <col min="28" max="28" width="18.28515625" style="35" hidden="1" customWidth="1"/>
    <col min="29" max="29" width="16.7109375" style="35" hidden="1" customWidth="1"/>
    <col min="30" max="30" width="18" style="35" hidden="1" customWidth="1"/>
    <col min="31" max="31" width="18.85546875" style="35" hidden="1" customWidth="1"/>
    <col min="32" max="32" width="18" style="35" hidden="1" customWidth="1"/>
    <col min="33" max="33" width="18.85546875" style="35" hidden="1" customWidth="1"/>
    <col min="34" max="34" width="18" style="35" hidden="1" customWidth="1"/>
    <col min="35" max="35" width="18.85546875" style="35" hidden="1" customWidth="1"/>
    <col min="36" max="36" width="18.42578125" style="35" customWidth="1"/>
    <col min="37" max="37" width="18.140625" style="35" customWidth="1"/>
    <col min="38" max="16384" width="9.140625" style="35"/>
  </cols>
  <sheetData>
    <row r="1" spans="1:25" x14ac:dyDescent="0.2">
      <c r="A1" s="65" t="str">
        <f>Proposta!C55</f>
        <v>Razão Social: BRASFORT EMPRESA DE SEGURANÇA LTDA</v>
      </c>
      <c r="H1" s="34"/>
      <c r="I1" s="65" t="str">
        <f>Proposta!C55</f>
        <v>Razão Social: BRASFORT EMPRESA DE SEGURANÇA LTDA</v>
      </c>
      <c r="J1" s="34"/>
      <c r="K1" s="34"/>
      <c r="L1" s="34"/>
      <c r="M1" s="34"/>
      <c r="N1" s="34"/>
      <c r="O1" s="34"/>
      <c r="P1" s="34"/>
      <c r="Q1" s="65" t="str">
        <f>Proposta!C55</f>
        <v>Razão Social: BRASFORT EMPRESA DE SEGURANÇA LTDA</v>
      </c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65" t="str">
        <f>Proposta!C56</f>
        <v>CNPJ: 03.497.401/0001-97</v>
      </c>
      <c r="H2" s="34"/>
      <c r="I2" s="65" t="str">
        <f>Proposta!C56</f>
        <v>CNPJ: 03.497.401/0001-97</v>
      </c>
      <c r="J2" s="34"/>
      <c r="K2" s="34"/>
      <c r="L2" s="34"/>
      <c r="M2" s="34"/>
      <c r="N2" s="34"/>
      <c r="O2" s="34"/>
      <c r="P2" s="34"/>
      <c r="Q2" s="65" t="str">
        <f>Proposta!C56</f>
        <v>CNPJ: 03.497.401/0001-97</v>
      </c>
      <c r="R2" s="34"/>
      <c r="S2" s="34"/>
      <c r="T2" s="34"/>
      <c r="U2" s="34"/>
      <c r="V2" s="34"/>
      <c r="W2" s="34"/>
      <c r="X2" s="34"/>
      <c r="Y2" s="34"/>
    </row>
    <row r="3" spans="1:25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idden="1" x14ac:dyDescent="0.2">
      <c r="A5" s="1196" t="str">
        <f>Dados!H2</f>
        <v xml:space="preserve">REPACTUAÇÃO CONTRATUAL 20___ - </v>
      </c>
      <c r="B5" s="1196"/>
      <c r="C5" s="1196"/>
      <c r="D5" s="1196"/>
      <c r="E5" s="1196"/>
      <c r="F5" s="1196"/>
      <c r="G5" s="119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idden="1" x14ac:dyDescent="0.2">
      <c r="A6" s="1196" t="str">
        <f>Dados!A10</f>
        <v>CONTRATO Nº __________/201__ - CONTRATANTE - PRESTAÇÃO DE SERVIÇOS --------</v>
      </c>
      <c r="B6" s="1196"/>
      <c r="C6" s="1196"/>
      <c r="D6" s="1196"/>
      <c r="E6" s="1196"/>
      <c r="F6" s="1196"/>
      <c r="G6" s="119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4.25" customHeight="1" x14ac:dyDescent="0.2">
      <c r="A7" s="1196" t="s">
        <v>475</v>
      </c>
      <c r="B7" s="1196"/>
      <c r="C7" s="1196"/>
      <c r="D7" s="1196"/>
      <c r="E7" s="1196"/>
      <c r="F7" s="1196"/>
      <c r="G7" s="1196"/>
      <c r="H7" s="34"/>
      <c r="I7" s="1196"/>
      <c r="J7" s="1196"/>
      <c r="K7" s="1196"/>
      <c r="L7" s="1196"/>
      <c r="M7" s="1196"/>
      <c r="N7" s="1196"/>
      <c r="O7" s="1196"/>
      <c r="P7" s="34"/>
      <c r="Q7" s="1196"/>
      <c r="R7" s="1196"/>
      <c r="S7" s="1196"/>
      <c r="T7" s="1196"/>
      <c r="U7" s="1196"/>
      <c r="V7" s="1196"/>
      <c r="W7" s="1196"/>
      <c r="X7" s="669"/>
      <c r="Y7" s="34"/>
    </row>
    <row r="8" spans="1:25" ht="14.25" customHeight="1" x14ac:dyDescent="0.2">
      <c r="A8" s="1196" t="str">
        <f>Dados!A11</f>
        <v>PLANILHA DE CUSTOS E FORMAÇÃO DE PREÇOS - CJF</v>
      </c>
      <c r="B8" s="1196"/>
      <c r="C8" s="1196"/>
      <c r="D8" s="1196"/>
      <c r="E8" s="1196"/>
      <c r="F8" s="1196"/>
      <c r="G8" s="1196"/>
      <c r="H8" s="34"/>
      <c r="I8" s="1196"/>
      <c r="J8" s="1196"/>
      <c r="K8" s="1196"/>
      <c r="L8" s="1196"/>
      <c r="M8" s="1196"/>
      <c r="N8" s="1196"/>
      <c r="O8" s="1196"/>
      <c r="P8" s="34"/>
      <c r="Q8" s="1196"/>
      <c r="R8" s="1196"/>
      <c r="S8" s="1196"/>
      <c r="T8" s="1196"/>
      <c r="U8" s="1196"/>
      <c r="V8" s="1196"/>
      <c r="W8" s="1196"/>
      <c r="X8" s="669"/>
      <c r="Y8" s="34"/>
    </row>
    <row r="9" spans="1:25" ht="14.25" hidden="1" customHeight="1" x14ac:dyDescent="0.2">
      <c r="A9" s="1196" t="s">
        <v>256</v>
      </c>
      <c r="B9" s="1196"/>
      <c r="C9" s="1196"/>
      <c r="D9" s="1196"/>
      <c r="E9" s="1196"/>
      <c r="F9" s="1196"/>
      <c r="G9" s="1196"/>
      <c r="H9" s="34"/>
      <c r="I9" s="1196" t="s">
        <v>256</v>
      </c>
      <c r="J9" s="1196"/>
      <c r="K9" s="1196"/>
      <c r="L9" s="1196"/>
      <c r="M9" s="1196"/>
      <c r="N9" s="1196"/>
      <c r="O9" s="1196"/>
      <c r="P9" s="34"/>
      <c r="Q9" s="1196" t="s">
        <v>256</v>
      </c>
      <c r="R9" s="1196"/>
      <c r="S9" s="1196"/>
      <c r="T9" s="1196"/>
      <c r="U9" s="1196"/>
      <c r="V9" s="1196"/>
      <c r="W9" s="1196"/>
      <c r="X9" s="669"/>
      <c r="Y9" s="34"/>
    </row>
    <row r="10" spans="1:25" ht="14.25" customHeight="1" x14ac:dyDescent="0.2">
      <c r="A10" s="681"/>
      <c r="B10" s="681"/>
      <c r="C10" s="681"/>
      <c r="D10" s="681"/>
      <c r="E10" s="681"/>
      <c r="F10" s="681"/>
      <c r="G10" s="681"/>
      <c r="H10" s="34"/>
      <c r="I10" s="681"/>
      <c r="J10" s="681"/>
      <c r="K10" s="1194" t="s">
        <v>488</v>
      </c>
      <c r="L10" s="1194"/>
      <c r="M10" s="1194"/>
      <c r="N10" s="681"/>
      <c r="O10" s="681"/>
      <c r="P10" s="34"/>
      <c r="Q10" s="681"/>
      <c r="R10" s="681"/>
      <c r="S10" s="1194" t="s">
        <v>517</v>
      </c>
      <c r="T10" s="1194"/>
      <c r="U10" s="1194"/>
      <c r="V10" s="681"/>
      <c r="W10" s="681"/>
      <c r="X10" s="681"/>
      <c r="Y10" s="34"/>
    </row>
    <row r="11" spans="1:25" ht="9.75" customHeight="1" x14ac:dyDescent="0.2">
      <c r="A11" s="68"/>
      <c r="B11" s="68"/>
      <c r="C11" s="68"/>
      <c r="D11" s="68"/>
      <c r="E11" s="68"/>
      <c r="F11" s="68"/>
      <c r="G11" s="68"/>
      <c r="H11" s="34"/>
      <c r="I11" s="68"/>
      <c r="J11" s="68"/>
      <c r="K11" s="68"/>
      <c r="L11" s="68"/>
      <c r="M11" s="68"/>
      <c r="N11" s="68"/>
      <c r="O11" s="68"/>
      <c r="P11" s="34"/>
      <c r="Q11" s="68"/>
      <c r="R11" s="68"/>
      <c r="S11" s="68"/>
      <c r="T11" s="68"/>
      <c r="U11" s="68"/>
      <c r="V11" s="68"/>
      <c r="W11" s="68"/>
      <c r="X11" s="68"/>
      <c r="Y11" s="34"/>
    </row>
    <row r="12" spans="1:25" ht="15.75" customHeight="1" x14ac:dyDescent="0.2">
      <c r="A12" s="1193" t="s">
        <v>104</v>
      </c>
      <c r="B12" s="1193"/>
      <c r="C12" s="1197" t="str">
        <f>Dados!G14</f>
        <v>0000793-29.2020.4.90.8000</v>
      </c>
      <c r="D12" s="1197"/>
      <c r="E12" s="69"/>
      <c r="F12" s="80"/>
      <c r="G12" s="69"/>
      <c r="H12" s="34"/>
      <c r="I12" s="1187" t="s">
        <v>104</v>
      </c>
      <c r="J12" s="1188"/>
      <c r="K12" s="1199" t="str">
        <f>Dados!G14</f>
        <v>0000793-29.2020.4.90.8000</v>
      </c>
      <c r="L12" s="1200"/>
      <c r="M12" s="69"/>
      <c r="N12" s="80"/>
      <c r="O12" s="69"/>
      <c r="P12" s="34"/>
      <c r="Q12" s="1187" t="s">
        <v>104</v>
      </c>
      <c r="R12" s="1188"/>
      <c r="S12" s="1199" t="str">
        <f>Dados!G14</f>
        <v>0000793-29.2020.4.90.8000</v>
      </c>
      <c r="T12" s="1200"/>
      <c r="U12" s="69"/>
      <c r="V12" s="80"/>
      <c r="W12" s="69"/>
      <c r="X12" s="69"/>
      <c r="Y12" s="34"/>
    </row>
    <row r="13" spans="1:25" ht="15.75" customHeight="1" x14ac:dyDescent="0.2">
      <c r="A13" s="1193" t="s">
        <v>103</v>
      </c>
      <c r="B13" s="1193"/>
      <c r="C13" s="1198" t="str">
        <f>"Pregão Eletrônico nº:" &amp; " " &amp; Dados!G22</f>
        <v>Pregão Eletrônico nº: 09/2020</v>
      </c>
      <c r="D13" s="1198"/>
      <c r="E13" s="69"/>
      <c r="F13" s="712">
        <v>1</v>
      </c>
      <c r="G13" s="69"/>
      <c r="H13" s="34"/>
      <c r="I13" s="1187" t="s">
        <v>103</v>
      </c>
      <c r="J13" s="1188"/>
      <c r="K13" s="1189" t="str">
        <f>"Pregão Eletrônico nº:" &amp; " " &amp; Dados!G22</f>
        <v>Pregão Eletrônico nº: 09/2020</v>
      </c>
      <c r="L13" s="1190"/>
      <c r="M13" s="69"/>
      <c r="N13" s="712">
        <v>1</v>
      </c>
      <c r="O13" s="69"/>
      <c r="P13" s="34"/>
      <c r="Q13" s="1187" t="s">
        <v>103</v>
      </c>
      <c r="R13" s="1188"/>
      <c r="S13" s="1189" t="str">
        <f>"Pregão Eletrônico nº:" &amp; " " &amp; Dados!G22</f>
        <v>Pregão Eletrônico nº: 09/2020</v>
      </c>
      <c r="T13" s="1190"/>
      <c r="U13" s="69"/>
      <c r="V13" s="712">
        <v>1</v>
      </c>
      <c r="W13" s="69"/>
      <c r="X13" s="69"/>
      <c r="Y13" s="34"/>
    </row>
    <row r="14" spans="1:25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69"/>
      <c r="F14" s="681"/>
      <c r="G14" s="74"/>
      <c r="H14" s="3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69"/>
      <c r="N14" s="681"/>
      <c r="O14" s="74"/>
      <c r="P14" s="34"/>
      <c r="Q14" s="70" t="str">
        <f>"Dia:" &amp; " " &amp; TEXT(Dados!G15,"dd/mm/aaaa") &amp; " " &amp; "às" &amp; " " &amp; TEXT(Dados!G18,"hh:mm") &amp; " " &amp; "horas"</f>
        <v>Dia: 22/06/2020 às 10:00 horas</v>
      </c>
      <c r="R14" s="71"/>
      <c r="S14" s="71"/>
      <c r="T14" s="68"/>
      <c r="U14" s="69"/>
      <c r="V14" s="681"/>
      <c r="W14" s="74"/>
      <c r="X14" s="74"/>
      <c r="Y14" s="34"/>
    </row>
    <row r="15" spans="1:25" ht="8.25" customHeight="1" x14ac:dyDescent="0.2">
      <c r="A15" s="71"/>
      <c r="B15" s="71"/>
      <c r="C15" s="71"/>
      <c r="D15" s="68"/>
      <c r="E15" s="69"/>
      <c r="F15" s="673"/>
      <c r="G15" s="74"/>
      <c r="H15" s="34"/>
      <c r="I15" s="71"/>
      <c r="J15" s="71"/>
      <c r="K15" s="71"/>
      <c r="L15" s="68"/>
      <c r="M15" s="69"/>
      <c r="N15" s="673"/>
      <c r="O15" s="74"/>
      <c r="P15" s="34"/>
      <c r="Q15" s="71"/>
      <c r="R15" s="71"/>
      <c r="S15" s="71"/>
      <c r="T15" s="68"/>
      <c r="U15" s="69"/>
      <c r="V15" s="673"/>
      <c r="W15" s="74"/>
      <c r="X15" s="74"/>
      <c r="Y15" s="34"/>
    </row>
    <row r="16" spans="1:25" ht="18" customHeight="1" x14ac:dyDescent="0.2">
      <c r="A16" s="1191" t="s">
        <v>205</v>
      </c>
      <c r="B16" s="1191"/>
      <c r="C16" s="1191"/>
      <c r="D16" s="1191"/>
      <c r="E16" s="1191"/>
      <c r="F16" s="1191"/>
      <c r="G16" s="1191"/>
      <c r="H16" s="34"/>
      <c r="I16" s="1191"/>
      <c r="J16" s="1191"/>
      <c r="K16" s="1191"/>
      <c r="L16" s="1191"/>
      <c r="M16" s="1191"/>
      <c r="N16" s="1191"/>
      <c r="O16" s="1191"/>
      <c r="P16" s="34"/>
      <c r="Q16" s="1201"/>
      <c r="R16" s="1201"/>
      <c r="S16" s="1201"/>
      <c r="T16" s="1201"/>
      <c r="U16" s="1201"/>
      <c r="V16" s="1191"/>
      <c r="W16" s="1191"/>
      <c r="X16" s="670"/>
      <c r="Y16" s="34"/>
    </row>
    <row r="17" spans="1:37" ht="16.5" customHeight="1" x14ac:dyDescent="0.2">
      <c r="A17" s="668" t="s">
        <v>1</v>
      </c>
      <c r="B17" s="664" t="s">
        <v>105</v>
      </c>
      <c r="C17" s="665"/>
      <c r="D17" s="677"/>
      <c r="E17" s="322"/>
      <c r="F17" s="1168">
        <f>Dados!G16</f>
        <v>44012</v>
      </c>
      <c r="G17" s="1167"/>
      <c r="H17" s="34"/>
      <c r="I17" s="681"/>
      <c r="J17" s="71"/>
      <c r="K17" s="71"/>
      <c r="L17" s="662"/>
      <c r="M17" s="69"/>
      <c r="N17" s="1192"/>
      <c r="O17" s="1192"/>
      <c r="P17" s="34"/>
      <c r="Q17" s="668"/>
      <c r="R17" s="664"/>
      <c r="S17" s="665"/>
      <c r="T17" s="677"/>
      <c r="U17" s="307"/>
      <c r="V17" s="1192"/>
      <c r="W17" s="1192"/>
      <c r="X17" s="673"/>
      <c r="Y17" s="34"/>
    </row>
    <row r="18" spans="1:37" ht="16.5" customHeight="1" x14ac:dyDescent="0.2">
      <c r="A18" s="668" t="s">
        <v>2</v>
      </c>
      <c r="B18" s="676" t="s">
        <v>3</v>
      </c>
      <c r="C18" s="677"/>
      <c r="D18" s="677"/>
      <c r="E18" s="322"/>
      <c r="F18" s="1168" t="str">
        <f>Dados!G19</f>
        <v>Brasília - DF</v>
      </c>
      <c r="G18" s="1167"/>
      <c r="H18" s="34"/>
      <c r="I18" s="681"/>
      <c r="J18" s="662"/>
      <c r="K18" s="662"/>
      <c r="L18" s="662"/>
      <c r="M18" s="69"/>
      <c r="N18" s="1192"/>
      <c r="O18" s="1192"/>
      <c r="P18" s="34"/>
      <c r="Q18" s="668"/>
      <c r="R18" s="676"/>
      <c r="S18" s="677"/>
      <c r="T18" s="677"/>
      <c r="U18" s="307"/>
      <c r="V18" s="1192"/>
      <c r="W18" s="1192"/>
      <c r="X18" s="673"/>
      <c r="Y18" s="34"/>
    </row>
    <row r="19" spans="1:37" ht="16.5" customHeight="1" x14ac:dyDescent="0.2">
      <c r="A19" s="668" t="s">
        <v>4</v>
      </c>
      <c r="B19" s="664" t="s">
        <v>106</v>
      </c>
      <c r="C19" s="665"/>
      <c r="D19" s="677"/>
      <c r="E19" s="322"/>
      <c r="F19" s="1167">
        <f>Dados!G26</f>
        <v>20</v>
      </c>
      <c r="G19" s="1167"/>
      <c r="H19" s="34"/>
      <c r="I19" s="681"/>
      <c r="J19" s="71"/>
      <c r="K19" s="71"/>
      <c r="L19" s="662"/>
      <c r="M19" s="69"/>
      <c r="N19" s="1195"/>
      <c r="O19" s="1195"/>
      <c r="P19" s="34"/>
      <c r="Q19" s="668"/>
      <c r="R19" s="664"/>
      <c r="S19" s="665"/>
      <c r="T19" s="677"/>
      <c r="U19" s="307"/>
      <c r="V19" s="1195"/>
      <c r="W19" s="1195"/>
      <c r="X19" s="680"/>
      <c r="Y19" s="34"/>
    </row>
    <row r="20" spans="1:37" ht="9" customHeight="1" x14ac:dyDescent="0.2">
      <c r="A20" s="681"/>
      <c r="B20" s="68"/>
      <c r="C20" s="68"/>
      <c r="D20" s="68"/>
      <c r="E20" s="68"/>
      <c r="F20" s="75"/>
      <c r="G20" s="76"/>
      <c r="H20" s="34"/>
      <c r="I20" s="681"/>
      <c r="J20" s="68"/>
      <c r="K20" s="68"/>
      <c r="L20" s="68"/>
      <c r="M20" s="68"/>
      <c r="N20" s="75"/>
      <c r="O20" s="76"/>
      <c r="P20" s="34"/>
      <c r="Q20" s="681"/>
      <c r="R20" s="68"/>
      <c r="S20" s="68"/>
      <c r="T20" s="68"/>
      <c r="U20" s="68"/>
      <c r="V20" s="68"/>
      <c r="W20" s="681"/>
      <c r="X20" s="681"/>
      <c r="Y20" s="34"/>
    </row>
    <row r="21" spans="1:37" ht="16.5" customHeight="1" x14ac:dyDescent="0.2">
      <c r="A21" s="1191" t="s">
        <v>204</v>
      </c>
      <c r="B21" s="1191"/>
      <c r="C21" s="1191"/>
      <c r="D21" s="1191"/>
      <c r="E21" s="1191"/>
      <c r="F21" s="1191"/>
      <c r="G21" s="1191"/>
      <c r="H21" s="34"/>
      <c r="I21" s="679"/>
      <c r="J21" s="679"/>
      <c r="K21" s="679"/>
      <c r="L21" s="679"/>
      <c r="M21" s="679"/>
      <c r="N21" s="670"/>
      <c r="O21" s="670"/>
      <c r="P21" s="34"/>
      <c r="Q21" s="1191"/>
      <c r="R21" s="1191"/>
      <c r="S21" s="1191"/>
      <c r="T21" s="1191"/>
      <c r="U21" s="1191"/>
      <c r="V21" s="1191"/>
      <c r="W21" s="1191"/>
      <c r="X21" s="670"/>
      <c r="Y21" s="34"/>
    </row>
    <row r="22" spans="1:37" ht="51" customHeight="1" x14ac:dyDescent="0.2">
      <c r="A22" s="1174" t="s">
        <v>76</v>
      </c>
      <c r="B22" s="1174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  <c r="H22" s="34"/>
      <c r="I22" s="689"/>
      <c r="J22" s="690"/>
      <c r="K22" s="703"/>
      <c r="L22" s="703"/>
      <c r="M22" s="689"/>
      <c r="N22" s="670"/>
      <c r="O22" s="670"/>
      <c r="P22" s="80"/>
      <c r="Q22" s="1191"/>
      <c r="R22" s="1191"/>
      <c r="S22" s="670"/>
      <c r="T22" s="670"/>
      <c r="U22" s="670"/>
      <c r="V22" s="670"/>
      <c r="W22" s="670"/>
      <c r="X22" s="670"/>
      <c r="Y22" s="34"/>
    </row>
    <row r="23" spans="1:37" ht="33.75" customHeight="1" x14ac:dyDescent="0.2">
      <c r="A23" s="1193" t="str">
        <f>Dados!N73</f>
        <v>Vigilância Diurna 12x36</v>
      </c>
      <c r="B23" s="1193"/>
      <c r="C23" s="668" t="str">
        <f>Dados!J30</f>
        <v>Escala 12x36 horas</v>
      </c>
      <c r="D23" s="668" t="str">
        <f>Dados!G25</f>
        <v>Postos de Serviços</v>
      </c>
      <c r="E23" s="325">
        <f>Dados!R73</f>
        <v>5</v>
      </c>
      <c r="F23" s="325">
        <f>Dados!S73</f>
        <v>2</v>
      </c>
      <c r="G23" s="325">
        <f>E23*F23</f>
        <v>10</v>
      </c>
      <c r="H23" s="34"/>
      <c r="I23" s="671"/>
      <c r="J23" s="672"/>
      <c r="K23" s="668"/>
      <c r="L23" s="668"/>
      <c r="M23" s="370"/>
      <c r="N23" s="371"/>
      <c r="O23" s="371"/>
      <c r="P23" s="80"/>
      <c r="Q23" s="1194"/>
      <c r="R23" s="1194"/>
      <c r="S23" s="681"/>
      <c r="T23" s="681"/>
      <c r="U23" s="371"/>
      <c r="V23" s="371"/>
      <c r="W23" s="371"/>
      <c r="X23" s="371"/>
      <c r="Y23" s="34"/>
    </row>
    <row r="24" spans="1:37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195"/>
      <c r="W24" s="195"/>
      <c r="X24" s="195"/>
      <c r="Y24" s="34"/>
    </row>
    <row r="25" spans="1:37" ht="36" customHeight="1" x14ac:dyDescent="0.2">
      <c r="A25" s="1178" t="s">
        <v>415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79"/>
      <c r="P25" s="1179"/>
      <c r="Q25" s="1179"/>
      <c r="R25" s="1179"/>
      <c r="S25" s="1179"/>
      <c r="T25" s="1179"/>
      <c r="U25" s="1179"/>
      <c r="V25" s="1179"/>
      <c r="W25" s="1179"/>
      <c r="X25" s="1179"/>
      <c r="Y25" s="1180"/>
    </row>
    <row r="26" spans="1:37" ht="31.5" customHeight="1" x14ac:dyDescent="0.2">
      <c r="A26" s="668">
        <v>1</v>
      </c>
      <c r="B26" s="1161" t="s">
        <v>76</v>
      </c>
      <c r="C26" s="1161"/>
      <c r="D26" s="1161"/>
      <c r="E26" s="1161"/>
      <c r="F26" s="1167" t="str">
        <f>Dados!P73</f>
        <v>Vigilante Armado, 12 horas diunas em escala 12x36, das 07h às 19h</v>
      </c>
      <c r="G26" s="1167"/>
      <c r="H26" s="593"/>
      <c r="I26" s="668"/>
      <c r="J26" s="661"/>
      <c r="K26" s="661"/>
      <c r="L26" s="661"/>
      <c r="M26" s="661"/>
      <c r="N26" s="1167" t="str">
        <f>Dados!P73</f>
        <v>Vigilante Armado, 12 horas diunas em escala 12x36, das 07h às 19h</v>
      </c>
      <c r="O26" s="1167"/>
      <c r="P26" s="307"/>
      <c r="Q26" s="307"/>
      <c r="R26" s="307"/>
      <c r="S26" s="307"/>
      <c r="T26" s="307"/>
      <c r="U26" s="307"/>
      <c r="V26" s="1167" t="str">
        <f>Dados!P73</f>
        <v>Vigilante Armado, 12 horas diunas em escala 12x36, das 07h às 19h</v>
      </c>
      <c r="W26" s="1167"/>
      <c r="X26" s="1165" t="s">
        <v>344</v>
      </c>
      <c r="Y26" s="1166"/>
      <c r="Z26" s="860"/>
      <c r="AA26" s="860"/>
      <c r="AD26" s="1149" t="s">
        <v>344</v>
      </c>
      <c r="AE26" s="1150"/>
      <c r="AF26" s="860"/>
      <c r="AG26" s="860"/>
      <c r="AH26" s="1149" t="s">
        <v>344</v>
      </c>
      <c r="AI26" s="1150"/>
      <c r="AJ26" s="1149" t="s">
        <v>344</v>
      </c>
      <c r="AK26" s="1150"/>
    </row>
    <row r="27" spans="1:37" ht="14.25" customHeight="1" x14ac:dyDescent="0.2">
      <c r="A27" s="668">
        <v>2</v>
      </c>
      <c r="B27" s="1161" t="s">
        <v>202</v>
      </c>
      <c r="C27" s="1161"/>
      <c r="D27" s="1161"/>
      <c r="E27" s="1161"/>
      <c r="F27" s="1193" t="str">
        <f>Dados!O73</f>
        <v>5173-30</v>
      </c>
      <c r="G27" s="1193"/>
      <c r="H27" s="593"/>
      <c r="I27" s="668"/>
      <c r="J27" s="1161"/>
      <c r="K27" s="1161"/>
      <c r="L27" s="1161"/>
      <c r="M27" s="1161"/>
      <c r="N27" s="1167" t="str">
        <f>Dados!O73</f>
        <v>5173-30</v>
      </c>
      <c r="O27" s="1167"/>
      <c r="P27" s="307"/>
      <c r="Q27" s="307"/>
      <c r="R27" s="307"/>
      <c r="S27" s="307"/>
      <c r="T27" s="307"/>
      <c r="U27" s="307"/>
      <c r="V27" s="1167" t="str">
        <f>Dados!O73</f>
        <v>5173-30</v>
      </c>
      <c r="W27" s="1167"/>
      <c r="X27" s="1165" t="s">
        <v>350</v>
      </c>
      <c r="Y27" s="1166"/>
      <c r="Z27" s="861"/>
      <c r="AA27" s="861"/>
      <c r="AD27" s="1151" t="s">
        <v>350</v>
      </c>
      <c r="AE27" s="1152"/>
      <c r="AF27" s="861"/>
      <c r="AG27" s="861"/>
      <c r="AH27" s="1151" t="s">
        <v>350</v>
      </c>
      <c r="AI27" s="1152"/>
      <c r="AJ27" s="1151" t="s">
        <v>350</v>
      </c>
      <c r="AK27" s="1152"/>
    </row>
    <row r="28" spans="1:37" ht="15.75" customHeight="1" x14ac:dyDescent="0.2">
      <c r="A28" s="668">
        <v>3</v>
      </c>
      <c r="B28" s="1161" t="s">
        <v>416</v>
      </c>
      <c r="C28" s="1161"/>
      <c r="D28" s="1161"/>
      <c r="E28" s="1161"/>
      <c r="F28" s="1162">
        <f>Dados!U73</f>
        <v>2192.65</v>
      </c>
      <c r="G28" s="1162"/>
      <c r="H28" s="593"/>
      <c r="I28" s="668"/>
      <c r="J28" s="1161"/>
      <c r="K28" s="1161"/>
      <c r="L28" s="1161"/>
      <c r="M28" s="1161"/>
      <c r="N28" s="1224">
        <v>2258.4299999999998</v>
      </c>
      <c r="O28" s="1224"/>
      <c r="P28" s="713"/>
      <c r="Q28" s="713"/>
      <c r="R28" s="713"/>
      <c r="S28" s="713"/>
      <c r="T28" s="713"/>
      <c r="U28" s="713"/>
      <c r="V28" s="1224">
        <v>2258.4299999999998</v>
      </c>
      <c r="W28" s="1224"/>
      <c r="X28" s="1169">
        <v>2258.4299999999998</v>
      </c>
      <c r="Y28" s="1170"/>
      <c r="Z28" s="862"/>
      <c r="AA28" s="862"/>
      <c r="AD28" s="1153">
        <v>2450.39</v>
      </c>
      <c r="AE28" s="1154"/>
      <c r="AF28" s="862"/>
      <c r="AG28" s="862"/>
      <c r="AH28" s="1153">
        <v>2450.39</v>
      </c>
      <c r="AI28" s="1154"/>
      <c r="AJ28" s="1153">
        <v>2593.73</v>
      </c>
      <c r="AK28" s="1154"/>
    </row>
    <row r="29" spans="1:37" ht="15.75" customHeight="1" x14ac:dyDescent="0.2">
      <c r="A29" s="668" t="s">
        <v>4</v>
      </c>
      <c r="B29" s="683" t="s">
        <v>417</v>
      </c>
      <c r="C29" s="609"/>
      <c r="D29" s="609"/>
      <c r="E29" s="609"/>
      <c r="F29" s="1167" t="str">
        <f>Dados!N82</f>
        <v>SINDESV/SINDESP-DF</v>
      </c>
      <c r="G29" s="1167"/>
      <c r="H29" s="593"/>
      <c r="I29" s="668"/>
      <c r="J29" s="683"/>
      <c r="K29" s="609"/>
      <c r="L29" s="609"/>
      <c r="M29" s="609"/>
      <c r="N29" s="1167" t="str">
        <f>Dados!N82</f>
        <v>SINDESV/SINDESP-DF</v>
      </c>
      <c r="O29" s="1167"/>
      <c r="P29" s="307"/>
      <c r="Q29" s="307"/>
      <c r="R29" s="307"/>
      <c r="S29" s="307"/>
      <c r="T29" s="307"/>
      <c r="U29" s="307"/>
      <c r="V29" s="1167" t="str">
        <f>Dados!N82</f>
        <v>SINDESV/SINDESP-DF</v>
      </c>
      <c r="W29" s="1167"/>
      <c r="X29" s="1165" t="s">
        <v>242</v>
      </c>
      <c r="Y29" s="1166"/>
      <c r="Z29" s="863"/>
      <c r="AA29" s="863"/>
      <c r="AD29" s="1155" t="s">
        <v>242</v>
      </c>
      <c r="AE29" s="1156"/>
      <c r="AF29" s="863"/>
      <c r="AG29" s="863"/>
      <c r="AH29" s="1155" t="s">
        <v>242</v>
      </c>
      <c r="AI29" s="1156"/>
      <c r="AJ29" s="1155" t="s">
        <v>242</v>
      </c>
      <c r="AK29" s="1156"/>
    </row>
    <row r="30" spans="1:37" ht="14.25" customHeight="1" x14ac:dyDescent="0.2">
      <c r="A30" s="668">
        <v>4</v>
      </c>
      <c r="B30" s="1161" t="s">
        <v>10</v>
      </c>
      <c r="C30" s="1161"/>
      <c r="D30" s="1161"/>
      <c r="E30" s="1161"/>
      <c r="F30" s="1168">
        <f>Dados!T82</f>
        <v>43831</v>
      </c>
      <c r="G30" s="1168"/>
      <c r="H30" s="593"/>
      <c r="I30" s="668"/>
      <c r="J30" s="1161"/>
      <c r="K30" s="1161"/>
      <c r="L30" s="1161"/>
      <c r="M30" s="1161"/>
      <c r="N30" s="1168">
        <v>44197</v>
      </c>
      <c r="O30" s="1168"/>
      <c r="P30" s="714"/>
      <c r="Q30" s="714"/>
      <c r="R30" s="714"/>
      <c r="S30" s="714"/>
      <c r="T30" s="714"/>
      <c r="U30" s="714"/>
      <c r="V30" s="1168">
        <v>44197</v>
      </c>
      <c r="W30" s="1168"/>
      <c r="X30" s="1163">
        <v>44197</v>
      </c>
      <c r="Y30" s="1164"/>
      <c r="Z30" s="864"/>
      <c r="AA30" s="864"/>
      <c r="AD30" s="1157">
        <v>44562</v>
      </c>
      <c r="AE30" s="1158"/>
      <c r="AF30" s="864"/>
      <c r="AG30" s="864"/>
      <c r="AH30" s="1157">
        <v>44562</v>
      </c>
      <c r="AI30" s="1158"/>
      <c r="AJ30" s="1157">
        <v>44927</v>
      </c>
      <c r="AK30" s="1158"/>
    </row>
    <row r="31" spans="1:37" ht="14.25" customHeight="1" x14ac:dyDescent="0.2">
      <c r="A31" s="668">
        <v>5</v>
      </c>
      <c r="B31" s="1161" t="s">
        <v>418</v>
      </c>
      <c r="C31" s="1161"/>
      <c r="D31" s="1161"/>
      <c r="E31" s="1161"/>
      <c r="F31" s="1168" t="str">
        <f>Dados!L82</f>
        <v>DF000040/2020</v>
      </c>
      <c r="G31" s="1168"/>
      <c r="H31" s="593"/>
      <c r="I31" s="668"/>
      <c r="J31" s="1161"/>
      <c r="K31" s="1161"/>
      <c r="L31" s="1161"/>
      <c r="M31" s="1161"/>
      <c r="N31" s="1167" t="s">
        <v>491</v>
      </c>
      <c r="O31" s="1167"/>
      <c r="P31" s="307"/>
      <c r="Q31" s="307"/>
      <c r="R31" s="307"/>
      <c r="S31" s="307"/>
      <c r="T31" s="307"/>
      <c r="U31" s="307"/>
      <c r="V31" s="1167" t="s">
        <v>491</v>
      </c>
      <c r="W31" s="1167"/>
      <c r="X31" s="1165" t="s">
        <v>491</v>
      </c>
      <c r="Y31" s="1166"/>
      <c r="Z31" s="895"/>
      <c r="AA31" s="895"/>
      <c r="AD31" s="1159" t="s">
        <v>556</v>
      </c>
      <c r="AE31" s="1160"/>
      <c r="AF31" s="854"/>
      <c r="AG31" s="865"/>
      <c r="AH31" s="1226" t="s">
        <v>556</v>
      </c>
      <c r="AI31" s="1226"/>
      <c r="AJ31" s="1225" t="s">
        <v>596</v>
      </c>
      <c r="AK31" s="1225"/>
    </row>
    <row r="32" spans="1:37" ht="14.25" customHeight="1" x14ac:dyDescent="0.2">
      <c r="A32" s="668"/>
      <c r="B32" s="661"/>
      <c r="C32" s="661"/>
      <c r="D32" s="661"/>
      <c r="E32" s="661"/>
      <c r="F32" s="663"/>
      <c r="G32" s="663"/>
      <c r="H32" s="593"/>
      <c r="I32" s="668"/>
      <c r="J32" s="661"/>
      <c r="K32" s="661"/>
      <c r="L32" s="661"/>
      <c r="M32" s="661"/>
      <c r="N32" s="663"/>
      <c r="O32" s="663"/>
      <c r="P32" s="314"/>
      <c r="Q32" s="668"/>
      <c r="R32" s="661"/>
      <c r="S32" s="661"/>
      <c r="T32" s="661"/>
      <c r="U32" s="661"/>
      <c r="V32" s="663"/>
      <c r="W32" s="663"/>
      <c r="X32" s="663"/>
      <c r="Y32" s="593"/>
    </row>
    <row r="33" spans="1:37" s="198" customFormat="1" x14ac:dyDescent="0.2">
      <c r="A33" s="1173" t="s">
        <v>25</v>
      </c>
      <c r="B33" s="1173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  <c r="P33" s="1173"/>
      <c r="Q33" s="1173"/>
      <c r="R33" s="1173"/>
      <c r="S33" s="1173"/>
      <c r="T33" s="1173"/>
      <c r="U33" s="1173"/>
      <c r="V33" s="1173"/>
      <c r="W33" s="1173"/>
      <c r="X33" s="1173"/>
      <c r="Y33" s="1173"/>
    </row>
    <row r="34" spans="1:37" ht="71.25" customHeight="1" x14ac:dyDescent="0.2">
      <c r="A34" s="704">
        <v>1</v>
      </c>
      <c r="B34" s="1212" t="s">
        <v>77</v>
      </c>
      <c r="C34" s="1212"/>
      <c r="D34" s="1212"/>
      <c r="E34" s="1212"/>
      <c r="F34" s="705" t="s">
        <v>222</v>
      </c>
      <c r="G34" s="704" t="s">
        <v>518</v>
      </c>
      <c r="H34" s="79"/>
      <c r="I34" s="704">
        <v>1</v>
      </c>
      <c r="J34" s="1206" t="s">
        <v>77</v>
      </c>
      <c r="K34" s="1207"/>
      <c r="L34" s="1207"/>
      <c r="M34" s="1208"/>
      <c r="N34" s="705" t="s">
        <v>222</v>
      </c>
      <c r="O34" s="705" t="s">
        <v>519</v>
      </c>
      <c r="P34" s="79"/>
      <c r="Q34" s="704">
        <v>1</v>
      </c>
      <c r="R34" s="1206" t="s">
        <v>77</v>
      </c>
      <c r="S34" s="1207"/>
      <c r="T34" s="1207"/>
      <c r="U34" s="1208"/>
      <c r="V34" s="705" t="s">
        <v>222</v>
      </c>
      <c r="W34" s="705" t="s">
        <v>520</v>
      </c>
      <c r="X34" s="705" t="s">
        <v>222</v>
      </c>
      <c r="Y34" s="705" t="s">
        <v>539</v>
      </c>
      <c r="Z34" s="783" t="s">
        <v>222</v>
      </c>
      <c r="AA34" s="783" t="s">
        <v>591</v>
      </c>
      <c r="AB34" s="909" t="s">
        <v>222</v>
      </c>
      <c r="AC34" s="909" t="s">
        <v>592</v>
      </c>
      <c r="AD34" s="783" t="s">
        <v>222</v>
      </c>
      <c r="AE34" s="783" t="s">
        <v>593</v>
      </c>
      <c r="AF34" s="783" t="s">
        <v>222</v>
      </c>
      <c r="AG34" s="783" t="s">
        <v>594</v>
      </c>
      <c r="AH34" s="783" t="s">
        <v>222</v>
      </c>
      <c r="AI34" s="783" t="s">
        <v>558</v>
      </c>
      <c r="AJ34" s="783" t="s">
        <v>222</v>
      </c>
      <c r="AK34" s="783" t="s">
        <v>615</v>
      </c>
    </row>
    <row r="35" spans="1:37" x14ac:dyDescent="0.2">
      <c r="A35" s="295" t="s">
        <v>1</v>
      </c>
      <c r="B35" s="664" t="s">
        <v>178</v>
      </c>
      <c r="C35" s="665"/>
      <c r="D35" s="665"/>
      <c r="E35" s="666"/>
      <c r="F35" s="296"/>
      <c r="G35" s="297">
        <f>$F$28*F13</f>
        <v>2192.65</v>
      </c>
      <c r="H35" s="79"/>
      <c r="I35" s="295" t="s">
        <v>1</v>
      </c>
      <c r="J35" s="664" t="s">
        <v>178</v>
      </c>
      <c r="K35" s="665"/>
      <c r="L35" s="665"/>
      <c r="M35" s="666"/>
      <c r="N35" s="296"/>
      <c r="O35" s="297">
        <f>$F$28*N13*1.03</f>
        <v>2258.4299999999998</v>
      </c>
      <c r="P35" s="79"/>
      <c r="Q35" s="295" t="s">
        <v>1</v>
      </c>
      <c r="R35" s="664" t="s">
        <v>178</v>
      </c>
      <c r="S35" s="665"/>
      <c r="T35" s="665"/>
      <c r="U35" s="666"/>
      <c r="V35" s="296"/>
      <c r="W35" s="297">
        <f>$F$28*N13*1.03</f>
        <v>2258.4299999999998</v>
      </c>
      <c r="X35" s="297"/>
      <c r="Y35" s="297">
        <f>$F$28*N13*1.03</f>
        <v>2258.4299999999998</v>
      </c>
      <c r="Z35" s="297"/>
      <c r="AA35" s="297">
        <f>Y35</f>
        <v>2258.4299999999998</v>
      </c>
      <c r="AB35" s="297"/>
      <c r="AC35" s="297">
        <v>2258.4299999999998</v>
      </c>
      <c r="AD35" s="779"/>
      <c r="AE35" s="779">
        <f>TRUNC(Y35*1.085,2)</f>
        <v>2450.39</v>
      </c>
      <c r="AF35" s="779"/>
      <c r="AG35" s="779">
        <f>TRUNC(AC35*1.085,2)</f>
        <v>2450.39</v>
      </c>
      <c r="AH35" s="779"/>
      <c r="AI35" s="779">
        <f>AE35</f>
        <v>2450.39</v>
      </c>
      <c r="AJ35" s="779"/>
      <c r="AK35" s="779">
        <v>2593.73</v>
      </c>
    </row>
    <row r="36" spans="1:37" x14ac:dyDescent="0.2">
      <c r="A36" s="295" t="s">
        <v>2</v>
      </c>
      <c r="B36" s="664" t="str">
        <f>Dados!A36 &amp; " " &amp; "- Salário base x 30%"</f>
        <v>Adicional de Periculosidade  - Salário base x 30%</v>
      </c>
      <c r="C36" s="665"/>
      <c r="D36" s="665"/>
      <c r="E36" s="666"/>
      <c r="F36" s="296">
        <f>Dados!G36</f>
        <v>0.3</v>
      </c>
      <c r="G36" s="298">
        <f>G35*F36</f>
        <v>657.8</v>
      </c>
      <c r="H36" s="79"/>
      <c r="I36" s="295" t="s">
        <v>2</v>
      </c>
      <c r="J36" s="664" t="str">
        <f>Dados!A36 &amp; " " &amp; "- Salário base x 30%"</f>
        <v>Adicional de Periculosidade  - Salário base x 30%</v>
      </c>
      <c r="K36" s="665"/>
      <c r="L36" s="665"/>
      <c r="M36" s="666"/>
      <c r="N36" s="296">
        <f>Dados!G36</f>
        <v>0.3</v>
      </c>
      <c r="O36" s="298">
        <f>O35*N36</f>
        <v>677.53</v>
      </c>
      <c r="P36" s="79"/>
      <c r="Q36" s="295" t="s">
        <v>2</v>
      </c>
      <c r="R36" s="664" t="s">
        <v>492</v>
      </c>
      <c r="S36" s="665"/>
      <c r="T36" s="665"/>
      <c r="U36" s="666"/>
      <c r="V36" s="296">
        <v>0.3</v>
      </c>
      <c r="W36" s="298">
        <v>677.53</v>
      </c>
      <c r="X36" s="296">
        <v>0.3</v>
      </c>
      <c r="Y36" s="298">
        <v>677.53</v>
      </c>
      <c r="Z36" s="296">
        <v>0.3</v>
      </c>
      <c r="AA36" s="298">
        <v>677.53</v>
      </c>
      <c r="AB36" s="296">
        <v>0.3</v>
      </c>
      <c r="AC36" s="298">
        <v>677.53</v>
      </c>
      <c r="AD36" s="780">
        <v>0.3</v>
      </c>
      <c r="AE36" s="781">
        <f>AE35*0.3</f>
        <v>735.12</v>
      </c>
      <c r="AF36" s="780">
        <v>0.3</v>
      </c>
      <c r="AG36" s="781">
        <f>AG35*0.3</f>
        <v>735.12</v>
      </c>
      <c r="AH36" s="780">
        <v>0.3</v>
      </c>
      <c r="AI36" s="781">
        <f>AI35*0.3</f>
        <v>735.12</v>
      </c>
      <c r="AJ36" s="780">
        <v>0.3</v>
      </c>
      <c r="AK36" s="781">
        <f>AK35*0.3</f>
        <v>778.12</v>
      </c>
    </row>
    <row r="37" spans="1:37" x14ac:dyDescent="0.2">
      <c r="A37" s="295" t="s">
        <v>4</v>
      </c>
      <c r="B37" s="664" t="s">
        <v>255</v>
      </c>
      <c r="C37" s="665"/>
      <c r="D37" s="665"/>
      <c r="E37" s="666"/>
      <c r="F37" s="296"/>
      <c r="G37" s="298"/>
      <c r="H37" s="79"/>
      <c r="I37" s="295" t="s">
        <v>4</v>
      </c>
      <c r="J37" s="664" t="s">
        <v>255</v>
      </c>
      <c r="K37" s="665"/>
      <c r="L37" s="665"/>
      <c r="M37" s="666"/>
      <c r="N37" s="296"/>
      <c r="O37" s="298"/>
      <c r="P37" s="79"/>
      <c r="Q37" s="295" t="s">
        <v>4</v>
      </c>
      <c r="R37" s="664" t="s">
        <v>255</v>
      </c>
      <c r="S37" s="665"/>
      <c r="T37" s="665"/>
      <c r="U37" s="666"/>
      <c r="V37" s="296"/>
      <c r="W37" s="298"/>
      <c r="X37" s="298"/>
      <c r="Y37" s="298"/>
      <c r="Z37" s="298"/>
      <c r="AA37" s="298"/>
      <c r="AB37" s="298"/>
      <c r="AC37" s="298"/>
      <c r="AD37" s="781"/>
      <c r="AE37" s="781"/>
      <c r="AF37" s="781"/>
      <c r="AG37" s="781"/>
      <c r="AH37" s="781"/>
      <c r="AI37" s="781"/>
      <c r="AJ37" s="781"/>
      <c r="AK37" s="781"/>
    </row>
    <row r="38" spans="1:37" ht="15" x14ac:dyDescent="0.2">
      <c r="A38" s="295" t="s">
        <v>5</v>
      </c>
      <c r="B38" s="664" t="s">
        <v>437</v>
      </c>
      <c r="C38" s="665"/>
      <c r="D38" s="665"/>
      <c r="E38" s="666"/>
      <c r="F38" s="296">
        <f>Dados!G39</f>
        <v>0.2</v>
      </c>
      <c r="G38" s="298"/>
      <c r="H38" s="79"/>
      <c r="I38" s="295" t="s">
        <v>5</v>
      </c>
      <c r="J38" s="664" t="s">
        <v>437</v>
      </c>
      <c r="K38" s="665"/>
      <c r="L38" s="665"/>
      <c r="M38" s="666"/>
      <c r="N38" s="296">
        <f>Dados!O39</f>
        <v>0</v>
      </c>
      <c r="O38" s="298"/>
      <c r="P38" s="79"/>
      <c r="Q38" s="295" t="s">
        <v>5</v>
      </c>
      <c r="R38" s="664" t="s">
        <v>493</v>
      </c>
      <c r="S38" s="665"/>
      <c r="T38" s="665"/>
      <c r="U38" s="666"/>
      <c r="V38" s="296">
        <v>0</v>
      </c>
      <c r="W38" s="298"/>
      <c r="X38" s="298"/>
      <c r="Y38" s="298"/>
      <c r="Z38" s="298"/>
      <c r="AA38" s="298"/>
      <c r="AB38" s="298"/>
      <c r="AC38" s="298"/>
      <c r="AD38" s="781"/>
      <c r="AE38" s="781"/>
      <c r="AF38" s="781"/>
      <c r="AG38" s="781"/>
      <c r="AH38" s="781"/>
      <c r="AI38" s="781"/>
      <c r="AJ38" s="781"/>
      <c r="AK38" s="781"/>
    </row>
    <row r="39" spans="1:37" x14ac:dyDescent="0.2">
      <c r="A39" s="295" t="s">
        <v>6</v>
      </c>
      <c r="B39" s="664" t="s">
        <v>206</v>
      </c>
      <c r="C39" s="665"/>
      <c r="D39" s="665"/>
      <c r="E39" s="666"/>
      <c r="F39" s="296"/>
      <c r="G39" s="298"/>
      <c r="H39" s="79"/>
      <c r="I39" s="295" t="s">
        <v>6</v>
      </c>
      <c r="J39" s="664" t="s">
        <v>206</v>
      </c>
      <c r="K39" s="665"/>
      <c r="L39" s="665"/>
      <c r="M39" s="666"/>
      <c r="N39" s="296"/>
      <c r="O39" s="298"/>
      <c r="P39" s="79"/>
      <c r="Q39" s="295" t="s">
        <v>6</v>
      </c>
      <c r="R39" s="664" t="s">
        <v>206</v>
      </c>
      <c r="S39" s="665"/>
      <c r="T39" s="665"/>
      <c r="U39" s="666"/>
      <c r="V39" s="296"/>
      <c r="W39" s="298"/>
      <c r="X39" s="298"/>
      <c r="Y39" s="298"/>
      <c r="Z39" s="298"/>
      <c r="AA39" s="298"/>
      <c r="AB39" s="298"/>
      <c r="AC39" s="298"/>
      <c r="AD39" s="781"/>
      <c r="AE39" s="781"/>
      <c r="AF39" s="781"/>
      <c r="AG39" s="781"/>
      <c r="AH39" s="781"/>
      <c r="AI39" s="781"/>
      <c r="AJ39" s="781"/>
      <c r="AK39" s="781"/>
    </row>
    <row r="40" spans="1:37" x14ac:dyDescent="0.2">
      <c r="A40" s="295" t="s">
        <v>7</v>
      </c>
      <c r="B40" s="664" t="s">
        <v>51</v>
      </c>
      <c r="C40" s="665"/>
      <c r="D40" s="665"/>
      <c r="E40" s="666"/>
      <c r="F40" s="296"/>
      <c r="G40" s="298"/>
      <c r="H40" s="79"/>
      <c r="I40" s="295" t="s">
        <v>7</v>
      </c>
      <c r="J40" s="664" t="s">
        <v>51</v>
      </c>
      <c r="K40" s="665"/>
      <c r="L40" s="665"/>
      <c r="M40" s="666"/>
      <c r="N40" s="296"/>
      <c r="O40" s="298"/>
      <c r="P40" s="79"/>
      <c r="Q40" s="295" t="s">
        <v>7</v>
      </c>
      <c r="R40" s="664" t="s">
        <v>51</v>
      </c>
      <c r="S40" s="665"/>
      <c r="T40" s="665"/>
      <c r="U40" s="666"/>
      <c r="V40" s="296"/>
      <c r="W40" s="298"/>
      <c r="X40" s="298"/>
      <c r="Y40" s="298"/>
      <c r="Z40" s="298"/>
      <c r="AA40" s="298"/>
      <c r="AB40" s="298"/>
      <c r="AC40" s="298"/>
      <c r="AD40" s="781"/>
      <c r="AE40" s="781"/>
      <c r="AF40" s="781"/>
      <c r="AG40" s="781"/>
      <c r="AH40" s="781"/>
      <c r="AI40" s="781"/>
      <c r="AJ40" s="781"/>
      <c r="AK40" s="781"/>
    </row>
    <row r="41" spans="1:37" ht="16.5" customHeight="1" x14ac:dyDescent="0.2">
      <c r="A41" s="1172" t="s">
        <v>159</v>
      </c>
      <c r="B41" s="1172"/>
      <c r="C41" s="1172"/>
      <c r="D41" s="1172"/>
      <c r="E41" s="1172"/>
      <c r="F41" s="1172"/>
      <c r="G41" s="706">
        <f>SUM(G35:G40)</f>
        <v>2850.45</v>
      </c>
      <c r="H41" s="79"/>
      <c r="I41" s="1175" t="s">
        <v>159</v>
      </c>
      <c r="J41" s="1176"/>
      <c r="K41" s="1176"/>
      <c r="L41" s="1176"/>
      <c r="M41" s="1176"/>
      <c r="N41" s="1177"/>
      <c r="O41" s="706">
        <f>SUM(O35:O40)</f>
        <v>2935.96</v>
      </c>
      <c r="P41" s="79"/>
      <c r="Q41" s="1175" t="s">
        <v>159</v>
      </c>
      <c r="R41" s="1176"/>
      <c r="S41" s="1176"/>
      <c r="T41" s="1176"/>
      <c r="U41" s="1176"/>
      <c r="V41" s="1177"/>
      <c r="W41" s="706">
        <f>SUM(W35:W40)</f>
        <v>2935.96</v>
      </c>
      <c r="X41" s="706" t="s">
        <v>159</v>
      </c>
      <c r="Y41" s="706">
        <f>SUM(Y35:Y40)</f>
        <v>2935.96</v>
      </c>
      <c r="Z41" s="706" t="s">
        <v>159</v>
      </c>
      <c r="AA41" s="706">
        <f>SUM(AA35:AA40)</f>
        <v>2935.96</v>
      </c>
      <c r="AB41" s="706" t="s">
        <v>159</v>
      </c>
      <c r="AC41" s="706">
        <f>SUM(AC35:AC40)</f>
        <v>2935.96</v>
      </c>
      <c r="AD41" s="782" t="s">
        <v>159</v>
      </c>
      <c r="AE41" s="782">
        <f>SUM(AE35:AE40)</f>
        <v>3185.51</v>
      </c>
      <c r="AF41" s="782" t="s">
        <v>159</v>
      </c>
      <c r="AG41" s="782">
        <f>SUM(AG35:AG40)</f>
        <v>3185.51</v>
      </c>
      <c r="AH41" s="782" t="s">
        <v>159</v>
      </c>
      <c r="AI41" s="782">
        <f>SUM(AI35:AI40)</f>
        <v>3185.51</v>
      </c>
      <c r="AJ41" s="782" t="s">
        <v>159</v>
      </c>
      <c r="AK41" s="782">
        <f>SUM(AK35:AK40)</f>
        <v>3371.85</v>
      </c>
    </row>
    <row r="42" spans="1:37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P42" s="79"/>
      <c r="Q42" s="71" t="s">
        <v>494</v>
      </c>
      <c r="R42" s="71"/>
      <c r="S42" s="71"/>
      <c r="T42" s="71"/>
      <c r="U42" s="71"/>
      <c r="V42" s="196"/>
      <c r="W42" s="197"/>
      <c r="X42" s="197"/>
    </row>
    <row r="43" spans="1:37" s="34" customFormat="1" ht="14.25" hidden="1" customHeight="1" x14ac:dyDescent="0.2">
      <c r="A43" s="1185" t="s">
        <v>208</v>
      </c>
      <c r="B43" s="1185"/>
      <c r="C43" s="1185"/>
      <c r="D43" s="1185"/>
      <c r="E43" s="1185"/>
      <c r="F43" s="1185"/>
      <c r="G43" s="1185"/>
      <c r="H43" s="79"/>
      <c r="I43" s="1185" t="s">
        <v>208</v>
      </c>
      <c r="J43" s="1185"/>
      <c r="K43" s="1185"/>
      <c r="L43" s="1185"/>
      <c r="M43" s="1185"/>
      <c r="N43" s="1185"/>
      <c r="O43" s="1185"/>
      <c r="P43" s="79"/>
      <c r="Q43" s="1185" t="s">
        <v>495</v>
      </c>
      <c r="R43" s="1185"/>
      <c r="S43" s="1185"/>
      <c r="T43" s="1185"/>
      <c r="U43" s="1185"/>
      <c r="V43" s="1185"/>
      <c r="W43" s="1185"/>
      <c r="X43" s="662"/>
    </row>
    <row r="44" spans="1:37" s="34" customFormat="1" ht="14.25" hidden="1" customHeight="1" x14ac:dyDescent="0.2">
      <c r="A44" s="1185"/>
      <c r="B44" s="1185"/>
      <c r="C44" s="1185"/>
      <c r="D44" s="1185"/>
      <c r="E44" s="1185"/>
      <c r="F44" s="1185"/>
      <c r="G44" s="1185"/>
      <c r="H44" s="79"/>
      <c r="I44" s="1185"/>
      <c r="J44" s="1185"/>
      <c r="K44" s="1185"/>
      <c r="L44" s="1185"/>
      <c r="M44" s="1185"/>
      <c r="N44" s="1185"/>
      <c r="O44" s="1185"/>
      <c r="P44" s="79"/>
      <c r="Q44" s="1185"/>
      <c r="R44" s="1185"/>
      <c r="S44" s="1185"/>
      <c r="T44" s="1185"/>
      <c r="U44" s="1185"/>
      <c r="V44" s="1185"/>
      <c r="W44" s="1185"/>
      <c r="X44" s="662"/>
    </row>
    <row r="45" spans="1:37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P45" s="79"/>
      <c r="Q45" s="71"/>
      <c r="R45" s="71"/>
      <c r="S45" s="71"/>
      <c r="T45" s="71"/>
      <c r="U45" s="71"/>
      <c r="V45" s="196"/>
      <c r="W45" s="197"/>
      <c r="X45" s="197"/>
    </row>
    <row r="46" spans="1:37" s="34" customFormat="1" ht="14.25" customHeight="1" x14ac:dyDescent="0.2">
      <c r="A46" s="1174" t="s">
        <v>209</v>
      </c>
      <c r="B46" s="1174"/>
      <c r="C46" s="1174"/>
      <c r="D46" s="1174"/>
      <c r="E46" s="1174"/>
      <c r="F46" s="1174"/>
      <c r="G46" s="1174"/>
      <c r="H46" s="1174"/>
      <c r="I46" s="1174"/>
      <c r="J46" s="1174"/>
      <c r="K46" s="1174"/>
      <c r="L46" s="1174"/>
      <c r="M46" s="1174"/>
      <c r="N46" s="1174"/>
      <c r="O46" s="1174"/>
      <c r="P46" s="1174"/>
      <c r="Q46" s="1174"/>
      <c r="R46" s="1174"/>
      <c r="S46" s="1174"/>
      <c r="T46" s="1174"/>
      <c r="U46" s="1174"/>
      <c r="V46" s="1174"/>
      <c r="W46" s="1174"/>
      <c r="X46" s="1174"/>
      <c r="Y46" s="1174"/>
    </row>
    <row r="47" spans="1:37" s="34" customFormat="1" x14ac:dyDescent="0.2">
      <c r="A47" s="1173" t="s">
        <v>216</v>
      </c>
      <c r="B47" s="1173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</row>
    <row r="48" spans="1:37" s="34" customFormat="1" ht="14.25" customHeight="1" x14ac:dyDescent="0.2">
      <c r="A48" s="703" t="s">
        <v>211</v>
      </c>
      <c r="B48" s="1174" t="s">
        <v>223</v>
      </c>
      <c r="C48" s="1174"/>
      <c r="D48" s="1174"/>
      <c r="E48" s="1174"/>
      <c r="F48" s="703" t="s">
        <v>222</v>
      </c>
      <c r="G48" s="707" t="s">
        <v>107</v>
      </c>
      <c r="H48" s="592"/>
      <c r="I48" s="703" t="s">
        <v>211</v>
      </c>
      <c r="J48" s="1174" t="s">
        <v>223</v>
      </c>
      <c r="K48" s="1174"/>
      <c r="L48" s="1174"/>
      <c r="M48" s="1174"/>
      <c r="N48" s="703" t="s">
        <v>222</v>
      </c>
      <c r="O48" s="707" t="s">
        <v>107</v>
      </c>
      <c r="P48" s="592"/>
      <c r="Q48" s="703" t="s">
        <v>211</v>
      </c>
      <c r="R48" s="1174" t="s">
        <v>223</v>
      </c>
      <c r="S48" s="1174"/>
      <c r="T48" s="1174"/>
      <c r="U48" s="1174"/>
      <c r="V48" s="703" t="s">
        <v>222</v>
      </c>
      <c r="W48" s="707" t="s">
        <v>107</v>
      </c>
      <c r="X48" s="703" t="s">
        <v>222</v>
      </c>
      <c r="Y48" s="707" t="s">
        <v>107</v>
      </c>
      <c r="Z48" s="783" t="s">
        <v>222</v>
      </c>
      <c r="AA48" s="922" t="s">
        <v>107</v>
      </c>
      <c r="AB48" s="909" t="s">
        <v>222</v>
      </c>
      <c r="AC48" s="912" t="s">
        <v>107</v>
      </c>
      <c r="AD48" s="783" t="s">
        <v>222</v>
      </c>
      <c r="AE48" s="922" t="s">
        <v>107</v>
      </c>
      <c r="AF48" s="783" t="s">
        <v>222</v>
      </c>
      <c r="AG48" s="922" t="s">
        <v>107</v>
      </c>
      <c r="AH48" s="783" t="s">
        <v>222</v>
      </c>
      <c r="AI48" s="922" t="s">
        <v>107</v>
      </c>
      <c r="AJ48" s="783" t="s">
        <v>222</v>
      </c>
      <c r="AK48" s="1000" t="s">
        <v>107</v>
      </c>
    </row>
    <row r="49" spans="1:37" s="34" customFormat="1" x14ac:dyDescent="0.2">
      <c r="A49" s="675" t="s">
        <v>1</v>
      </c>
      <c r="B49" s="137" t="str">
        <f>Dados!B76</f>
        <v xml:space="preserve">13º (décimo terceiro) salário  </v>
      </c>
      <c r="C49" s="138"/>
      <c r="D49" s="597"/>
      <c r="E49" s="598"/>
      <c r="F49" s="599">
        <f>Dados!G76</f>
        <v>9.0899999999999995E-2</v>
      </c>
      <c r="G49" s="600">
        <f>F49*$G$41</f>
        <v>259.11</v>
      </c>
      <c r="H49" s="79"/>
      <c r="I49" s="675" t="s">
        <v>1</v>
      </c>
      <c r="J49" s="137" t="str">
        <f>Dados!B76</f>
        <v xml:space="preserve">13º (décimo terceiro) salário  </v>
      </c>
      <c r="K49" s="138"/>
      <c r="L49" s="597"/>
      <c r="M49" s="598"/>
      <c r="N49" s="599">
        <f>Dados!G76</f>
        <v>9.0899999999999995E-2</v>
      </c>
      <c r="O49" s="600">
        <f>N49*$O$41</f>
        <v>266.88</v>
      </c>
      <c r="P49" s="79"/>
      <c r="Q49" s="675" t="s">
        <v>1</v>
      </c>
      <c r="R49" s="137" t="s">
        <v>157</v>
      </c>
      <c r="S49" s="138"/>
      <c r="T49" s="597"/>
      <c r="U49" s="598"/>
      <c r="V49" s="599">
        <v>9.0899999999999995E-2</v>
      </c>
      <c r="W49" s="600">
        <f>N49*$O$41</f>
        <v>266.88</v>
      </c>
      <c r="X49" s="599">
        <v>9.0899999999999995E-2</v>
      </c>
      <c r="Y49" s="600">
        <f>N49*$O$41</f>
        <v>266.88</v>
      </c>
      <c r="Z49" s="784">
        <v>9.0899999999999995E-2</v>
      </c>
      <c r="AA49" s="785">
        <f>Y49</f>
        <v>266.88</v>
      </c>
      <c r="AB49" s="599">
        <v>9.0899999999999995E-2</v>
      </c>
      <c r="AC49" s="600">
        <f>N49*$O$41</f>
        <v>266.88</v>
      </c>
      <c r="AD49" s="784">
        <v>9.0899999999999995E-2</v>
      </c>
      <c r="AE49" s="785">
        <f>AD49*$AE$41</f>
        <v>289.56</v>
      </c>
      <c r="AF49" s="784">
        <v>9.0899999999999995E-2</v>
      </c>
      <c r="AG49" s="785">
        <f>AF49*$AE$41</f>
        <v>289.56</v>
      </c>
      <c r="AH49" s="784">
        <v>9.0899999999999995E-2</v>
      </c>
      <c r="AI49" s="785">
        <f>AH49*$AE$41</f>
        <v>289.56</v>
      </c>
      <c r="AJ49" s="784">
        <v>9.0899999999999995E-2</v>
      </c>
      <c r="AK49" s="785">
        <f>AJ49*$AK$41</f>
        <v>306.5</v>
      </c>
    </row>
    <row r="50" spans="1:37" s="34" customFormat="1" ht="14.25" customHeight="1" x14ac:dyDescent="0.2">
      <c r="A50" s="668" t="s">
        <v>2</v>
      </c>
      <c r="B50" s="1215" t="str">
        <f>Dados!B77</f>
        <v>Férias e Adicional de Férias</v>
      </c>
      <c r="C50" s="1215"/>
      <c r="D50" s="1215"/>
      <c r="E50" s="1215"/>
      <c r="F50" s="308">
        <f>Dados!G77</f>
        <v>0.1212</v>
      </c>
      <c r="G50" s="687">
        <f>F50*$G$41</f>
        <v>345.47</v>
      </c>
      <c r="H50" s="79"/>
      <c r="I50" s="668" t="s">
        <v>2</v>
      </c>
      <c r="J50" s="1209" t="str">
        <f>Dados!B77</f>
        <v>Férias e Adicional de Férias</v>
      </c>
      <c r="K50" s="1210"/>
      <c r="L50" s="1210"/>
      <c r="M50" s="1211"/>
      <c r="N50" s="308">
        <f>Dados!G77</f>
        <v>0.1212</v>
      </c>
      <c r="O50" s="687">
        <f>N50*$O$41</f>
        <v>355.84</v>
      </c>
      <c r="P50" s="79"/>
      <c r="Q50" s="668" t="s">
        <v>2</v>
      </c>
      <c r="R50" s="1209" t="s">
        <v>224</v>
      </c>
      <c r="S50" s="1210"/>
      <c r="T50" s="1210"/>
      <c r="U50" s="1211"/>
      <c r="V50" s="308">
        <v>0.1212</v>
      </c>
      <c r="W50" s="687">
        <f>N50*$O$41</f>
        <v>355.84</v>
      </c>
      <c r="X50" s="308">
        <v>0.1212</v>
      </c>
      <c r="Y50" s="687">
        <f>N50*$O$41</f>
        <v>355.84</v>
      </c>
      <c r="Z50" s="786">
        <v>0.1212</v>
      </c>
      <c r="AA50" s="787">
        <f>Y50</f>
        <v>355.84</v>
      </c>
      <c r="AB50" s="308">
        <v>0.1212</v>
      </c>
      <c r="AC50" s="600">
        <f>N50*$O$41</f>
        <v>355.84</v>
      </c>
      <c r="AD50" s="786">
        <v>0.1212</v>
      </c>
      <c r="AE50" s="787">
        <f>AD50*$AE$41</f>
        <v>386.08</v>
      </c>
      <c r="AF50" s="786">
        <v>0.1212</v>
      </c>
      <c r="AG50" s="787">
        <f>AF50*$AE$41</f>
        <v>386.08</v>
      </c>
      <c r="AH50" s="786">
        <v>0.1212</v>
      </c>
      <c r="AI50" s="787">
        <f>AH50*$AE$41</f>
        <v>386.08</v>
      </c>
      <c r="AJ50" s="786">
        <v>0.1212</v>
      </c>
      <c r="AK50" s="787">
        <f>AJ50*$AK$41</f>
        <v>408.67</v>
      </c>
    </row>
    <row r="51" spans="1:37" s="34" customFormat="1" ht="43.5" customHeight="1" x14ac:dyDescent="0.2">
      <c r="A51" s="1172" t="s">
        <v>159</v>
      </c>
      <c r="B51" s="1172"/>
      <c r="C51" s="1172"/>
      <c r="D51" s="1172"/>
      <c r="E51" s="1172"/>
      <c r="F51" s="311">
        <f>SUM(F49:F50)</f>
        <v>0.21210000000000001</v>
      </c>
      <c r="G51" s="316">
        <f>SUM(G49:G50)</f>
        <v>604.58000000000004</v>
      </c>
      <c r="H51" s="79"/>
      <c r="I51" s="1175" t="s">
        <v>159</v>
      </c>
      <c r="J51" s="1176"/>
      <c r="K51" s="1176"/>
      <c r="L51" s="1176"/>
      <c r="M51" s="1177"/>
      <c r="N51" s="311">
        <f>SUM(N49:N50)</f>
        <v>0.21210000000000001</v>
      </c>
      <c r="O51" s="316">
        <f>SUM(O49:O50)</f>
        <v>622.72</v>
      </c>
      <c r="P51" s="79"/>
      <c r="Q51" s="1175" t="s">
        <v>159</v>
      </c>
      <c r="R51" s="1176"/>
      <c r="S51" s="1176"/>
      <c r="T51" s="1176"/>
      <c r="U51" s="1177"/>
      <c r="V51" s="311">
        <v>0.21210000000000001</v>
      </c>
      <c r="W51" s="316">
        <v>622.72</v>
      </c>
      <c r="X51" s="311">
        <v>0.21210000000000001</v>
      </c>
      <c r="Y51" s="316">
        <v>622.72</v>
      </c>
      <c r="Z51" s="788">
        <v>0.21210000000000001</v>
      </c>
      <c r="AA51" s="789">
        <f>SUM(AA49:AA50)</f>
        <v>622.72</v>
      </c>
      <c r="AB51" s="311">
        <v>0.21210000000000001</v>
      </c>
      <c r="AC51" s="600">
        <f>SUM(AC49:AC50)</f>
        <v>622.72</v>
      </c>
      <c r="AD51" s="788">
        <v>0.21210000000000001</v>
      </c>
      <c r="AE51" s="789">
        <f>SUM(AE49:AE50)</f>
        <v>675.64</v>
      </c>
      <c r="AF51" s="788">
        <v>0.21210000000000001</v>
      </c>
      <c r="AG51" s="789">
        <f>SUM(AG49:AG50)</f>
        <v>675.64</v>
      </c>
      <c r="AH51" s="788">
        <v>0.21210000000000001</v>
      </c>
      <c r="AI51" s="789">
        <f>SUM(AI49:AI50)</f>
        <v>675.64</v>
      </c>
      <c r="AJ51" s="788">
        <v>0.21210000000000001</v>
      </c>
      <c r="AK51" s="789">
        <f>SUM(AK49:AK50)</f>
        <v>715.17</v>
      </c>
    </row>
    <row r="52" spans="1:37" s="34" customFormat="1" ht="14.25" hidden="1" customHeight="1" x14ac:dyDescent="0.2">
      <c r="A52" s="1185" t="s">
        <v>215</v>
      </c>
      <c r="B52" s="1185"/>
      <c r="C52" s="1185"/>
      <c r="D52" s="1185"/>
      <c r="E52" s="1185"/>
      <c r="F52" s="1185"/>
      <c r="G52" s="1185"/>
      <c r="H52" s="79"/>
      <c r="I52" s="1184"/>
      <c r="J52" s="1184"/>
      <c r="K52" s="1184"/>
      <c r="L52" s="1184"/>
      <c r="M52" s="1184"/>
      <c r="N52" s="1184"/>
      <c r="O52" s="1184"/>
      <c r="P52" s="79"/>
      <c r="Q52" s="1184"/>
      <c r="R52" s="1184"/>
      <c r="S52" s="1184"/>
      <c r="T52" s="1184"/>
      <c r="U52" s="1184"/>
      <c r="V52" s="1184"/>
      <c r="W52" s="1184"/>
      <c r="X52" s="662"/>
      <c r="Z52" s="35"/>
      <c r="AA52" s="35"/>
      <c r="AB52" s="910"/>
      <c r="AD52" s="35"/>
      <c r="AE52" s="35"/>
      <c r="AF52" s="35"/>
      <c r="AG52" s="35"/>
      <c r="AH52" s="35"/>
      <c r="AI52" s="35"/>
      <c r="AJ52" s="35"/>
      <c r="AK52" s="35"/>
    </row>
    <row r="53" spans="1:37" s="34" customFormat="1" ht="14.25" hidden="1" customHeight="1" x14ac:dyDescent="0.2">
      <c r="A53" s="1185"/>
      <c r="B53" s="1185"/>
      <c r="C53" s="1185"/>
      <c r="D53" s="1185"/>
      <c r="E53" s="1185"/>
      <c r="F53" s="1185"/>
      <c r="G53" s="1185"/>
      <c r="H53" s="79"/>
      <c r="I53" s="1185"/>
      <c r="J53" s="1185"/>
      <c r="K53" s="1185"/>
      <c r="L53" s="1185"/>
      <c r="M53" s="1185"/>
      <c r="N53" s="1185"/>
      <c r="O53" s="1185"/>
      <c r="P53" s="79"/>
      <c r="Q53" s="1185"/>
      <c r="R53" s="1185"/>
      <c r="S53" s="1185"/>
      <c r="T53" s="1185"/>
      <c r="U53" s="1185"/>
      <c r="V53" s="1185"/>
      <c r="W53" s="1185"/>
      <c r="X53" s="662"/>
      <c r="Z53" s="35"/>
      <c r="AA53" s="35"/>
      <c r="AB53" s="910"/>
      <c r="AD53" s="35"/>
      <c r="AE53" s="35"/>
      <c r="AF53" s="35"/>
      <c r="AG53" s="35"/>
      <c r="AH53" s="35"/>
      <c r="AI53" s="35"/>
      <c r="AJ53" s="35"/>
      <c r="AK53" s="35"/>
    </row>
    <row r="54" spans="1:37" s="34" customFormat="1" ht="14.25" hidden="1" customHeight="1" x14ac:dyDescent="0.2">
      <c r="A54" s="1185" t="s">
        <v>477</v>
      </c>
      <c r="B54" s="1185"/>
      <c r="C54" s="1185"/>
      <c r="D54" s="1185"/>
      <c r="E54" s="1185"/>
      <c r="F54" s="1185"/>
      <c r="G54" s="1185"/>
      <c r="H54" s="79"/>
      <c r="I54" s="1185"/>
      <c r="J54" s="1185"/>
      <c r="K54" s="1185"/>
      <c r="L54" s="1185"/>
      <c r="M54" s="1185"/>
      <c r="N54" s="1185"/>
      <c r="O54" s="1185"/>
      <c r="P54" s="79"/>
      <c r="Q54" s="1185"/>
      <c r="R54" s="1185"/>
      <c r="S54" s="1185"/>
      <c r="T54" s="1185"/>
      <c r="U54" s="1185"/>
      <c r="V54" s="1185"/>
      <c r="W54" s="1185"/>
      <c r="X54" s="662"/>
      <c r="Z54" s="35"/>
      <c r="AA54" s="35"/>
      <c r="AB54" s="910"/>
      <c r="AD54" s="35"/>
      <c r="AE54" s="35"/>
      <c r="AF54" s="35"/>
      <c r="AG54" s="35"/>
      <c r="AH54" s="35"/>
      <c r="AI54" s="35"/>
      <c r="AJ54" s="35"/>
      <c r="AK54" s="35"/>
    </row>
    <row r="55" spans="1:37" s="34" customFormat="1" ht="14.25" hidden="1" customHeight="1" x14ac:dyDescent="0.2">
      <c r="A55" s="1185"/>
      <c r="B55" s="1185"/>
      <c r="C55" s="1185"/>
      <c r="D55" s="1185"/>
      <c r="E55" s="1185"/>
      <c r="F55" s="1185"/>
      <c r="G55" s="1185"/>
      <c r="H55" s="79"/>
      <c r="I55" s="1185"/>
      <c r="J55" s="1185"/>
      <c r="K55" s="1185"/>
      <c r="L55" s="1185"/>
      <c r="M55" s="1185"/>
      <c r="N55" s="1185"/>
      <c r="O55" s="1185"/>
      <c r="P55" s="79"/>
      <c r="Q55" s="1185"/>
      <c r="R55" s="1185"/>
      <c r="S55" s="1185"/>
      <c r="T55" s="1185"/>
      <c r="U55" s="1185"/>
      <c r="V55" s="1185"/>
      <c r="W55" s="1185"/>
      <c r="X55" s="662"/>
      <c r="Z55" s="35"/>
      <c r="AA55" s="35"/>
      <c r="AB55" s="910"/>
      <c r="AD55" s="35"/>
      <c r="AE55" s="35"/>
      <c r="AF55" s="35"/>
      <c r="AG55" s="35"/>
      <c r="AH55" s="35"/>
      <c r="AI55" s="35"/>
      <c r="AJ55" s="35"/>
      <c r="AK55" s="35"/>
    </row>
    <row r="56" spans="1:37" s="34" customFormat="1" ht="14.25" hidden="1" customHeight="1" x14ac:dyDescent="0.2">
      <c r="A56" s="1185" t="s">
        <v>419</v>
      </c>
      <c r="B56" s="1185"/>
      <c r="C56" s="1185"/>
      <c r="D56" s="1185"/>
      <c r="E56" s="1185"/>
      <c r="F56" s="1185"/>
      <c r="G56" s="1185"/>
      <c r="H56" s="79"/>
      <c r="I56" s="1185"/>
      <c r="J56" s="1185"/>
      <c r="K56" s="1185"/>
      <c r="L56" s="1185"/>
      <c r="M56" s="1185"/>
      <c r="N56" s="1185"/>
      <c r="O56" s="1185"/>
      <c r="P56" s="79"/>
      <c r="Q56" s="1185"/>
      <c r="R56" s="1185"/>
      <c r="S56" s="1185"/>
      <c r="T56" s="1185"/>
      <c r="U56" s="1185"/>
      <c r="V56" s="1185"/>
      <c r="W56" s="1185"/>
      <c r="X56" s="662"/>
      <c r="Z56" s="35"/>
      <c r="AA56" s="35"/>
      <c r="AB56" s="910"/>
      <c r="AD56" s="35"/>
      <c r="AE56" s="35"/>
      <c r="AF56" s="35"/>
      <c r="AG56" s="35"/>
      <c r="AH56" s="35"/>
      <c r="AI56" s="35"/>
      <c r="AJ56" s="35"/>
      <c r="AK56" s="35"/>
    </row>
    <row r="57" spans="1:37" s="34" customFormat="1" ht="14.25" hidden="1" customHeight="1" x14ac:dyDescent="0.2">
      <c r="A57" s="1185"/>
      <c r="B57" s="1185"/>
      <c r="C57" s="1185"/>
      <c r="D57" s="1185"/>
      <c r="E57" s="1185"/>
      <c r="F57" s="1185"/>
      <c r="G57" s="1185"/>
      <c r="H57" s="79"/>
      <c r="I57" s="1185"/>
      <c r="J57" s="1185"/>
      <c r="K57" s="1185"/>
      <c r="L57" s="1185"/>
      <c r="M57" s="1185"/>
      <c r="N57" s="1185"/>
      <c r="O57" s="1185"/>
      <c r="P57" s="79"/>
      <c r="Q57" s="1185"/>
      <c r="R57" s="1185"/>
      <c r="S57" s="1185"/>
      <c r="T57" s="1185"/>
      <c r="U57" s="1185"/>
      <c r="V57" s="1185"/>
      <c r="W57" s="1185"/>
      <c r="X57" s="662"/>
      <c r="Z57" s="35"/>
      <c r="AA57" s="35"/>
      <c r="AB57" s="910"/>
      <c r="AD57" s="35"/>
      <c r="AE57" s="35"/>
      <c r="AF57" s="35"/>
      <c r="AG57" s="35"/>
      <c r="AH57" s="35"/>
      <c r="AI57" s="35"/>
      <c r="AJ57" s="35"/>
      <c r="AK57" s="35"/>
    </row>
    <row r="58" spans="1:37" s="34" customFormat="1" ht="14.25" hidden="1" customHeight="1" x14ac:dyDescent="0.2">
      <c r="A58" s="662"/>
      <c r="B58" s="662"/>
      <c r="C58" s="662"/>
      <c r="D58" s="662"/>
      <c r="E58" s="662"/>
      <c r="F58" s="662"/>
      <c r="G58" s="662"/>
      <c r="H58" s="79"/>
      <c r="I58" s="662"/>
      <c r="J58" s="662"/>
      <c r="K58" s="662"/>
      <c r="L58" s="662"/>
      <c r="M58" s="662"/>
      <c r="N58" s="662"/>
      <c r="O58" s="662"/>
      <c r="P58" s="79"/>
      <c r="Q58" s="662"/>
      <c r="R58" s="662"/>
      <c r="S58" s="662"/>
      <c r="T58" s="662"/>
      <c r="U58" s="662"/>
      <c r="V58" s="662"/>
      <c r="W58" s="662"/>
      <c r="X58" s="662"/>
      <c r="Z58" s="35"/>
      <c r="AA58" s="35"/>
      <c r="AB58" s="910"/>
      <c r="AD58" s="35"/>
      <c r="AE58" s="35"/>
      <c r="AF58" s="35"/>
      <c r="AG58" s="35"/>
      <c r="AH58" s="35"/>
      <c r="AI58" s="35"/>
      <c r="AJ58" s="35"/>
      <c r="AK58" s="35"/>
    </row>
    <row r="59" spans="1:37" s="34" customFormat="1" ht="63.75" customHeight="1" x14ac:dyDescent="0.2">
      <c r="A59" s="1174" t="s">
        <v>420</v>
      </c>
      <c r="B59" s="1174"/>
      <c r="C59" s="1174"/>
      <c r="D59" s="1174"/>
      <c r="E59" s="1174"/>
      <c r="F59" s="1174"/>
      <c r="G59" s="707" t="s">
        <v>107</v>
      </c>
      <c r="H59" s="79"/>
      <c r="I59" s="1178" t="s">
        <v>420</v>
      </c>
      <c r="J59" s="1179"/>
      <c r="K59" s="1179"/>
      <c r="L59" s="1179"/>
      <c r="M59" s="1179"/>
      <c r="N59" s="1180"/>
      <c r="O59" s="707" t="s">
        <v>107</v>
      </c>
      <c r="P59" s="79"/>
      <c r="Q59" s="1178" t="s">
        <v>420</v>
      </c>
      <c r="R59" s="1179"/>
      <c r="S59" s="1179"/>
      <c r="T59" s="1179"/>
      <c r="U59" s="1179"/>
      <c r="V59" s="1180"/>
      <c r="W59" s="707" t="s">
        <v>107</v>
      </c>
      <c r="X59" s="703" t="s">
        <v>420</v>
      </c>
      <c r="Y59" s="707" t="s">
        <v>107</v>
      </c>
      <c r="Z59" s="888" t="s">
        <v>420</v>
      </c>
      <c r="AA59" s="922" t="s">
        <v>107</v>
      </c>
      <c r="AB59" s="909" t="s">
        <v>420</v>
      </c>
      <c r="AC59" s="912" t="s">
        <v>107</v>
      </c>
      <c r="AD59" s="909" t="s">
        <v>420</v>
      </c>
      <c r="AE59" s="922" t="s">
        <v>107</v>
      </c>
      <c r="AF59" s="909" t="s">
        <v>420</v>
      </c>
      <c r="AG59" s="922" t="s">
        <v>107</v>
      </c>
      <c r="AH59" s="922"/>
      <c r="AI59" s="922" t="s">
        <v>107</v>
      </c>
      <c r="AJ59" s="783" t="s">
        <v>420</v>
      </c>
      <c r="AK59" s="1000" t="s">
        <v>107</v>
      </c>
    </row>
    <row r="60" spans="1:37" s="34" customFormat="1" x14ac:dyDescent="0.2">
      <c r="A60" s="668">
        <v>1</v>
      </c>
      <c r="B60" s="313" t="str">
        <f>A33</f>
        <v>Módulo 1 - Composição da Remuneração</v>
      </c>
      <c r="C60" s="122"/>
      <c r="D60" s="315"/>
      <c r="E60" s="315"/>
      <c r="F60" s="692"/>
      <c r="G60" s="687">
        <f>G41</f>
        <v>2850.45</v>
      </c>
      <c r="H60" s="79"/>
      <c r="I60" s="668">
        <v>1</v>
      </c>
      <c r="J60" s="313">
        <f>I33</f>
        <v>0</v>
      </c>
      <c r="K60" s="122"/>
      <c r="L60" s="315"/>
      <c r="M60" s="315"/>
      <c r="N60" s="692"/>
      <c r="O60" s="687">
        <f>O41</f>
        <v>2935.96</v>
      </c>
      <c r="P60" s="79"/>
      <c r="Q60" s="668">
        <v>1</v>
      </c>
      <c r="R60" s="313" t="s">
        <v>25</v>
      </c>
      <c r="S60" s="122"/>
      <c r="T60" s="315"/>
      <c r="U60" s="315"/>
      <c r="V60" s="692"/>
      <c r="W60" s="687">
        <f>O41</f>
        <v>2935.96</v>
      </c>
      <c r="X60" s="687"/>
      <c r="Y60" s="687">
        <f>O41</f>
        <v>2935.96</v>
      </c>
      <c r="Z60" s="787"/>
      <c r="AA60" s="787">
        <f>Y60</f>
        <v>2935.96</v>
      </c>
      <c r="AB60" s="914"/>
      <c r="AC60" s="914">
        <f>Y60</f>
        <v>2935.96</v>
      </c>
      <c r="AD60" s="787"/>
      <c r="AE60" s="787">
        <f>AE41</f>
        <v>3185.51</v>
      </c>
      <c r="AF60" s="787"/>
      <c r="AG60" s="787">
        <f>AG41</f>
        <v>3185.51</v>
      </c>
      <c r="AH60" s="787"/>
      <c r="AI60" s="787">
        <f>AI41</f>
        <v>3185.51</v>
      </c>
      <c r="AJ60" s="787"/>
      <c r="AK60" s="787">
        <f>AK41</f>
        <v>3371.85</v>
      </c>
    </row>
    <row r="61" spans="1:37" s="34" customFormat="1" x14ac:dyDescent="0.2">
      <c r="A61" s="668" t="s">
        <v>211</v>
      </c>
      <c r="B61" s="313" t="str">
        <f>A47</f>
        <v>Submódulo 2.1 - 13º (décimo terceiro) Salário, Férias e Adicional de Férias</v>
      </c>
      <c r="C61" s="122"/>
      <c r="D61" s="315"/>
      <c r="E61" s="315"/>
      <c r="F61" s="692"/>
      <c r="G61" s="687">
        <f>G51</f>
        <v>604.58000000000004</v>
      </c>
      <c r="H61" s="79"/>
      <c r="I61" s="668" t="s">
        <v>211</v>
      </c>
      <c r="J61" s="313">
        <f>I47</f>
        <v>0</v>
      </c>
      <c r="K61" s="122"/>
      <c r="L61" s="315"/>
      <c r="M61" s="315"/>
      <c r="N61" s="692"/>
      <c r="O61" s="687">
        <f>O51</f>
        <v>622.72</v>
      </c>
      <c r="P61" s="79"/>
      <c r="Q61" s="668" t="s">
        <v>211</v>
      </c>
      <c r="R61" s="313" t="s">
        <v>216</v>
      </c>
      <c r="S61" s="122"/>
      <c r="T61" s="315"/>
      <c r="U61" s="315"/>
      <c r="V61" s="692"/>
      <c r="W61" s="687">
        <f>O51</f>
        <v>622.72</v>
      </c>
      <c r="X61" s="687"/>
      <c r="Y61" s="687">
        <f>O51</f>
        <v>622.72</v>
      </c>
      <c r="Z61" s="787"/>
      <c r="AA61" s="787">
        <f>Y61</f>
        <v>622.72</v>
      </c>
      <c r="AB61" s="914"/>
      <c r="AC61" s="914">
        <f>Y61</f>
        <v>622.72</v>
      </c>
      <c r="AD61" s="787"/>
      <c r="AE61" s="787">
        <f>AE51</f>
        <v>675.64</v>
      </c>
      <c r="AF61" s="787"/>
      <c r="AG61" s="787">
        <f>AG51</f>
        <v>675.64</v>
      </c>
      <c r="AH61" s="787"/>
      <c r="AI61" s="787">
        <f>AI51</f>
        <v>675.64</v>
      </c>
      <c r="AJ61" s="787"/>
      <c r="AK61" s="787">
        <f>AK51</f>
        <v>715.17</v>
      </c>
    </row>
    <row r="62" spans="1:37" s="34" customFormat="1" x14ac:dyDescent="0.2">
      <c r="A62" s="1202" t="s">
        <v>241</v>
      </c>
      <c r="B62" s="1202"/>
      <c r="C62" s="1202"/>
      <c r="D62" s="1202"/>
      <c r="E62" s="1202"/>
      <c r="F62" s="1202"/>
      <c r="G62" s="316">
        <f>SUM(G60:G61)</f>
        <v>3455.03</v>
      </c>
      <c r="H62" s="79"/>
      <c r="I62" s="1203" t="s">
        <v>241</v>
      </c>
      <c r="J62" s="1204"/>
      <c r="K62" s="1204"/>
      <c r="L62" s="1204"/>
      <c r="M62" s="1204"/>
      <c r="N62" s="1205"/>
      <c r="O62" s="316">
        <f>SUM(O60:O61)</f>
        <v>3558.68</v>
      </c>
      <c r="P62" s="79"/>
      <c r="Q62" s="1203" t="s">
        <v>241</v>
      </c>
      <c r="R62" s="1204"/>
      <c r="S62" s="1204"/>
      <c r="T62" s="1204"/>
      <c r="U62" s="1204"/>
      <c r="V62" s="1205"/>
      <c r="W62" s="316">
        <v>3558.68</v>
      </c>
      <c r="X62" s="316" t="s">
        <v>241</v>
      </c>
      <c r="Y62" s="316">
        <v>3558.68</v>
      </c>
      <c r="Z62" s="789" t="s">
        <v>159</v>
      </c>
      <c r="AA62" s="789">
        <f>SUM(AA60:AA61)</f>
        <v>3558.68</v>
      </c>
      <c r="AB62" s="915" t="s">
        <v>241</v>
      </c>
      <c r="AC62" s="915">
        <v>3558.68</v>
      </c>
      <c r="AD62" s="789" t="s">
        <v>159</v>
      </c>
      <c r="AE62" s="789">
        <f>SUM(AE60:AE61)</f>
        <v>3861.15</v>
      </c>
      <c r="AF62" s="789" t="s">
        <v>159</v>
      </c>
      <c r="AG62" s="789">
        <f>SUM(AG60:AG61)</f>
        <v>3861.15</v>
      </c>
      <c r="AH62" s="789" t="s">
        <v>159</v>
      </c>
      <c r="AI62" s="789">
        <f>SUM(AI60:AI61)</f>
        <v>3861.15</v>
      </c>
      <c r="AJ62" s="789" t="s">
        <v>159</v>
      </c>
      <c r="AK62" s="789">
        <f>SUM(AK60:AK61)</f>
        <v>4087.02</v>
      </c>
    </row>
    <row r="63" spans="1:37" s="34" customFormat="1" ht="14.25" hidden="1" customHeight="1" x14ac:dyDescent="0.2">
      <c r="A63" s="662"/>
      <c r="B63" s="662"/>
      <c r="C63" s="662"/>
      <c r="D63" s="662"/>
      <c r="E63" s="662"/>
      <c r="F63" s="662"/>
      <c r="G63" s="662"/>
      <c r="H63" s="79"/>
      <c r="I63" s="662"/>
      <c r="J63" s="662"/>
      <c r="K63" s="662"/>
      <c r="L63" s="662"/>
      <c r="M63" s="662"/>
      <c r="N63" s="662"/>
      <c r="O63" s="662"/>
      <c r="P63" s="79"/>
      <c r="Q63" s="662"/>
      <c r="R63" s="662"/>
      <c r="S63" s="662"/>
      <c r="T63" s="662"/>
      <c r="U63" s="662"/>
      <c r="V63" s="662"/>
      <c r="W63" s="662"/>
      <c r="X63" s="662"/>
    </row>
    <row r="64" spans="1:37" x14ac:dyDescent="0.2">
      <c r="A64" s="1173" t="s">
        <v>217</v>
      </c>
      <c r="B64" s="1173"/>
      <c r="C64" s="1173"/>
      <c r="D64" s="1173"/>
      <c r="E64" s="1173"/>
      <c r="F64" s="1173"/>
      <c r="G64" s="1173"/>
      <c r="H64" s="1173"/>
      <c r="I64" s="1173"/>
      <c r="J64" s="1173"/>
      <c r="K64" s="1173"/>
      <c r="L64" s="1173"/>
      <c r="M64" s="1173"/>
      <c r="N64" s="1173"/>
      <c r="O64" s="1173"/>
      <c r="P64" s="1173"/>
      <c r="Q64" s="1173"/>
      <c r="R64" s="1173"/>
      <c r="S64" s="1173"/>
      <c r="T64" s="1173"/>
      <c r="U64" s="1173"/>
      <c r="V64" s="1173"/>
      <c r="W64" s="1173"/>
      <c r="X64" s="1173"/>
      <c r="Y64" s="1173"/>
    </row>
    <row r="65" spans="1:37" ht="14.25" customHeight="1" x14ac:dyDescent="0.2">
      <c r="A65" s="705" t="s">
        <v>210</v>
      </c>
      <c r="B65" s="1218" t="s">
        <v>221</v>
      </c>
      <c r="C65" s="1218"/>
      <c r="D65" s="1218"/>
      <c r="E65" s="1218"/>
      <c r="F65" s="705" t="s">
        <v>222</v>
      </c>
      <c r="G65" s="704" t="s">
        <v>107</v>
      </c>
      <c r="H65" s="79"/>
      <c r="I65" s="705" t="s">
        <v>210</v>
      </c>
      <c r="J65" s="1213" t="s">
        <v>221</v>
      </c>
      <c r="K65" s="1201"/>
      <c r="L65" s="1201"/>
      <c r="M65" s="1214"/>
      <c r="N65" s="705" t="s">
        <v>222</v>
      </c>
      <c r="O65" s="704" t="s">
        <v>107</v>
      </c>
      <c r="P65" s="79"/>
      <c r="Q65" s="705" t="s">
        <v>210</v>
      </c>
      <c r="R65" s="1213" t="s">
        <v>221</v>
      </c>
      <c r="S65" s="1201"/>
      <c r="T65" s="1201"/>
      <c r="U65" s="1214"/>
      <c r="V65" s="705" t="s">
        <v>222</v>
      </c>
      <c r="W65" s="704" t="s">
        <v>107</v>
      </c>
      <c r="X65" s="705" t="s">
        <v>222</v>
      </c>
      <c r="Y65" s="704" t="s">
        <v>107</v>
      </c>
      <c r="Z65" s="891" t="s">
        <v>222</v>
      </c>
      <c r="AA65" s="911" t="s">
        <v>107</v>
      </c>
      <c r="AB65" s="913" t="s">
        <v>222</v>
      </c>
      <c r="AC65" s="911" t="s">
        <v>107</v>
      </c>
      <c r="AD65" s="778" t="s">
        <v>222</v>
      </c>
      <c r="AE65" s="790" t="s">
        <v>107</v>
      </c>
      <c r="AF65" s="778" t="s">
        <v>222</v>
      </c>
      <c r="AG65" s="790" t="s">
        <v>107</v>
      </c>
      <c r="AH65" s="778" t="s">
        <v>222</v>
      </c>
      <c r="AI65" s="790" t="s">
        <v>107</v>
      </c>
      <c r="AJ65" s="778" t="s">
        <v>222</v>
      </c>
      <c r="AK65" s="790" t="s">
        <v>107</v>
      </c>
    </row>
    <row r="66" spans="1:37" x14ac:dyDescent="0.2">
      <c r="A66" s="668" t="s">
        <v>1</v>
      </c>
      <c r="B66" s="313" t="str">
        <f>Dados!B80</f>
        <v>INSS</v>
      </c>
      <c r="C66" s="122"/>
      <c r="D66" s="315"/>
      <c r="E66" s="304"/>
      <c r="F66" s="308">
        <f>Dados!G80</f>
        <v>0.2</v>
      </c>
      <c r="G66" s="687">
        <f>$G$62*F66</f>
        <v>691.01</v>
      </c>
      <c r="H66" s="79"/>
      <c r="I66" s="668" t="s">
        <v>1</v>
      </c>
      <c r="J66" s="313" t="str">
        <f>Dados!B80</f>
        <v>INSS</v>
      </c>
      <c r="K66" s="122"/>
      <c r="L66" s="315"/>
      <c r="M66" s="304"/>
      <c r="N66" s="308">
        <f>Dados!G80</f>
        <v>0.2</v>
      </c>
      <c r="O66" s="687">
        <f t="shared" ref="O66:O73" si="0">$O$62*N66</f>
        <v>711.74</v>
      </c>
      <c r="P66" s="79"/>
      <c r="Q66" s="668" t="s">
        <v>1</v>
      </c>
      <c r="R66" s="313" t="s">
        <v>12</v>
      </c>
      <c r="S66" s="122"/>
      <c r="T66" s="315"/>
      <c r="U66" s="304"/>
      <c r="V66" s="308">
        <v>0.2</v>
      </c>
      <c r="W66" s="687">
        <f t="shared" ref="W66:W73" si="1">$O$62*N66</f>
        <v>711.74</v>
      </c>
      <c r="X66" s="308">
        <v>0.2</v>
      </c>
      <c r="Y66" s="687">
        <f t="shared" ref="Y66:Y73" si="2">$O$62*N66</f>
        <v>711.74</v>
      </c>
      <c r="Z66" s="308">
        <v>0.2</v>
      </c>
      <c r="AA66" s="914">
        <f>Y66</f>
        <v>711.74</v>
      </c>
      <c r="AB66" s="308">
        <v>0.2</v>
      </c>
      <c r="AC66" s="914">
        <f t="shared" ref="AC66:AC73" si="3">$O$62*N66</f>
        <v>711.74</v>
      </c>
      <c r="AD66" s="786">
        <v>0.2</v>
      </c>
      <c r="AE66" s="787">
        <f>$AE$62*AD66</f>
        <v>772.23</v>
      </c>
      <c r="AF66" s="786">
        <v>0.2</v>
      </c>
      <c r="AG66" s="787">
        <f>$AE$62*AF66</f>
        <v>772.23</v>
      </c>
      <c r="AH66" s="786">
        <v>0.2</v>
      </c>
      <c r="AI66" s="787">
        <f>$AE$62*AH66</f>
        <v>772.23</v>
      </c>
      <c r="AJ66" s="786">
        <v>0.2</v>
      </c>
      <c r="AK66" s="787">
        <f t="shared" ref="AK66:AK73" si="4">$AK$62*AJ66</f>
        <v>817.4</v>
      </c>
    </row>
    <row r="67" spans="1:37" x14ac:dyDescent="0.2">
      <c r="A67" s="668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687">
        <f t="shared" ref="G67:G73" si="5">$G$62*F67</f>
        <v>86.38</v>
      </c>
      <c r="H67" s="79"/>
      <c r="I67" s="668" t="s">
        <v>2</v>
      </c>
      <c r="J67" s="313" t="str">
        <f>Dados!B81</f>
        <v>Salário Educação</v>
      </c>
      <c r="K67" s="122"/>
      <c r="L67" s="315"/>
      <c r="M67" s="304"/>
      <c r="N67" s="308">
        <f>Dados!G81</f>
        <v>2.5000000000000001E-2</v>
      </c>
      <c r="O67" s="687">
        <f t="shared" si="0"/>
        <v>88.97</v>
      </c>
      <c r="P67" s="79"/>
      <c r="Q67" s="668" t="s">
        <v>2</v>
      </c>
      <c r="R67" s="313" t="s">
        <v>154</v>
      </c>
      <c r="S67" s="122"/>
      <c r="T67" s="315"/>
      <c r="U67" s="304"/>
      <c r="V67" s="308">
        <v>2.5000000000000001E-2</v>
      </c>
      <c r="W67" s="687">
        <f t="shared" si="1"/>
        <v>88.97</v>
      </c>
      <c r="X67" s="308">
        <v>2.5000000000000001E-2</v>
      </c>
      <c r="Y67" s="687">
        <f t="shared" si="2"/>
        <v>88.97</v>
      </c>
      <c r="Z67" s="308">
        <v>2.5000000000000001E-2</v>
      </c>
      <c r="AA67" s="914">
        <f>Y67</f>
        <v>88.97</v>
      </c>
      <c r="AB67" s="308">
        <v>2.5000000000000001E-2</v>
      </c>
      <c r="AC67" s="914">
        <f t="shared" si="3"/>
        <v>88.97</v>
      </c>
      <c r="AD67" s="786">
        <v>2.5000000000000001E-2</v>
      </c>
      <c r="AE67" s="787">
        <f t="shared" ref="AE67:AE73" si="6">$AE$62*AD67</f>
        <v>96.53</v>
      </c>
      <c r="AF67" s="786">
        <v>2.5000000000000001E-2</v>
      </c>
      <c r="AG67" s="787">
        <f t="shared" ref="AG67:AG71" si="7">$AE$62*AF67</f>
        <v>96.53</v>
      </c>
      <c r="AH67" s="786">
        <v>2.5000000000000001E-2</v>
      </c>
      <c r="AI67" s="787">
        <f t="shared" ref="AI67:AI71" si="8">$AE$62*AH67</f>
        <v>96.53</v>
      </c>
      <c r="AJ67" s="786">
        <v>2.5000000000000001E-2</v>
      </c>
      <c r="AK67" s="787">
        <f t="shared" si="4"/>
        <v>102.18</v>
      </c>
    </row>
    <row r="68" spans="1:37" x14ac:dyDescent="0.2">
      <c r="A68" s="668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f>Dados!G82</f>
        <v>2.4899999999999999E-2</v>
      </c>
      <c r="G68" s="687">
        <f t="shared" si="5"/>
        <v>86.03</v>
      </c>
      <c r="H68" s="79"/>
      <c r="I68" s="668" t="s">
        <v>4</v>
      </c>
      <c r="J68" s="313" t="str">
        <f>Dados!B82</f>
        <v>Seguro Acidente do Trabalho - SAT = RAT x FAP</v>
      </c>
      <c r="K68" s="122"/>
      <c r="L68" s="315"/>
      <c r="M68" s="304"/>
      <c r="N68" s="308">
        <v>2.5700000000000001E-2</v>
      </c>
      <c r="O68" s="687">
        <f t="shared" si="0"/>
        <v>91.46</v>
      </c>
      <c r="P68" s="79"/>
      <c r="Q68" s="668" t="s">
        <v>4</v>
      </c>
      <c r="R68" s="313" t="s">
        <v>200</v>
      </c>
      <c r="S68" s="122"/>
      <c r="T68" s="315"/>
      <c r="U68" s="304"/>
      <c r="V68" s="308">
        <v>2.5700000000000001E-2</v>
      </c>
      <c r="W68" s="687">
        <f t="shared" si="1"/>
        <v>91.46</v>
      </c>
      <c r="X68" s="308">
        <v>2.5700000000000001E-2</v>
      </c>
      <c r="Y68" s="687">
        <f t="shared" si="2"/>
        <v>91.46</v>
      </c>
      <c r="Z68" s="308">
        <v>2.5700000000000001E-2</v>
      </c>
      <c r="AA68" s="914">
        <f>Y68</f>
        <v>91.46</v>
      </c>
      <c r="AB68" s="308">
        <v>2.5700000000000001E-2</v>
      </c>
      <c r="AC68" s="914">
        <f t="shared" si="3"/>
        <v>91.46</v>
      </c>
      <c r="AD68" s="786">
        <v>2.7400000000000001E-2</v>
      </c>
      <c r="AE68" s="787">
        <f t="shared" si="6"/>
        <v>105.8</v>
      </c>
      <c r="AF68" s="786">
        <v>2.7400000000000001E-2</v>
      </c>
      <c r="AG68" s="787">
        <f t="shared" si="7"/>
        <v>105.8</v>
      </c>
      <c r="AH68" s="786">
        <v>2.7400000000000001E-2</v>
      </c>
      <c r="AI68" s="787">
        <f t="shared" si="8"/>
        <v>105.8</v>
      </c>
      <c r="AJ68" s="786">
        <v>3.4000000000000002E-2</v>
      </c>
      <c r="AK68" s="787">
        <f t="shared" si="4"/>
        <v>138.96</v>
      </c>
    </row>
    <row r="69" spans="1:37" x14ac:dyDescent="0.2">
      <c r="A69" s="668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687">
        <f t="shared" si="5"/>
        <v>51.83</v>
      </c>
      <c r="H69" s="79"/>
      <c r="I69" s="668" t="s">
        <v>5</v>
      </c>
      <c r="J69" s="313" t="str">
        <f>Dados!B83</f>
        <v>SESI ou SESC</v>
      </c>
      <c r="K69" s="122"/>
      <c r="L69" s="315"/>
      <c r="M69" s="304"/>
      <c r="N69" s="308">
        <f>Dados!G83</f>
        <v>1.4999999999999999E-2</v>
      </c>
      <c r="O69" s="687">
        <f t="shared" si="0"/>
        <v>53.38</v>
      </c>
      <c r="P69" s="79"/>
      <c r="Q69" s="668" t="s">
        <v>5</v>
      </c>
      <c r="R69" s="313" t="s">
        <v>13</v>
      </c>
      <c r="S69" s="122"/>
      <c r="T69" s="315"/>
      <c r="U69" s="304"/>
      <c r="V69" s="308">
        <v>1.4999999999999999E-2</v>
      </c>
      <c r="W69" s="687">
        <f t="shared" si="1"/>
        <v>53.38</v>
      </c>
      <c r="X69" s="308">
        <v>1.4999999999999999E-2</v>
      </c>
      <c r="Y69" s="687">
        <f t="shared" si="2"/>
        <v>53.38</v>
      </c>
      <c r="Z69" s="308">
        <v>1.4999999999999999E-2</v>
      </c>
      <c r="AA69" s="914">
        <f t="shared" ref="AA69:AA73" si="9">Y69</f>
        <v>53.38</v>
      </c>
      <c r="AB69" s="308">
        <v>1.4999999999999999E-2</v>
      </c>
      <c r="AC69" s="914">
        <f t="shared" si="3"/>
        <v>53.38</v>
      </c>
      <c r="AD69" s="786">
        <v>1.4999999999999999E-2</v>
      </c>
      <c r="AE69" s="787">
        <f t="shared" si="6"/>
        <v>57.92</v>
      </c>
      <c r="AF69" s="786">
        <v>1.4999999999999999E-2</v>
      </c>
      <c r="AG69" s="787">
        <f t="shared" si="7"/>
        <v>57.92</v>
      </c>
      <c r="AH69" s="786">
        <v>1.4999999999999999E-2</v>
      </c>
      <c r="AI69" s="787">
        <f t="shared" si="8"/>
        <v>57.92</v>
      </c>
      <c r="AJ69" s="786">
        <v>1.4999999999999999E-2</v>
      </c>
      <c r="AK69" s="787">
        <f t="shared" si="4"/>
        <v>61.31</v>
      </c>
    </row>
    <row r="70" spans="1:37" x14ac:dyDescent="0.2">
      <c r="A70" s="668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687">
        <f t="shared" si="5"/>
        <v>34.549999999999997</v>
      </c>
      <c r="H70" s="79"/>
      <c r="I70" s="668" t="s">
        <v>6</v>
      </c>
      <c r="J70" s="313" t="str">
        <f>Dados!B84</f>
        <v>SENAI ou SENAC</v>
      </c>
      <c r="K70" s="122"/>
      <c r="L70" s="315"/>
      <c r="M70" s="304"/>
      <c r="N70" s="308">
        <f>Dados!G84</f>
        <v>0.01</v>
      </c>
      <c r="O70" s="687">
        <f t="shared" si="0"/>
        <v>35.590000000000003</v>
      </c>
      <c r="P70" s="79"/>
      <c r="Q70" s="668" t="s">
        <v>6</v>
      </c>
      <c r="R70" s="313" t="s">
        <v>14</v>
      </c>
      <c r="S70" s="122"/>
      <c r="T70" s="315"/>
      <c r="U70" s="304"/>
      <c r="V70" s="308">
        <v>0.01</v>
      </c>
      <c r="W70" s="687">
        <f t="shared" si="1"/>
        <v>35.590000000000003</v>
      </c>
      <c r="X70" s="308">
        <v>0.01</v>
      </c>
      <c r="Y70" s="687">
        <f t="shared" si="2"/>
        <v>35.590000000000003</v>
      </c>
      <c r="Z70" s="308">
        <v>0.01</v>
      </c>
      <c r="AA70" s="914">
        <f t="shared" si="9"/>
        <v>35.590000000000003</v>
      </c>
      <c r="AB70" s="308">
        <v>0.01</v>
      </c>
      <c r="AC70" s="914">
        <f t="shared" si="3"/>
        <v>35.590000000000003</v>
      </c>
      <c r="AD70" s="786">
        <v>0.01</v>
      </c>
      <c r="AE70" s="787">
        <f t="shared" si="6"/>
        <v>38.61</v>
      </c>
      <c r="AF70" s="786">
        <v>0.01</v>
      </c>
      <c r="AG70" s="787">
        <f t="shared" si="7"/>
        <v>38.61</v>
      </c>
      <c r="AH70" s="786">
        <v>0.01</v>
      </c>
      <c r="AI70" s="787">
        <f t="shared" si="8"/>
        <v>38.61</v>
      </c>
      <c r="AJ70" s="786">
        <v>0.01</v>
      </c>
      <c r="AK70" s="787">
        <f t="shared" si="4"/>
        <v>40.869999999999997</v>
      </c>
    </row>
    <row r="71" spans="1:37" x14ac:dyDescent="0.2">
      <c r="A71" s="668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687">
        <f t="shared" si="5"/>
        <v>20.73</v>
      </c>
      <c r="H71" s="79"/>
      <c r="I71" s="668" t="s">
        <v>7</v>
      </c>
      <c r="J71" s="313" t="str">
        <f>Dados!B85</f>
        <v>SEBRAE</v>
      </c>
      <c r="K71" s="122"/>
      <c r="L71" s="315"/>
      <c r="M71" s="304"/>
      <c r="N71" s="308">
        <f>Dados!G85</f>
        <v>6.0000000000000001E-3</v>
      </c>
      <c r="O71" s="687">
        <f t="shared" si="0"/>
        <v>21.35</v>
      </c>
      <c r="P71" s="79"/>
      <c r="Q71" s="668" t="s">
        <v>7</v>
      </c>
      <c r="R71" s="313" t="s">
        <v>17</v>
      </c>
      <c r="S71" s="122"/>
      <c r="T71" s="315"/>
      <c r="U71" s="304"/>
      <c r="V71" s="308">
        <v>6.0000000000000001E-3</v>
      </c>
      <c r="W71" s="687">
        <f t="shared" si="1"/>
        <v>21.35</v>
      </c>
      <c r="X71" s="308">
        <v>6.0000000000000001E-3</v>
      </c>
      <c r="Y71" s="687">
        <f t="shared" si="2"/>
        <v>21.35</v>
      </c>
      <c r="Z71" s="308">
        <v>6.0000000000000001E-3</v>
      </c>
      <c r="AA71" s="914">
        <f t="shared" si="9"/>
        <v>21.35</v>
      </c>
      <c r="AB71" s="308">
        <v>6.0000000000000001E-3</v>
      </c>
      <c r="AC71" s="914">
        <f t="shared" si="3"/>
        <v>21.35</v>
      </c>
      <c r="AD71" s="786">
        <v>6.0000000000000001E-3</v>
      </c>
      <c r="AE71" s="787">
        <f t="shared" si="6"/>
        <v>23.17</v>
      </c>
      <c r="AF71" s="786">
        <v>6.0000000000000001E-3</v>
      </c>
      <c r="AG71" s="787">
        <f t="shared" si="7"/>
        <v>23.17</v>
      </c>
      <c r="AH71" s="786">
        <v>6.0000000000000001E-3</v>
      </c>
      <c r="AI71" s="787">
        <f t="shared" si="8"/>
        <v>23.17</v>
      </c>
      <c r="AJ71" s="786">
        <v>6.0000000000000001E-3</v>
      </c>
      <c r="AK71" s="787">
        <f t="shared" si="4"/>
        <v>24.52</v>
      </c>
    </row>
    <row r="72" spans="1:37" x14ac:dyDescent="0.2">
      <c r="A72" s="668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687">
        <f t="shared" si="5"/>
        <v>6.91</v>
      </c>
      <c r="H72" s="79"/>
      <c r="I72" s="668" t="s">
        <v>8</v>
      </c>
      <c r="J72" s="313" t="str">
        <f>Dados!B86</f>
        <v>INCRA</v>
      </c>
      <c r="K72" s="122"/>
      <c r="L72" s="315"/>
      <c r="M72" s="304"/>
      <c r="N72" s="308">
        <f>Dados!G86</f>
        <v>2E-3</v>
      </c>
      <c r="O72" s="687">
        <f t="shared" si="0"/>
        <v>7.12</v>
      </c>
      <c r="P72" s="79"/>
      <c r="Q72" s="668" t="s">
        <v>8</v>
      </c>
      <c r="R72" s="313" t="s">
        <v>15</v>
      </c>
      <c r="S72" s="122"/>
      <c r="T72" s="315"/>
      <c r="U72" s="304"/>
      <c r="V72" s="308">
        <v>2E-3</v>
      </c>
      <c r="W72" s="687">
        <f t="shared" si="1"/>
        <v>7.12</v>
      </c>
      <c r="X72" s="308">
        <v>2E-3</v>
      </c>
      <c r="Y72" s="687">
        <f t="shared" si="2"/>
        <v>7.12</v>
      </c>
      <c r="Z72" s="308">
        <v>2E-3</v>
      </c>
      <c r="AA72" s="914">
        <f t="shared" si="9"/>
        <v>7.12</v>
      </c>
      <c r="AB72" s="308">
        <v>2E-3</v>
      </c>
      <c r="AC72" s="914">
        <f t="shared" si="3"/>
        <v>7.12</v>
      </c>
      <c r="AD72" s="786">
        <v>2E-3</v>
      </c>
      <c r="AE72" s="787">
        <f>$AE$62*AD72</f>
        <v>7.72</v>
      </c>
      <c r="AF72" s="786">
        <v>2E-3</v>
      </c>
      <c r="AG72" s="787">
        <f>$AE$62*AF72</f>
        <v>7.72</v>
      </c>
      <c r="AH72" s="786">
        <v>2E-3</v>
      </c>
      <c r="AI72" s="787">
        <f>$AE$62*AH72</f>
        <v>7.72</v>
      </c>
      <c r="AJ72" s="786">
        <v>2E-3</v>
      </c>
      <c r="AK72" s="787">
        <f t="shared" si="4"/>
        <v>8.17</v>
      </c>
    </row>
    <row r="73" spans="1:37" x14ac:dyDescent="0.2">
      <c r="A73" s="682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5"/>
        <v>276.39999999999998</v>
      </c>
      <c r="H73" s="79"/>
      <c r="I73" s="682" t="s">
        <v>9</v>
      </c>
      <c r="J73" s="140" t="str">
        <f>Dados!B87</f>
        <v>FGTS</v>
      </c>
      <c r="K73" s="122"/>
      <c r="L73" s="315"/>
      <c r="M73" s="331"/>
      <c r="N73" s="327">
        <f>Dados!G87</f>
        <v>0.08</v>
      </c>
      <c r="O73" s="328">
        <f t="shared" si="0"/>
        <v>284.69</v>
      </c>
      <c r="P73" s="79"/>
      <c r="Q73" s="682" t="s">
        <v>9</v>
      </c>
      <c r="R73" s="140" t="s">
        <v>16</v>
      </c>
      <c r="S73" s="122"/>
      <c r="T73" s="315"/>
      <c r="U73" s="331"/>
      <c r="V73" s="327">
        <v>0.08</v>
      </c>
      <c r="W73" s="328">
        <f t="shared" si="1"/>
        <v>284.69</v>
      </c>
      <c r="X73" s="327">
        <v>0.08</v>
      </c>
      <c r="Y73" s="328">
        <f t="shared" si="2"/>
        <v>284.69</v>
      </c>
      <c r="Z73" s="327">
        <v>0.08</v>
      </c>
      <c r="AA73" s="914">
        <f t="shared" si="9"/>
        <v>284.69</v>
      </c>
      <c r="AB73" s="327">
        <v>0.08</v>
      </c>
      <c r="AC73" s="914">
        <f t="shared" si="3"/>
        <v>284.69</v>
      </c>
      <c r="AD73" s="791">
        <v>0.08</v>
      </c>
      <c r="AE73" s="787">
        <f t="shared" si="6"/>
        <v>308.89</v>
      </c>
      <c r="AF73" s="791">
        <v>0.08</v>
      </c>
      <c r="AG73" s="787">
        <f t="shared" ref="AG73" si="10">$AE$62*AF73</f>
        <v>308.89</v>
      </c>
      <c r="AH73" s="791">
        <v>0.08</v>
      </c>
      <c r="AI73" s="787">
        <f t="shared" ref="AI73" si="11">$AE$62*AH73</f>
        <v>308.89</v>
      </c>
      <c r="AJ73" s="791">
        <v>0.08</v>
      </c>
      <c r="AK73" s="787">
        <f t="shared" si="4"/>
        <v>326.95999999999998</v>
      </c>
    </row>
    <row r="74" spans="1:37" ht="15.75" customHeight="1" x14ac:dyDescent="0.2">
      <c r="A74" s="1172" t="s">
        <v>159</v>
      </c>
      <c r="B74" s="1172"/>
      <c r="C74" s="1172"/>
      <c r="D74" s="1172"/>
      <c r="E74" s="1172"/>
      <c r="F74" s="311">
        <f>SUM(F66:F73)</f>
        <v>0.3629</v>
      </c>
      <c r="G74" s="316">
        <f>SUM(G66:G73)</f>
        <v>1253.8399999999999</v>
      </c>
      <c r="H74" s="79"/>
      <c r="I74" s="1175" t="s">
        <v>159</v>
      </c>
      <c r="J74" s="1176"/>
      <c r="K74" s="1176"/>
      <c r="L74" s="1176"/>
      <c r="M74" s="1177"/>
      <c r="N74" s="311">
        <f>SUM(N66:N73)</f>
        <v>0.36370000000000002</v>
      </c>
      <c r="O74" s="316">
        <f>SUM(O66:O73)</f>
        <v>1294.3</v>
      </c>
      <c r="P74" s="79"/>
      <c r="Q74" s="1175" t="s">
        <v>159</v>
      </c>
      <c r="R74" s="1176"/>
      <c r="S74" s="1176"/>
      <c r="T74" s="1176"/>
      <c r="U74" s="1177"/>
      <c r="V74" s="311">
        <v>0.36370000000000002</v>
      </c>
      <c r="W74" s="316">
        <f>SUM(W66:W73)</f>
        <v>1294.3</v>
      </c>
      <c r="X74" s="311">
        <v>0.36370000000000002</v>
      </c>
      <c r="Y74" s="316">
        <f>SUM(Y66:Y73)</f>
        <v>1294.3</v>
      </c>
      <c r="Z74" s="311">
        <v>0.36370000000000002</v>
      </c>
      <c r="AA74" s="915">
        <f>SUM(AA66:AA73)</f>
        <v>1294.3</v>
      </c>
      <c r="AB74" s="311">
        <v>0.36370000000000002</v>
      </c>
      <c r="AC74" s="915">
        <f t="shared" ref="AC74:AI74" si="12">SUM(AC66:AC73)</f>
        <v>1294.3</v>
      </c>
      <c r="AD74" s="788">
        <f t="shared" si="12"/>
        <v>0.3654</v>
      </c>
      <c r="AE74" s="789">
        <f t="shared" si="12"/>
        <v>1410.87</v>
      </c>
      <c r="AF74" s="788">
        <f t="shared" si="12"/>
        <v>0.3654</v>
      </c>
      <c r="AG74" s="789">
        <f t="shared" si="12"/>
        <v>1410.87</v>
      </c>
      <c r="AH74" s="788">
        <f t="shared" si="12"/>
        <v>0.3654</v>
      </c>
      <c r="AI74" s="789">
        <f t="shared" si="12"/>
        <v>1410.87</v>
      </c>
      <c r="AJ74" s="788">
        <f t="shared" ref="AJ74:AK74" si="13">SUM(AJ66:AJ73)</f>
        <v>0.372</v>
      </c>
      <c r="AK74" s="789">
        <f t="shared" si="13"/>
        <v>1520.37</v>
      </c>
    </row>
    <row r="75" spans="1:37" ht="14.25" hidden="1" customHeight="1" x14ac:dyDescent="0.2">
      <c r="A75" s="1185" t="s">
        <v>432</v>
      </c>
      <c r="B75" s="1185"/>
      <c r="C75" s="1185"/>
      <c r="D75" s="1185"/>
      <c r="E75" s="1185"/>
      <c r="F75" s="1185"/>
      <c r="G75" s="1185"/>
      <c r="H75" s="79"/>
      <c r="I75" s="1184"/>
      <c r="J75" s="1184"/>
      <c r="K75" s="1184"/>
      <c r="L75" s="1184"/>
      <c r="M75" s="1184"/>
      <c r="N75" s="1184"/>
      <c r="O75" s="1184"/>
      <c r="P75" s="79"/>
      <c r="Q75" s="1184"/>
      <c r="R75" s="1184"/>
      <c r="S75" s="1184"/>
      <c r="T75" s="1184"/>
      <c r="U75" s="1184"/>
      <c r="V75" s="1184"/>
      <c r="W75" s="1184"/>
      <c r="X75" s="662"/>
      <c r="Y75" s="34"/>
    </row>
    <row r="76" spans="1:37" ht="14.25" hidden="1" customHeight="1" x14ac:dyDescent="0.2">
      <c r="A76" s="1185" t="s">
        <v>430</v>
      </c>
      <c r="B76" s="1185"/>
      <c r="C76" s="1185"/>
      <c r="D76" s="1185"/>
      <c r="E76" s="1185"/>
      <c r="F76" s="1185"/>
      <c r="G76" s="1185"/>
      <c r="H76" s="79"/>
      <c r="I76" s="1185"/>
      <c r="J76" s="1185"/>
      <c r="K76" s="1185"/>
      <c r="L76" s="1185"/>
      <c r="M76" s="1185"/>
      <c r="N76" s="1185"/>
      <c r="O76" s="1185"/>
      <c r="P76" s="79"/>
      <c r="Q76" s="1185"/>
      <c r="R76" s="1185"/>
      <c r="S76" s="1185"/>
      <c r="T76" s="1185"/>
      <c r="U76" s="1185"/>
      <c r="V76" s="1185"/>
      <c r="W76" s="1185"/>
      <c r="X76" s="662"/>
      <c r="Y76" s="34"/>
    </row>
    <row r="77" spans="1:37" ht="30.75" hidden="1" customHeight="1" x14ac:dyDescent="0.2">
      <c r="A77" s="1185" t="s">
        <v>479</v>
      </c>
      <c r="B77" s="1185"/>
      <c r="C77" s="1185"/>
      <c r="D77" s="1185"/>
      <c r="E77" s="1185"/>
      <c r="F77" s="1185"/>
      <c r="G77" s="1185"/>
      <c r="H77" s="79"/>
      <c r="I77" s="1185"/>
      <c r="J77" s="1185"/>
      <c r="K77" s="1185"/>
      <c r="L77" s="1185"/>
      <c r="M77" s="1185"/>
      <c r="N77" s="1185"/>
      <c r="O77" s="1185"/>
      <c r="P77" s="79"/>
      <c r="Q77" s="1185"/>
      <c r="R77" s="1185"/>
      <c r="S77" s="1185"/>
      <c r="T77" s="1185"/>
      <c r="U77" s="1185"/>
      <c r="V77" s="1185"/>
      <c r="W77" s="1185"/>
      <c r="X77" s="662"/>
      <c r="Y77" s="34"/>
    </row>
    <row r="78" spans="1:37" ht="14.25" hidden="1" customHeight="1" x14ac:dyDescent="0.2">
      <c r="A78" s="195" t="s">
        <v>550</v>
      </c>
      <c r="B78" s="261"/>
      <c r="C78" s="261"/>
      <c r="D78" s="261"/>
      <c r="E78" s="261"/>
      <c r="F78" s="261"/>
      <c r="G78" s="261"/>
      <c r="H78" s="79"/>
      <c r="I78" s="195" t="s">
        <v>550</v>
      </c>
      <c r="J78" s="261"/>
      <c r="K78" s="261"/>
      <c r="L78" s="261"/>
      <c r="M78" s="261"/>
      <c r="N78" s="261"/>
      <c r="O78" s="261"/>
      <c r="P78" s="79"/>
      <c r="Q78" s="195" t="s">
        <v>496</v>
      </c>
      <c r="R78" s="261"/>
      <c r="S78" s="261"/>
      <c r="T78" s="261"/>
      <c r="U78" s="261"/>
      <c r="V78" s="261"/>
      <c r="W78" s="261"/>
      <c r="X78" s="261"/>
      <c r="Y78" s="34"/>
    </row>
    <row r="79" spans="1:37" ht="14.25" hidden="1" customHeight="1" x14ac:dyDescent="0.2">
      <c r="A79" s="71" t="s">
        <v>431</v>
      </c>
      <c r="B79" s="261"/>
      <c r="C79" s="261"/>
      <c r="D79" s="261"/>
      <c r="E79" s="261"/>
      <c r="F79" s="261"/>
      <c r="G79" s="261"/>
      <c r="H79" s="79"/>
      <c r="I79" s="71" t="s">
        <v>431</v>
      </c>
      <c r="J79" s="261"/>
      <c r="K79" s="261"/>
      <c r="L79" s="261"/>
      <c r="M79" s="261"/>
      <c r="N79" s="261"/>
      <c r="O79" s="261"/>
      <c r="P79" s="79"/>
      <c r="Q79" s="71" t="s">
        <v>497</v>
      </c>
      <c r="R79" s="261"/>
      <c r="S79" s="261"/>
      <c r="T79" s="261"/>
      <c r="U79" s="261"/>
      <c r="V79" s="261"/>
      <c r="W79" s="261"/>
      <c r="X79" s="261"/>
      <c r="Y79" s="34"/>
    </row>
    <row r="80" spans="1:37" ht="14.25" hidden="1" customHeight="1" x14ac:dyDescent="0.2">
      <c r="A80" s="195" t="s">
        <v>551</v>
      </c>
      <c r="B80" s="261"/>
      <c r="C80" s="261"/>
      <c r="D80" s="261"/>
      <c r="E80" s="261"/>
      <c r="F80" s="261"/>
      <c r="G80" s="261"/>
      <c r="H80" s="79"/>
      <c r="I80" s="195" t="s">
        <v>551</v>
      </c>
      <c r="J80" s="261"/>
      <c r="K80" s="261"/>
      <c r="L80" s="261"/>
      <c r="M80" s="261"/>
      <c r="N80" s="261"/>
      <c r="O80" s="261"/>
      <c r="P80" s="79"/>
      <c r="Q80" s="195" t="s">
        <v>498</v>
      </c>
      <c r="R80" s="261"/>
      <c r="S80" s="261"/>
      <c r="T80" s="261"/>
      <c r="U80" s="261"/>
      <c r="V80" s="261"/>
      <c r="W80" s="261"/>
      <c r="X80" s="261"/>
      <c r="Y80" s="34"/>
    </row>
    <row r="81" spans="1:37" ht="15" hidden="1" customHeight="1" x14ac:dyDescent="0.2">
      <c r="A81" s="715"/>
      <c r="B81" s="261"/>
      <c r="C81" s="261"/>
      <c r="D81" s="261"/>
      <c r="E81" s="261"/>
      <c r="F81" s="261"/>
      <c r="G81" s="261"/>
      <c r="H81" s="79"/>
      <c r="I81" s="715"/>
      <c r="J81" s="261"/>
      <c r="K81" s="261"/>
      <c r="L81" s="261"/>
      <c r="M81" s="261"/>
      <c r="N81" s="261"/>
      <c r="O81" s="261"/>
      <c r="P81" s="79"/>
      <c r="Q81" s="715"/>
      <c r="R81" s="261"/>
      <c r="S81" s="261"/>
      <c r="T81" s="261"/>
      <c r="U81" s="261"/>
      <c r="V81" s="261"/>
      <c r="W81" s="261"/>
      <c r="X81" s="261"/>
      <c r="Y81" s="34"/>
    </row>
    <row r="82" spans="1:37" x14ac:dyDescent="0.2">
      <c r="A82" s="1173" t="s">
        <v>218</v>
      </c>
      <c r="B82" s="1173"/>
      <c r="C82" s="1173"/>
      <c r="D82" s="1173"/>
      <c r="E82" s="1173"/>
      <c r="F82" s="1173"/>
      <c r="G82" s="1173"/>
      <c r="H82" s="1173"/>
      <c r="I82" s="1173"/>
      <c r="J82" s="1173"/>
      <c r="K82" s="1173"/>
      <c r="L82" s="1173"/>
      <c r="M82" s="1173"/>
      <c r="N82" s="1173"/>
      <c r="O82" s="1173"/>
      <c r="P82" s="1173"/>
      <c r="Q82" s="1173"/>
      <c r="R82" s="1173"/>
      <c r="S82" s="1173"/>
      <c r="T82" s="1173"/>
      <c r="U82" s="1173"/>
      <c r="V82" s="1173"/>
      <c r="W82" s="1173"/>
      <c r="X82" s="1173"/>
      <c r="Y82" s="1173"/>
    </row>
    <row r="83" spans="1:37" ht="14.25" customHeight="1" x14ac:dyDescent="0.2">
      <c r="A83" s="703" t="s">
        <v>219</v>
      </c>
      <c r="B83" s="1174" t="s">
        <v>22</v>
      </c>
      <c r="C83" s="1174"/>
      <c r="D83" s="1174"/>
      <c r="E83" s="1174"/>
      <c r="F83" s="703" t="s">
        <v>222</v>
      </c>
      <c r="G83" s="707" t="s">
        <v>107</v>
      </c>
      <c r="H83" s="592"/>
      <c r="I83" s="703" t="s">
        <v>219</v>
      </c>
      <c r="J83" s="1174" t="s">
        <v>22</v>
      </c>
      <c r="K83" s="1174"/>
      <c r="L83" s="1174"/>
      <c r="M83" s="1174"/>
      <c r="N83" s="703" t="s">
        <v>222</v>
      </c>
      <c r="O83" s="707" t="s">
        <v>107</v>
      </c>
      <c r="P83" s="592"/>
      <c r="Q83" s="703" t="s">
        <v>219</v>
      </c>
      <c r="R83" s="1174" t="s">
        <v>22</v>
      </c>
      <c r="S83" s="1174"/>
      <c r="T83" s="1174"/>
      <c r="U83" s="1174"/>
      <c r="V83" s="703" t="s">
        <v>222</v>
      </c>
      <c r="W83" s="707" t="s">
        <v>107</v>
      </c>
      <c r="X83" s="707" t="s">
        <v>222</v>
      </c>
      <c r="Y83" s="707" t="s">
        <v>107</v>
      </c>
      <c r="Z83" s="889" t="s">
        <v>222</v>
      </c>
      <c r="AA83" s="912" t="s">
        <v>107</v>
      </c>
      <c r="AB83" s="912" t="s">
        <v>222</v>
      </c>
      <c r="AC83" s="912" t="s">
        <v>107</v>
      </c>
      <c r="AD83" s="922" t="s">
        <v>222</v>
      </c>
      <c r="AE83" s="922" t="s">
        <v>107</v>
      </c>
      <c r="AF83" s="922" t="s">
        <v>222</v>
      </c>
      <c r="AG83" s="922" t="s">
        <v>107</v>
      </c>
      <c r="AH83" s="922" t="s">
        <v>222</v>
      </c>
      <c r="AI83" s="922" t="s">
        <v>107</v>
      </c>
      <c r="AJ83" s="1000" t="s">
        <v>222</v>
      </c>
      <c r="AK83" s="923" t="s">
        <v>107</v>
      </c>
    </row>
    <row r="84" spans="1:37" x14ac:dyDescent="0.2">
      <c r="A84" s="1216" t="s">
        <v>1</v>
      </c>
      <c r="B84" s="588" t="s">
        <v>529</v>
      </c>
      <c r="C84" s="601"/>
      <c r="D84" s="602"/>
      <c r="E84" s="716">
        <f>INDEX(Dados!$J$27:$M$32,MATCH($C$23,Dados!$J$27:$J$32,0),4)</f>
        <v>15</v>
      </c>
      <c r="F84" s="606">
        <f>Dados!J45</f>
        <v>11</v>
      </c>
      <c r="G84" s="591">
        <f>$E$84*F84*$F$13</f>
        <v>165</v>
      </c>
      <c r="H84" s="79"/>
      <c r="I84" s="1217" t="s">
        <v>1</v>
      </c>
      <c r="J84" s="588" t="e">
        <f>HLOOKUP($F$29,#REF!,4,FALSE)</f>
        <v>#REF!</v>
      </c>
      <c r="K84" s="601"/>
      <c r="L84" s="602"/>
      <c r="M84" s="716">
        <f>INDEX(Dados!$J$27:$M$32,MATCH($C$23,Dados!$J$27:$J$32,0),4)</f>
        <v>15</v>
      </c>
      <c r="N84" s="606">
        <f>Dados!R45</f>
        <v>0</v>
      </c>
      <c r="O84" s="591">
        <f>$E$84*F84*$F$13</f>
        <v>165</v>
      </c>
      <c r="P84" s="79"/>
      <c r="Q84" s="1217" t="s">
        <v>1</v>
      </c>
      <c r="R84" s="588" t="s">
        <v>292</v>
      </c>
      <c r="S84" s="601"/>
      <c r="T84" s="602"/>
      <c r="U84" s="716">
        <v>15</v>
      </c>
      <c r="V84" s="606">
        <v>0</v>
      </c>
      <c r="W84" s="591">
        <f>$E$84*F84*$F$13</f>
        <v>165</v>
      </c>
      <c r="X84" s="591"/>
      <c r="Y84" s="591">
        <f>$E$84*F84*$F$13</f>
        <v>165</v>
      </c>
      <c r="Z84" s="591"/>
      <c r="AA84" s="591">
        <f>Y84</f>
        <v>165</v>
      </c>
      <c r="AB84" s="591"/>
      <c r="AC84" s="591">
        <f>$E$84*F84*$F$13</f>
        <v>165</v>
      </c>
      <c r="AD84" s="793">
        <v>11</v>
      </c>
      <c r="AE84" s="793">
        <f>$E$84*AD84*$F$13</f>
        <v>165</v>
      </c>
      <c r="AF84" s="793">
        <v>11</v>
      </c>
      <c r="AG84" s="793">
        <f>$E$84*AF84*$F$13</f>
        <v>165</v>
      </c>
      <c r="AH84" s="793">
        <v>11</v>
      </c>
      <c r="AI84" s="793">
        <f>$E$84*AH84*$F$13</f>
        <v>165</v>
      </c>
      <c r="AJ84" s="793">
        <v>11</v>
      </c>
      <c r="AK84" s="793">
        <f>$E$84*AF84*$F$13</f>
        <v>165</v>
      </c>
    </row>
    <row r="85" spans="1:37" x14ac:dyDescent="0.2">
      <c r="A85" s="1193"/>
      <c r="B85" s="664" t="str">
        <f>Dados!A46</f>
        <v>Desconto Legal sobre o salário</v>
      </c>
      <c r="C85" s="665"/>
      <c r="D85" s="677"/>
      <c r="E85" s="678"/>
      <c r="F85" s="300">
        <f>Dados!J46</f>
        <v>0.06</v>
      </c>
      <c r="G85" s="686">
        <f>-MIN(G84,(F85*G35))</f>
        <v>-131.56</v>
      </c>
      <c r="H85" s="79"/>
      <c r="I85" s="1216"/>
      <c r="J85" s="664" t="str">
        <f>Dados!A46</f>
        <v>Desconto Legal sobre o salário</v>
      </c>
      <c r="K85" s="665"/>
      <c r="L85" s="677"/>
      <c r="M85" s="678"/>
      <c r="N85" s="300">
        <f>Dados!J46</f>
        <v>0.06</v>
      </c>
      <c r="O85" s="686">
        <f>-MIN(G84,(F85*O35))</f>
        <v>-135.51</v>
      </c>
      <c r="P85" s="79"/>
      <c r="Q85" s="1216"/>
      <c r="R85" s="664" t="s">
        <v>177</v>
      </c>
      <c r="S85" s="665"/>
      <c r="T85" s="677"/>
      <c r="U85" s="678"/>
      <c r="V85" s="300">
        <v>0.06</v>
      </c>
      <c r="W85" s="686">
        <f>-MIN(G84,(F85*O35))</f>
        <v>-135.51</v>
      </c>
      <c r="X85" s="300">
        <v>0.06</v>
      </c>
      <c r="Y85" s="686">
        <f>-MIN(G84,(F85*O35))</f>
        <v>-135.51</v>
      </c>
      <c r="Z85" s="300">
        <v>0.06</v>
      </c>
      <c r="AA85" s="591">
        <f t="shared" ref="AA85:AA95" si="14">Y85</f>
        <v>-135.51</v>
      </c>
      <c r="AB85" s="300">
        <v>0.06</v>
      </c>
      <c r="AC85" s="917">
        <f>-MIN(G84,(F85*O35))</f>
        <v>-135.51</v>
      </c>
      <c r="AD85" s="780">
        <v>0.06</v>
      </c>
      <c r="AE85" s="917">
        <f>-MIN(AE84,(AD85*AE35))</f>
        <v>-147.02000000000001</v>
      </c>
      <c r="AF85" s="780">
        <v>0.06</v>
      </c>
      <c r="AG85" s="917">
        <f>-MIN(AG84,(AF85*AG35))</f>
        <v>-147.02000000000001</v>
      </c>
      <c r="AH85" s="780">
        <v>0.06</v>
      </c>
      <c r="AI85" s="917">
        <f>-MIN(AI84,(AH85*AI35))</f>
        <v>-147.02000000000001</v>
      </c>
      <c r="AJ85" s="780">
        <v>0.06</v>
      </c>
      <c r="AK85" s="983">
        <f>-MIN(AK84,(AJ85*AK35))</f>
        <v>-155.62</v>
      </c>
    </row>
    <row r="86" spans="1:37" x14ac:dyDescent="0.2">
      <c r="A86" s="1193" t="s">
        <v>2</v>
      </c>
      <c r="B86" s="664" t="s">
        <v>530</v>
      </c>
      <c r="C86" s="665"/>
      <c r="D86" s="677"/>
      <c r="E86" s="672">
        <f>INDEX(Dados!$J$27:$M$32,MATCH($C$23,Dados!$J$27:$J$32,0),4)</f>
        <v>15</v>
      </c>
      <c r="F86" s="686">
        <f>Dados!J48</f>
        <v>37.5</v>
      </c>
      <c r="G86" s="684">
        <f>(E86*F86)*$F$13</f>
        <v>562.5</v>
      </c>
      <c r="H86" s="79"/>
      <c r="I86" s="1219" t="s">
        <v>2</v>
      </c>
      <c r="J86" s="664" t="e">
        <f>HLOOKUP($F$29,#REF!,2,FALSE)</f>
        <v>#REF!</v>
      </c>
      <c r="K86" s="665"/>
      <c r="L86" s="677"/>
      <c r="M86" s="672">
        <f>INDEX(Dados!$J$27:$M$32,MATCH($C$23,Dados!$J$27:$J$32,0),4)</f>
        <v>15</v>
      </c>
      <c r="N86" s="686">
        <f>Dados!R48</f>
        <v>0</v>
      </c>
      <c r="O86" s="684">
        <v>589.35</v>
      </c>
      <c r="P86" s="79"/>
      <c r="Q86" s="1219" t="s">
        <v>2</v>
      </c>
      <c r="R86" s="664" t="s">
        <v>290</v>
      </c>
      <c r="S86" s="665"/>
      <c r="T86" s="677"/>
      <c r="U86" s="672">
        <v>15</v>
      </c>
      <c r="V86" s="686">
        <v>0</v>
      </c>
      <c r="W86" s="684">
        <v>589.35</v>
      </c>
      <c r="X86" s="684"/>
      <c r="Y86" s="684">
        <v>589.35</v>
      </c>
      <c r="Z86" s="898"/>
      <c r="AA86" s="591">
        <f t="shared" si="14"/>
        <v>589.35</v>
      </c>
      <c r="AB86" s="916"/>
      <c r="AC86" s="916">
        <v>589.35</v>
      </c>
      <c r="AD86" s="845">
        <v>42.63</v>
      </c>
      <c r="AE86" s="845">
        <f>'Mem.Submódulo 2.3'!AE46</f>
        <v>639.45000000000005</v>
      </c>
      <c r="AF86" s="845">
        <v>42.63</v>
      </c>
      <c r="AG86" s="845">
        <f>AE86</f>
        <v>639.45000000000005</v>
      </c>
      <c r="AH86" s="845">
        <v>42.63</v>
      </c>
      <c r="AI86" s="845">
        <f>AE86</f>
        <v>639.45000000000005</v>
      </c>
      <c r="AJ86" s="845"/>
      <c r="AK86" s="1006">
        <f>'Mem.Submódulo 2.3'!AN46</f>
        <v>676.8</v>
      </c>
    </row>
    <row r="87" spans="1:37" x14ac:dyDescent="0.2">
      <c r="A87" s="1193"/>
      <c r="B87" s="664" t="s">
        <v>528</v>
      </c>
      <c r="C87" s="306"/>
      <c r="D87" s="307"/>
      <c r="E87" s="304"/>
      <c r="F87" s="686">
        <f>Dados!J49</f>
        <v>0.75</v>
      </c>
      <c r="G87" s="685">
        <f>-F87*E86</f>
        <v>-11.25</v>
      </c>
      <c r="H87" s="79"/>
      <c r="I87" s="1216"/>
      <c r="J87" s="664" t="e">
        <f>HLOOKUP($F$29,#REF!,3,FALSE)</f>
        <v>#REF!</v>
      </c>
      <c r="K87" s="306"/>
      <c r="L87" s="307"/>
      <c r="M87" s="304"/>
      <c r="N87" s="686">
        <f>Dados!R49</f>
        <v>0</v>
      </c>
      <c r="O87" s="685">
        <v>-11.85</v>
      </c>
      <c r="P87" s="79"/>
      <c r="Q87" s="1216"/>
      <c r="R87" s="664" t="s">
        <v>291</v>
      </c>
      <c r="S87" s="306"/>
      <c r="T87" s="307"/>
      <c r="U87" s="304"/>
      <c r="V87" s="686">
        <v>0</v>
      </c>
      <c r="W87" s="685">
        <v>-11.85</v>
      </c>
      <c r="X87" s="685"/>
      <c r="Y87" s="685">
        <v>-11.85</v>
      </c>
      <c r="Z87" s="899"/>
      <c r="AA87" s="591">
        <f t="shared" si="14"/>
        <v>-11.85</v>
      </c>
      <c r="AB87" s="918"/>
      <c r="AC87" s="918">
        <v>-11.85</v>
      </c>
      <c r="AD87" s="794">
        <v>0.85</v>
      </c>
      <c r="AE87" s="794">
        <f>'Mem.Submódulo 2.3'!AE51</f>
        <v>-12.75</v>
      </c>
      <c r="AF87" s="794">
        <v>0.85</v>
      </c>
      <c r="AG87" s="794">
        <f>AE87</f>
        <v>-12.75</v>
      </c>
      <c r="AH87" s="794">
        <v>0.85</v>
      </c>
      <c r="AI87" s="794">
        <f>AE87</f>
        <v>-12.75</v>
      </c>
      <c r="AJ87" s="794"/>
      <c r="AK87" s="794">
        <f>'Mem.Submódulo 2.3'!AN51</f>
        <v>-13.5</v>
      </c>
    </row>
    <row r="88" spans="1:37" x14ac:dyDescent="0.2">
      <c r="A88" s="668" t="s">
        <v>4</v>
      </c>
      <c r="B88" s="664" t="s">
        <v>531</v>
      </c>
      <c r="C88" s="306"/>
      <c r="D88" s="307"/>
      <c r="E88" s="304"/>
      <c r="F88" s="686">
        <f>Dados!J50</f>
        <v>140</v>
      </c>
      <c r="G88" s="685">
        <f t="shared" ref="G88:G91" si="15">F88*$F$13</f>
        <v>140</v>
      </c>
      <c r="H88" s="79"/>
      <c r="I88" s="668" t="s">
        <v>4</v>
      </c>
      <c r="J88" s="664" t="e">
        <f>HLOOKUP($F$29,#REF!,5,FALSE) &amp; " " &amp; "(Pago por ressarcimento)"</f>
        <v>#REF!</v>
      </c>
      <c r="K88" s="306"/>
      <c r="L88" s="307"/>
      <c r="M88" s="304"/>
      <c r="N88" s="686">
        <f>Dados!R50</f>
        <v>0</v>
      </c>
      <c r="O88" s="685">
        <f>F88*$F$13</f>
        <v>140</v>
      </c>
      <c r="P88" s="79"/>
      <c r="Q88" s="668" t="s">
        <v>4</v>
      </c>
      <c r="R88" s="664" t="s">
        <v>499</v>
      </c>
      <c r="S88" s="306"/>
      <c r="T88" s="307"/>
      <c r="U88" s="304"/>
      <c r="V88" s="686">
        <v>0</v>
      </c>
      <c r="W88" s="685">
        <f>F88*$F$13</f>
        <v>140</v>
      </c>
      <c r="X88" s="685"/>
      <c r="Y88" s="685">
        <f>G88*$F$13</f>
        <v>140</v>
      </c>
      <c r="Z88" s="899"/>
      <c r="AA88" s="591">
        <f t="shared" si="14"/>
        <v>140</v>
      </c>
      <c r="AB88" s="918"/>
      <c r="AC88" s="918">
        <v>140</v>
      </c>
      <c r="AD88" s="794">
        <v>151.9</v>
      </c>
      <c r="AE88" s="794">
        <f>'[3]Mem.Submódulo 2.3'!AD57</f>
        <v>151.9</v>
      </c>
      <c r="AF88" s="794">
        <v>151.9</v>
      </c>
      <c r="AG88" s="794">
        <f>AF88</f>
        <v>151.9</v>
      </c>
      <c r="AH88" s="794">
        <v>151.9</v>
      </c>
      <c r="AI88" s="794">
        <f>AE88</f>
        <v>151.9</v>
      </c>
      <c r="AJ88" s="794"/>
      <c r="AK88" s="794">
        <f>AG88</f>
        <v>151.9</v>
      </c>
    </row>
    <row r="89" spans="1:37" x14ac:dyDescent="0.2">
      <c r="A89" s="668" t="s">
        <v>5</v>
      </c>
      <c r="B89" s="664" t="s">
        <v>532</v>
      </c>
      <c r="C89" s="306"/>
      <c r="D89" s="307"/>
      <c r="E89" s="304"/>
      <c r="F89" s="686">
        <f>Dados!J51</f>
        <v>14</v>
      </c>
      <c r="G89" s="685">
        <f t="shared" si="15"/>
        <v>14</v>
      </c>
      <c r="H89" s="79"/>
      <c r="I89" s="668" t="s">
        <v>5</v>
      </c>
      <c r="J89" s="664" t="e">
        <f>HLOOKUP($F$29,#REF!,6,FALSE)</f>
        <v>#REF!</v>
      </c>
      <c r="K89" s="306"/>
      <c r="L89" s="307"/>
      <c r="M89" s="304"/>
      <c r="N89" s="686">
        <f>Dados!R51</f>
        <v>0</v>
      </c>
      <c r="O89" s="685">
        <f>F89*$F$13</f>
        <v>14</v>
      </c>
      <c r="P89" s="79"/>
      <c r="Q89" s="668" t="s">
        <v>5</v>
      </c>
      <c r="R89" s="664" t="s">
        <v>295</v>
      </c>
      <c r="S89" s="306"/>
      <c r="T89" s="307"/>
      <c r="U89" s="304"/>
      <c r="V89" s="686">
        <v>0</v>
      </c>
      <c r="W89" s="685">
        <f>F89*$F$13</f>
        <v>14</v>
      </c>
      <c r="X89" s="685"/>
      <c r="Y89" s="685">
        <f>G89*$F$13</f>
        <v>14</v>
      </c>
      <c r="Z89" s="899"/>
      <c r="AA89" s="591">
        <f t="shared" si="14"/>
        <v>14</v>
      </c>
      <c r="AB89" s="918"/>
      <c r="AC89" s="918">
        <v>14</v>
      </c>
      <c r="AD89" s="794">
        <v>15.19</v>
      </c>
      <c r="AE89" s="794">
        <f>'[3]Mem.Submódulo 2.3'!AD58</f>
        <v>15.19</v>
      </c>
      <c r="AF89" s="794">
        <v>15.19</v>
      </c>
      <c r="AG89" s="794">
        <f>AF89</f>
        <v>15.19</v>
      </c>
      <c r="AH89" s="794">
        <v>15.19</v>
      </c>
      <c r="AI89" s="794">
        <v>15.19</v>
      </c>
      <c r="AJ89" s="794"/>
      <c r="AK89" s="1007">
        <v>16.07</v>
      </c>
    </row>
    <row r="90" spans="1:37" x14ac:dyDescent="0.2">
      <c r="A90" s="668" t="s">
        <v>6</v>
      </c>
      <c r="B90" s="664" t="s">
        <v>533</v>
      </c>
      <c r="C90" s="306"/>
      <c r="D90" s="307"/>
      <c r="E90" s="304"/>
      <c r="F90" s="686">
        <f>Dados!J52</f>
        <v>6.4</v>
      </c>
      <c r="G90" s="685">
        <f t="shared" si="15"/>
        <v>6.4</v>
      </c>
      <c r="H90" s="79"/>
      <c r="I90" s="668" t="s">
        <v>6</v>
      </c>
      <c r="J90" s="664" t="e">
        <f>HLOOKUP($F$29,#REF!,7,FALSE)</f>
        <v>#REF!</v>
      </c>
      <c r="K90" s="306"/>
      <c r="L90" s="307"/>
      <c r="M90" s="304"/>
      <c r="N90" s="686">
        <f>Dados!R52</f>
        <v>0</v>
      </c>
      <c r="O90" s="685">
        <v>6.6</v>
      </c>
      <c r="P90" s="79"/>
      <c r="Q90" s="668" t="s">
        <v>6</v>
      </c>
      <c r="R90" s="664" t="s">
        <v>294</v>
      </c>
      <c r="S90" s="306"/>
      <c r="T90" s="307"/>
      <c r="U90" s="304"/>
      <c r="V90" s="686">
        <v>0</v>
      </c>
      <c r="W90" s="685">
        <v>6.6</v>
      </c>
      <c r="X90" s="685"/>
      <c r="Y90" s="685">
        <v>6.6</v>
      </c>
      <c r="Z90" s="899"/>
      <c r="AA90" s="591">
        <f t="shared" si="14"/>
        <v>6.6</v>
      </c>
      <c r="AB90" s="918"/>
      <c r="AC90" s="918">
        <v>6.6</v>
      </c>
      <c r="AD90" s="794">
        <v>6.6</v>
      </c>
      <c r="AE90" s="794">
        <f>'Mem.Submódulo 2.3'!AC59</f>
        <v>7.87</v>
      </c>
      <c r="AF90" s="794">
        <v>7.87</v>
      </c>
      <c r="AG90" s="794">
        <v>7.87</v>
      </c>
      <c r="AH90" s="794">
        <v>7.87</v>
      </c>
      <c r="AI90" s="794">
        <v>7.87</v>
      </c>
      <c r="AJ90" s="794"/>
      <c r="AK90" s="794">
        <v>8.34</v>
      </c>
    </row>
    <row r="91" spans="1:37" x14ac:dyDescent="0.2">
      <c r="A91" s="668" t="s">
        <v>7</v>
      </c>
      <c r="B91" s="664" t="s">
        <v>534</v>
      </c>
      <c r="C91" s="306"/>
      <c r="D91" s="307"/>
      <c r="E91" s="304"/>
      <c r="F91" s="686">
        <f>Dados!J53</f>
        <v>9</v>
      </c>
      <c r="G91" s="685">
        <f t="shared" si="15"/>
        <v>9</v>
      </c>
      <c r="H91" s="79"/>
      <c r="I91" s="668" t="s">
        <v>7</v>
      </c>
      <c r="J91" s="664" t="e">
        <f>HLOOKUP($F$29,#REF!,8,FALSE)</f>
        <v>#REF!</v>
      </c>
      <c r="K91" s="306"/>
      <c r="L91" s="307"/>
      <c r="M91" s="304"/>
      <c r="N91" s="686">
        <f>Dados!R53</f>
        <v>0</v>
      </c>
      <c r="O91" s="685">
        <f>F91*$F$13</f>
        <v>9</v>
      </c>
      <c r="P91" s="79"/>
      <c r="Q91" s="668" t="s">
        <v>7</v>
      </c>
      <c r="R91" s="664" t="s">
        <v>293</v>
      </c>
      <c r="S91" s="306"/>
      <c r="T91" s="307"/>
      <c r="U91" s="304"/>
      <c r="V91" s="686">
        <v>0</v>
      </c>
      <c r="W91" s="685">
        <f>F91*$F$13</f>
        <v>9</v>
      </c>
      <c r="X91" s="685"/>
      <c r="Y91" s="685">
        <f>G91*$F$13</f>
        <v>9</v>
      </c>
      <c r="Z91" s="899"/>
      <c r="AA91" s="591">
        <f t="shared" si="14"/>
        <v>9</v>
      </c>
      <c r="AB91" s="918"/>
      <c r="AC91" s="918">
        <v>9</v>
      </c>
      <c r="AD91" s="794">
        <v>9</v>
      </c>
      <c r="AE91" s="794">
        <f>'Mem.Submódulo 2.3'!AC60</f>
        <v>9.76</v>
      </c>
      <c r="AF91" s="794">
        <v>9.76</v>
      </c>
      <c r="AG91" s="794">
        <v>9.76</v>
      </c>
      <c r="AH91" s="794">
        <v>9.76</v>
      </c>
      <c r="AI91" s="794">
        <v>9.76</v>
      </c>
      <c r="AJ91" s="794"/>
      <c r="AK91" s="794">
        <v>10.33</v>
      </c>
    </row>
    <row r="92" spans="1:37" ht="14.25" hidden="1" customHeight="1" x14ac:dyDescent="0.2">
      <c r="A92" s="668" t="s">
        <v>9</v>
      </c>
      <c r="B92" s="664" t="e">
        <f>HLOOKUP($F$29,#REF!,9,FALSE)</f>
        <v>#REF!</v>
      </c>
      <c r="C92" s="306"/>
      <c r="D92" s="307"/>
      <c r="E92" s="304"/>
      <c r="F92" s="686">
        <f>Dados!J54</f>
        <v>0</v>
      </c>
      <c r="G92" s="685">
        <f t="shared" ref="G92:G94" si="16">F92*$F$13</f>
        <v>0</v>
      </c>
      <c r="H92" s="79"/>
      <c r="I92" s="668" t="s">
        <v>9</v>
      </c>
      <c r="J92" s="664" t="e">
        <f>HLOOKUP($F$29,#REF!,9,FALSE)</f>
        <v>#REF!</v>
      </c>
      <c r="K92" s="306"/>
      <c r="L92" s="307"/>
      <c r="M92" s="304"/>
      <c r="N92" s="686">
        <f>Dados!R54</f>
        <v>0</v>
      </c>
      <c r="O92" s="685">
        <f t="shared" ref="O92:O94" si="17">N92*$F$13</f>
        <v>0</v>
      </c>
      <c r="P92" s="79"/>
      <c r="Q92" s="668" t="s">
        <v>9</v>
      </c>
      <c r="R92" s="664" t="s">
        <v>283</v>
      </c>
      <c r="S92" s="306"/>
      <c r="T92" s="307"/>
      <c r="U92" s="304"/>
      <c r="V92" s="686">
        <v>0</v>
      </c>
      <c r="W92" s="685">
        <v>0</v>
      </c>
      <c r="X92" s="685"/>
      <c r="Y92" s="685">
        <v>0</v>
      </c>
      <c r="Z92" s="899"/>
      <c r="AA92" s="591">
        <f t="shared" si="14"/>
        <v>0</v>
      </c>
      <c r="AB92" s="918"/>
      <c r="AC92" s="918">
        <v>0</v>
      </c>
      <c r="AD92" s="794"/>
      <c r="AE92" s="794">
        <v>0</v>
      </c>
      <c r="AF92" s="794"/>
      <c r="AG92" s="794">
        <v>0</v>
      </c>
      <c r="AH92" s="794"/>
      <c r="AI92" s="794">
        <v>0</v>
      </c>
      <c r="AJ92" s="794"/>
      <c r="AK92" s="794">
        <v>0</v>
      </c>
    </row>
    <row r="93" spans="1:37" ht="14.25" hidden="1" customHeight="1" x14ac:dyDescent="0.2">
      <c r="A93" s="668" t="s">
        <v>127</v>
      </c>
      <c r="B93" s="664" t="e">
        <f>HLOOKUP($F$29,#REF!,10,FALSE)</f>
        <v>#REF!</v>
      </c>
      <c r="C93" s="306"/>
      <c r="D93" s="307"/>
      <c r="E93" s="304"/>
      <c r="F93" s="686">
        <f>Dados!J55</f>
        <v>0</v>
      </c>
      <c r="G93" s="685">
        <f t="shared" si="16"/>
        <v>0</v>
      </c>
      <c r="H93" s="79"/>
      <c r="I93" s="668" t="s">
        <v>127</v>
      </c>
      <c r="J93" s="664" t="e">
        <f>HLOOKUP($F$29,#REF!,10,FALSE)</f>
        <v>#REF!</v>
      </c>
      <c r="K93" s="306"/>
      <c r="L93" s="307"/>
      <c r="M93" s="304"/>
      <c r="N93" s="686">
        <f>Dados!R55</f>
        <v>0</v>
      </c>
      <c r="O93" s="685">
        <f t="shared" si="17"/>
        <v>0</v>
      </c>
      <c r="P93" s="79"/>
      <c r="Q93" s="668" t="s">
        <v>127</v>
      </c>
      <c r="R93" s="664" t="s">
        <v>296</v>
      </c>
      <c r="S93" s="306"/>
      <c r="T93" s="307"/>
      <c r="U93" s="304"/>
      <c r="V93" s="686">
        <v>0</v>
      </c>
      <c r="W93" s="685">
        <v>0</v>
      </c>
      <c r="X93" s="685"/>
      <c r="Y93" s="685">
        <v>0</v>
      </c>
      <c r="Z93" s="899"/>
      <c r="AA93" s="591">
        <f t="shared" si="14"/>
        <v>0</v>
      </c>
      <c r="AB93" s="918"/>
      <c r="AC93" s="918">
        <v>0</v>
      </c>
      <c r="AD93" s="794"/>
      <c r="AE93" s="794">
        <v>0</v>
      </c>
      <c r="AF93" s="794"/>
      <c r="AG93" s="794">
        <v>0</v>
      </c>
      <c r="AH93" s="794"/>
      <c r="AI93" s="794">
        <v>0</v>
      </c>
      <c r="AJ93" s="794"/>
      <c r="AK93" s="794">
        <v>0</v>
      </c>
    </row>
    <row r="94" spans="1:37" ht="14.25" hidden="1" customHeight="1" x14ac:dyDescent="0.2">
      <c r="A94" s="668" t="s">
        <v>282</v>
      </c>
      <c r="B94" s="664" t="e">
        <f>HLOOKUP($F$29,#REF!,11,FALSE)</f>
        <v>#REF!</v>
      </c>
      <c r="C94" s="306"/>
      <c r="D94" s="307"/>
      <c r="E94" s="304"/>
      <c r="F94" s="686">
        <f>Dados!J56</f>
        <v>0</v>
      </c>
      <c r="G94" s="685">
        <f t="shared" si="16"/>
        <v>0</v>
      </c>
      <c r="H94" s="79"/>
      <c r="I94" s="668" t="s">
        <v>282</v>
      </c>
      <c r="J94" s="664" t="e">
        <f>HLOOKUP($F$29,#REF!,11,FALSE)</f>
        <v>#REF!</v>
      </c>
      <c r="K94" s="306"/>
      <c r="L94" s="307"/>
      <c r="M94" s="304"/>
      <c r="N94" s="686">
        <f>Dados!R56</f>
        <v>0</v>
      </c>
      <c r="O94" s="685">
        <f t="shared" si="17"/>
        <v>0</v>
      </c>
      <c r="P94" s="79"/>
      <c r="Q94" s="668" t="s">
        <v>282</v>
      </c>
      <c r="R94" s="664" t="s">
        <v>297</v>
      </c>
      <c r="S94" s="306"/>
      <c r="T94" s="307"/>
      <c r="U94" s="304"/>
      <c r="V94" s="686">
        <v>0</v>
      </c>
      <c r="W94" s="685">
        <v>0</v>
      </c>
      <c r="X94" s="685"/>
      <c r="Y94" s="685">
        <v>0</v>
      </c>
      <c r="Z94" s="899"/>
      <c r="AA94" s="591">
        <f t="shared" si="14"/>
        <v>0</v>
      </c>
      <c r="AB94" s="918"/>
      <c r="AC94" s="918">
        <v>0</v>
      </c>
      <c r="AD94" s="794"/>
      <c r="AE94" s="794">
        <v>0</v>
      </c>
      <c r="AF94" s="794"/>
      <c r="AG94" s="794">
        <v>0</v>
      </c>
      <c r="AH94" s="794"/>
      <c r="AI94" s="794">
        <v>0</v>
      </c>
      <c r="AJ94" s="794"/>
      <c r="AK94" s="794">
        <v>0</v>
      </c>
    </row>
    <row r="95" spans="1:37" x14ac:dyDescent="0.2">
      <c r="A95" s="668" t="s">
        <v>8</v>
      </c>
      <c r="B95" s="303" t="s">
        <v>51</v>
      </c>
      <c r="C95" s="306"/>
      <c r="D95" s="307"/>
      <c r="E95" s="304"/>
      <c r="F95" s="686"/>
      <c r="G95" s="687"/>
      <c r="H95" s="79"/>
      <c r="I95" s="668" t="s">
        <v>8</v>
      </c>
      <c r="J95" s="303" t="s">
        <v>51</v>
      </c>
      <c r="K95" s="306"/>
      <c r="L95" s="307"/>
      <c r="M95" s="304"/>
      <c r="N95" s="686"/>
      <c r="O95" s="687"/>
      <c r="P95" s="79"/>
      <c r="Q95" s="668" t="s">
        <v>8</v>
      </c>
      <c r="R95" s="303" t="s">
        <v>51</v>
      </c>
      <c r="S95" s="306"/>
      <c r="T95" s="307"/>
      <c r="U95" s="304"/>
      <c r="V95" s="686"/>
      <c r="W95" s="687"/>
      <c r="X95" s="687"/>
      <c r="Y95" s="687"/>
      <c r="Z95" s="896"/>
      <c r="AA95" s="591">
        <f t="shared" si="14"/>
        <v>0</v>
      </c>
      <c r="AB95" s="914"/>
      <c r="AC95" s="914"/>
      <c r="AD95" s="787"/>
      <c r="AE95" s="787"/>
      <c r="AF95" s="787"/>
      <c r="AG95" s="787"/>
      <c r="AH95" s="787"/>
      <c r="AI95" s="787"/>
      <c r="AJ95" s="787"/>
      <c r="AK95" s="787"/>
    </row>
    <row r="96" spans="1:37" ht="18" customHeight="1" x14ac:dyDescent="0.2">
      <c r="A96" s="1202" t="s">
        <v>159</v>
      </c>
      <c r="B96" s="1202"/>
      <c r="C96" s="1202"/>
      <c r="D96" s="1202"/>
      <c r="E96" s="1202"/>
      <c r="F96" s="1202"/>
      <c r="G96" s="302">
        <f>SUM(G84:G95)</f>
        <v>754.09</v>
      </c>
      <c r="H96" s="79"/>
      <c r="I96" s="1203" t="s">
        <v>159</v>
      </c>
      <c r="J96" s="1204"/>
      <c r="K96" s="1204"/>
      <c r="L96" s="1204"/>
      <c r="M96" s="1204"/>
      <c r="N96" s="1205"/>
      <c r="O96" s="302">
        <f>SUM(O84:O95)</f>
        <v>776.59</v>
      </c>
      <c r="P96" s="79"/>
      <c r="Q96" s="1203" t="s">
        <v>159</v>
      </c>
      <c r="R96" s="1204"/>
      <c r="S96" s="1204"/>
      <c r="T96" s="1204"/>
      <c r="U96" s="1204"/>
      <c r="V96" s="1205"/>
      <c r="W96" s="302">
        <f>SUM(W84:W95)</f>
        <v>776.59</v>
      </c>
      <c r="X96" s="302" t="s">
        <v>159</v>
      </c>
      <c r="Y96" s="302">
        <f>SUM(Y84:Y95)</f>
        <v>776.59</v>
      </c>
      <c r="Z96" s="900" t="s">
        <v>159</v>
      </c>
      <c r="AA96" s="919">
        <f>SUM(AA84:AA95)</f>
        <v>776.59</v>
      </c>
      <c r="AB96" s="919" t="s">
        <v>159</v>
      </c>
      <c r="AC96" s="919">
        <f>SUM(AC84:AC95)</f>
        <v>776.59</v>
      </c>
      <c r="AD96" s="795" t="s">
        <v>159</v>
      </c>
      <c r="AE96" s="795">
        <f>SUM(AE84:AE95)</f>
        <v>829.4</v>
      </c>
      <c r="AF96" s="795" t="s">
        <v>159</v>
      </c>
      <c r="AG96" s="795">
        <f>SUM(AG84:AG95)</f>
        <v>829.4</v>
      </c>
      <c r="AH96" s="795" t="s">
        <v>159</v>
      </c>
      <c r="AI96" s="795">
        <f>SUM(AI84:AI95)</f>
        <v>829.4</v>
      </c>
      <c r="AJ96" s="795" t="s">
        <v>159</v>
      </c>
      <c r="AK96" s="795">
        <f>SUM(AK84:AK95)</f>
        <v>859.32</v>
      </c>
    </row>
    <row r="97" spans="1:37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P97" s="79"/>
      <c r="Q97" s="71" t="s">
        <v>500</v>
      </c>
      <c r="R97" s="68"/>
      <c r="S97" s="68"/>
      <c r="T97" s="68"/>
      <c r="U97" s="68"/>
      <c r="V97" s="77"/>
      <c r="W97" s="78"/>
      <c r="X97" s="78"/>
    </row>
    <row r="98" spans="1:37" s="34" customFormat="1" ht="14.25" hidden="1" customHeight="1" x14ac:dyDescent="0.2">
      <c r="A98" s="1185" t="s">
        <v>481</v>
      </c>
      <c r="B98" s="1185"/>
      <c r="C98" s="1185"/>
      <c r="D98" s="1185"/>
      <c r="E98" s="1185"/>
      <c r="F98" s="1185"/>
      <c r="G98" s="1185"/>
      <c r="H98" s="79"/>
      <c r="I98" s="1185"/>
      <c r="J98" s="1185"/>
      <c r="K98" s="1185"/>
      <c r="L98" s="1185"/>
      <c r="M98" s="1185"/>
      <c r="N98" s="1185"/>
      <c r="O98" s="1185"/>
      <c r="P98" s="79"/>
      <c r="Q98" s="1185"/>
      <c r="R98" s="1185"/>
      <c r="S98" s="1185"/>
      <c r="T98" s="1185"/>
      <c r="U98" s="1185"/>
      <c r="V98" s="1185"/>
      <c r="W98" s="1185"/>
      <c r="X98" s="662"/>
    </row>
    <row r="99" spans="1:37" s="34" customFormat="1" ht="14.25" hidden="1" customHeight="1" x14ac:dyDescent="0.2">
      <c r="A99" s="681"/>
      <c r="B99" s="68"/>
      <c r="C99" s="68"/>
      <c r="D99" s="68"/>
      <c r="E99" s="68"/>
      <c r="F99" s="77"/>
      <c r="G99" s="78"/>
      <c r="H99" s="79"/>
      <c r="I99" s="681"/>
      <c r="J99" s="68"/>
      <c r="K99" s="68"/>
      <c r="L99" s="68"/>
      <c r="M99" s="68"/>
      <c r="N99" s="77"/>
      <c r="O99" s="78"/>
      <c r="P99" s="79"/>
      <c r="Q99" s="681"/>
      <c r="R99" s="68"/>
      <c r="S99" s="68"/>
      <c r="T99" s="68"/>
      <c r="U99" s="68"/>
      <c r="V99" s="77"/>
      <c r="W99" s="78"/>
      <c r="X99" s="78"/>
    </row>
    <row r="100" spans="1:37" s="34" customFormat="1" x14ac:dyDescent="0.2">
      <c r="A100" s="1221" t="s">
        <v>225</v>
      </c>
      <c r="B100" s="1222"/>
      <c r="C100" s="1222"/>
      <c r="D100" s="1222"/>
      <c r="E100" s="1222"/>
      <c r="F100" s="1222"/>
      <c r="G100" s="1222"/>
      <c r="H100" s="1222"/>
      <c r="I100" s="1222"/>
      <c r="J100" s="1222"/>
      <c r="K100" s="1222"/>
      <c r="L100" s="1222"/>
      <c r="M100" s="1222"/>
      <c r="N100" s="1222"/>
      <c r="O100" s="1222"/>
      <c r="P100" s="1222"/>
      <c r="Q100" s="1222"/>
      <c r="R100" s="1222"/>
      <c r="S100" s="1222"/>
      <c r="T100" s="1222"/>
      <c r="U100" s="1222"/>
      <c r="V100" s="1222"/>
      <c r="W100" s="1222"/>
      <c r="X100" s="1222"/>
      <c r="Y100" s="1223"/>
    </row>
    <row r="101" spans="1:37" s="34" customFormat="1" ht="57" x14ac:dyDescent="0.2">
      <c r="A101" s="704">
        <v>2</v>
      </c>
      <c r="B101" s="1212" t="s">
        <v>226</v>
      </c>
      <c r="C101" s="1212"/>
      <c r="D101" s="1212"/>
      <c r="E101" s="1212"/>
      <c r="F101" s="1212"/>
      <c r="G101" s="704" t="s">
        <v>107</v>
      </c>
      <c r="H101" s="79"/>
      <c r="I101" s="704">
        <v>2</v>
      </c>
      <c r="J101" s="1206" t="s">
        <v>226</v>
      </c>
      <c r="K101" s="1207"/>
      <c r="L101" s="1207"/>
      <c r="M101" s="1207"/>
      <c r="N101" s="1208"/>
      <c r="O101" s="704" t="s">
        <v>107</v>
      </c>
      <c r="P101" s="79"/>
      <c r="Q101" s="704">
        <v>2</v>
      </c>
      <c r="R101" s="1213" t="s">
        <v>226</v>
      </c>
      <c r="S101" s="1201"/>
      <c r="T101" s="1201"/>
      <c r="U101" s="1201"/>
      <c r="V101" s="1214"/>
      <c r="W101" s="704" t="s">
        <v>107</v>
      </c>
      <c r="X101" s="705" t="s">
        <v>226</v>
      </c>
      <c r="Y101" s="704" t="s">
        <v>107</v>
      </c>
      <c r="Z101" s="891" t="s">
        <v>226</v>
      </c>
      <c r="AA101" s="911" t="s">
        <v>107</v>
      </c>
      <c r="AB101" s="913" t="s">
        <v>226</v>
      </c>
      <c r="AC101" s="911" t="s">
        <v>107</v>
      </c>
      <c r="AD101" s="796"/>
      <c r="AE101" s="797" t="s">
        <v>107</v>
      </c>
      <c r="AF101" s="796"/>
      <c r="AG101" s="797" t="s">
        <v>107</v>
      </c>
      <c r="AH101" s="796"/>
      <c r="AI101" s="797" t="s">
        <v>107</v>
      </c>
      <c r="AJ101" s="783" t="s">
        <v>226</v>
      </c>
      <c r="AK101" s="949" t="s">
        <v>107</v>
      </c>
    </row>
    <row r="102" spans="1:37" s="34" customFormat="1" x14ac:dyDescent="0.2">
      <c r="A102" s="295" t="s">
        <v>211</v>
      </c>
      <c r="B102" s="664" t="str">
        <f>B48</f>
        <v>13º (décimo terceiro) Salário, Férias e Adicional de Férias</v>
      </c>
      <c r="C102" s="336"/>
      <c r="D102" s="336"/>
      <c r="E102" s="336"/>
      <c r="F102" s="691"/>
      <c r="G102" s="684">
        <f>G51</f>
        <v>604.58000000000004</v>
      </c>
      <c r="H102" s="79"/>
      <c r="I102" s="295" t="s">
        <v>211</v>
      </c>
      <c r="J102" s="664" t="str">
        <f>J48</f>
        <v>13º (décimo terceiro) Salário, Férias e Adicional de Férias</v>
      </c>
      <c r="K102" s="336"/>
      <c r="L102" s="336"/>
      <c r="M102" s="336"/>
      <c r="N102" s="691"/>
      <c r="O102" s="684">
        <f>O51</f>
        <v>622.72</v>
      </c>
      <c r="P102" s="79"/>
      <c r="Q102" s="295" t="s">
        <v>211</v>
      </c>
      <c r="R102" s="664" t="s">
        <v>223</v>
      </c>
      <c r="S102" s="336"/>
      <c r="T102" s="336"/>
      <c r="U102" s="336"/>
      <c r="V102" s="691"/>
      <c r="W102" s="684">
        <f>O51</f>
        <v>622.72</v>
      </c>
      <c r="X102" s="684"/>
      <c r="Y102" s="684">
        <f>O51</f>
        <v>622.72</v>
      </c>
      <c r="Z102" s="898"/>
      <c r="AA102" s="916">
        <f>Y102</f>
        <v>622.72</v>
      </c>
      <c r="AB102" s="916"/>
      <c r="AC102" s="916">
        <f>O51</f>
        <v>622.72</v>
      </c>
      <c r="AD102" s="798"/>
      <c r="AE102" s="799">
        <f>AE51</f>
        <v>675.64</v>
      </c>
      <c r="AF102" s="798"/>
      <c r="AG102" s="799">
        <f>AG51</f>
        <v>675.64</v>
      </c>
      <c r="AH102" s="798"/>
      <c r="AI102" s="799">
        <f>AI51</f>
        <v>675.64</v>
      </c>
      <c r="AJ102" s="798"/>
      <c r="AK102" s="799">
        <f>AK51</f>
        <v>715.17</v>
      </c>
    </row>
    <row r="103" spans="1:37" s="34" customFormat="1" x14ac:dyDescent="0.2">
      <c r="A103" s="295" t="s">
        <v>210</v>
      </c>
      <c r="B103" s="664" t="str">
        <f>B65</f>
        <v>GPS, FGTS e outras contribuições</v>
      </c>
      <c r="C103" s="336"/>
      <c r="D103" s="336"/>
      <c r="E103" s="336"/>
      <c r="F103" s="691"/>
      <c r="G103" s="684">
        <f>G74</f>
        <v>1253.8399999999999</v>
      </c>
      <c r="H103" s="79"/>
      <c r="I103" s="295" t="s">
        <v>210</v>
      </c>
      <c r="J103" s="664" t="str">
        <f>J65</f>
        <v>GPS, FGTS e outras contribuições</v>
      </c>
      <c r="K103" s="336"/>
      <c r="L103" s="336"/>
      <c r="M103" s="336"/>
      <c r="N103" s="691"/>
      <c r="O103" s="684">
        <f>O74</f>
        <v>1294.3</v>
      </c>
      <c r="P103" s="79"/>
      <c r="Q103" s="295" t="s">
        <v>210</v>
      </c>
      <c r="R103" s="664" t="s">
        <v>221</v>
      </c>
      <c r="S103" s="336"/>
      <c r="T103" s="336"/>
      <c r="U103" s="336"/>
      <c r="V103" s="691"/>
      <c r="W103" s="684">
        <f>O74</f>
        <v>1294.3</v>
      </c>
      <c r="X103" s="684"/>
      <c r="Y103" s="684">
        <f>O74</f>
        <v>1294.3</v>
      </c>
      <c r="Z103" s="898"/>
      <c r="AA103" s="916">
        <f>Y103</f>
        <v>1294.3</v>
      </c>
      <c r="AB103" s="916"/>
      <c r="AC103" s="916">
        <f>O74</f>
        <v>1294.3</v>
      </c>
      <c r="AD103" s="800"/>
      <c r="AE103" s="799">
        <f>AE74</f>
        <v>1410.87</v>
      </c>
      <c r="AF103" s="800"/>
      <c r="AG103" s="799">
        <f>AG74</f>
        <v>1410.87</v>
      </c>
      <c r="AH103" s="800"/>
      <c r="AI103" s="799">
        <f>AI74</f>
        <v>1410.87</v>
      </c>
      <c r="AJ103" s="800"/>
      <c r="AK103" s="799">
        <f>AK74</f>
        <v>1520.37</v>
      </c>
    </row>
    <row r="104" spans="1:37" s="34" customFormat="1" x14ac:dyDescent="0.2">
      <c r="A104" s="295" t="s">
        <v>219</v>
      </c>
      <c r="B104" s="664" t="str">
        <f>B83</f>
        <v>Benefícios Mensais e Diários</v>
      </c>
      <c r="C104" s="336"/>
      <c r="D104" s="336"/>
      <c r="E104" s="336"/>
      <c r="F104" s="691"/>
      <c r="G104" s="684">
        <f>G96</f>
        <v>754.09</v>
      </c>
      <c r="H104" s="79"/>
      <c r="I104" s="295" t="s">
        <v>219</v>
      </c>
      <c r="J104" s="664" t="str">
        <f>J83</f>
        <v>Benefícios Mensais e Diários</v>
      </c>
      <c r="K104" s="336"/>
      <c r="L104" s="336"/>
      <c r="M104" s="336"/>
      <c r="N104" s="691"/>
      <c r="O104" s="684">
        <f>O96</f>
        <v>776.59</v>
      </c>
      <c r="P104" s="79"/>
      <c r="Q104" s="295" t="s">
        <v>219</v>
      </c>
      <c r="R104" s="664" t="s">
        <v>22</v>
      </c>
      <c r="S104" s="336"/>
      <c r="T104" s="336"/>
      <c r="U104" s="336"/>
      <c r="V104" s="691"/>
      <c r="W104" s="684">
        <f>W96</f>
        <v>776.59</v>
      </c>
      <c r="X104" s="684"/>
      <c r="Y104" s="684">
        <f>Y96</f>
        <v>776.59</v>
      </c>
      <c r="Z104" s="898"/>
      <c r="AA104" s="916">
        <f>Y104</f>
        <v>776.59</v>
      </c>
      <c r="AB104" s="916"/>
      <c r="AC104" s="916">
        <f>Y96</f>
        <v>776.59</v>
      </c>
      <c r="AD104" s="801"/>
      <c r="AE104" s="799">
        <f>AE96</f>
        <v>829.4</v>
      </c>
      <c r="AF104" s="801"/>
      <c r="AG104" s="799">
        <f>AG96</f>
        <v>829.4</v>
      </c>
      <c r="AH104" s="801"/>
      <c r="AI104" s="799">
        <f>AI96</f>
        <v>829.4</v>
      </c>
      <c r="AJ104" s="801"/>
      <c r="AK104" s="799">
        <f>AK96</f>
        <v>859.32</v>
      </c>
    </row>
    <row r="105" spans="1:37" s="34" customFormat="1" x14ac:dyDescent="0.2">
      <c r="A105" s="1172" t="s">
        <v>159</v>
      </c>
      <c r="B105" s="1172"/>
      <c r="C105" s="1172"/>
      <c r="D105" s="1172"/>
      <c r="E105" s="1172"/>
      <c r="F105" s="1172"/>
      <c r="G105" s="316">
        <f>SUM(G102:G104)</f>
        <v>2612.5100000000002</v>
      </c>
      <c r="H105" s="79"/>
      <c r="I105" s="1175" t="s">
        <v>159</v>
      </c>
      <c r="J105" s="1176"/>
      <c r="K105" s="1176"/>
      <c r="L105" s="1176"/>
      <c r="M105" s="1176"/>
      <c r="N105" s="1177"/>
      <c r="O105" s="316">
        <f>SUM(O102:O104)</f>
        <v>2693.61</v>
      </c>
      <c r="P105" s="79"/>
      <c r="Q105" s="1175" t="s">
        <v>159</v>
      </c>
      <c r="R105" s="1176"/>
      <c r="S105" s="1176"/>
      <c r="T105" s="1176"/>
      <c r="U105" s="1176"/>
      <c r="V105" s="1177"/>
      <c r="W105" s="316">
        <f>SUM(W102:W104)</f>
        <v>2693.61</v>
      </c>
      <c r="X105" s="316" t="s">
        <v>159</v>
      </c>
      <c r="Y105" s="316">
        <f>SUM(Y102:Y104)</f>
        <v>2693.61</v>
      </c>
      <c r="Z105" s="897" t="s">
        <v>159</v>
      </c>
      <c r="AA105" s="915">
        <f>SUM(AA102:AA104)</f>
        <v>2693.61</v>
      </c>
      <c r="AB105" s="915" t="s">
        <v>159</v>
      </c>
      <c r="AC105" s="915">
        <f>SUM(AC102:AC104)</f>
        <v>2693.61</v>
      </c>
      <c r="AD105" s="802" t="s">
        <v>159</v>
      </c>
      <c r="AE105" s="846">
        <f>SUM(AE102:AE104)</f>
        <v>2915.91</v>
      </c>
      <c r="AF105" s="802" t="s">
        <v>159</v>
      </c>
      <c r="AG105" s="846">
        <f>SUM(AG102:AG104)</f>
        <v>2915.91</v>
      </c>
      <c r="AH105" s="802" t="s">
        <v>159</v>
      </c>
      <c r="AI105" s="846">
        <f>SUM(AI102:AI104)</f>
        <v>2915.91</v>
      </c>
      <c r="AJ105" s="802" t="s">
        <v>159</v>
      </c>
      <c r="AK105" s="846">
        <f>SUM(AK102:AK104)</f>
        <v>3094.86</v>
      </c>
    </row>
    <row r="106" spans="1:37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P106" s="79"/>
      <c r="Q106" s="71"/>
      <c r="R106" s="71"/>
      <c r="S106" s="71"/>
      <c r="T106" s="71"/>
      <c r="U106" s="71"/>
      <c r="V106" s="196"/>
      <c r="W106" s="197"/>
      <c r="X106" s="197"/>
    </row>
    <row r="107" spans="1:37" s="34" customFormat="1" ht="15" customHeight="1" x14ac:dyDescent="0.2">
      <c r="A107" s="1173" t="s">
        <v>227</v>
      </c>
      <c r="B107" s="1173"/>
      <c r="C107" s="1173"/>
      <c r="D107" s="1173"/>
      <c r="E107" s="1173"/>
      <c r="F107" s="1173"/>
      <c r="G107" s="1173"/>
      <c r="H107" s="1173"/>
      <c r="I107" s="1173"/>
      <c r="J107" s="1173"/>
      <c r="K107" s="1173"/>
      <c r="L107" s="1173"/>
      <c r="M107" s="1173"/>
      <c r="N107" s="1173"/>
      <c r="O107" s="1173"/>
      <c r="P107" s="1173"/>
      <c r="Q107" s="1173"/>
      <c r="R107" s="1173"/>
      <c r="S107" s="1173"/>
      <c r="T107" s="1173"/>
      <c r="U107" s="1173"/>
      <c r="V107" s="1173"/>
      <c r="W107" s="1173"/>
      <c r="X107" s="1173"/>
      <c r="Y107" s="1173"/>
    </row>
    <row r="108" spans="1:37" s="34" customFormat="1" ht="113.25" customHeight="1" x14ac:dyDescent="0.2">
      <c r="A108" s="703">
        <v>3</v>
      </c>
      <c r="B108" s="1174" t="s">
        <v>84</v>
      </c>
      <c r="C108" s="1174"/>
      <c r="D108" s="1174"/>
      <c r="E108" s="1174"/>
      <c r="F108" s="703" t="s">
        <v>222</v>
      </c>
      <c r="G108" s="707" t="s">
        <v>107</v>
      </c>
      <c r="H108" s="592"/>
      <c r="I108" s="703">
        <v>3</v>
      </c>
      <c r="J108" s="1174" t="s">
        <v>84</v>
      </c>
      <c r="K108" s="1174"/>
      <c r="L108" s="1174"/>
      <c r="M108" s="1174"/>
      <c r="N108" s="703" t="s">
        <v>222</v>
      </c>
      <c r="O108" s="707" t="s">
        <v>107</v>
      </c>
      <c r="P108" s="592"/>
      <c r="Q108" s="703">
        <v>3</v>
      </c>
      <c r="R108" s="1174" t="s">
        <v>84</v>
      </c>
      <c r="S108" s="1174"/>
      <c r="T108" s="1174"/>
      <c r="U108" s="1174"/>
      <c r="V108" s="703" t="s">
        <v>222</v>
      </c>
      <c r="W108" s="707" t="s">
        <v>107</v>
      </c>
      <c r="X108" s="703" t="s">
        <v>222</v>
      </c>
      <c r="Y108" s="707" t="s">
        <v>107</v>
      </c>
      <c r="Z108" s="888" t="s">
        <v>222</v>
      </c>
      <c r="AA108" s="912" t="s">
        <v>107</v>
      </c>
      <c r="AB108" s="909" t="s">
        <v>222</v>
      </c>
      <c r="AC108" s="912" t="s">
        <v>107</v>
      </c>
      <c r="AD108" s="783" t="s">
        <v>222</v>
      </c>
      <c r="AE108" s="922" t="s">
        <v>107</v>
      </c>
      <c r="AF108" s="783" t="s">
        <v>222</v>
      </c>
      <c r="AG108" s="922" t="s">
        <v>107</v>
      </c>
      <c r="AH108" s="783" t="s">
        <v>222</v>
      </c>
      <c r="AI108" s="922" t="s">
        <v>107</v>
      </c>
      <c r="AJ108" s="783" t="s">
        <v>222</v>
      </c>
      <c r="AK108" s="1000" t="s">
        <v>107</v>
      </c>
    </row>
    <row r="109" spans="1:37" s="34" customFormat="1" x14ac:dyDescent="0.2">
      <c r="A109" s="675" t="s">
        <v>1</v>
      </c>
      <c r="B109" s="137" t="str">
        <f>Dados!B90</f>
        <v>Aviso Prévio Indenizado </v>
      </c>
      <c r="C109" s="138"/>
      <c r="D109" s="597"/>
      <c r="E109" s="598"/>
      <c r="F109" s="599">
        <f>Dados!G90</f>
        <v>2.5000000000000001E-3</v>
      </c>
      <c r="G109" s="600">
        <f>F109*$G$62</f>
        <v>8.64</v>
      </c>
      <c r="H109" s="79"/>
      <c r="I109" s="675" t="s">
        <v>1</v>
      </c>
      <c r="J109" s="137" t="str">
        <f>Dados!B90</f>
        <v>Aviso Prévio Indenizado </v>
      </c>
      <c r="K109" s="138"/>
      <c r="L109" s="597"/>
      <c r="M109" s="598"/>
      <c r="N109" s="599">
        <f>Dados!G90</f>
        <v>2.5000000000000001E-3</v>
      </c>
      <c r="O109" s="600">
        <f>N109*$O$62</f>
        <v>8.9</v>
      </c>
      <c r="P109" s="79"/>
      <c r="Q109" s="675" t="s">
        <v>1</v>
      </c>
      <c r="R109" s="137" t="s">
        <v>50</v>
      </c>
      <c r="S109" s="138"/>
      <c r="T109" s="597"/>
      <c r="U109" s="598"/>
      <c r="V109" s="599">
        <v>2.5000000000000001E-3</v>
      </c>
      <c r="W109" s="600">
        <f>V109*$W$62</f>
        <v>8.9</v>
      </c>
      <c r="X109" s="599">
        <v>2.5000000000000001E-3</v>
      </c>
      <c r="Y109" s="600">
        <f>V109*$W$62</f>
        <v>8.9</v>
      </c>
      <c r="Z109" s="599">
        <v>2.5000000000000001E-3</v>
      </c>
      <c r="AA109" s="600">
        <f>X109*$W$62</f>
        <v>8.9</v>
      </c>
      <c r="AB109" s="599">
        <v>2.5000000000000001E-3</v>
      </c>
      <c r="AC109" s="600">
        <f>X109*$W$62</f>
        <v>8.9</v>
      </c>
      <c r="AD109" s="803">
        <v>2.5000000000000001E-3</v>
      </c>
      <c r="AE109" s="785">
        <f>AD109*$AE$62</f>
        <v>9.65</v>
      </c>
      <c r="AF109" s="803">
        <v>2.5000000000000001E-3</v>
      </c>
      <c r="AG109" s="785">
        <f>AF109*$AE$62</f>
        <v>9.65</v>
      </c>
      <c r="AH109" s="803">
        <v>2.5000000000000001E-3</v>
      </c>
      <c r="AI109" s="785">
        <f>AH109*$AE$62</f>
        <v>9.65</v>
      </c>
      <c r="AJ109" s="803">
        <v>2.5000000000000001E-3</v>
      </c>
      <c r="AK109" s="785">
        <f t="shared" ref="AK109:AK115" si="18">AJ109*$AK$62</f>
        <v>10.220000000000001</v>
      </c>
    </row>
    <row r="110" spans="1:37" s="34" customFormat="1" x14ac:dyDescent="0.2">
      <c r="A110" s="668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687">
        <f t="shared" ref="G110:G115" si="19">F110*$G$62</f>
        <v>0.69</v>
      </c>
      <c r="H110" s="79"/>
      <c r="I110" s="668" t="s">
        <v>2</v>
      </c>
      <c r="J110" s="313" t="str">
        <f>Dados!B91</f>
        <v>Incidência do FGTS sobre aviso prévio indenizado</v>
      </c>
      <c r="K110" s="122"/>
      <c r="L110" s="315"/>
      <c r="M110" s="304"/>
      <c r="N110" s="308">
        <f>Dados!G91</f>
        <v>2.0000000000000001E-4</v>
      </c>
      <c r="O110" s="687">
        <f>N110*$O$62</f>
        <v>0.71</v>
      </c>
      <c r="P110" s="79"/>
      <c r="Q110" s="668" t="s">
        <v>2</v>
      </c>
      <c r="R110" s="313" t="s">
        <v>110</v>
      </c>
      <c r="S110" s="122"/>
      <c r="T110" s="315"/>
      <c r="U110" s="304"/>
      <c r="V110" s="308">
        <v>2.0000000000000001E-4</v>
      </c>
      <c r="W110" s="687">
        <f>V110*$W$62</f>
        <v>0.71</v>
      </c>
      <c r="X110" s="308">
        <v>2.0000000000000001E-4</v>
      </c>
      <c r="Y110" s="687">
        <f>V110*$W$62</f>
        <v>0.71</v>
      </c>
      <c r="Z110" s="308">
        <v>2.0000000000000001E-4</v>
      </c>
      <c r="AA110" s="914">
        <f>X110*$W$62</f>
        <v>0.71</v>
      </c>
      <c r="AB110" s="308">
        <v>2.0000000000000001E-4</v>
      </c>
      <c r="AC110" s="914">
        <f>X110*$W$62</f>
        <v>0.71</v>
      </c>
      <c r="AD110" s="803">
        <v>2.0000000000000001E-4</v>
      </c>
      <c r="AE110" s="785">
        <f t="shared" ref="AE110:AE115" si="20">AD110*$AE$62</f>
        <v>0.77</v>
      </c>
      <c r="AF110" s="803">
        <v>2.0000000000000001E-4</v>
      </c>
      <c r="AG110" s="785">
        <f t="shared" ref="AG110:AG115" si="21">AF110*$AE$62</f>
        <v>0.77</v>
      </c>
      <c r="AH110" s="803">
        <v>2.0000000000000001E-4</v>
      </c>
      <c r="AI110" s="785">
        <f t="shared" ref="AI110:AI115" si="22">AH110*$AE$62</f>
        <v>0.77</v>
      </c>
      <c r="AJ110" s="803">
        <v>2.0000000000000001E-4</v>
      </c>
      <c r="AK110" s="785">
        <f t="shared" si="18"/>
        <v>0.82</v>
      </c>
    </row>
    <row r="111" spans="1:37" s="34" customFormat="1" x14ac:dyDescent="0.2">
      <c r="A111" s="668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687">
        <f t="shared" si="19"/>
        <v>0</v>
      </c>
      <c r="H111" s="79"/>
      <c r="I111" s="668" t="s">
        <v>4</v>
      </c>
      <c r="J111" s="313" t="str">
        <f>Dados!B92</f>
        <v xml:space="preserve">Multa sobre FGTS sobre o aviso prévio indenizado </v>
      </c>
      <c r="K111" s="122"/>
      <c r="L111" s="315"/>
      <c r="M111" s="304"/>
      <c r="N111" s="354">
        <f>Dados!G92</f>
        <v>9.9999999999999995E-7</v>
      </c>
      <c r="O111" s="687">
        <f t="shared" ref="O111" si="23">N111*$G$62</f>
        <v>0</v>
      </c>
      <c r="P111" s="79"/>
      <c r="Q111" s="668" t="s">
        <v>4</v>
      </c>
      <c r="R111" s="313" t="s">
        <v>298</v>
      </c>
      <c r="S111" s="122"/>
      <c r="T111" s="315"/>
      <c r="U111" s="304"/>
      <c r="V111" s="354">
        <v>9.9999999999999995E-7</v>
      </c>
      <c r="W111" s="687">
        <v>0</v>
      </c>
      <c r="X111" s="354">
        <v>9.9999999999999995E-7</v>
      </c>
      <c r="Y111" s="687">
        <v>0</v>
      </c>
      <c r="Z111" s="354">
        <v>9.9999999999999995E-7</v>
      </c>
      <c r="AA111" s="914">
        <v>0</v>
      </c>
      <c r="AB111" s="354">
        <v>9.9999999999999995E-7</v>
      </c>
      <c r="AC111" s="914">
        <v>0</v>
      </c>
      <c r="AD111" s="804">
        <v>9.9999999999999995E-7</v>
      </c>
      <c r="AE111" s="785">
        <f t="shared" si="20"/>
        <v>0</v>
      </c>
      <c r="AF111" s="804">
        <v>9.9999999999999995E-7</v>
      </c>
      <c r="AG111" s="785">
        <f t="shared" si="21"/>
        <v>0</v>
      </c>
      <c r="AH111" s="804">
        <v>9.9999999999999995E-7</v>
      </c>
      <c r="AI111" s="785">
        <f t="shared" si="22"/>
        <v>0</v>
      </c>
      <c r="AJ111" s="804">
        <v>9.9999999999999995E-7</v>
      </c>
      <c r="AK111" s="785">
        <f t="shared" si="18"/>
        <v>0</v>
      </c>
    </row>
    <row r="112" spans="1:37" s="34" customFormat="1" x14ac:dyDescent="0.2">
      <c r="A112" s="668" t="s">
        <v>5</v>
      </c>
      <c r="B112" s="313" t="str">
        <f>Dados!B93</f>
        <v>Aviso Prévio Trabalhado</v>
      </c>
      <c r="C112" s="122"/>
      <c r="D112" s="315"/>
      <c r="E112" s="304"/>
      <c r="F112" s="308">
        <f>Dados!G93</f>
        <v>1.9400000000000001E-2</v>
      </c>
      <c r="G112" s="687">
        <f t="shared" si="19"/>
        <v>67.03</v>
      </c>
      <c r="H112" s="79"/>
      <c r="I112" s="668" t="s">
        <v>5</v>
      </c>
      <c r="J112" s="313" t="str">
        <f>Dados!B93</f>
        <v>Aviso Prévio Trabalhado</v>
      </c>
      <c r="K112" s="122"/>
      <c r="L112" s="315"/>
      <c r="M112" s="304"/>
      <c r="N112" s="308">
        <f>Dados!G93</f>
        <v>1.9400000000000001E-2</v>
      </c>
      <c r="O112" s="687">
        <f>N112*$O$62</f>
        <v>69.040000000000006</v>
      </c>
      <c r="P112" s="79"/>
      <c r="Q112" s="668" t="s">
        <v>5</v>
      </c>
      <c r="R112" s="313" t="s">
        <v>158</v>
      </c>
      <c r="S112" s="122"/>
      <c r="T112" s="315"/>
      <c r="U112" s="304"/>
      <c r="V112" s="577">
        <v>1.9400000000000001E-3</v>
      </c>
      <c r="W112" s="687">
        <f>V112*$W$62</f>
        <v>6.9</v>
      </c>
      <c r="X112" s="577">
        <v>1.9400000000000001E-3</v>
      </c>
      <c r="Y112" s="687">
        <f>V112*$W$62</f>
        <v>6.9</v>
      </c>
      <c r="Z112" s="577">
        <v>1.9400000000000001E-3</v>
      </c>
      <c r="AA112" s="914">
        <f>X112*$W$62</f>
        <v>6.9</v>
      </c>
      <c r="AB112" s="577">
        <v>1.9400000000000001E-3</v>
      </c>
      <c r="AC112" s="914">
        <f>X112*$W$62</f>
        <v>6.9</v>
      </c>
      <c r="AD112" s="805">
        <v>1.9400000000000001E-3</v>
      </c>
      <c r="AE112" s="785">
        <f t="shared" si="20"/>
        <v>7.49</v>
      </c>
      <c r="AF112" s="805">
        <v>1.9400000000000001E-3</v>
      </c>
      <c r="AG112" s="785">
        <f t="shared" si="21"/>
        <v>7.49</v>
      </c>
      <c r="AH112" s="805">
        <v>1.9400000000000001E-3</v>
      </c>
      <c r="AI112" s="785">
        <f t="shared" si="22"/>
        <v>7.49</v>
      </c>
      <c r="AJ112" s="805">
        <v>1.9400000000000001E-3</v>
      </c>
      <c r="AK112" s="785">
        <f t="shared" si="18"/>
        <v>7.93</v>
      </c>
    </row>
    <row r="113" spans="1:37" s="34" customFormat="1" ht="42.75" x14ac:dyDescent="0.2">
      <c r="A113" s="668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f>Dados!G94</f>
        <v>7.0000000000000001E-3</v>
      </c>
      <c r="G113" s="687">
        <f t="shared" si="19"/>
        <v>24.19</v>
      </c>
      <c r="H113" s="79"/>
      <c r="I113" s="668" t="s">
        <v>6</v>
      </c>
      <c r="J113" s="313" t="str">
        <f>Dados!B94</f>
        <v>Incidência de GPS, FGTS e outras contribuições sobre o aviso prévio trabalhado</v>
      </c>
      <c r="K113" s="122"/>
      <c r="L113" s="315"/>
      <c r="M113" s="304"/>
      <c r="N113" s="365" t="s">
        <v>489</v>
      </c>
      <c r="O113" s="687">
        <f xml:space="preserve"> 25.27</f>
        <v>25.27</v>
      </c>
      <c r="P113" s="79"/>
      <c r="Q113" s="668" t="s">
        <v>6</v>
      </c>
      <c r="R113" s="313" t="s">
        <v>257</v>
      </c>
      <c r="S113" s="122"/>
      <c r="T113" s="315"/>
      <c r="U113" s="304"/>
      <c r="V113" s="365" t="s">
        <v>512</v>
      </c>
      <c r="W113" s="687">
        <f>V113*$W$62</f>
        <v>2.4900000000000002</v>
      </c>
      <c r="X113" s="365" t="s">
        <v>512</v>
      </c>
      <c r="Y113" s="687">
        <f>V113*$W$62</f>
        <v>2.4900000000000002</v>
      </c>
      <c r="Z113" s="365" t="s">
        <v>512</v>
      </c>
      <c r="AA113" s="914">
        <f>X113*$W$62</f>
        <v>2.4900000000000002</v>
      </c>
      <c r="AB113" s="365" t="s">
        <v>512</v>
      </c>
      <c r="AC113" s="914">
        <f>X113*$W$62</f>
        <v>2.4900000000000002</v>
      </c>
      <c r="AD113" s="803">
        <v>6.9999999999999999E-4</v>
      </c>
      <c r="AE113" s="785">
        <f t="shared" si="20"/>
        <v>2.7</v>
      </c>
      <c r="AF113" s="803">
        <v>6.9999999999999999E-4</v>
      </c>
      <c r="AG113" s="785">
        <f t="shared" si="21"/>
        <v>2.7</v>
      </c>
      <c r="AH113" s="803">
        <v>6.9999999999999999E-4</v>
      </c>
      <c r="AI113" s="785">
        <f t="shared" si="22"/>
        <v>2.7</v>
      </c>
      <c r="AJ113" s="803">
        <v>6.9999999999999999E-4</v>
      </c>
      <c r="AK113" s="785">
        <f t="shared" si="18"/>
        <v>2.86</v>
      </c>
    </row>
    <row r="114" spans="1:37" s="34" customFormat="1" x14ac:dyDescent="0.2">
      <c r="A114" s="668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08">
        <f>Dados!G95</f>
        <v>1E-4</v>
      </c>
      <c r="G114" s="687">
        <f t="shared" si="19"/>
        <v>0.35</v>
      </c>
      <c r="H114" s="79"/>
      <c r="I114" s="668" t="s">
        <v>7</v>
      </c>
      <c r="J114" s="313" t="str">
        <f>Dados!B95</f>
        <v xml:space="preserve">Multa sobre FGTS sobre o aviso prévio trabalhado </v>
      </c>
      <c r="K114" s="122"/>
      <c r="L114" s="315"/>
      <c r="M114" s="304"/>
      <c r="N114" s="308">
        <f>Dados!G95</f>
        <v>1E-4</v>
      </c>
      <c r="O114" s="687">
        <f>N114*$O$62</f>
        <v>0.36</v>
      </c>
      <c r="P114" s="79"/>
      <c r="Q114" s="668" t="s">
        <v>7</v>
      </c>
      <c r="R114" s="313" t="s">
        <v>299</v>
      </c>
      <c r="S114" s="122"/>
      <c r="T114" s="315"/>
      <c r="U114" s="304"/>
      <c r="V114" s="354">
        <v>7.9999999999999996E-6</v>
      </c>
      <c r="W114" s="687">
        <f>V114*$W$62</f>
        <v>0.03</v>
      </c>
      <c r="X114" s="354">
        <v>7.9999999999999996E-6</v>
      </c>
      <c r="Y114" s="687">
        <f>V114*$W$62</f>
        <v>0.03</v>
      </c>
      <c r="Z114" s="354">
        <v>7.9999999999999996E-6</v>
      </c>
      <c r="AA114" s="914">
        <f>X114*$W$62</f>
        <v>0.03</v>
      </c>
      <c r="AB114" s="354">
        <v>7.9999999999999996E-6</v>
      </c>
      <c r="AC114" s="914">
        <f>X114*$W$62</f>
        <v>0.03</v>
      </c>
      <c r="AD114" s="804">
        <v>7.9999999999999996E-6</v>
      </c>
      <c r="AE114" s="785">
        <f t="shared" si="20"/>
        <v>0.03</v>
      </c>
      <c r="AF114" s="804">
        <v>7.9999999999999996E-6</v>
      </c>
      <c r="AG114" s="785">
        <f t="shared" si="21"/>
        <v>0.03</v>
      </c>
      <c r="AH114" s="804">
        <v>7.9999999999999996E-6</v>
      </c>
      <c r="AI114" s="785">
        <f t="shared" si="22"/>
        <v>0.03</v>
      </c>
      <c r="AJ114" s="804">
        <v>7.9999999999999996E-6</v>
      </c>
      <c r="AK114" s="785">
        <f t="shared" si="18"/>
        <v>0.03</v>
      </c>
    </row>
    <row r="115" spans="1:37" s="34" customFormat="1" x14ac:dyDescent="0.2">
      <c r="A115" s="668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687">
        <f t="shared" si="19"/>
        <v>120.58</v>
      </c>
      <c r="H115" s="79"/>
      <c r="I115" s="668" t="s">
        <v>7</v>
      </c>
      <c r="J115" s="313" t="str">
        <f>Dados!B96</f>
        <v>Multa FGTS - rescisão sem justa causa</v>
      </c>
      <c r="K115" s="122"/>
      <c r="L115" s="315"/>
      <c r="M115" s="304"/>
      <c r="N115" s="308">
        <f>Dados!G96</f>
        <v>3.49E-2</v>
      </c>
      <c r="O115" s="687">
        <f>N115*$O$62</f>
        <v>124.2</v>
      </c>
      <c r="P115" s="79"/>
      <c r="Q115" s="668" t="s">
        <v>7</v>
      </c>
      <c r="R115" s="313" t="s">
        <v>483</v>
      </c>
      <c r="S115" s="122"/>
      <c r="T115" s="315"/>
      <c r="U115" s="304"/>
      <c r="V115" s="308">
        <v>3.49E-2</v>
      </c>
      <c r="W115" s="687">
        <f>V115*$W$62</f>
        <v>124.2</v>
      </c>
      <c r="X115" s="308">
        <v>3.49E-2</v>
      </c>
      <c r="Y115" s="687">
        <f>V115*$W$62</f>
        <v>124.2</v>
      </c>
      <c r="Z115" s="308">
        <v>3.49E-2</v>
      </c>
      <c r="AA115" s="914">
        <f>X115*$W$62</f>
        <v>124.2</v>
      </c>
      <c r="AB115" s="308">
        <v>3.49E-2</v>
      </c>
      <c r="AC115" s="914">
        <f>X115*$W$62</f>
        <v>124.2</v>
      </c>
      <c r="AD115" s="803">
        <v>3.49E-2</v>
      </c>
      <c r="AE115" s="785">
        <f t="shared" si="20"/>
        <v>134.75</v>
      </c>
      <c r="AF115" s="803">
        <v>3.49E-2</v>
      </c>
      <c r="AG115" s="785">
        <f t="shared" si="21"/>
        <v>134.75</v>
      </c>
      <c r="AH115" s="803">
        <v>3.49E-2</v>
      </c>
      <c r="AI115" s="785">
        <f t="shared" si="22"/>
        <v>134.75</v>
      </c>
      <c r="AJ115" s="803">
        <v>3.49E-2</v>
      </c>
      <c r="AK115" s="785">
        <f t="shared" si="18"/>
        <v>142.63999999999999</v>
      </c>
    </row>
    <row r="116" spans="1:37" s="34" customFormat="1" x14ac:dyDescent="0.2">
      <c r="A116" s="1172" t="s">
        <v>159</v>
      </c>
      <c r="B116" s="1172"/>
      <c r="C116" s="1172"/>
      <c r="D116" s="1172"/>
      <c r="E116" s="1172"/>
      <c r="F116" s="311">
        <f>SUM(F109:F115)</f>
        <v>6.4100000000000004E-2</v>
      </c>
      <c r="G116" s="316">
        <f>SUM(G109:G115)</f>
        <v>221.48</v>
      </c>
      <c r="H116" s="79"/>
      <c r="I116" s="1175" t="s">
        <v>159</v>
      </c>
      <c r="J116" s="1176"/>
      <c r="K116" s="1176"/>
      <c r="L116" s="1176"/>
      <c r="M116" s="1177"/>
      <c r="N116" s="311">
        <f>SUM(N109:N115)</f>
        <v>5.7099999999999998E-2</v>
      </c>
      <c r="O116" s="316">
        <f>SUM(O109:O115)</f>
        <v>228.48</v>
      </c>
      <c r="P116" s="79"/>
      <c r="Q116" s="1175" t="s">
        <v>159</v>
      </c>
      <c r="R116" s="1176"/>
      <c r="S116" s="1176"/>
      <c r="T116" s="1176"/>
      <c r="U116" s="1177"/>
      <c r="V116" s="311">
        <v>4.02E-2</v>
      </c>
      <c r="W116" s="316">
        <f>SUM(W109:W115)</f>
        <v>143.22999999999999</v>
      </c>
      <c r="X116" s="311">
        <v>4.02E-2</v>
      </c>
      <c r="Y116" s="316">
        <f>SUM(Y109:Y115)</f>
        <v>143.22999999999999</v>
      </c>
      <c r="Z116" s="311">
        <v>4.02E-2</v>
      </c>
      <c r="AA116" s="915">
        <f>SUM(AA109:AA115)</f>
        <v>143.22999999999999</v>
      </c>
      <c r="AB116" s="311">
        <v>4.02E-2</v>
      </c>
      <c r="AC116" s="915">
        <f t="shared" ref="AC116:AI116" si="24">SUM(AC109:AC115)</f>
        <v>143.22999999999999</v>
      </c>
      <c r="AD116" s="788">
        <f t="shared" si="24"/>
        <v>4.02E-2</v>
      </c>
      <c r="AE116" s="789">
        <f t="shared" si="24"/>
        <v>155.38999999999999</v>
      </c>
      <c r="AF116" s="788">
        <f t="shared" si="24"/>
        <v>4.02E-2</v>
      </c>
      <c r="AG116" s="789">
        <f t="shared" si="24"/>
        <v>155.38999999999999</v>
      </c>
      <c r="AH116" s="788">
        <f t="shared" si="24"/>
        <v>4.02E-2</v>
      </c>
      <c r="AI116" s="789">
        <f t="shared" si="24"/>
        <v>155.38999999999999</v>
      </c>
      <c r="AJ116" s="788">
        <f t="shared" ref="AJ116:AK116" si="25">SUM(AJ109:AJ115)</f>
        <v>4.02E-2</v>
      </c>
      <c r="AK116" s="789">
        <f t="shared" si="25"/>
        <v>164.5</v>
      </c>
    </row>
    <row r="117" spans="1:37" s="34" customFormat="1" ht="14.25" hidden="1" customHeight="1" x14ac:dyDescent="0.2">
      <c r="A117" s="71" t="s">
        <v>422</v>
      </c>
      <c r="B117" s="71"/>
      <c r="C117" s="71"/>
      <c r="D117" s="71"/>
      <c r="E117" s="335"/>
      <c r="F117" s="329"/>
      <c r="G117" s="330"/>
      <c r="H117" s="79"/>
      <c r="I117" s="71" t="s">
        <v>422</v>
      </c>
      <c r="J117" s="71"/>
      <c r="K117" s="71"/>
      <c r="L117" s="71"/>
      <c r="M117" s="335"/>
      <c r="N117" s="329"/>
      <c r="O117" s="330"/>
      <c r="P117" s="79"/>
      <c r="Q117" s="71" t="s">
        <v>501</v>
      </c>
      <c r="R117" s="71"/>
      <c r="S117" s="71"/>
      <c r="T117" s="71"/>
      <c r="U117" s="335"/>
      <c r="V117" s="329"/>
      <c r="W117" s="330"/>
      <c r="X117" s="330"/>
    </row>
    <row r="118" spans="1:37" s="34" customFormat="1" ht="14.25" hidden="1" customHeight="1" x14ac:dyDescent="0.2">
      <c r="A118" s="71" t="s">
        <v>423</v>
      </c>
      <c r="B118" s="71"/>
      <c r="C118" s="71"/>
      <c r="D118" s="71"/>
      <c r="E118" s="335"/>
      <c r="F118" s="329"/>
      <c r="G118" s="330"/>
      <c r="H118" s="79"/>
      <c r="I118" s="71" t="s">
        <v>423</v>
      </c>
      <c r="J118" s="71"/>
      <c r="K118" s="71"/>
      <c r="L118" s="71"/>
      <c r="M118" s="335"/>
      <c r="N118" s="329"/>
      <c r="O118" s="330"/>
      <c r="P118" s="79"/>
      <c r="Q118" s="71" t="s">
        <v>502</v>
      </c>
      <c r="R118" s="71"/>
      <c r="S118" s="71"/>
      <c r="T118" s="71"/>
      <c r="U118" s="335"/>
      <c r="V118" s="329"/>
      <c r="W118" s="330"/>
      <c r="X118" s="330"/>
    </row>
    <row r="119" spans="1:37" s="34" customFormat="1" ht="14.25" hidden="1" customHeight="1" x14ac:dyDescent="0.2">
      <c r="A119" s="195" t="s">
        <v>551</v>
      </c>
      <c r="B119" s="335"/>
      <c r="C119" s="335"/>
      <c r="D119" s="335"/>
      <c r="E119" s="335"/>
      <c r="F119" s="329"/>
      <c r="G119" s="330"/>
      <c r="H119" s="79"/>
      <c r="I119" s="195" t="s">
        <v>551</v>
      </c>
      <c r="J119" s="335"/>
      <c r="K119" s="335"/>
      <c r="L119" s="335"/>
      <c r="M119" s="335"/>
      <c r="N119" s="329"/>
      <c r="O119" s="330"/>
      <c r="P119" s="79"/>
      <c r="Q119" s="195" t="s">
        <v>498</v>
      </c>
      <c r="R119" s="335"/>
      <c r="S119" s="335"/>
      <c r="T119" s="335"/>
      <c r="U119" s="335"/>
      <c r="V119" s="329"/>
      <c r="W119" s="330"/>
      <c r="X119" s="330"/>
    </row>
    <row r="120" spans="1:37" s="34" customFormat="1" ht="14.25" hidden="1" customHeight="1" x14ac:dyDescent="0.2">
      <c r="A120" s="694"/>
      <c r="B120" s="694"/>
      <c r="C120" s="694"/>
      <c r="D120" s="694"/>
      <c r="E120" s="694"/>
      <c r="F120" s="77"/>
      <c r="G120" s="81"/>
      <c r="H120" s="79"/>
      <c r="I120" s="694"/>
      <c r="J120" s="694"/>
      <c r="K120" s="694"/>
      <c r="L120" s="694"/>
      <c r="M120" s="694"/>
      <c r="N120" s="77"/>
      <c r="O120" s="81"/>
      <c r="P120" s="79"/>
      <c r="Q120" s="694"/>
      <c r="R120" s="694"/>
      <c r="S120" s="694"/>
      <c r="T120" s="694"/>
      <c r="U120" s="694"/>
      <c r="V120" s="77"/>
      <c r="W120" s="81"/>
      <c r="X120" s="81"/>
    </row>
    <row r="121" spans="1:37" s="34" customFormat="1" ht="14.25" customHeight="1" x14ac:dyDescent="0.2">
      <c r="A121" s="1173" t="s">
        <v>228</v>
      </c>
      <c r="B121" s="1173"/>
      <c r="C121" s="1173"/>
      <c r="D121" s="1173"/>
      <c r="E121" s="1173"/>
      <c r="F121" s="1173"/>
      <c r="G121" s="1173"/>
      <c r="H121" s="1173"/>
      <c r="I121" s="1173"/>
      <c r="J121" s="1173"/>
      <c r="K121" s="1173"/>
      <c r="L121" s="1173"/>
      <c r="M121" s="1173"/>
      <c r="N121" s="1173"/>
      <c r="O121" s="1173"/>
      <c r="P121" s="1173"/>
      <c r="Q121" s="1173"/>
      <c r="R121" s="1173"/>
      <c r="S121" s="1173"/>
      <c r="T121" s="1173"/>
      <c r="U121" s="1173"/>
      <c r="V121" s="1173"/>
      <c r="W121" s="1173"/>
      <c r="X121" s="1173"/>
      <c r="Y121" s="1173"/>
    </row>
    <row r="122" spans="1:37" s="34" customFormat="1" ht="14.25" hidden="1" customHeight="1" x14ac:dyDescent="0.2">
      <c r="A122" s="1215" t="s">
        <v>258</v>
      </c>
      <c r="B122" s="1215"/>
      <c r="C122" s="1215"/>
      <c r="D122" s="1215"/>
      <c r="E122" s="1215"/>
      <c r="F122" s="1215"/>
      <c r="G122" s="1215"/>
      <c r="H122" s="592"/>
      <c r="I122" s="1215"/>
      <c r="J122" s="1215"/>
      <c r="K122" s="1215"/>
      <c r="L122" s="1215"/>
      <c r="M122" s="1215"/>
      <c r="N122" s="1215"/>
      <c r="O122" s="1215"/>
      <c r="P122" s="592"/>
      <c r="Q122" s="1215"/>
      <c r="R122" s="1215"/>
      <c r="S122" s="1215"/>
      <c r="T122" s="1215"/>
      <c r="U122" s="1215"/>
      <c r="V122" s="1215"/>
      <c r="W122" s="1215"/>
      <c r="X122" s="674"/>
      <c r="Y122" s="593"/>
    </row>
    <row r="123" spans="1:37" s="34" customFormat="1" ht="14.25" hidden="1" customHeight="1" x14ac:dyDescent="0.2">
      <c r="A123" s="1215"/>
      <c r="B123" s="1215"/>
      <c r="C123" s="1215"/>
      <c r="D123" s="1215"/>
      <c r="E123" s="1215"/>
      <c r="F123" s="1215"/>
      <c r="G123" s="1215"/>
      <c r="H123" s="592"/>
      <c r="I123" s="1215"/>
      <c r="J123" s="1215"/>
      <c r="K123" s="1215"/>
      <c r="L123" s="1215"/>
      <c r="M123" s="1215"/>
      <c r="N123" s="1215"/>
      <c r="O123" s="1215"/>
      <c r="P123" s="592"/>
      <c r="Q123" s="1215"/>
      <c r="R123" s="1215"/>
      <c r="S123" s="1215"/>
      <c r="T123" s="1215"/>
      <c r="U123" s="1215"/>
      <c r="V123" s="1215"/>
      <c r="W123" s="1215"/>
      <c r="X123" s="674"/>
      <c r="Y123" s="593"/>
    </row>
    <row r="124" spans="1:37" s="34" customFormat="1" x14ac:dyDescent="0.2">
      <c r="A124" s="1173" t="s">
        <v>259</v>
      </c>
      <c r="B124" s="1173"/>
      <c r="C124" s="1173"/>
      <c r="D124" s="1173"/>
      <c r="E124" s="1173"/>
      <c r="F124" s="1173"/>
      <c r="G124" s="1173"/>
      <c r="H124" s="1173"/>
      <c r="I124" s="1173"/>
      <c r="J124" s="1173"/>
      <c r="K124" s="1173"/>
      <c r="L124" s="1173"/>
      <c r="M124" s="1173"/>
      <c r="N124" s="1173"/>
      <c r="O124" s="1173"/>
      <c r="P124" s="1173"/>
      <c r="Q124" s="1173"/>
      <c r="R124" s="1173"/>
      <c r="S124" s="1173"/>
      <c r="T124" s="1173"/>
      <c r="U124" s="1173"/>
      <c r="V124" s="1173"/>
      <c r="W124" s="1173"/>
      <c r="X124" s="1173"/>
      <c r="Y124" s="1173"/>
    </row>
    <row r="125" spans="1:37" s="34" customFormat="1" ht="15.75" customHeight="1" x14ac:dyDescent="0.2">
      <c r="A125" s="703" t="s">
        <v>42</v>
      </c>
      <c r="B125" s="1174" t="s">
        <v>269</v>
      </c>
      <c r="C125" s="1174"/>
      <c r="D125" s="1174"/>
      <c r="E125" s="1174"/>
      <c r="F125" s="703" t="s">
        <v>254</v>
      </c>
      <c r="G125" s="707" t="s">
        <v>107</v>
      </c>
      <c r="H125" s="703"/>
      <c r="I125" s="703" t="s">
        <v>42</v>
      </c>
      <c r="J125" s="1174" t="s">
        <v>269</v>
      </c>
      <c r="K125" s="1174"/>
      <c r="L125" s="1174"/>
      <c r="M125" s="1174"/>
      <c r="N125" s="703" t="s">
        <v>254</v>
      </c>
      <c r="O125" s="707" t="s">
        <v>107</v>
      </c>
      <c r="P125" s="592"/>
      <c r="Q125" s="703" t="s">
        <v>42</v>
      </c>
      <c r="R125" s="1174" t="s">
        <v>269</v>
      </c>
      <c r="S125" s="1174"/>
      <c r="T125" s="1174"/>
      <c r="U125" s="1174"/>
      <c r="V125" s="703" t="s">
        <v>254</v>
      </c>
      <c r="W125" s="707" t="s">
        <v>107</v>
      </c>
      <c r="X125" s="703" t="s">
        <v>254</v>
      </c>
      <c r="Y125" s="707" t="s">
        <v>107</v>
      </c>
      <c r="Z125" s="888" t="s">
        <v>254</v>
      </c>
      <c r="AA125" s="912" t="s">
        <v>107</v>
      </c>
      <c r="AB125" s="909" t="s">
        <v>254</v>
      </c>
      <c r="AC125" s="912" t="s">
        <v>107</v>
      </c>
      <c r="AD125" s="783" t="s">
        <v>254</v>
      </c>
      <c r="AE125" s="922" t="s">
        <v>107</v>
      </c>
      <c r="AF125" s="783" t="s">
        <v>254</v>
      </c>
      <c r="AG125" s="922" t="s">
        <v>107</v>
      </c>
      <c r="AH125" s="783" t="s">
        <v>254</v>
      </c>
      <c r="AI125" s="922" t="s">
        <v>107</v>
      </c>
      <c r="AJ125" s="783" t="s">
        <v>254</v>
      </c>
      <c r="AK125" s="1000" t="s">
        <v>107</v>
      </c>
    </row>
    <row r="126" spans="1:37" s="34" customFormat="1" x14ac:dyDescent="0.2">
      <c r="A126" s="675" t="s">
        <v>1</v>
      </c>
      <c r="B126" s="137" t="str">
        <f>Dados!B99</f>
        <v>Substituto na cobertura de Férias</v>
      </c>
      <c r="C126" s="138"/>
      <c r="D126" s="597"/>
      <c r="E126" s="603"/>
      <c r="F126" s="599">
        <f>Dados!G99</f>
        <v>6.8999999999999999E-3</v>
      </c>
      <c r="G126" s="600">
        <f>$G$62*F126</f>
        <v>23.84</v>
      </c>
      <c r="H126" s="717"/>
      <c r="I126" s="675" t="s">
        <v>1</v>
      </c>
      <c r="J126" s="137" t="str">
        <f>Dados!B99</f>
        <v>Substituto na cobertura de Férias</v>
      </c>
      <c r="K126" s="138"/>
      <c r="L126" s="597"/>
      <c r="M126" s="603"/>
      <c r="N126" s="599">
        <f>Dados!G99</f>
        <v>6.8999999999999999E-3</v>
      </c>
      <c r="O126" s="600">
        <f>$O$62*N126</f>
        <v>24.55</v>
      </c>
      <c r="P126" s="79"/>
      <c r="Q126" s="675" t="s">
        <v>1</v>
      </c>
      <c r="R126" s="137" t="s">
        <v>260</v>
      </c>
      <c r="S126" s="138"/>
      <c r="T126" s="597"/>
      <c r="U126" s="603"/>
      <c r="V126" s="599">
        <v>6.8999999999999999E-3</v>
      </c>
      <c r="W126" s="600">
        <f>$O$62*N126</f>
        <v>24.55</v>
      </c>
      <c r="X126" s="599">
        <v>6.8999999999999999E-3</v>
      </c>
      <c r="Y126" s="600">
        <f>$O$62*N126</f>
        <v>24.55</v>
      </c>
      <c r="Z126" s="599">
        <v>6.8999999999999999E-3</v>
      </c>
      <c r="AA126" s="600">
        <f>Y126</f>
        <v>24.55</v>
      </c>
      <c r="AB126" s="599">
        <v>6.8999999999999999E-3</v>
      </c>
      <c r="AC126" s="600">
        <f t="shared" ref="AC126:AC131" si="26">$O$62*N126</f>
        <v>24.55</v>
      </c>
      <c r="AD126" s="784">
        <v>6.8999999999999999E-3</v>
      </c>
      <c r="AE126" s="785">
        <f>$AE$62*AD126</f>
        <v>26.64</v>
      </c>
      <c r="AF126" s="784">
        <v>6.8999999999999999E-3</v>
      </c>
      <c r="AG126" s="785">
        <f>$AE$62*AF126</f>
        <v>26.64</v>
      </c>
      <c r="AH126" s="784">
        <v>6.8999999999999999E-3</v>
      </c>
      <c r="AI126" s="785">
        <f>$AE$62*AH126</f>
        <v>26.64</v>
      </c>
      <c r="AJ126" s="784">
        <v>6.8999999999999999E-3</v>
      </c>
      <c r="AK126" s="785">
        <f t="shared" ref="AK126:AK131" si="27">$AK$62*AJ126</f>
        <v>28.2</v>
      </c>
    </row>
    <row r="127" spans="1:37" s="34" customFormat="1" x14ac:dyDescent="0.2">
      <c r="A127" s="668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687">
        <f t="shared" ref="G127:G131" si="28">$G$62*F127</f>
        <v>0.35</v>
      </c>
      <c r="H127" s="718"/>
      <c r="I127" s="668" t="s">
        <v>2</v>
      </c>
      <c r="J127" s="313" t="str">
        <f>Dados!B100</f>
        <v>Substituto na cobertura de Ausências Legais</v>
      </c>
      <c r="K127" s="122"/>
      <c r="L127" s="315"/>
      <c r="M127" s="314"/>
      <c r="N127" s="308">
        <f>Dados!G100</f>
        <v>1E-4</v>
      </c>
      <c r="O127" s="687">
        <f>$O$62*N127</f>
        <v>0.36</v>
      </c>
      <c r="P127" s="79"/>
      <c r="Q127" s="668" t="s">
        <v>2</v>
      </c>
      <c r="R127" s="313" t="s">
        <v>262</v>
      </c>
      <c r="S127" s="122"/>
      <c r="T127" s="315"/>
      <c r="U127" s="314"/>
      <c r="V127" s="308">
        <v>1E-4</v>
      </c>
      <c r="W127" s="687">
        <f>$O$62*N127</f>
        <v>0.36</v>
      </c>
      <c r="X127" s="308">
        <v>1E-4</v>
      </c>
      <c r="Y127" s="687">
        <f>$O$62*N127</f>
        <v>0.36</v>
      </c>
      <c r="Z127" s="308">
        <v>1E-4</v>
      </c>
      <c r="AA127" s="600">
        <f t="shared" ref="AA127:AA131" si="29">Y127</f>
        <v>0.36</v>
      </c>
      <c r="AB127" s="308">
        <v>1E-4</v>
      </c>
      <c r="AC127" s="600">
        <f t="shared" si="26"/>
        <v>0.36</v>
      </c>
      <c r="AD127" s="786">
        <v>1E-4</v>
      </c>
      <c r="AE127" s="785">
        <f>$AE$62*AD127</f>
        <v>0.39</v>
      </c>
      <c r="AF127" s="786">
        <v>1E-4</v>
      </c>
      <c r="AG127" s="785">
        <f t="shared" ref="AG127:AG131" si="30">$AE$62*AF127</f>
        <v>0.39</v>
      </c>
      <c r="AH127" s="786">
        <v>1E-4</v>
      </c>
      <c r="AI127" s="785">
        <f t="shared" ref="AI127:AI131" si="31">$AE$62*AH127</f>
        <v>0.39</v>
      </c>
      <c r="AJ127" s="786">
        <v>1E-4</v>
      </c>
      <c r="AK127" s="785">
        <f t="shared" si="27"/>
        <v>0.41</v>
      </c>
    </row>
    <row r="128" spans="1:37" s="34" customFormat="1" x14ac:dyDescent="0.2">
      <c r="A128" s="668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687">
        <f t="shared" si="28"/>
        <v>0.35</v>
      </c>
      <c r="H128" s="717"/>
      <c r="I128" s="668" t="s">
        <v>4</v>
      </c>
      <c r="J128" s="313" t="str">
        <f>Dados!B101</f>
        <v>Substituto na cobertura de Licença-Paternidade</v>
      </c>
      <c r="K128" s="122"/>
      <c r="L128" s="315"/>
      <c r="M128" s="314"/>
      <c r="N128" s="308">
        <f>Dados!G101</f>
        <v>1E-4</v>
      </c>
      <c r="O128" s="687">
        <f>$O$62*N128</f>
        <v>0.36</v>
      </c>
      <c r="P128" s="79"/>
      <c r="Q128" s="668" t="s">
        <v>4</v>
      </c>
      <c r="R128" s="313" t="s">
        <v>263</v>
      </c>
      <c r="S128" s="122"/>
      <c r="T128" s="315"/>
      <c r="U128" s="314"/>
      <c r="V128" s="308">
        <v>1E-4</v>
      </c>
      <c r="W128" s="687">
        <f>$O$62*N128</f>
        <v>0.36</v>
      </c>
      <c r="X128" s="308">
        <v>1E-4</v>
      </c>
      <c r="Y128" s="687">
        <f>$O$62*N128</f>
        <v>0.36</v>
      </c>
      <c r="Z128" s="308">
        <v>1E-4</v>
      </c>
      <c r="AA128" s="600">
        <f t="shared" si="29"/>
        <v>0.36</v>
      </c>
      <c r="AB128" s="308">
        <v>1E-4</v>
      </c>
      <c r="AC128" s="600">
        <f t="shared" si="26"/>
        <v>0.36</v>
      </c>
      <c r="AD128" s="786">
        <v>1E-4</v>
      </c>
      <c r="AE128" s="785">
        <f t="shared" ref="AE128:AE131" si="32">$AE$62*AD128</f>
        <v>0.39</v>
      </c>
      <c r="AF128" s="786">
        <v>1E-4</v>
      </c>
      <c r="AG128" s="785">
        <f t="shared" si="30"/>
        <v>0.39</v>
      </c>
      <c r="AH128" s="786">
        <v>1E-4</v>
      </c>
      <c r="AI128" s="785">
        <f t="shared" si="31"/>
        <v>0.39</v>
      </c>
      <c r="AJ128" s="786">
        <v>1E-4</v>
      </c>
      <c r="AK128" s="785">
        <f t="shared" si="27"/>
        <v>0.41</v>
      </c>
    </row>
    <row r="129" spans="1:37" s="34" customFormat="1" x14ac:dyDescent="0.2">
      <c r="A129" s="668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687">
        <f t="shared" si="28"/>
        <v>0.35</v>
      </c>
      <c r="H129" s="717"/>
      <c r="I129" s="668" t="s">
        <v>5</v>
      </c>
      <c r="J129" s="313" t="str">
        <f>Dados!B102</f>
        <v>Substituto na cobertura de Ausência por acidente de trabalho</v>
      </c>
      <c r="K129" s="122"/>
      <c r="L129" s="315"/>
      <c r="M129" s="314"/>
      <c r="N129" s="308">
        <f>Dados!G102</f>
        <v>1E-4</v>
      </c>
      <c r="O129" s="687">
        <f>$O$62*N129</f>
        <v>0.36</v>
      </c>
      <c r="P129" s="79"/>
      <c r="Q129" s="668" t="s">
        <v>5</v>
      </c>
      <c r="R129" s="313" t="s">
        <v>264</v>
      </c>
      <c r="S129" s="122"/>
      <c r="T129" s="315"/>
      <c r="U129" s="314"/>
      <c r="V129" s="308">
        <v>1E-4</v>
      </c>
      <c r="W129" s="687">
        <f>$O$62*N129</f>
        <v>0.36</v>
      </c>
      <c r="X129" s="308">
        <v>1E-4</v>
      </c>
      <c r="Y129" s="687">
        <f>$O$62*N129</f>
        <v>0.36</v>
      </c>
      <c r="Z129" s="308">
        <v>1E-4</v>
      </c>
      <c r="AA129" s="600">
        <f t="shared" si="29"/>
        <v>0.36</v>
      </c>
      <c r="AB129" s="308">
        <v>1E-4</v>
      </c>
      <c r="AC129" s="600">
        <f t="shared" si="26"/>
        <v>0.36</v>
      </c>
      <c r="AD129" s="786">
        <v>1E-4</v>
      </c>
      <c r="AE129" s="785">
        <f t="shared" si="32"/>
        <v>0.39</v>
      </c>
      <c r="AF129" s="786">
        <v>1E-4</v>
      </c>
      <c r="AG129" s="785">
        <f t="shared" si="30"/>
        <v>0.39</v>
      </c>
      <c r="AH129" s="786">
        <v>1E-4</v>
      </c>
      <c r="AI129" s="785">
        <f t="shared" si="31"/>
        <v>0.39</v>
      </c>
      <c r="AJ129" s="786">
        <v>1E-4</v>
      </c>
      <c r="AK129" s="785">
        <f t="shared" si="27"/>
        <v>0.41</v>
      </c>
    </row>
    <row r="130" spans="1:37" s="34" customFormat="1" x14ac:dyDescent="0.2">
      <c r="A130" s="668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687">
        <f t="shared" si="28"/>
        <v>0.35</v>
      </c>
      <c r="H130" s="717"/>
      <c r="I130" s="668" t="s">
        <v>6</v>
      </c>
      <c r="J130" s="313" t="str">
        <f>Dados!B103</f>
        <v>Substituto na cobertura de Afastamento Maternidade</v>
      </c>
      <c r="K130" s="122"/>
      <c r="L130" s="315"/>
      <c r="M130" s="314"/>
      <c r="N130" s="308">
        <f>Dados!G103</f>
        <v>1E-4</v>
      </c>
      <c r="O130" s="687">
        <f>$O$62*N130</f>
        <v>0.36</v>
      </c>
      <c r="P130" s="79"/>
      <c r="Q130" s="668" t="s">
        <v>6</v>
      </c>
      <c r="R130" s="313" t="s">
        <v>265</v>
      </c>
      <c r="S130" s="122"/>
      <c r="T130" s="315"/>
      <c r="U130" s="314"/>
      <c r="V130" s="308">
        <v>1E-4</v>
      </c>
      <c r="W130" s="687">
        <f>$O$62*N130</f>
        <v>0.36</v>
      </c>
      <c r="X130" s="308">
        <v>1E-4</v>
      </c>
      <c r="Y130" s="687">
        <f>$O$62*N130</f>
        <v>0.36</v>
      </c>
      <c r="Z130" s="308">
        <v>1E-4</v>
      </c>
      <c r="AA130" s="600">
        <f t="shared" si="29"/>
        <v>0.36</v>
      </c>
      <c r="AB130" s="308">
        <v>1E-4</v>
      </c>
      <c r="AC130" s="600">
        <f t="shared" si="26"/>
        <v>0.36</v>
      </c>
      <c r="AD130" s="786">
        <v>1E-4</v>
      </c>
      <c r="AE130" s="785">
        <f t="shared" si="32"/>
        <v>0.39</v>
      </c>
      <c r="AF130" s="786">
        <v>1E-4</v>
      </c>
      <c r="AG130" s="785">
        <f t="shared" si="30"/>
        <v>0.39</v>
      </c>
      <c r="AH130" s="786">
        <v>1E-4</v>
      </c>
      <c r="AI130" s="785">
        <f t="shared" si="31"/>
        <v>0.39</v>
      </c>
      <c r="AJ130" s="786">
        <v>1E-4</v>
      </c>
      <c r="AK130" s="785">
        <f t="shared" si="27"/>
        <v>0.41</v>
      </c>
    </row>
    <row r="131" spans="1:37" s="34" customFormat="1" x14ac:dyDescent="0.2">
      <c r="A131" s="668" t="s">
        <v>7</v>
      </c>
      <c r="B131" s="313" t="str">
        <f>Dados!B104</f>
        <v>Substituto na cobertura de Outras ausências (especificar)</v>
      </c>
      <c r="C131" s="122"/>
      <c r="D131" s="315"/>
      <c r="E131" s="314"/>
      <c r="F131" s="308">
        <f>Dados!G104</f>
        <v>0</v>
      </c>
      <c r="G131" s="687">
        <f t="shared" si="28"/>
        <v>0</v>
      </c>
      <c r="H131" s="717"/>
      <c r="I131" s="668" t="s">
        <v>7</v>
      </c>
      <c r="J131" s="313" t="str">
        <f>Dados!B104</f>
        <v>Substituto na cobertura de Outras ausências (especificar)</v>
      </c>
      <c r="K131" s="122"/>
      <c r="L131" s="315"/>
      <c r="M131" s="314"/>
      <c r="N131" s="308">
        <f>Dados!G104</f>
        <v>0</v>
      </c>
      <c r="O131" s="687">
        <f t="shared" ref="O131" si="33">$G$62*N131</f>
        <v>0</v>
      </c>
      <c r="P131" s="79"/>
      <c r="Q131" s="668" t="s">
        <v>7</v>
      </c>
      <c r="R131" s="313" t="s">
        <v>266</v>
      </c>
      <c r="S131" s="122"/>
      <c r="T131" s="315"/>
      <c r="U131" s="314"/>
      <c r="V131" s="308">
        <v>0</v>
      </c>
      <c r="W131" s="687">
        <v>0</v>
      </c>
      <c r="X131" s="308">
        <v>0</v>
      </c>
      <c r="Y131" s="687">
        <v>0</v>
      </c>
      <c r="Z131" s="308">
        <v>0</v>
      </c>
      <c r="AA131" s="600">
        <f t="shared" si="29"/>
        <v>0</v>
      </c>
      <c r="AB131" s="308">
        <v>0</v>
      </c>
      <c r="AC131" s="600">
        <f t="shared" si="26"/>
        <v>0</v>
      </c>
      <c r="AD131" s="786">
        <v>0</v>
      </c>
      <c r="AE131" s="785">
        <f t="shared" si="32"/>
        <v>0</v>
      </c>
      <c r="AF131" s="786">
        <v>0</v>
      </c>
      <c r="AG131" s="785">
        <f t="shared" si="30"/>
        <v>0</v>
      </c>
      <c r="AH131" s="786">
        <v>0</v>
      </c>
      <c r="AI131" s="785">
        <f t="shared" si="31"/>
        <v>0</v>
      </c>
      <c r="AJ131" s="786">
        <v>0</v>
      </c>
      <c r="AK131" s="785">
        <f t="shared" si="27"/>
        <v>0</v>
      </c>
    </row>
    <row r="132" spans="1:37" s="34" customFormat="1" ht="14.25" customHeight="1" x14ac:dyDescent="0.2">
      <c r="A132" s="1172" t="s">
        <v>159</v>
      </c>
      <c r="B132" s="1172"/>
      <c r="C132" s="1172"/>
      <c r="D132" s="1172"/>
      <c r="E132" s="1172"/>
      <c r="F132" s="311">
        <f>SUM(F126:F131)</f>
        <v>7.3000000000000001E-3</v>
      </c>
      <c r="G132" s="316">
        <f>SUM(G126:G131)</f>
        <v>25.24</v>
      </c>
      <c r="H132" s="79"/>
      <c r="I132" s="1175" t="s">
        <v>159</v>
      </c>
      <c r="J132" s="1176"/>
      <c r="K132" s="1176"/>
      <c r="L132" s="1176"/>
      <c r="M132" s="1177"/>
      <c r="N132" s="311">
        <f>SUM(N126:N131)</f>
        <v>7.3000000000000001E-3</v>
      </c>
      <c r="O132" s="316">
        <f>SUM(O126:O131)</f>
        <v>25.99</v>
      </c>
      <c r="P132" s="79"/>
      <c r="Q132" s="1175" t="s">
        <v>159</v>
      </c>
      <c r="R132" s="1176"/>
      <c r="S132" s="1176"/>
      <c r="T132" s="1176"/>
      <c r="U132" s="1177"/>
      <c r="V132" s="311">
        <v>7.3000000000000001E-3</v>
      </c>
      <c r="W132" s="316">
        <f>SUM(O126:O131)</f>
        <v>25.99</v>
      </c>
      <c r="X132" s="311">
        <v>7.3000000000000001E-3</v>
      </c>
      <c r="Y132" s="316">
        <f>SUM(O126:O131)</f>
        <v>25.99</v>
      </c>
      <c r="Z132" s="311">
        <v>7.3000000000000001E-3</v>
      </c>
      <c r="AA132" s="600">
        <f>Y132</f>
        <v>25.99</v>
      </c>
      <c r="AB132" s="311">
        <v>7.3000000000000001E-3</v>
      </c>
      <c r="AC132" s="915">
        <f>SUM(AC126:AC131)</f>
        <v>25.99</v>
      </c>
      <c r="AD132" s="788">
        <v>7.3000000000000001E-3</v>
      </c>
      <c r="AE132" s="789">
        <f>SUM(AE126:AE131)</f>
        <v>28.2</v>
      </c>
      <c r="AF132" s="788">
        <v>7.3000000000000001E-3</v>
      </c>
      <c r="AG132" s="789">
        <f>SUM(AG126:AG131)</f>
        <v>28.2</v>
      </c>
      <c r="AH132" s="788">
        <v>7.3000000000000001E-3</v>
      </c>
      <c r="AI132" s="789">
        <f>SUM(AI126:AI131)</f>
        <v>28.2</v>
      </c>
      <c r="AJ132" s="788">
        <v>7.3000000000000001E-3</v>
      </c>
      <c r="AK132" s="789">
        <f>SUM(AK126:AK131)</f>
        <v>29.84</v>
      </c>
    </row>
    <row r="133" spans="1:37" s="34" customFormat="1" ht="14.25" hidden="1" customHeight="1" x14ac:dyDescent="0.2">
      <c r="A133" s="71" t="s">
        <v>424</v>
      </c>
      <c r="B133" s="71"/>
      <c r="C133" s="71"/>
      <c r="D133" s="71"/>
      <c r="E133" s="662"/>
      <c r="F133" s="662"/>
      <c r="G133" s="662"/>
      <c r="H133" s="79"/>
      <c r="I133" s="71" t="s">
        <v>424</v>
      </c>
      <c r="J133" s="71"/>
      <c r="K133" s="71"/>
      <c r="L133" s="71"/>
      <c r="M133" s="662"/>
      <c r="N133" s="662"/>
      <c r="O133" s="662"/>
      <c r="P133" s="79"/>
      <c r="Q133" s="71" t="s">
        <v>503</v>
      </c>
      <c r="R133" s="71"/>
      <c r="S133" s="71"/>
      <c r="T133" s="71"/>
      <c r="U133" s="662"/>
      <c r="V133" s="662"/>
      <c r="W133" s="662"/>
      <c r="X133" s="662"/>
    </row>
    <row r="134" spans="1:37" s="34" customFormat="1" ht="14.25" hidden="1" customHeight="1" x14ac:dyDescent="0.2">
      <c r="A134" s="195" t="s">
        <v>551</v>
      </c>
      <c r="B134" s="662"/>
      <c r="C134" s="662"/>
      <c r="D134" s="662"/>
      <c r="E134" s="662"/>
      <c r="F134" s="662"/>
      <c r="G134" s="662"/>
      <c r="H134" s="79"/>
      <c r="I134" s="195" t="s">
        <v>551</v>
      </c>
      <c r="J134" s="662"/>
      <c r="K134" s="662"/>
      <c r="L134" s="662"/>
      <c r="M134" s="662"/>
      <c r="N134" s="662"/>
      <c r="O134" s="662"/>
      <c r="P134" s="79"/>
      <c r="Q134" s="195" t="s">
        <v>498</v>
      </c>
      <c r="R134" s="662"/>
      <c r="S134" s="662"/>
      <c r="T134" s="662"/>
      <c r="U134" s="662"/>
      <c r="V134" s="662"/>
      <c r="W134" s="662"/>
      <c r="X134" s="662"/>
    </row>
    <row r="135" spans="1:37" s="34" customFormat="1" ht="14.25" hidden="1" customHeight="1" x14ac:dyDescent="0.2">
      <c r="A135" s="662"/>
      <c r="B135" s="662"/>
      <c r="C135" s="662"/>
      <c r="D135" s="662"/>
      <c r="E135" s="662"/>
      <c r="F135" s="662"/>
      <c r="G135" s="662"/>
      <c r="H135" s="79"/>
      <c r="I135" s="662"/>
      <c r="J135" s="662"/>
      <c r="K135" s="662"/>
      <c r="L135" s="662"/>
      <c r="M135" s="662"/>
      <c r="N135" s="662"/>
      <c r="O135" s="662"/>
      <c r="P135" s="79"/>
      <c r="Q135" s="662"/>
      <c r="R135" s="662"/>
      <c r="S135" s="662"/>
      <c r="T135" s="662"/>
      <c r="U135" s="662"/>
      <c r="V135" s="662"/>
      <c r="W135" s="662"/>
      <c r="X135" s="662"/>
    </row>
    <row r="136" spans="1:37" s="34" customFormat="1" ht="14.25" hidden="1" customHeight="1" x14ac:dyDescent="0.2">
      <c r="A136" s="1173" t="s">
        <v>267</v>
      </c>
      <c r="B136" s="1173"/>
      <c r="C136" s="1173"/>
      <c r="D136" s="1173"/>
      <c r="E136" s="1173"/>
      <c r="F136" s="1173"/>
      <c r="G136" s="1173"/>
      <c r="H136" s="79"/>
      <c r="I136" s="1221" t="s">
        <v>267</v>
      </c>
      <c r="J136" s="1222"/>
      <c r="K136" s="1222"/>
      <c r="L136" s="1222"/>
      <c r="M136" s="1222"/>
      <c r="N136" s="1222"/>
      <c r="O136" s="1223"/>
      <c r="P136" s="79"/>
      <c r="Q136" s="1221" t="s">
        <v>267</v>
      </c>
      <c r="R136" s="1222"/>
      <c r="S136" s="1222"/>
      <c r="T136" s="1222"/>
      <c r="U136" s="1222"/>
      <c r="V136" s="1222"/>
      <c r="W136" s="1223"/>
      <c r="X136" s="110"/>
    </row>
    <row r="137" spans="1:37" s="34" customFormat="1" ht="14.25" hidden="1" customHeight="1" x14ac:dyDescent="0.2">
      <c r="A137" s="708" t="s">
        <v>47</v>
      </c>
      <c r="B137" s="1178" t="s">
        <v>425</v>
      </c>
      <c r="C137" s="1179"/>
      <c r="D137" s="1179"/>
      <c r="E137" s="1179"/>
      <c r="F137" s="1180"/>
      <c r="G137" s="709" t="s">
        <v>107</v>
      </c>
      <c r="H137" s="79"/>
      <c r="I137" s="708" t="s">
        <v>47</v>
      </c>
      <c r="J137" s="1178" t="s">
        <v>425</v>
      </c>
      <c r="K137" s="1179"/>
      <c r="L137" s="1179"/>
      <c r="M137" s="1179"/>
      <c r="N137" s="1180"/>
      <c r="O137" s="709" t="s">
        <v>107</v>
      </c>
      <c r="P137" s="79"/>
      <c r="Q137" s="708" t="s">
        <v>47</v>
      </c>
      <c r="R137" s="1178" t="s">
        <v>425</v>
      </c>
      <c r="S137" s="1179"/>
      <c r="T137" s="1179"/>
      <c r="U137" s="1179"/>
      <c r="V137" s="1180"/>
      <c r="W137" s="709" t="s">
        <v>107</v>
      </c>
      <c r="X137" s="110"/>
    </row>
    <row r="138" spans="1:37" s="34" customFormat="1" ht="14.25" hidden="1" customHeight="1" x14ac:dyDescent="0.2">
      <c r="A138" s="668" t="s">
        <v>1</v>
      </c>
      <c r="B138" s="1220" t="s">
        <v>268</v>
      </c>
      <c r="C138" s="1220"/>
      <c r="D138" s="1220"/>
      <c r="E138" s="1220"/>
      <c r="F138" s="1220"/>
      <c r="G138" s="687">
        <f>ROUND(IF(G40=0,H138,0),2)</f>
        <v>0</v>
      </c>
      <c r="H138" s="79"/>
      <c r="I138" s="668" t="s">
        <v>1</v>
      </c>
      <c r="J138" s="1181" t="s">
        <v>268</v>
      </c>
      <c r="K138" s="1182"/>
      <c r="L138" s="1182"/>
      <c r="M138" s="1182"/>
      <c r="N138" s="1183"/>
      <c r="O138" s="687">
        <f>ROUND(IF(O40=0,P138,0),2)</f>
        <v>0</v>
      </c>
      <c r="P138" s="79"/>
      <c r="Q138" s="668" t="s">
        <v>1</v>
      </c>
      <c r="R138" s="1181" t="s">
        <v>268</v>
      </c>
      <c r="S138" s="1182"/>
      <c r="T138" s="1182"/>
      <c r="U138" s="1182"/>
      <c r="V138" s="1183"/>
      <c r="W138" s="687">
        <v>0</v>
      </c>
      <c r="X138" s="78"/>
    </row>
    <row r="139" spans="1:37" s="34" customFormat="1" ht="15.75" hidden="1" customHeight="1" x14ac:dyDescent="0.2">
      <c r="A139" s="1172" t="s">
        <v>159</v>
      </c>
      <c r="B139" s="1172"/>
      <c r="C139" s="1172"/>
      <c r="D139" s="1172"/>
      <c r="E139" s="1172"/>
      <c r="F139" s="1172"/>
      <c r="G139" s="302">
        <f>SUM(G133:G138)</f>
        <v>0</v>
      </c>
      <c r="H139" s="79"/>
      <c r="I139" s="1175" t="s">
        <v>159</v>
      </c>
      <c r="J139" s="1176"/>
      <c r="K139" s="1176"/>
      <c r="L139" s="1176"/>
      <c r="M139" s="1176"/>
      <c r="N139" s="1177"/>
      <c r="O139" s="302">
        <f>SUM(O133:O138)</f>
        <v>0</v>
      </c>
      <c r="P139" s="79"/>
      <c r="Q139" s="1175" t="s">
        <v>159</v>
      </c>
      <c r="R139" s="1176"/>
      <c r="S139" s="1176"/>
      <c r="T139" s="1176"/>
      <c r="U139" s="1176"/>
      <c r="V139" s="1177"/>
      <c r="W139" s="302">
        <v>0</v>
      </c>
      <c r="X139" s="710"/>
    </row>
    <row r="140" spans="1:37" s="34" customFormat="1" ht="14.25" hidden="1" customHeight="1" x14ac:dyDescent="0.2">
      <c r="A140" s="1185" t="s">
        <v>229</v>
      </c>
      <c r="B140" s="1185"/>
      <c r="C140" s="1185"/>
      <c r="D140" s="1185"/>
      <c r="E140" s="1185"/>
      <c r="F140" s="1185"/>
      <c r="G140" s="1185"/>
      <c r="H140" s="79"/>
      <c r="I140" s="1184" t="s">
        <v>229</v>
      </c>
      <c r="J140" s="1184"/>
      <c r="K140" s="1184"/>
      <c r="L140" s="1184"/>
      <c r="M140" s="1184"/>
      <c r="N140" s="1184"/>
      <c r="O140" s="1184"/>
      <c r="P140" s="79"/>
      <c r="Q140" s="1184" t="s">
        <v>504</v>
      </c>
      <c r="R140" s="1184"/>
      <c r="S140" s="1184"/>
      <c r="T140" s="1184"/>
      <c r="U140" s="1184"/>
      <c r="V140" s="1184"/>
      <c r="W140" s="1184"/>
      <c r="X140" s="662"/>
    </row>
    <row r="141" spans="1:37" s="34" customFormat="1" ht="14.25" hidden="1" customHeight="1" x14ac:dyDescent="0.2">
      <c r="A141" s="1185"/>
      <c r="B141" s="1185"/>
      <c r="C141" s="1185"/>
      <c r="D141" s="1185"/>
      <c r="E141" s="1185"/>
      <c r="F141" s="1185"/>
      <c r="G141" s="1185"/>
      <c r="H141" s="79"/>
      <c r="I141" s="1185"/>
      <c r="J141" s="1185"/>
      <c r="K141" s="1185"/>
      <c r="L141" s="1185"/>
      <c r="M141" s="1185"/>
      <c r="N141" s="1185"/>
      <c r="O141" s="1185"/>
      <c r="P141" s="79"/>
      <c r="Q141" s="1185"/>
      <c r="R141" s="1185"/>
      <c r="S141" s="1185"/>
      <c r="T141" s="1185"/>
      <c r="U141" s="1185"/>
      <c r="V141" s="1185"/>
      <c r="W141" s="1185"/>
      <c r="X141" s="662"/>
    </row>
    <row r="142" spans="1:37" s="34" customFormat="1" ht="14.25" hidden="1" customHeight="1" x14ac:dyDescent="0.2">
      <c r="A142" s="71"/>
      <c r="B142" s="71"/>
      <c r="C142" s="71"/>
      <c r="D142" s="71"/>
      <c r="E142" s="71"/>
      <c r="F142" s="196"/>
      <c r="G142" s="197"/>
      <c r="H142" s="79"/>
      <c r="I142" s="71"/>
      <c r="J142" s="71"/>
      <c r="K142" s="71"/>
      <c r="L142" s="71"/>
      <c r="M142" s="71"/>
      <c r="N142" s="196"/>
      <c r="O142" s="197"/>
      <c r="P142" s="79"/>
      <c r="Q142" s="71"/>
      <c r="R142" s="71"/>
      <c r="S142" s="71"/>
      <c r="T142" s="71"/>
      <c r="U142" s="71"/>
      <c r="V142" s="196"/>
      <c r="W142" s="197"/>
      <c r="X142" s="197"/>
    </row>
    <row r="143" spans="1:37" s="34" customFormat="1" x14ac:dyDescent="0.2">
      <c r="A143" s="1173" t="s">
        <v>231</v>
      </c>
      <c r="B143" s="1173"/>
      <c r="C143" s="1173"/>
      <c r="D143" s="1173"/>
      <c r="E143" s="1173"/>
      <c r="F143" s="1173"/>
      <c r="G143" s="1173"/>
      <c r="H143" s="1173"/>
      <c r="I143" s="1173"/>
      <c r="J143" s="1173"/>
      <c r="K143" s="1173"/>
      <c r="L143" s="1173"/>
      <c r="M143" s="1173"/>
      <c r="N143" s="1173"/>
      <c r="O143" s="1173"/>
      <c r="P143" s="1173"/>
      <c r="Q143" s="1173"/>
      <c r="R143" s="1173"/>
      <c r="S143" s="1173"/>
      <c r="T143" s="1173"/>
      <c r="U143" s="1173"/>
      <c r="V143" s="1173"/>
      <c r="W143" s="1173"/>
      <c r="X143" s="1173"/>
      <c r="Y143" s="1173"/>
    </row>
    <row r="144" spans="1:37" s="34" customFormat="1" ht="69.75" customHeight="1" x14ac:dyDescent="0.2">
      <c r="A144" s="703">
        <v>4</v>
      </c>
      <c r="B144" s="1174" t="s">
        <v>230</v>
      </c>
      <c r="C144" s="1174"/>
      <c r="D144" s="1174"/>
      <c r="E144" s="1174"/>
      <c r="F144" s="1174"/>
      <c r="G144" s="707" t="s">
        <v>107</v>
      </c>
      <c r="H144" s="592"/>
      <c r="I144" s="703">
        <v>4</v>
      </c>
      <c r="J144" s="1174" t="s">
        <v>230</v>
      </c>
      <c r="K144" s="1174"/>
      <c r="L144" s="1174"/>
      <c r="M144" s="1174"/>
      <c r="N144" s="1174"/>
      <c r="O144" s="707" t="s">
        <v>107</v>
      </c>
      <c r="P144" s="592"/>
      <c r="Q144" s="703">
        <v>4</v>
      </c>
      <c r="R144" s="1174" t="s">
        <v>230</v>
      </c>
      <c r="S144" s="1174"/>
      <c r="T144" s="1174"/>
      <c r="U144" s="1174"/>
      <c r="V144" s="1174"/>
      <c r="W144" s="707" t="s">
        <v>107</v>
      </c>
      <c r="X144" s="703" t="s">
        <v>230</v>
      </c>
      <c r="Y144" s="707" t="s">
        <v>107</v>
      </c>
      <c r="Z144" s="888" t="s">
        <v>230</v>
      </c>
      <c r="AA144" s="912" t="s">
        <v>107</v>
      </c>
      <c r="AB144" s="909" t="s">
        <v>230</v>
      </c>
      <c r="AC144" s="912" t="s">
        <v>107</v>
      </c>
      <c r="AD144" s="783" t="s">
        <v>230</v>
      </c>
      <c r="AE144" s="922" t="s">
        <v>107</v>
      </c>
      <c r="AF144" s="783" t="s">
        <v>230</v>
      </c>
      <c r="AG144" s="922" t="s">
        <v>107</v>
      </c>
      <c r="AH144" s="783" t="s">
        <v>230</v>
      </c>
      <c r="AI144" s="922" t="s">
        <v>107</v>
      </c>
      <c r="AJ144" s="783" t="s">
        <v>230</v>
      </c>
      <c r="AK144" s="1000" t="s">
        <v>107</v>
      </c>
    </row>
    <row r="145" spans="1:37" s="34" customFormat="1" x14ac:dyDescent="0.2">
      <c r="A145" s="587" t="s">
        <v>42</v>
      </c>
      <c r="B145" s="588" t="str">
        <f>B125</f>
        <v>Substituto nas Ausências Legais</v>
      </c>
      <c r="C145" s="589"/>
      <c r="D145" s="589"/>
      <c r="E145" s="589"/>
      <c r="F145" s="590"/>
      <c r="G145" s="591">
        <f>G132</f>
        <v>25.24</v>
      </c>
      <c r="H145" s="79"/>
      <c r="I145" s="587" t="s">
        <v>42</v>
      </c>
      <c r="J145" s="588" t="str">
        <f>J125</f>
        <v>Substituto nas Ausências Legais</v>
      </c>
      <c r="K145" s="589"/>
      <c r="L145" s="589"/>
      <c r="M145" s="589"/>
      <c r="N145" s="590"/>
      <c r="O145" s="591">
        <f>O132</f>
        <v>25.99</v>
      </c>
      <c r="P145" s="79"/>
      <c r="Q145" s="587" t="s">
        <v>42</v>
      </c>
      <c r="R145" s="588" t="s">
        <v>269</v>
      </c>
      <c r="S145" s="589"/>
      <c r="T145" s="589"/>
      <c r="U145" s="589"/>
      <c r="V145" s="590"/>
      <c r="W145" s="591">
        <f>O132</f>
        <v>25.99</v>
      </c>
      <c r="X145" s="591"/>
      <c r="Y145" s="591">
        <f>O132</f>
        <v>25.99</v>
      </c>
      <c r="Z145" s="591"/>
      <c r="AA145" s="591">
        <f>Y145</f>
        <v>25.99</v>
      </c>
      <c r="AB145" s="591"/>
      <c r="AC145" s="591">
        <f>AC132</f>
        <v>25.99</v>
      </c>
      <c r="AD145" s="793"/>
      <c r="AE145" s="793">
        <f>AE132</f>
        <v>28.2</v>
      </c>
      <c r="AF145" s="793"/>
      <c r="AG145" s="793">
        <f>AG132</f>
        <v>28.2</v>
      </c>
      <c r="AH145" s="793"/>
      <c r="AI145" s="793">
        <f>AI132</f>
        <v>28.2</v>
      </c>
      <c r="AJ145" s="793"/>
      <c r="AK145" s="793">
        <f>AK132</f>
        <v>29.84</v>
      </c>
    </row>
    <row r="146" spans="1:37" s="34" customFormat="1" ht="14.25" hidden="1" customHeight="1" x14ac:dyDescent="0.2">
      <c r="A146" s="295" t="s">
        <v>47</v>
      </c>
      <c r="B146" s="664" t="str">
        <f>B137</f>
        <v>Substituto na Intrajornada</v>
      </c>
      <c r="C146" s="336"/>
      <c r="D146" s="336"/>
      <c r="E146" s="336"/>
      <c r="F146" s="691"/>
      <c r="G146" s="684">
        <f>G139</f>
        <v>0</v>
      </c>
      <c r="H146" s="79"/>
      <c r="I146" s="295" t="s">
        <v>47</v>
      </c>
      <c r="J146" s="664" t="str">
        <f>J137</f>
        <v>Substituto na Intrajornada</v>
      </c>
      <c r="K146" s="336"/>
      <c r="L146" s="336"/>
      <c r="M146" s="336"/>
      <c r="N146" s="691"/>
      <c r="O146" s="684">
        <f>O139</f>
        <v>0</v>
      </c>
      <c r="P146" s="79"/>
      <c r="Q146" s="295" t="s">
        <v>47</v>
      </c>
      <c r="R146" s="664" t="s">
        <v>425</v>
      </c>
      <c r="S146" s="336"/>
      <c r="T146" s="336"/>
      <c r="U146" s="336"/>
      <c r="V146" s="691"/>
      <c r="W146" s="684">
        <v>0</v>
      </c>
      <c r="X146" s="610"/>
      <c r="Z146" s="610"/>
      <c r="AB146" s="610"/>
      <c r="AD146" s="806"/>
      <c r="AE146" s="35"/>
      <c r="AF146" s="806"/>
      <c r="AG146" s="35"/>
      <c r="AH146" s="806"/>
      <c r="AI146" s="35"/>
      <c r="AJ146" s="806"/>
      <c r="AK146" s="35"/>
    </row>
    <row r="147" spans="1:37" s="34" customFormat="1" x14ac:dyDescent="0.2">
      <c r="A147" s="1172" t="s">
        <v>159</v>
      </c>
      <c r="B147" s="1172"/>
      <c r="C147" s="1172"/>
      <c r="D147" s="1172"/>
      <c r="E147" s="1172"/>
      <c r="F147" s="1172"/>
      <c r="G147" s="316">
        <f>SUM(G145:G146)</f>
        <v>25.24</v>
      </c>
      <c r="H147" s="79"/>
      <c r="I147" s="1175" t="s">
        <v>159</v>
      </c>
      <c r="J147" s="1176"/>
      <c r="K147" s="1176"/>
      <c r="L147" s="1176"/>
      <c r="M147" s="1176"/>
      <c r="N147" s="1177"/>
      <c r="O147" s="316">
        <f>SUM(O145:O146)</f>
        <v>25.99</v>
      </c>
      <c r="P147" s="79"/>
      <c r="Q147" s="1175" t="s">
        <v>159</v>
      </c>
      <c r="R147" s="1176"/>
      <c r="S147" s="1176"/>
      <c r="T147" s="1176"/>
      <c r="U147" s="1176"/>
      <c r="V147" s="1177"/>
      <c r="W147" s="316">
        <f>SUM(O145:O146)</f>
        <v>25.99</v>
      </c>
      <c r="X147" s="316" t="s">
        <v>159</v>
      </c>
      <c r="Y147" s="316">
        <f>SUM(O145:O146)</f>
        <v>25.99</v>
      </c>
      <c r="Z147" s="897" t="s">
        <v>159</v>
      </c>
      <c r="AA147" s="915">
        <f>Y147</f>
        <v>25.99</v>
      </c>
      <c r="AB147" s="915" t="s">
        <v>159</v>
      </c>
      <c r="AC147" s="915">
        <f>AC145</f>
        <v>25.99</v>
      </c>
      <c r="AD147" s="789" t="s">
        <v>159</v>
      </c>
      <c r="AE147" s="789">
        <f>AE145</f>
        <v>28.2</v>
      </c>
      <c r="AF147" s="789" t="s">
        <v>159</v>
      </c>
      <c r="AG147" s="789">
        <f>AG145</f>
        <v>28.2</v>
      </c>
      <c r="AH147" s="789" t="s">
        <v>159</v>
      </c>
      <c r="AI147" s="789">
        <f>AI145</f>
        <v>28.2</v>
      </c>
      <c r="AJ147" s="789" t="s">
        <v>159</v>
      </c>
      <c r="AK147" s="789">
        <f>AK145</f>
        <v>29.84</v>
      </c>
    </row>
    <row r="148" spans="1:37" s="34" customFormat="1" ht="14.25" hidden="1" customHeight="1" x14ac:dyDescent="0.2">
      <c r="A148" s="71"/>
      <c r="B148" s="71"/>
      <c r="C148" s="71"/>
      <c r="D148" s="71"/>
      <c r="E148" s="71"/>
      <c r="F148" s="196"/>
      <c r="G148" s="197"/>
      <c r="H148" s="79"/>
      <c r="I148" s="71"/>
      <c r="J148" s="71"/>
      <c r="K148" s="71"/>
      <c r="L148" s="71"/>
      <c r="M148" s="71"/>
      <c r="N148" s="196"/>
      <c r="O148" s="197"/>
      <c r="P148" s="79"/>
      <c r="Q148" s="71"/>
      <c r="R148" s="71"/>
      <c r="S148" s="71"/>
      <c r="T148" s="71"/>
      <c r="U148" s="71"/>
      <c r="V148" s="196"/>
      <c r="W148" s="197"/>
      <c r="X148" s="197"/>
    </row>
    <row r="149" spans="1:37" ht="15" customHeight="1" x14ac:dyDescent="0.2">
      <c r="A149" s="1173" t="s">
        <v>233</v>
      </c>
      <c r="B149" s="1173"/>
      <c r="C149" s="1173"/>
      <c r="D149" s="1173"/>
      <c r="E149" s="1173"/>
      <c r="F149" s="1173"/>
      <c r="G149" s="1173"/>
      <c r="H149" s="1173"/>
      <c r="I149" s="1173"/>
      <c r="J149" s="1173"/>
      <c r="K149" s="1173"/>
      <c r="L149" s="1173"/>
      <c r="M149" s="1173"/>
      <c r="N149" s="1173"/>
      <c r="O149" s="1173"/>
      <c r="P149" s="1173"/>
      <c r="Q149" s="1173"/>
      <c r="R149" s="1173"/>
      <c r="S149" s="1173"/>
      <c r="T149" s="1173"/>
      <c r="U149" s="1173"/>
      <c r="V149" s="1173"/>
      <c r="W149" s="1173"/>
      <c r="X149" s="1173"/>
      <c r="Y149" s="1173"/>
    </row>
    <row r="150" spans="1:37" ht="14.25" customHeight="1" x14ac:dyDescent="0.2">
      <c r="A150" s="703">
        <v>5</v>
      </c>
      <c r="B150" s="1174" t="s">
        <v>79</v>
      </c>
      <c r="C150" s="1174"/>
      <c r="D150" s="1174"/>
      <c r="E150" s="1174"/>
      <c r="F150" s="1174"/>
      <c r="G150" s="707" t="s">
        <v>107</v>
      </c>
      <c r="H150" s="592"/>
      <c r="I150" s="703">
        <v>5</v>
      </c>
      <c r="J150" s="1174" t="s">
        <v>79</v>
      </c>
      <c r="K150" s="1174"/>
      <c r="L150" s="1174"/>
      <c r="M150" s="1174"/>
      <c r="N150" s="1174"/>
      <c r="O150" s="707" t="s">
        <v>107</v>
      </c>
      <c r="P150" s="592"/>
      <c r="Q150" s="703">
        <v>5</v>
      </c>
      <c r="R150" s="1174" t="s">
        <v>79</v>
      </c>
      <c r="S150" s="1174"/>
      <c r="T150" s="1174"/>
      <c r="U150" s="1174"/>
      <c r="V150" s="1174"/>
      <c r="W150" s="707" t="s">
        <v>107</v>
      </c>
      <c r="X150" s="707" t="s">
        <v>79</v>
      </c>
      <c r="Y150" s="707" t="s">
        <v>107</v>
      </c>
      <c r="Z150" s="889" t="s">
        <v>79</v>
      </c>
      <c r="AA150" s="912" t="s">
        <v>107</v>
      </c>
      <c r="AB150" s="912" t="s">
        <v>79</v>
      </c>
      <c r="AC150" s="912" t="s">
        <v>107</v>
      </c>
      <c r="AD150" s="912" t="s">
        <v>79</v>
      </c>
      <c r="AE150" s="912" t="s">
        <v>107</v>
      </c>
      <c r="AF150" s="912" t="s">
        <v>79</v>
      </c>
      <c r="AG150" s="912" t="s">
        <v>107</v>
      </c>
      <c r="AH150" s="912" t="s">
        <v>79</v>
      </c>
      <c r="AI150" s="912" t="s">
        <v>107</v>
      </c>
      <c r="AJ150" s="963" t="s">
        <v>79</v>
      </c>
      <c r="AK150" s="923" t="s">
        <v>107</v>
      </c>
    </row>
    <row r="151" spans="1:37" x14ac:dyDescent="0.2">
      <c r="A151" s="587" t="s">
        <v>1</v>
      </c>
      <c r="B151" s="604" t="str">
        <f>Dados!A60</f>
        <v>Uniformes</v>
      </c>
      <c r="C151" s="589"/>
      <c r="D151" s="589"/>
      <c r="E151" s="589"/>
      <c r="F151" s="719">
        <f>Dados!J60</f>
        <v>42.33</v>
      </c>
      <c r="G151" s="591">
        <f>F151*$F$13</f>
        <v>42.33</v>
      </c>
      <c r="H151" s="79"/>
      <c r="I151" s="587" t="s">
        <v>1</v>
      </c>
      <c r="J151" s="604" t="str">
        <f>Dados!A60</f>
        <v>Uniformes</v>
      </c>
      <c r="K151" s="589"/>
      <c r="L151" s="589"/>
      <c r="M151" s="589"/>
      <c r="N151" s="719">
        <f>Dados!R60</f>
        <v>0</v>
      </c>
      <c r="O151" s="591">
        <f>F151*$F$13</f>
        <v>42.33</v>
      </c>
      <c r="P151" s="79"/>
      <c r="Q151" s="587" t="s">
        <v>1</v>
      </c>
      <c r="R151" s="604" t="s">
        <v>87</v>
      </c>
      <c r="S151" s="589"/>
      <c r="T151" s="589"/>
      <c r="U151" s="589"/>
      <c r="V151" s="719">
        <v>0</v>
      </c>
      <c r="W151" s="591">
        <f>F151*$F$13</f>
        <v>42.33</v>
      </c>
      <c r="X151" s="591"/>
      <c r="Y151" s="591">
        <v>50.8</v>
      </c>
      <c r="Z151" s="591"/>
      <c r="AA151" s="591">
        <f>'Uniformes III TA'!H25</f>
        <v>42.33</v>
      </c>
      <c r="AB151" s="591"/>
      <c r="AC151" s="591">
        <f>'Uniformes III TA'!R25</f>
        <v>46.43</v>
      </c>
      <c r="AD151" s="591"/>
      <c r="AE151" s="591">
        <f>'Uniformes III TA'!R25</f>
        <v>46.43</v>
      </c>
      <c r="AF151" s="591"/>
      <c r="AG151" s="591">
        <f>'Uniformes III TA'!R25</f>
        <v>46.43</v>
      </c>
      <c r="AH151" s="591"/>
      <c r="AI151" s="591">
        <f>'Uniformes III TA'!AI25</f>
        <v>51.1</v>
      </c>
      <c r="AJ151" s="591"/>
      <c r="AK151" s="591">
        <f>'Uniformes III TA'!AI25</f>
        <v>51.1</v>
      </c>
    </row>
    <row r="152" spans="1:37" x14ac:dyDescent="0.2">
      <c r="A152" s="295" t="s">
        <v>2</v>
      </c>
      <c r="B152" s="337" t="str">
        <f>Dados!A62</f>
        <v>Materiais e Equipamentos</v>
      </c>
      <c r="C152" s="336"/>
      <c r="D152" s="336"/>
      <c r="E152" s="336"/>
      <c r="F152" s="720">
        <f>Dados!J62+Dados!J63</f>
        <v>43.27</v>
      </c>
      <c r="G152" s="684">
        <f t="shared" ref="G152" si="34">F152*$F$13</f>
        <v>43.27</v>
      </c>
      <c r="H152" s="79"/>
      <c r="I152" s="295" t="s">
        <v>2</v>
      </c>
      <c r="J152" s="337" t="str">
        <f>Dados!A62</f>
        <v>Materiais e Equipamentos</v>
      </c>
      <c r="K152" s="336"/>
      <c r="L152" s="336"/>
      <c r="M152" s="336"/>
      <c r="N152" s="720">
        <f>Dados!R62+Dados!R63</f>
        <v>0</v>
      </c>
      <c r="O152" s="684">
        <f>F152*$F$13</f>
        <v>43.27</v>
      </c>
      <c r="P152" s="79"/>
      <c r="Q152" s="295" t="s">
        <v>2</v>
      </c>
      <c r="R152" s="337" t="s">
        <v>381</v>
      </c>
      <c r="S152" s="336"/>
      <c r="T152" s="336"/>
      <c r="U152" s="336"/>
      <c r="V152" s="720">
        <v>266504.8</v>
      </c>
      <c r="W152" s="684">
        <f>F152*$F$13</f>
        <v>43.27</v>
      </c>
      <c r="X152" s="684"/>
      <c r="Y152" s="684">
        <f>'Mat. e Equip. II TA'!I24+'Mat. e Equip. II TA'!I30</f>
        <v>47.23</v>
      </c>
      <c r="Z152" s="898"/>
      <c r="AA152" s="916">
        <f>'Mat. e Equip. II TA'!I24+'Mat. e Equip. II TA'!I30</f>
        <v>47.23</v>
      </c>
      <c r="AB152" s="916"/>
      <c r="AC152" s="916">
        <f>'Mat. e Equip. II TA'!S24+'Mat. e Equip. II TA'!S30</f>
        <v>47.45</v>
      </c>
      <c r="AD152" s="916"/>
      <c r="AE152" s="916">
        <f>AC152</f>
        <v>47.45</v>
      </c>
      <c r="AF152" s="916"/>
      <c r="AG152" s="916">
        <f>'Mat. e Equip. II TA'!AC24+'Mat. e Equip. II TA'!AC30</f>
        <v>51.79</v>
      </c>
      <c r="AH152" s="916"/>
      <c r="AI152" s="916">
        <f>'Mat. e Equip. II TA'!AM24+'Mat. e Equip. II TA'!AM30</f>
        <v>57.01</v>
      </c>
      <c r="AJ152" s="982"/>
      <c r="AK152" s="982">
        <f>'Mat. e Equip. II TA'!AM24+'Mat. e Equip. II TA'!AM30</f>
        <v>57.01</v>
      </c>
    </row>
    <row r="153" spans="1:37" x14ac:dyDescent="0.2">
      <c r="A153" s="295" t="s">
        <v>4</v>
      </c>
      <c r="B153" s="664" t="str">
        <f>Dados!A64</f>
        <v>Depreciação e manutenção dos equipamentos</v>
      </c>
      <c r="C153" s="336"/>
      <c r="D153" s="336"/>
      <c r="E153" s="336"/>
      <c r="F153" s="691">
        <f>Dados!I64</f>
        <v>0.1</v>
      </c>
      <c r="G153" s="684">
        <f>G152*F153</f>
        <v>4.33</v>
      </c>
      <c r="H153" s="79"/>
      <c r="I153" s="295" t="s">
        <v>4</v>
      </c>
      <c r="J153" s="664" t="str">
        <f>Dados!A64</f>
        <v>Depreciação e manutenção dos equipamentos</v>
      </c>
      <c r="K153" s="336"/>
      <c r="L153" s="336"/>
      <c r="M153" s="336"/>
      <c r="N153" s="691">
        <f>Dados!Q64</f>
        <v>0</v>
      </c>
      <c r="O153" s="684">
        <f>G152*F153</f>
        <v>4.33</v>
      </c>
      <c r="P153" s="79"/>
      <c r="Q153" s="295" t="s">
        <v>4</v>
      </c>
      <c r="R153" s="664" t="s">
        <v>83</v>
      </c>
      <c r="S153" s="336"/>
      <c r="T153" s="336"/>
      <c r="U153" s="336"/>
      <c r="V153" s="691">
        <v>10</v>
      </c>
      <c r="W153" s="684">
        <f>G152*F153</f>
        <v>4.33</v>
      </c>
      <c r="X153" s="684"/>
      <c r="Y153" s="684">
        <f>Y152*10%</f>
        <v>4.72</v>
      </c>
      <c r="Z153" s="898"/>
      <c r="AA153" s="916">
        <f>AA152*10%</f>
        <v>4.72</v>
      </c>
      <c r="AB153" s="916"/>
      <c r="AC153" s="916">
        <f>AC152*10%</f>
        <v>4.75</v>
      </c>
      <c r="AD153" s="916"/>
      <c r="AE153" s="916">
        <f>AE152*10%</f>
        <v>4.75</v>
      </c>
      <c r="AF153" s="916"/>
      <c r="AG153" s="916">
        <f>AG152*10%</f>
        <v>5.18</v>
      </c>
      <c r="AH153" s="916"/>
      <c r="AI153" s="916">
        <f>AI152*10%</f>
        <v>5.7</v>
      </c>
      <c r="AJ153" s="982"/>
      <c r="AK153" s="982">
        <f>AK152*10%</f>
        <v>5.7</v>
      </c>
    </row>
    <row r="154" spans="1:37" x14ac:dyDescent="0.2">
      <c r="A154" s="295" t="s">
        <v>5</v>
      </c>
      <c r="B154" s="303" t="s">
        <v>51</v>
      </c>
      <c r="C154" s="306"/>
      <c r="D154" s="306"/>
      <c r="E154" s="122"/>
      <c r="F154" s="691"/>
      <c r="G154" s="685"/>
      <c r="H154" s="79"/>
      <c r="I154" s="295" t="s">
        <v>5</v>
      </c>
      <c r="J154" s="303" t="s">
        <v>51</v>
      </c>
      <c r="K154" s="306"/>
      <c r="L154" s="306"/>
      <c r="M154" s="122"/>
      <c r="N154" s="691"/>
      <c r="O154" s="685"/>
      <c r="P154" s="79"/>
      <c r="Q154" s="295" t="s">
        <v>5</v>
      </c>
      <c r="R154" s="303" t="s">
        <v>51</v>
      </c>
      <c r="S154" s="306"/>
      <c r="T154" s="306"/>
      <c r="U154" s="122"/>
      <c r="V154" s="691"/>
      <c r="W154" s="685"/>
      <c r="X154" s="685"/>
      <c r="Y154" s="685"/>
      <c r="Z154" s="899"/>
      <c r="AA154" s="918"/>
      <c r="AB154" s="918"/>
      <c r="AC154" s="918"/>
      <c r="AD154" s="918"/>
      <c r="AE154" s="918"/>
      <c r="AF154" s="918"/>
      <c r="AG154" s="918"/>
      <c r="AH154" s="918"/>
      <c r="AI154" s="918"/>
      <c r="AJ154" s="984"/>
      <c r="AK154" s="984"/>
    </row>
    <row r="155" spans="1:37" x14ac:dyDescent="0.2">
      <c r="A155" s="1172" t="s">
        <v>159</v>
      </c>
      <c r="B155" s="1172"/>
      <c r="C155" s="1172"/>
      <c r="D155" s="1172"/>
      <c r="E155" s="1172"/>
      <c r="F155" s="1172"/>
      <c r="G155" s="316">
        <f>SUM(G151:G154)</f>
        <v>89.93</v>
      </c>
      <c r="H155" s="79"/>
      <c r="I155" s="1175" t="s">
        <v>159</v>
      </c>
      <c r="J155" s="1176"/>
      <c r="K155" s="1176"/>
      <c r="L155" s="1176"/>
      <c r="M155" s="1176"/>
      <c r="N155" s="1177"/>
      <c r="O155" s="316">
        <f>SUM(O151:O154)</f>
        <v>89.93</v>
      </c>
      <c r="P155" s="79"/>
      <c r="Q155" s="1175" t="s">
        <v>159</v>
      </c>
      <c r="R155" s="1176"/>
      <c r="S155" s="1176"/>
      <c r="T155" s="1176"/>
      <c r="U155" s="1176"/>
      <c r="V155" s="1177"/>
      <c r="W155" s="316">
        <f>SUM(O151:O154)</f>
        <v>89.93</v>
      </c>
      <c r="X155" s="316" t="s">
        <v>159</v>
      </c>
      <c r="Y155" s="316">
        <f>SUM(Y151:Y154)</f>
        <v>102.75</v>
      </c>
      <c r="Z155" s="897" t="s">
        <v>159</v>
      </c>
      <c r="AA155" s="915">
        <f>SUM(AA151:AA154)</f>
        <v>94.28</v>
      </c>
      <c r="AB155" s="915" t="s">
        <v>159</v>
      </c>
      <c r="AC155" s="915">
        <f>SUM(AC151:AC154)</f>
        <v>98.63</v>
      </c>
      <c r="AD155" s="915" t="s">
        <v>159</v>
      </c>
      <c r="AE155" s="915">
        <f>SUM(AE151:AE154)</f>
        <v>98.63</v>
      </c>
      <c r="AF155" s="915" t="s">
        <v>159</v>
      </c>
      <c r="AG155" s="915">
        <f>SUM(AG151:AG154)</f>
        <v>103.4</v>
      </c>
      <c r="AH155" s="915" t="s">
        <v>159</v>
      </c>
      <c r="AI155" s="915">
        <f>SUM(AI151:AI154)</f>
        <v>113.81</v>
      </c>
      <c r="AJ155" s="981" t="s">
        <v>159</v>
      </c>
      <c r="AK155" s="981">
        <f>SUM(AK151:AK154)</f>
        <v>113.81</v>
      </c>
    </row>
    <row r="156" spans="1:37" s="34" customFormat="1" ht="14.25" hidden="1" customHeigh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P156" s="79"/>
      <c r="Q156" s="71" t="s">
        <v>505</v>
      </c>
      <c r="R156" s="68"/>
      <c r="S156" s="68"/>
      <c r="T156" s="68"/>
      <c r="U156" s="68"/>
      <c r="V156" s="77"/>
      <c r="W156" s="78" t="s">
        <v>0</v>
      </c>
      <c r="X156" s="78"/>
    </row>
    <row r="157" spans="1:37" s="34" customFormat="1" ht="14.25" hidden="1" customHeight="1" x14ac:dyDescent="0.2">
      <c r="A157" s="681"/>
      <c r="B157" s="68"/>
      <c r="C157" s="68"/>
      <c r="D157" s="68"/>
      <c r="E157" s="68"/>
      <c r="F157" s="77"/>
      <c r="G157" s="78"/>
      <c r="H157" s="79"/>
      <c r="I157" s="681"/>
      <c r="J157" s="68"/>
      <c r="K157" s="68"/>
      <c r="L157" s="68"/>
      <c r="M157" s="68"/>
      <c r="N157" s="77"/>
      <c r="O157" s="78"/>
      <c r="P157" s="79"/>
      <c r="Q157" s="681"/>
      <c r="R157" s="68"/>
      <c r="S157" s="68"/>
      <c r="T157" s="68"/>
      <c r="U157" s="68"/>
      <c r="V157" s="77"/>
      <c r="W157" s="78"/>
      <c r="X157" s="78"/>
    </row>
    <row r="158" spans="1:37" ht="15" customHeight="1" x14ac:dyDescent="0.2">
      <c r="A158" s="1173" t="s">
        <v>237</v>
      </c>
      <c r="B158" s="1173"/>
      <c r="C158" s="1173"/>
      <c r="D158" s="1173"/>
      <c r="E158" s="1173"/>
      <c r="F158" s="1173"/>
      <c r="G158" s="1173"/>
      <c r="H158" s="1173"/>
      <c r="I158" s="1173"/>
      <c r="J158" s="1173"/>
      <c r="K158" s="1173"/>
      <c r="L158" s="1173"/>
      <c r="M158" s="1173"/>
      <c r="N158" s="1173"/>
      <c r="O158" s="1173"/>
      <c r="P158" s="1173"/>
      <c r="Q158" s="1173"/>
      <c r="R158" s="1173"/>
      <c r="S158" s="1173"/>
      <c r="T158" s="1173"/>
      <c r="U158" s="1173"/>
      <c r="V158" s="1173"/>
      <c r="W158" s="1173"/>
      <c r="X158" s="1173"/>
      <c r="Y158" s="1173"/>
    </row>
    <row r="159" spans="1:37" ht="15.75" customHeight="1" x14ac:dyDescent="0.2">
      <c r="A159" s="703">
        <v>6</v>
      </c>
      <c r="B159" s="1174" t="s">
        <v>23</v>
      </c>
      <c r="C159" s="1174"/>
      <c r="D159" s="1174"/>
      <c r="E159" s="1174"/>
      <c r="F159" s="703" t="s">
        <v>222</v>
      </c>
      <c r="G159" s="707" t="s">
        <v>107</v>
      </c>
      <c r="H159" s="592"/>
      <c r="I159" s="703">
        <v>6</v>
      </c>
      <c r="J159" s="1174" t="s">
        <v>23</v>
      </c>
      <c r="K159" s="1174"/>
      <c r="L159" s="1174"/>
      <c r="M159" s="1174"/>
      <c r="N159" s="703" t="s">
        <v>222</v>
      </c>
      <c r="O159" s="707" t="s">
        <v>107</v>
      </c>
      <c r="P159" s="592"/>
      <c r="Q159" s="703">
        <v>6</v>
      </c>
      <c r="R159" s="1174" t="s">
        <v>23</v>
      </c>
      <c r="S159" s="1174"/>
      <c r="T159" s="1174"/>
      <c r="U159" s="1174"/>
      <c r="V159" s="703" t="s">
        <v>222</v>
      </c>
      <c r="W159" s="707" t="s">
        <v>107</v>
      </c>
      <c r="X159" s="703" t="s">
        <v>222</v>
      </c>
      <c r="Y159" s="707" t="s">
        <v>107</v>
      </c>
      <c r="Z159" s="888" t="s">
        <v>222</v>
      </c>
      <c r="AA159" s="912" t="s">
        <v>107</v>
      </c>
      <c r="AB159" s="909" t="s">
        <v>222</v>
      </c>
      <c r="AC159" s="912" t="s">
        <v>107</v>
      </c>
      <c r="AD159" s="909" t="s">
        <v>222</v>
      </c>
      <c r="AE159" s="912" t="s">
        <v>107</v>
      </c>
      <c r="AF159" s="909" t="s">
        <v>222</v>
      </c>
      <c r="AG159" s="912" t="s">
        <v>107</v>
      </c>
      <c r="AH159" s="909" t="s">
        <v>222</v>
      </c>
      <c r="AI159" s="912" t="s">
        <v>107</v>
      </c>
      <c r="AJ159" s="962" t="s">
        <v>222</v>
      </c>
      <c r="AK159" s="963" t="s">
        <v>107</v>
      </c>
    </row>
    <row r="160" spans="1:37" ht="14.25" customHeight="1" x14ac:dyDescent="0.2">
      <c r="A160" s="675" t="s">
        <v>1</v>
      </c>
      <c r="B160" s="605" t="s">
        <v>24</v>
      </c>
      <c r="C160" s="597"/>
      <c r="D160" s="597"/>
      <c r="E160" s="598"/>
      <c r="F160" s="599">
        <f>Dados!J67</f>
        <v>0.01</v>
      </c>
      <c r="G160" s="606">
        <f>$G$180*F160</f>
        <v>58</v>
      </c>
      <c r="H160" s="79"/>
      <c r="I160" s="675" t="s">
        <v>1</v>
      </c>
      <c r="J160" s="605" t="s">
        <v>24</v>
      </c>
      <c r="K160" s="597"/>
      <c r="L160" s="597"/>
      <c r="M160" s="598"/>
      <c r="N160" s="599">
        <f>Dados!J67</f>
        <v>0.01</v>
      </c>
      <c r="O160" s="606">
        <f>$O$180*N160</f>
        <v>59.74</v>
      </c>
      <c r="P160" s="79"/>
      <c r="Q160" s="675" t="s">
        <v>1</v>
      </c>
      <c r="R160" s="605" t="s">
        <v>24</v>
      </c>
      <c r="S160" s="597"/>
      <c r="T160" s="597"/>
      <c r="U160" s="598"/>
      <c r="V160" s="599">
        <f>Dados!J67</f>
        <v>0.01</v>
      </c>
      <c r="W160" s="606">
        <f>$W$180*V160</f>
        <v>58.89</v>
      </c>
      <c r="X160" s="599">
        <f>Dados!J67</f>
        <v>0.01</v>
      </c>
      <c r="Y160" s="606">
        <f>$Y$180*V160</f>
        <v>59.02</v>
      </c>
      <c r="Z160" s="599">
        <v>0.01</v>
      </c>
      <c r="AA160" s="606">
        <f>$AA$180*Z160</f>
        <v>58.93</v>
      </c>
      <c r="AB160" s="599">
        <v>0.01</v>
      </c>
      <c r="AC160" s="606">
        <f>$AC$180*AB160</f>
        <v>58.97</v>
      </c>
      <c r="AD160" s="599">
        <v>0.01</v>
      </c>
      <c r="AE160" s="809">
        <f>$AE$180*AD160</f>
        <v>63.84</v>
      </c>
      <c r="AF160" s="599">
        <v>0.01</v>
      </c>
      <c r="AG160" s="606">
        <f>$AG$180*AF160</f>
        <v>63.88</v>
      </c>
      <c r="AH160" s="599">
        <v>0.01</v>
      </c>
      <c r="AI160" s="809">
        <f>$AI180*AH160</f>
        <v>63.99</v>
      </c>
      <c r="AJ160" s="599">
        <v>0.01</v>
      </c>
      <c r="AK160" s="809">
        <f>$AK180*AJ160</f>
        <v>67.75</v>
      </c>
    </row>
    <row r="161" spans="1:37" ht="14.25" customHeight="1" x14ac:dyDescent="0.2">
      <c r="A161" s="668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686">
        <f>($G$180+$G$160)*F161</f>
        <v>58.58</v>
      </c>
      <c r="H161" s="79"/>
      <c r="I161" s="668" t="s">
        <v>2</v>
      </c>
      <c r="J161" s="312" t="s">
        <v>18</v>
      </c>
      <c r="K161" s="315"/>
      <c r="L161" s="315"/>
      <c r="M161" s="304"/>
      <c r="N161" s="308">
        <f>Dados!J68</f>
        <v>0.01</v>
      </c>
      <c r="O161" s="686">
        <f>($O$180+$O$160)*N161</f>
        <v>60.34</v>
      </c>
      <c r="P161" s="79"/>
      <c r="Q161" s="668" t="s">
        <v>2</v>
      </c>
      <c r="R161" s="312" t="s">
        <v>18</v>
      </c>
      <c r="S161" s="315"/>
      <c r="T161" s="315"/>
      <c r="U161" s="304"/>
      <c r="V161" s="308">
        <f>Dados!J68</f>
        <v>0.01</v>
      </c>
      <c r="W161" s="686">
        <f>($W$180+$W$160)*V161</f>
        <v>59.48</v>
      </c>
      <c r="X161" s="308">
        <f>Dados!J68</f>
        <v>0.01</v>
      </c>
      <c r="Y161" s="686">
        <f>($Y$180+$Y$160)*X161</f>
        <v>59.61</v>
      </c>
      <c r="Z161" s="308">
        <v>0.01</v>
      </c>
      <c r="AA161" s="917">
        <f>($AA$180+$AA$160)*Z161</f>
        <v>59.52</v>
      </c>
      <c r="AB161" s="308">
        <v>0.01</v>
      </c>
      <c r="AC161" s="917">
        <f>($AC$180+$AC$160)*AB161</f>
        <v>59.56</v>
      </c>
      <c r="AD161" s="308">
        <v>0.01</v>
      </c>
      <c r="AE161" s="917">
        <f>($AE$180+$AE$160)*AD161</f>
        <v>64.47</v>
      </c>
      <c r="AF161" s="308">
        <v>0.01</v>
      </c>
      <c r="AG161" s="917">
        <f>($AG$180+$AG$160)*AF161</f>
        <v>64.52</v>
      </c>
      <c r="AH161" s="308">
        <v>0.01</v>
      </c>
      <c r="AI161" s="921">
        <f>($AI$180+$AI$160)*AH161</f>
        <v>64.63</v>
      </c>
      <c r="AJ161" s="308">
        <v>0.01</v>
      </c>
      <c r="AK161" s="989">
        <f>($AK$180+$AK$160)*AJ161</f>
        <v>68.430000000000007</v>
      </c>
    </row>
    <row r="162" spans="1:37" ht="14.25" customHeight="1" x14ac:dyDescent="0.2">
      <c r="A162" s="668" t="s">
        <v>4</v>
      </c>
      <c r="B162" s="312" t="s">
        <v>426</v>
      </c>
      <c r="C162" s="315"/>
      <c r="D162" s="315"/>
      <c r="E162" s="304"/>
      <c r="F162" s="308"/>
      <c r="G162" s="686">
        <f>SUM(G160:G161)</f>
        <v>116.58</v>
      </c>
      <c r="H162" s="79"/>
      <c r="I162" s="668" t="s">
        <v>4</v>
      </c>
      <c r="J162" s="312" t="s">
        <v>426</v>
      </c>
      <c r="K162" s="315"/>
      <c r="L162" s="315"/>
      <c r="M162" s="304"/>
      <c r="N162" s="308"/>
      <c r="O162" s="686">
        <f>SUM(O160:O161)</f>
        <v>120.08</v>
      </c>
      <c r="P162" s="79"/>
      <c r="Q162" s="668" t="s">
        <v>4</v>
      </c>
      <c r="R162" s="312" t="s">
        <v>426</v>
      </c>
      <c r="S162" s="315"/>
      <c r="T162" s="315"/>
      <c r="U162" s="304"/>
      <c r="V162" s="308"/>
      <c r="W162" s="686"/>
      <c r="X162" s="308"/>
      <c r="Y162" s="686"/>
      <c r="Z162" s="308"/>
      <c r="AA162" s="917"/>
      <c r="AB162" s="308"/>
      <c r="AC162" s="917"/>
      <c r="AD162" s="308"/>
      <c r="AE162" s="917"/>
      <c r="AF162" s="308"/>
      <c r="AG162" s="606"/>
      <c r="AH162" s="308"/>
      <c r="AI162" s="917"/>
      <c r="AJ162" s="308"/>
      <c r="AK162" s="983"/>
    </row>
    <row r="163" spans="1:37" ht="14.25" customHeight="1" x14ac:dyDescent="0.2">
      <c r="A163" s="668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42.1</v>
      </c>
      <c r="H163" s="79"/>
      <c r="I163" s="668" t="s">
        <v>271</v>
      </c>
      <c r="J163" s="313" t="s">
        <v>427</v>
      </c>
      <c r="K163" s="122"/>
      <c r="L163" s="315"/>
      <c r="M163" s="314"/>
      <c r="N163" s="309">
        <f>Dados!F72</f>
        <v>6.4999999999999997E-3</v>
      </c>
      <c r="O163" s="310">
        <f>(($O$180+$O$160+$O$161)/Dados!$H$72)*N163</f>
        <v>43.36</v>
      </c>
      <c r="P163" s="79"/>
      <c r="Q163" s="668" t="s">
        <v>271</v>
      </c>
      <c r="R163" s="313" t="s">
        <v>427</v>
      </c>
      <c r="S163" s="122"/>
      <c r="T163" s="315"/>
      <c r="U163" s="314"/>
      <c r="V163" s="309">
        <f>Dados!F72</f>
        <v>6.4999999999999997E-3</v>
      </c>
      <c r="W163" s="310">
        <f>(($W$180+$W$160+$W$161)/Dados!$H$72)*V163</f>
        <v>42.74</v>
      </c>
      <c r="X163" s="309">
        <f>Dados!F72</f>
        <v>6.4999999999999997E-3</v>
      </c>
      <c r="Y163" s="310">
        <f>(($Y$180+$Y$160+$Y$161)/Dados!$H$72)*X163</f>
        <v>42.84</v>
      </c>
      <c r="Z163" s="309">
        <v>6.4999999999999997E-3</v>
      </c>
      <c r="AA163" s="310">
        <f>(($AA$180+$AA$160+$AA$161)/Dados!$H$72)*Z163</f>
        <v>42.77</v>
      </c>
      <c r="AB163" s="309">
        <f>X163</f>
        <v>6.4999999999999997E-3</v>
      </c>
      <c r="AC163" s="310">
        <f>(($AC$180+$AC$160+$AC$161)/Dados!$H$72)*AB163</f>
        <v>42.81</v>
      </c>
      <c r="AD163" s="309">
        <v>6.4999999999999997E-3</v>
      </c>
      <c r="AE163" s="310">
        <f>(($AE$180+$AE$160+$AE$161)/Dados!$H$72)*AD163</f>
        <v>46.34</v>
      </c>
      <c r="AF163" s="309">
        <v>6.4999999999999997E-3</v>
      </c>
      <c r="AG163" s="310">
        <f>(($AG$180+$AG$160+$AG$161)/Dados!$H$72)*AF163</f>
        <v>46.37</v>
      </c>
      <c r="AH163" s="309">
        <v>6.4999999999999997E-3</v>
      </c>
      <c r="AI163" s="310">
        <f>(($AI$180+$AI$160+$AI$161)/Dados!$H$72)*AH163</f>
        <v>46.45</v>
      </c>
      <c r="AJ163" s="309">
        <v>6.4999999999999997E-3</v>
      </c>
      <c r="AK163" s="310">
        <f>(($AK$180+$AK$160+$AK$161)/Dados!$H$72)*AJ163</f>
        <v>49.18</v>
      </c>
    </row>
    <row r="164" spans="1:37" ht="14.25" customHeight="1" x14ac:dyDescent="0.2">
      <c r="A164" s="668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194.29</v>
      </c>
      <c r="H164" s="79"/>
      <c r="I164" s="668" t="s">
        <v>272</v>
      </c>
      <c r="J164" s="313" t="s">
        <v>484</v>
      </c>
      <c r="K164" s="122"/>
      <c r="L164" s="315"/>
      <c r="M164" s="304"/>
      <c r="N164" s="309">
        <f>Dados!E72</f>
        <v>0.03</v>
      </c>
      <c r="O164" s="310">
        <f>(($O$180+$O$160+$O$161)/Dados!$H$72)*N164</f>
        <v>200.13</v>
      </c>
      <c r="P164" s="79"/>
      <c r="Q164" s="668" t="s">
        <v>272</v>
      </c>
      <c r="R164" s="313" t="s">
        <v>484</v>
      </c>
      <c r="S164" s="122"/>
      <c r="T164" s="315"/>
      <c r="U164" s="304"/>
      <c r="V164" s="309">
        <f>Dados!E72</f>
        <v>0.03</v>
      </c>
      <c r="W164" s="310">
        <f>(($W$180+$W$160+$W$161)/Dados!$H$72)*V164</f>
        <v>197.28</v>
      </c>
      <c r="X164" s="309">
        <f>Dados!E72</f>
        <v>0.03</v>
      </c>
      <c r="Y164" s="310">
        <f>(($Y$180+$Y$160+$Y$161)/Dados!$H$72)*X164</f>
        <v>197.71</v>
      </c>
      <c r="Z164" s="309">
        <v>0.03</v>
      </c>
      <c r="AA164" s="310">
        <f>(($AA$180+$AA$160+$AA$161)/Dados!$H$72)*Z164</f>
        <v>197.42</v>
      </c>
      <c r="AB164" s="309">
        <f>X164</f>
        <v>0.03</v>
      </c>
      <c r="AC164" s="310">
        <f>(($AC$180+$AC160+$AC$161)/Dados!$H$72)*AB164</f>
        <v>197.57</v>
      </c>
      <c r="AD164" s="309">
        <v>0.03</v>
      </c>
      <c r="AE164" s="310">
        <f>(($AE$180+$AE$160+$AE$161)/Dados!$H$72)*AD164</f>
        <v>213.86</v>
      </c>
      <c r="AF164" s="309">
        <v>0.03</v>
      </c>
      <c r="AG164" s="310">
        <f>(($AG$180+$AG$160+$AG$161)/Dados!$H$72)*AF164</f>
        <v>214.02</v>
      </c>
      <c r="AH164" s="309">
        <v>0.03</v>
      </c>
      <c r="AI164" s="310">
        <f>(($AI$180+$AI$160+$AI$161)/Dados!$H$72)*AH164</f>
        <v>214.37</v>
      </c>
      <c r="AJ164" s="309">
        <v>0.03</v>
      </c>
      <c r="AK164" s="310">
        <f>(($AK$180+$AK$160+$AK$161)/Dados!$H$72)*AJ164</f>
        <v>226.96</v>
      </c>
    </row>
    <row r="165" spans="1:37" ht="14.25" customHeight="1" x14ac:dyDescent="0.2">
      <c r="A165" s="668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323.82</v>
      </c>
      <c r="H165" s="79"/>
      <c r="I165" s="668" t="s">
        <v>428</v>
      </c>
      <c r="J165" s="313" t="s">
        <v>486</v>
      </c>
      <c r="K165" s="122"/>
      <c r="L165" s="315"/>
      <c r="M165" s="304"/>
      <c r="N165" s="309">
        <f>Dados!C72</f>
        <v>0.05</v>
      </c>
      <c r="O165" s="310">
        <f>(($O$180+$O$160+$O$161)/Dados!$H$72)*N165</f>
        <v>333.56</v>
      </c>
      <c r="P165" s="79"/>
      <c r="Q165" s="668" t="s">
        <v>428</v>
      </c>
      <c r="R165" s="313" t="s">
        <v>486</v>
      </c>
      <c r="S165" s="122"/>
      <c r="T165" s="315"/>
      <c r="U165" s="304"/>
      <c r="V165" s="309">
        <f>Dados!C72</f>
        <v>0.05</v>
      </c>
      <c r="W165" s="310">
        <f>(($W$180+$W$160+$W$161)/Dados!$H$72)*V165</f>
        <v>328.8</v>
      </c>
      <c r="X165" s="309">
        <f>Dados!C72</f>
        <v>0.05</v>
      </c>
      <c r="Y165" s="310">
        <f>(($Y$180+$Y$160+$Y$161)/Dados!$H$72)*X165</f>
        <v>329.51</v>
      </c>
      <c r="Z165" s="309">
        <v>0.05</v>
      </c>
      <c r="AA165" s="310">
        <f>(($AA$180+$AA$160+$AA$161)/Dados!$H$72)*Z165</f>
        <v>329.04</v>
      </c>
      <c r="AB165" s="309">
        <f>X165</f>
        <v>0.05</v>
      </c>
      <c r="AC165" s="310">
        <f>(($AC$180+$AC$160+$AC$161)/Dados!$H$72)*AB165</f>
        <v>329.28</v>
      </c>
      <c r="AD165" s="309">
        <v>0.05</v>
      </c>
      <c r="AE165" s="310">
        <f>(($AE$180+$AE$160+$AE$161)/Dados!$H$72)*AD165</f>
        <v>356.43</v>
      </c>
      <c r="AF165" s="309">
        <v>0.05</v>
      </c>
      <c r="AG165" s="310">
        <f>(($AG$180+$AG$160+$AG$161)/Dados!$H$72)*AF165</f>
        <v>356.69</v>
      </c>
      <c r="AH165" s="309">
        <v>0.05</v>
      </c>
      <c r="AI165" s="310">
        <f>(($AI$180+$AI$160+$AI$161)/Dados!$H$72)*AH165</f>
        <v>357.28</v>
      </c>
      <c r="AJ165" s="309">
        <v>0.05</v>
      </c>
      <c r="AK165" s="310">
        <f>(($AK$180+$AK$160+$AK$161)/Dados!$H$72)*AJ165</f>
        <v>378.27</v>
      </c>
    </row>
    <row r="166" spans="1:37" ht="14.25" customHeight="1" x14ac:dyDescent="0.2">
      <c r="A166" s="668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79"/>
      <c r="I166" s="668" t="s">
        <v>5</v>
      </c>
      <c r="J166" s="313" t="s">
        <v>429</v>
      </c>
      <c r="K166" s="122"/>
      <c r="L166" s="315"/>
      <c r="M166" s="304"/>
      <c r="N166" s="309">
        <v>0</v>
      </c>
      <c r="O166" s="310">
        <v>0</v>
      </c>
      <c r="P166" s="79"/>
      <c r="Q166" s="668" t="s">
        <v>5</v>
      </c>
      <c r="R166" s="313" t="s">
        <v>429</v>
      </c>
      <c r="S166" s="122"/>
      <c r="T166" s="315"/>
      <c r="U166" s="304"/>
      <c r="V166" s="309">
        <v>0</v>
      </c>
      <c r="W166" s="310">
        <v>0</v>
      </c>
      <c r="X166" s="309">
        <v>0</v>
      </c>
      <c r="Y166" s="310">
        <v>0</v>
      </c>
      <c r="Z166" s="309">
        <v>0</v>
      </c>
      <c r="AA166" s="310">
        <v>0</v>
      </c>
      <c r="AB166" s="309">
        <v>0</v>
      </c>
      <c r="AC166" s="309">
        <v>0</v>
      </c>
      <c r="AD166" s="309">
        <v>0</v>
      </c>
      <c r="AE166" s="310">
        <v>0</v>
      </c>
      <c r="AF166" s="309">
        <v>0</v>
      </c>
      <c r="AG166" s="310">
        <v>0</v>
      </c>
      <c r="AH166" s="309">
        <v>0</v>
      </c>
      <c r="AI166" s="310">
        <v>0</v>
      </c>
      <c r="AJ166" s="309">
        <v>0</v>
      </c>
      <c r="AK166" s="310">
        <v>0</v>
      </c>
    </row>
    <row r="167" spans="1:37" ht="18" customHeight="1" x14ac:dyDescent="0.2">
      <c r="A167" s="1172" t="s">
        <v>159</v>
      </c>
      <c r="B167" s="1172"/>
      <c r="C167" s="1172"/>
      <c r="D167" s="1172"/>
      <c r="E167" s="1172"/>
      <c r="F167" s="311">
        <f>SUM(F160:F165)</f>
        <v>0.1065</v>
      </c>
      <c r="G167" s="688">
        <f>G160+G163+G164+G165+G161</f>
        <v>676.79</v>
      </c>
      <c r="H167" s="79"/>
      <c r="I167" s="1175" t="s">
        <v>159</v>
      </c>
      <c r="J167" s="1176"/>
      <c r="K167" s="1176"/>
      <c r="L167" s="1176"/>
      <c r="M167" s="1177"/>
      <c r="N167" s="311">
        <f>SUM(N160:N165)</f>
        <v>0.1065</v>
      </c>
      <c r="O167" s="688">
        <f>O160+O163+O164+O165+O161</f>
        <v>697.13</v>
      </c>
      <c r="P167" s="79"/>
      <c r="Q167" s="1175" t="s">
        <v>159</v>
      </c>
      <c r="R167" s="1176"/>
      <c r="S167" s="1176"/>
      <c r="T167" s="1176"/>
      <c r="U167" s="1177"/>
      <c r="V167" s="311">
        <f>SUM(V160:V165)</f>
        <v>0.1065</v>
      </c>
      <c r="W167" s="688">
        <f>W160+W163+W164+W165+W161</f>
        <v>687.19</v>
      </c>
      <c r="X167" s="311">
        <f>SUM(X160:X165)</f>
        <v>0.1065</v>
      </c>
      <c r="Y167" s="688">
        <f>Y160+Y163+Y164+Y165+Y161</f>
        <v>688.69</v>
      </c>
      <c r="Z167" s="311">
        <f>SUM(Z160:Z165)</f>
        <v>0.1065</v>
      </c>
      <c r="AA167" s="920">
        <f>AA160+AA163+AA164+AA165+AA161</f>
        <v>687.68</v>
      </c>
      <c r="AB167" s="311">
        <f>SUM(AB160:AB165)</f>
        <v>0.1065</v>
      </c>
      <c r="AC167" s="920">
        <f>AC160+AC163+AC164+AC165+AC161</f>
        <v>688.19</v>
      </c>
      <c r="AD167" s="311">
        <f>SUM(AD160:AD165)</f>
        <v>0.1065</v>
      </c>
      <c r="AE167" s="920">
        <f>AE160+AE163+AE164+AE165+AE161</f>
        <v>744.94</v>
      </c>
      <c r="AF167" s="311">
        <f>SUM(AF160:AF165)</f>
        <v>0.1065</v>
      </c>
      <c r="AG167" s="920">
        <f>AG160+AG163+AG164+AG165+AG161</f>
        <v>745.48</v>
      </c>
      <c r="AH167" s="311">
        <f>SUM(AH160:AH165)</f>
        <v>0.1065</v>
      </c>
      <c r="AI167" s="920">
        <f>AI160+AI163+AI164+AI165+AI161</f>
        <v>746.72</v>
      </c>
      <c r="AJ167" s="311">
        <f>SUM(AJ160:AJ165)</f>
        <v>0.1065</v>
      </c>
      <c r="AK167" s="988">
        <f>AK160+AK163+AK164+AK165+AK161</f>
        <v>790.59</v>
      </c>
    </row>
    <row r="168" spans="1:37" ht="14.25" hidden="1" customHeight="1" x14ac:dyDescent="0.2">
      <c r="A168" s="195" t="s">
        <v>236</v>
      </c>
      <c r="B168" s="667"/>
      <c r="C168" s="667"/>
      <c r="D168" s="667"/>
      <c r="E168" s="667"/>
      <c r="F168" s="667"/>
      <c r="G168" s="82"/>
      <c r="H168" s="79"/>
      <c r="I168" s="195" t="s">
        <v>236</v>
      </c>
      <c r="J168" s="667"/>
      <c r="K168" s="667"/>
      <c r="L168" s="667"/>
      <c r="M168" s="667"/>
      <c r="N168" s="667"/>
      <c r="O168" s="82"/>
      <c r="P168" s="79"/>
      <c r="Q168" s="195" t="s">
        <v>506</v>
      </c>
      <c r="R168" s="667"/>
      <c r="S168" s="667"/>
      <c r="T168" s="667"/>
      <c r="U168" s="667"/>
      <c r="V168" s="667"/>
      <c r="W168" s="82"/>
      <c r="X168" s="82"/>
      <c r="Y168" s="34"/>
    </row>
    <row r="169" spans="1:37" ht="14.25" hidden="1" customHeight="1" x14ac:dyDescent="0.2">
      <c r="A169" s="195" t="s">
        <v>235</v>
      </c>
      <c r="B169" s="667"/>
      <c r="C169" s="667"/>
      <c r="D169" s="667"/>
      <c r="E169" s="667"/>
      <c r="F169" s="667"/>
      <c r="G169" s="82"/>
      <c r="H169" s="79"/>
      <c r="I169" s="195" t="s">
        <v>235</v>
      </c>
      <c r="J169" s="667"/>
      <c r="K169" s="667"/>
      <c r="L169" s="667"/>
      <c r="M169" s="667"/>
      <c r="N169" s="667"/>
      <c r="O169" s="82"/>
      <c r="P169" s="79"/>
      <c r="Q169" s="195" t="s">
        <v>507</v>
      </c>
      <c r="R169" s="667"/>
      <c r="S169" s="667"/>
      <c r="T169" s="667"/>
      <c r="U169" s="667"/>
      <c r="V169" s="667"/>
      <c r="W169" s="82"/>
      <c r="X169" s="82"/>
      <c r="Y169" s="34"/>
    </row>
    <row r="170" spans="1:37" ht="14.25" hidden="1" customHeight="1" x14ac:dyDescent="0.2">
      <c r="A170" s="1186" t="s">
        <v>433</v>
      </c>
      <c r="B170" s="1186"/>
      <c r="C170" s="1186"/>
      <c r="D170" s="1186"/>
      <c r="E170" s="1186"/>
      <c r="F170" s="1186"/>
      <c r="G170" s="1186"/>
      <c r="H170" s="79"/>
      <c r="I170" s="1186"/>
      <c r="J170" s="1186"/>
      <c r="K170" s="1186"/>
      <c r="L170" s="1186"/>
      <c r="M170" s="1186"/>
      <c r="N170" s="1186"/>
      <c r="O170" s="1186"/>
      <c r="P170" s="79"/>
      <c r="Q170" s="1186"/>
      <c r="R170" s="1186"/>
      <c r="S170" s="1186"/>
      <c r="T170" s="1186"/>
      <c r="U170" s="1186"/>
      <c r="V170" s="1186"/>
      <c r="W170" s="1186"/>
      <c r="X170" s="667"/>
      <c r="Y170" s="34"/>
    </row>
    <row r="171" spans="1:37" ht="14.25" hidden="1" customHeight="1" x14ac:dyDescent="0.2">
      <c r="A171" s="1186"/>
      <c r="B171" s="1186"/>
      <c r="C171" s="1186"/>
      <c r="D171" s="1186"/>
      <c r="E171" s="1186"/>
      <c r="F171" s="1186"/>
      <c r="G171" s="1186"/>
      <c r="H171" s="79"/>
      <c r="I171" s="1186"/>
      <c r="J171" s="1186"/>
      <c r="K171" s="1186"/>
      <c r="L171" s="1186"/>
      <c r="M171" s="1186"/>
      <c r="N171" s="1186"/>
      <c r="O171" s="1186"/>
      <c r="P171" s="79"/>
      <c r="Q171" s="1186"/>
      <c r="R171" s="1186"/>
      <c r="S171" s="1186"/>
      <c r="T171" s="1186"/>
      <c r="U171" s="1186"/>
      <c r="V171" s="1186"/>
      <c r="W171" s="1186"/>
      <c r="X171" s="667"/>
      <c r="Y171" s="34"/>
    </row>
    <row r="172" spans="1:37" ht="14.25" hidden="1" customHeight="1" x14ac:dyDescent="0.2">
      <c r="A172" s="195"/>
      <c r="B172" s="667"/>
      <c r="C172" s="667"/>
      <c r="D172" s="667"/>
      <c r="E172" s="667"/>
      <c r="F172" s="667"/>
      <c r="G172" s="82"/>
      <c r="H172" s="79"/>
      <c r="I172" s="195"/>
      <c r="J172" s="667"/>
      <c r="K172" s="667"/>
      <c r="L172" s="667"/>
      <c r="M172" s="667"/>
      <c r="N172" s="667"/>
      <c r="O172" s="82"/>
      <c r="P172" s="79"/>
      <c r="Q172" s="195"/>
      <c r="R172" s="667"/>
      <c r="S172" s="667"/>
      <c r="T172" s="667"/>
      <c r="U172" s="667"/>
      <c r="V172" s="667"/>
      <c r="W172" s="82"/>
      <c r="X172" s="82"/>
      <c r="Y172" s="34"/>
    </row>
    <row r="173" spans="1:37" x14ac:dyDescent="0.2">
      <c r="A173" s="1173" t="s">
        <v>434</v>
      </c>
      <c r="B173" s="1173"/>
      <c r="C173" s="1173"/>
      <c r="D173" s="1173"/>
      <c r="E173" s="1173"/>
      <c r="F173" s="1173"/>
      <c r="G173" s="1173"/>
      <c r="H173" s="1173"/>
      <c r="I173" s="1173"/>
      <c r="J173" s="1173"/>
      <c r="K173" s="1173"/>
      <c r="L173" s="1173"/>
      <c r="M173" s="1173"/>
      <c r="N173" s="1173"/>
      <c r="O173" s="1173"/>
      <c r="P173" s="1173"/>
      <c r="Q173" s="1173"/>
      <c r="R173" s="1173"/>
      <c r="S173" s="1173"/>
      <c r="T173" s="1173"/>
      <c r="U173" s="1173"/>
      <c r="V173" s="1173"/>
      <c r="W173" s="1173"/>
      <c r="X173" s="1173"/>
      <c r="Y173" s="1173"/>
    </row>
    <row r="174" spans="1:37" ht="96" customHeight="1" x14ac:dyDescent="0.2">
      <c r="A174" s="1173" t="s">
        <v>201</v>
      </c>
      <c r="B174" s="1173"/>
      <c r="C174" s="1173"/>
      <c r="D174" s="1173"/>
      <c r="E174" s="1173"/>
      <c r="F174" s="1173"/>
      <c r="G174" s="707" t="s">
        <v>521</v>
      </c>
      <c r="H174" s="592"/>
      <c r="I174" s="1174" t="s">
        <v>201</v>
      </c>
      <c r="J174" s="1174"/>
      <c r="K174" s="1174"/>
      <c r="L174" s="1174"/>
      <c r="M174" s="1174"/>
      <c r="N174" s="1174"/>
      <c r="O174" s="703" t="s">
        <v>519</v>
      </c>
      <c r="P174" s="593"/>
      <c r="Q174" s="1178" t="s">
        <v>201</v>
      </c>
      <c r="R174" s="1179"/>
      <c r="S174" s="1179"/>
      <c r="T174" s="1179"/>
      <c r="U174" s="1179"/>
      <c r="V174" s="1180"/>
      <c r="W174" s="703" t="s">
        <v>520</v>
      </c>
      <c r="X174" s="703" t="s">
        <v>201</v>
      </c>
      <c r="Y174" s="705" t="s">
        <v>539</v>
      </c>
      <c r="Z174" s="888" t="s">
        <v>201</v>
      </c>
      <c r="AA174" s="783" t="s">
        <v>591</v>
      </c>
      <c r="AB174" s="909" t="s">
        <v>201</v>
      </c>
      <c r="AC174" s="909" t="s">
        <v>592</v>
      </c>
      <c r="AD174" s="783" t="s">
        <v>201</v>
      </c>
      <c r="AE174" s="783" t="s">
        <v>593</v>
      </c>
      <c r="AF174" s="783" t="s">
        <v>201</v>
      </c>
      <c r="AG174" s="783" t="s">
        <v>595</v>
      </c>
      <c r="AH174" s="783" t="s">
        <v>201</v>
      </c>
      <c r="AI174" s="783" t="s">
        <v>558</v>
      </c>
      <c r="AJ174" s="783" t="s">
        <v>201</v>
      </c>
      <c r="AK174" s="783" t="s">
        <v>600</v>
      </c>
    </row>
    <row r="175" spans="1:37" ht="14.25" customHeight="1" x14ac:dyDescent="0.2">
      <c r="A175" s="675" t="s">
        <v>1</v>
      </c>
      <c r="B175" s="588" t="str">
        <f>A33</f>
        <v>Módulo 1 - Composição da Remuneração</v>
      </c>
      <c r="C175" s="601"/>
      <c r="D175" s="602"/>
      <c r="E175" s="602"/>
      <c r="F175" s="607"/>
      <c r="G175" s="608">
        <f>G41</f>
        <v>2850.45</v>
      </c>
      <c r="H175" s="79"/>
      <c r="I175" s="675" t="s">
        <v>1</v>
      </c>
      <c r="J175" s="588">
        <f>I33</f>
        <v>0</v>
      </c>
      <c r="K175" s="601"/>
      <c r="L175" s="602"/>
      <c r="M175" s="602"/>
      <c r="N175" s="607"/>
      <c r="O175" s="608">
        <f>O41</f>
        <v>2935.96</v>
      </c>
      <c r="P175" s="34"/>
      <c r="Q175" s="675" t="s">
        <v>1</v>
      </c>
      <c r="R175" s="588" t="s">
        <v>25</v>
      </c>
      <c r="S175" s="601"/>
      <c r="T175" s="602"/>
      <c r="U175" s="602"/>
      <c r="V175" s="607"/>
      <c r="W175" s="608">
        <v>2935.96</v>
      </c>
      <c r="X175" s="608"/>
      <c r="Y175" s="608">
        <v>2935.96</v>
      </c>
      <c r="Z175" s="807"/>
      <c r="AA175" s="807">
        <f>Y175</f>
        <v>2935.96</v>
      </c>
      <c r="AB175" s="608"/>
      <c r="AC175" s="608">
        <v>2935.96</v>
      </c>
      <c r="AD175" s="807"/>
      <c r="AE175" s="807">
        <f>AE41</f>
        <v>3185.51</v>
      </c>
      <c r="AF175" s="807"/>
      <c r="AG175" s="807">
        <f>AG41</f>
        <v>3185.51</v>
      </c>
      <c r="AH175" s="807"/>
      <c r="AI175" s="807">
        <f>AI41</f>
        <v>3185.51</v>
      </c>
      <c r="AJ175" s="807"/>
      <c r="AK175" s="807">
        <f>AK41</f>
        <v>3371.85</v>
      </c>
    </row>
    <row r="176" spans="1:37" ht="14.25" customHeight="1" x14ac:dyDescent="0.2">
      <c r="A176" s="668" t="s">
        <v>2</v>
      </c>
      <c r="B176" s="664" t="str">
        <f>A46</f>
        <v>Módulo 2 - Encargos e Benefícios Anuais, Mensais e Diários</v>
      </c>
      <c r="C176" s="665"/>
      <c r="D176" s="677"/>
      <c r="E176" s="677"/>
      <c r="F176" s="317"/>
      <c r="G176" s="685">
        <f>G105</f>
        <v>2612.5100000000002</v>
      </c>
      <c r="H176" s="79"/>
      <c r="I176" s="668" t="s">
        <v>2</v>
      </c>
      <c r="J176" s="664">
        <f>I46</f>
        <v>0</v>
      </c>
      <c r="K176" s="665"/>
      <c r="L176" s="677"/>
      <c r="M176" s="677"/>
      <c r="N176" s="317"/>
      <c r="O176" s="685">
        <f>O105</f>
        <v>2693.61</v>
      </c>
      <c r="P176" s="34"/>
      <c r="Q176" s="668" t="s">
        <v>2</v>
      </c>
      <c r="R176" s="664" t="s">
        <v>209</v>
      </c>
      <c r="S176" s="665"/>
      <c r="T176" s="677"/>
      <c r="U176" s="677"/>
      <c r="V176" s="317"/>
      <c r="W176" s="685">
        <v>2693.61</v>
      </c>
      <c r="X176" s="685"/>
      <c r="Y176" s="685">
        <v>2693.61</v>
      </c>
      <c r="Z176" s="794"/>
      <c r="AA176" s="794">
        <f>Y176</f>
        <v>2693.61</v>
      </c>
      <c r="AB176" s="918"/>
      <c r="AC176" s="918">
        <v>2693.61</v>
      </c>
      <c r="AD176" s="794"/>
      <c r="AE176" s="794">
        <f>AE105</f>
        <v>2915.91</v>
      </c>
      <c r="AF176" s="794"/>
      <c r="AG176" s="794">
        <f>AG105</f>
        <v>2915.91</v>
      </c>
      <c r="AH176" s="794"/>
      <c r="AI176" s="794">
        <f>AI105</f>
        <v>2915.91</v>
      </c>
      <c r="AJ176" s="794"/>
      <c r="AK176" s="794">
        <f>AK105</f>
        <v>3094.86</v>
      </c>
    </row>
    <row r="177" spans="1:37" ht="14.25" customHeight="1" x14ac:dyDescent="0.2">
      <c r="A177" s="668" t="s">
        <v>4</v>
      </c>
      <c r="B177" s="664" t="str">
        <f>A107</f>
        <v>Módulo 3 - Provisão para Rescisão</v>
      </c>
      <c r="C177" s="665"/>
      <c r="D177" s="677"/>
      <c r="E177" s="677"/>
      <c r="F177" s="317"/>
      <c r="G177" s="685">
        <f>G116</f>
        <v>221.48</v>
      </c>
      <c r="H177" s="79"/>
      <c r="I177" s="668" t="s">
        <v>4</v>
      </c>
      <c r="J177" s="664">
        <f>I107</f>
        <v>0</v>
      </c>
      <c r="K177" s="665"/>
      <c r="L177" s="677"/>
      <c r="M177" s="677"/>
      <c r="N177" s="317"/>
      <c r="O177" s="685">
        <f>O116</f>
        <v>228.48</v>
      </c>
      <c r="P177" s="34"/>
      <c r="Q177" s="668" t="s">
        <v>4</v>
      </c>
      <c r="R177" s="664" t="s">
        <v>227</v>
      </c>
      <c r="S177" s="665"/>
      <c r="T177" s="677"/>
      <c r="U177" s="677"/>
      <c r="V177" s="317"/>
      <c r="W177" s="685">
        <f>W116</f>
        <v>143.22999999999999</v>
      </c>
      <c r="X177" s="685"/>
      <c r="Y177" s="685">
        <f>Y116</f>
        <v>143.22999999999999</v>
      </c>
      <c r="Z177" s="794"/>
      <c r="AA177" s="794">
        <f>Y177</f>
        <v>143.22999999999999</v>
      </c>
      <c r="AB177" s="918"/>
      <c r="AC177" s="918">
        <f>AC116</f>
        <v>143.22999999999999</v>
      </c>
      <c r="AD177" s="794"/>
      <c r="AE177" s="794">
        <f>AE116</f>
        <v>155.38999999999999</v>
      </c>
      <c r="AF177" s="794"/>
      <c r="AG177" s="794">
        <f>AG116</f>
        <v>155.38999999999999</v>
      </c>
      <c r="AH177" s="794"/>
      <c r="AI177" s="794">
        <f>AI116</f>
        <v>155.38999999999999</v>
      </c>
      <c r="AJ177" s="794"/>
      <c r="AK177" s="794">
        <f>AK116</f>
        <v>164.5</v>
      </c>
    </row>
    <row r="178" spans="1:37" ht="14.25" customHeight="1" x14ac:dyDescent="0.2">
      <c r="A178" s="668" t="s">
        <v>5</v>
      </c>
      <c r="B178" s="664" t="str">
        <f>A121</f>
        <v>Módulo 4 - Custo de Reposição do Profissional</v>
      </c>
      <c r="C178" s="665"/>
      <c r="D178" s="677"/>
      <c r="E178" s="677"/>
      <c r="F178" s="317"/>
      <c r="G178" s="685">
        <f>G147</f>
        <v>25.24</v>
      </c>
      <c r="H178" s="79"/>
      <c r="I178" s="668" t="s">
        <v>5</v>
      </c>
      <c r="J178" s="664">
        <f>I121</f>
        <v>0</v>
      </c>
      <c r="K178" s="665"/>
      <c r="L178" s="677"/>
      <c r="M178" s="677"/>
      <c r="N178" s="317"/>
      <c r="O178" s="685">
        <f>O147</f>
        <v>25.99</v>
      </c>
      <c r="P178" s="34"/>
      <c r="Q178" s="668" t="s">
        <v>5</v>
      </c>
      <c r="R178" s="664" t="s">
        <v>228</v>
      </c>
      <c r="S178" s="665"/>
      <c r="T178" s="677"/>
      <c r="U178" s="677"/>
      <c r="V178" s="317"/>
      <c r="W178" s="685">
        <v>25.99</v>
      </c>
      <c r="X178" s="685"/>
      <c r="Y178" s="685">
        <v>25.99</v>
      </c>
      <c r="Z178" s="794"/>
      <c r="AA178" s="794">
        <f>Y178</f>
        <v>25.99</v>
      </c>
      <c r="AB178" s="918"/>
      <c r="AC178" s="918">
        <v>25.99</v>
      </c>
      <c r="AD178" s="794"/>
      <c r="AE178" s="794">
        <f>AE147</f>
        <v>28.2</v>
      </c>
      <c r="AF178" s="794"/>
      <c r="AG178" s="794">
        <f>AG147</f>
        <v>28.2</v>
      </c>
      <c r="AH178" s="794"/>
      <c r="AI178" s="794">
        <f>AI147</f>
        <v>28.2</v>
      </c>
      <c r="AJ178" s="794"/>
      <c r="AK178" s="794">
        <f>AK147</f>
        <v>29.84</v>
      </c>
    </row>
    <row r="179" spans="1:37" x14ac:dyDescent="0.2">
      <c r="A179" s="295" t="s">
        <v>6</v>
      </c>
      <c r="B179" s="664" t="str">
        <f>A149</f>
        <v>Módulo 5 - Insumos Diversos</v>
      </c>
      <c r="C179" s="319"/>
      <c r="D179" s="319"/>
      <c r="E179" s="319"/>
      <c r="F179" s="318"/>
      <c r="G179" s="711">
        <f>G155</f>
        <v>89.93</v>
      </c>
      <c r="H179" s="34"/>
      <c r="I179" s="295" t="s">
        <v>6</v>
      </c>
      <c r="J179" s="664">
        <f>I149</f>
        <v>0</v>
      </c>
      <c r="K179" s="319"/>
      <c r="L179" s="319"/>
      <c r="M179" s="319"/>
      <c r="N179" s="318"/>
      <c r="O179" s="711">
        <f>O155</f>
        <v>89.93</v>
      </c>
      <c r="P179" s="34"/>
      <c r="Q179" s="295" t="s">
        <v>6</v>
      </c>
      <c r="R179" s="664" t="s">
        <v>233</v>
      </c>
      <c r="S179" s="319"/>
      <c r="T179" s="319"/>
      <c r="U179" s="319"/>
      <c r="V179" s="318"/>
      <c r="W179" s="711">
        <v>89.93</v>
      </c>
      <c r="X179" s="711"/>
      <c r="Y179" s="711">
        <f>Y155</f>
        <v>102.75</v>
      </c>
      <c r="Z179" s="808"/>
      <c r="AA179" s="808">
        <f>AA155</f>
        <v>94.28</v>
      </c>
      <c r="AB179" s="711"/>
      <c r="AC179" s="711">
        <f>AC155</f>
        <v>98.63</v>
      </c>
      <c r="AD179" s="808"/>
      <c r="AE179" s="808">
        <f>AE155</f>
        <v>98.63</v>
      </c>
      <c r="AF179" s="808"/>
      <c r="AG179" s="808">
        <f>AG155</f>
        <v>103.4</v>
      </c>
      <c r="AH179" s="808"/>
      <c r="AI179" s="808">
        <f>AI155</f>
        <v>113.81</v>
      </c>
      <c r="AJ179" s="808"/>
      <c r="AK179" s="808">
        <f>AI155</f>
        <v>113.81</v>
      </c>
    </row>
    <row r="180" spans="1:37" ht="31.5" customHeight="1" x14ac:dyDescent="0.2">
      <c r="A180" s="1172" t="s">
        <v>238</v>
      </c>
      <c r="B180" s="1172"/>
      <c r="C180" s="1172"/>
      <c r="D180" s="1172"/>
      <c r="E180" s="1172"/>
      <c r="F180" s="1172"/>
      <c r="G180" s="316">
        <f>SUM(G175:G179)</f>
        <v>5799.61</v>
      </c>
      <c r="H180" s="34"/>
      <c r="I180" s="1175" t="s">
        <v>238</v>
      </c>
      <c r="J180" s="1176"/>
      <c r="K180" s="1176"/>
      <c r="L180" s="1176"/>
      <c r="M180" s="1176"/>
      <c r="N180" s="1177"/>
      <c r="O180" s="316">
        <f>SUM(O175:O179)</f>
        <v>5973.97</v>
      </c>
      <c r="P180" s="34"/>
      <c r="Q180" s="1175" t="s">
        <v>238</v>
      </c>
      <c r="R180" s="1176"/>
      <c r="S180" s="1176"/>
      <c r="T180" s="1176"/>
      <c r="U180" s="1176"/>
      <c r="V180" s="1177"/>
      <c r="W180" s="316">
        <f>SUM(W175:W179)</f>
        <v>5888.72</v>
      </c>
      <c r="X180" s="302" t="s">
        <v>238</v>
      </c>
      <c r="Y180" s="316">
        <f>SUM(Y175:Y179)</f>
        <v>5901.54</v>
      </c>
      <c r="Z180" s="900" t="s">
        <v>238</v>
      </c>
      <c r="AA180" s="915">
        <f>SUM(AA175:AA179)</f>
        <v>5893.07</v>
      </c>
      <c r="AB180" s="919" t="s">
        <v>238</v>
      </c>
      <c r="AC180" s="915">
        <f>SUM(AC175:AC179)</f>
        <v>5897.42</v>
      </c>
      <c r="AD180" s="795" t="s">
        <v>238</v>
      </c>
      <c r="AE180" s="789">
        <f>SUM(AE175:AE179)</f>
        <v>6383.64</v>
      </c>
      <c r="AF180" s="795" t="s">
        <v>238</v>
      </c>
      <c r="AG180" s="789">
        <f>SUM(AG175:AG179)</f>
        <v>6388.41</v>
      </c>
      <c r="AH180" s="795" t="s">
        <v>238</v>
      </c>
      <c r="AI180" s="789">
        <f>SUM(AI175:AI179)</f>
        <v>6398.82</v>
      </c>
      <c r="AJ180" s="795" t="s">
        <v>238</v>
      </c>
      <c r="AK180" s="789">
        <f>SUM(AK175:AK179)</f>
        <v>6774.86</v>
      </c>
    </row>
    <row r="181" spans="1:37" ht="14.25" customHeight="1" x14ac:dyDescent="0.2">
      <c r="A181" s="668" t="s">
        <v>7</v>
      </c>
      <c r="B181" s="664" t="str">
        <f>A158</f>
        <v>Módulo 6 - Custos Indiretos, Tributos e Lucro</v>
      </c>
      <c r="C181" s="665"/>
      <c r="D181" s="677"/>
      <c r="E181" s="677"/>
      <c r="F181" s="317"/>
      <c r="G181" s="685">
        <f>G167</f>
        <v>676.79</v>
      </c>
      <c r="H181" s="34"/>
      <c r="I181" s="668" t="s">
        <v>7</v>
      </c>
      <c r="J181" s="664">
        <f>I158</f>
        <v>0</v>
      </c>
      <c r="K181" s="665"/>
      <c r="L181" s="677"/>
      <c r="M181" s="677"/>
      <c r="N181" s="317"/>
      <c r="O181" s="685">
        <f>O167</f>
        <v>697.13</v>
      </c>
      <c r="P181" s="34"/>
      <c r="Q181" s="668" t="s">
        <v>7</v>
      </c>
      <c r="R181" s="664" t="s">
        <v>237</v>
      </c>
      <c r="S181" s="665"/>
      <c r="T181" s="677"/>
      <c r="U181" s="677"/>
      <c r="V181" s="317"/>
      <c r="W181" s="685">
        <f>W167</f>
        <v>687.19</v>
      </c>
      <c r="X181" s="685"/>
      <c r="Y181" s="685">
        <f>Y167</f>
        <v>688.69</v>
      </c>
      <c r="Z181" s="794"/>
      <c r="AA181" s="794">
        <f>AA167</f>
        <v>687.68</v>
      </c>
      <c r="AB181" s="918"/>
      <c r="AC181" s="918">
        <f>AC167</f>
        <v>688.19</v>
      </c>
      <c r="AD181" s="794"/>
      <c r="AE181" s="794">
        <f>AE167</f>
        <v>744.94</v>
      </c>
      <c r="AF181" s="794"/>
      <c r="AG181" s="794">
        <f>AG167</f>
        <v>745.48</v>
      </c>
      <c r="AH181" s="794"/>
      <c r="AI181" s="794">
        <f>AI167</f>
        <v>746.72</v>
      </c>
      <c r="AJ181" s="794"/>
      <c r="AK181" s="794">
        <f>AK167</f>
        <v>790.59</v>
      </c>
    </row>
    <row r="182" spans="1:37" ht="45.75" customHeight="1" x14ac:dyDescent="0.2">
      <c r="A182" s="1172" t="s">
        <v>179</v>
      </c>
      <c r="B182" s="1172"/>
      <c r="C182" s="1172"/>
      <c r="D182" s="1172"/>
      <c r="E182" s="1172"/>
      <c r="F182" s="1172"/>
      <c r="G182" s="316">
        <f>SUM(G180:G181)</f>
        <v>6476.4</v>
      </c>
      <c r="H182" s="34"/>
      <c r="I182" s="1175" t="s">
        <v>179</v>
      </c>
      <c r="J182" s="1176"/>
      <c r="K182" s="1176"/>
      <c r="L182" s="1176"/>
      <c r="M182" s="1176"/>
      <c r="N182" s="1177"/>
      <c r="O182" s="316">
        <f>SUM(O180:O181)</f>
        <v>6671.1</v>
      </c>
      <c r="P182" s="34"/>
      <c r="Q182" s="1175" t="s">
        <v>179</v>
      </c>
      <c r="R182" s="1176"/>
      <c r="S182" s="1176"/>
      <c r="T182" s="1176"/>
      <c r="U182" s="1176"/>
      <c r="V182" s="1177"/>
      <c r="W182" s="316">
        <f>SUM(W180:W181)</f>
        <v>6575.91</v>
      </c>
      <c r="X182" s="302" t="s">
        <v>571</v>
      </c>
      <c r="Y182" s="316">
        <f>SUM(Y180:Y181)</f>
        <v>6590.23</v>
      </c>
      <c r="Z182" s="792" t="s">
        <v>571</v>
      </c>
      <c r="AA182" s="915">
        <f>SUM(AA180:AA181)</f>
        <v>6580.75</v>
      </c>
      <c r="AB182" s="919" t="s">
        <v>179</v>
      </c>
      <c r="AC182" s="915">
        <f>SUM(AC180:AC181)</f>
        <v>6585.61</v>
      </c>
      <c r="AD182" s="795" t="s">
        <v>179</v>
      </c>
      <c r="AE182" s="789">
        <f>SUM(AE180:AE181)</f>
        <v>7128.58</v>
      </c>
      <c r="AF182" s="795" t="s">
        <v>179</v>
      </c>
      <c r="AG182" s="789">
        <f>SUM(AG180:AG181)</f>
        <v>7133.89</v>
      </c>
      <c r="AH182" s="795" t="s">
        <v>179</v>
      </c>
      <c r="AI182" s="789">
        <f>SUM(AI180:AI181)</f>
        <v>7145.54</v>
      </c>
      <c r="AJ182" s="795" t="s">
        <v>179</v>
      </c>
      <c r="AK182" s="789">
        <f>SUM(AK180:AK181)</f>
        <v>7565.45</v>
      </c>
    </row>
    <row r="183" spans="1:37" hidden="1" x14ac:dyDescent="0.2">
      <c r="A183" s="1171" t="s">
        <v>436</v>
      </c>
      <c r="B183" s="1171"/>
      <c r="C183" s="1171"/>
      <c r="D183" s="1171"/>
      <c r="E183" s="1171"/>
      <c r="F183" s="1171"/>
      <c r="G183" s="326"/>
    </row>
    <row r="184" spans="1:37" ht="0.75" customHeight="1" x14ac:dyDescent="0.2">
      <c r="A184" s="1171" t="s">
        <v>179</v>
      </c>
      <c r="B184" s="1171"/>
      <c r="C184" s="1171"/>
      <c r="D184" s="1171"/>
      <c r="E184" s="1171"/>
      <c r="F184" s="1171"/>
      <c r="G184" s="326">
        <f>SUM(G182:G183)</f>
        <v>6476.4</v>
      </c>
    </row>
  </sheetData>
  <mergeCells count="239">
    <mergeCell ref="AJ26:AK26"/>
    <mergeCell ref="AJ27:AK27"/>
    <mergeCell ref="AJ28:AK28"/>
    <mergeCell ref="AJ29:AK29"/>
    <mergeCell ref="AJ30:AK30"/>
    <mergeCell ref="AJ31:AK31"/>
    <mergeCell ref="AH26:AI26"/>
    <mergeCell ref="AH27:AI27"/>
    <mergeCell ref="AH28:AI28"/>
    <mergeCell ref="AH29:AI29"/>
    <mergeCell ref="AH30:AI30"/>
    <mergeCell ref="AH31:AI31"/>
    <mergeCell ref="Q180:V180"/>
    <mergeCell ref="I167:M167"/>
    <mergeCell ref="I170:O171"/>
    <mergeCell ref="I174:N174"/>
    <mergeCell ref="I180:N180"/>
    <mergeCell ref="J150:N150"/>
    <mergeCell ref="I155:N155"/>
    <mergeCell ref="N26:O26"/>
    <mergeCell ref="N27:O27"/>
    <mergeCell ref="N28:O28"/>
    <mergeCell ref="N29:O29"/>
    <mergeCell ref="N30:O30"/>
    <mergeCell ref="N31:O31"/>
    <mergeCell ref="V26:W26"/>
    <mergeCell ref="V27:W27"/>
    <mergeCell ref="V28:W28"/>
    <mergeCell ref="V29:W29"/>
    <mergeCell ref="V30:W30"/>
    <mergeCell ref="A121:Y121"/>
    <mergeCell ref="A116:E116"/>
    <mergeCell ref="I116:M116"/>
    <mergeCell ref="I122:O123"/>
    <mergeCell ref="Q105:V105"/>
    <mergeCell ref="I105:N105"/>
    <mergeCell ref="Q136:W136"/>
    <mergeCell ref="J125:M125"/>
    <mergeCell ref="B101:F101"/>
    <mergeCell ref="A105:F105"/>
    <mergeCell ref="A107:Y107"/>
    <mergeCell ref="J108:M108"/>
    <mergeCell ref="Q116:U116"/>
    <mergeCell ref="B137:F137"/>
    <mergeCell ref="A122:G123"/>
    <mergeCell ref="R108:U108"/>
    <mergeCell ref="I132:M132"/>
    <mergeCell ref="R101:V101"/>
    <mergeCell ref="I98:O98"/>
    <mergeCell ref="J101:N101"/>
    <mergeCell ref="A100:Y100"/>
    <mergeCell ref="Q122:W123"/>
    <mergeCell ref="R125:U125"/>
    <mergeCell ref="Q132:U132"/>
    <mergeCell ref="Q77:W77"/>
    <mergeCell ref="A77:G77"/>
    <mergeCell ref="A96:F96"/>
    <mergeCell ref="B159:E159"/>
    <mergeCell ref="B150:F150"/>
    <mergeCell ref="A155:F155"/>
    <mergeCell ref="B138:F138"/>
    <mergeCell ref="A139:F139"/>
    <mergeCell ref="A136:G136"/>
    <mergeCell ref="R159:U159"/>
    <mergeCell ref="R144:V144"/>
    <mergeCell ref="Q147:V147"/>
    <mergeCell ref="R150:V150"/>
    <mergeCell ref="Q155:V155"/>
    <mergeCell ref="I139:N139"/>
    <mergeCell ref="I140:O141"/>
    <mergeCell ref="J144:N144"/>
    <mergeCell ref="I147:N147"/>
    <mergeCell ref="I136:O136"/>
    <mergeCell ref="J138:N138"/>
    <mergeCell ref="A147:F147"/>
    <mergeCell ref="A140:G141"/>
    <mergeCell ref="B144:F144"/>
    <mergeCell ref="B108:E108"/>
    <mergeCell ref="Q96:V96"/>
    <mergeCell ref="Q98:W98"/>
    <mergeCell ref="A82:Y82"/>
    <mergeCell ref="R83:U83"/>
    <mergeCell ref="Q84:Q85"/>
    <mergeCell ref="I86:I87"/>
    <mergeCell ref="I96:N96"/>
    <mergeCell ref="Q86:Q87"/>
    <mergeCell ref="A86:A87"/>
    <mergeCell ref="A98:G98"/>
    <mergeCell ref="I76:O76"/>
    <mergeCell ref="A84:A85"/>
    <mergeCell ref="B83:E83"/>
    <mergeCell ref="J83:M83"/>
    <mergeCell ref="I84:I85"/>
    <mergeCell ref="B65:E65"/>
    <mergeCell ref="I62:N62"/>
    <mergeCell ref="A54:G55"/>
    <mergeCell ref="A52:G53"/>
    <mergeCell ref="I77:O77"/>
    <mergeCell ref="R34:U34"/>
    <mergeCell ref="Q41:V41"/>
    <mergeCell ref="R48:U48"/>
    <mergeCell ref="R50:U50"/>
    <mergeCell ref="J48:M48"/>
    <mergeCell ref="B48:E48"/>
    <mergeCell ref="B50:E50"/>
    <mergeCell ref="I51:M51"/>
    <mergeCell ref="I52:O53"/>
    <mergeCell ref="Q76:W76"/>
    <mergeCell ref="I56:O57"/>
    <mergeCell ref="A51:E51"/>
    <mergeCell ref="A62:F62"/>
    <mergeCell ref="A59:F59"/>
    <mergeCell ref="A56:G57"/>
    <mergeCell ref="Q56:W57"/>
    <mergeCell ref="Q59:V59"/>
    <mergeCell ref="Q62:V62"/>
    <mergeCell ref="I59:N59"/>
    <mergeCell ref="A64:Y64"/>
    <mergeCell ref="I54:O55"/>
    <mergeCell ref="A75:G75"/>
    <mergeCell ref="A74:E74"/>
    <mergeCell ref="A76:G76"/>
    <mergeCell ref="Q51:U51"/>
    <mergeCell ref="Q52:W53"/>
    <mergeCell ref="Q54:W55"/>
    <mergeCell ref="R65:U65"/>
    <mergeCell ref="Q74:U74"/>
    <mergeCell ref="Q75:W75"/>
    <mergeCell ref="I74:M74"/>
    <mergeCell ref="I75:O75"/>
    <mergeCell ref="J65:M65"/>
    <mergeCell ref="Q8:W8"/>
    <mergeCell ref="Q9:W9"/>
    <mergeCell ref="S10:U10"/>
    <mergeCell ref="Q12:R12"/>
    <mergeCell ref="S12:T12"/>
    <mergeCell ref="Q21:W21"/>
    <mergeCell ref="I7:O7"/>
    <mergeCell ref="I8:O8"/>
    <mergeCell ref="I9:O9"/>
    <mergeCell ref="I12:J12"/>
    <mergeCell ref="K12:L12"/>
    <mergeCell ref="S13:T13"/>
    <mergeCell ref="Q16:W16"/>
    <mergeCell ref="N18:O18"/>
    <mergeCell ref="Q13:R13"/>
    <mergeCell ref="V17:W17"/>
    <mergeCell ref="V18:W18"/>
    <mergeCell ref="V19:W19"/>
    <mergeCell ref="N19:O19"/>
    <mergeCell ref="A5:G5"/>
    <mergeCell ref="A6:G6"/>
    <mergeCell ref="A23:B23"/>
    <mergeCell ref="B27:E27"/>
    <mergeCell ref="F27:G27"/>
    <mergeCell ref="B26:E26"/>
    <mergeCell ref="A22:B22"/>
    <mergeCell ref="A7:G7"/>
    <mergeCell ref="A8:G8"/>
    <mergeCell ref="A12:B12"/>
    <mergeCell ref="C12:D12"/>
    <mergeCell ref="C13:D13"/>
    <mergeCell ref="F18:G18"/>
    <mergeCell ref="A25:Y25"/>
    <mergeCell ref="A9:G9"/>
    <mergeCell ref="F19:G19"/>
    <mergeCell ref="A21:G21"/>
    <mergeCell ref="X26:Y26"/>
    <mergeCell ref="X27:Y27"/>
    <mergeCell ref="Q7:W7"/>
    <mergeCell ref="I13:J13"/>
    <mergeCell ref="K13:L13"/>
    <mergeCell ref="I16:O16"/>
    <mergeCell ref="N17:O17"/>
    <mergeCell ref="A13:B13"/>
    <mergeCell ref="K10:M10"/>
    <mergeCell ref="A16:G16"/>
    <mergeCell ref="A183:F183"/>
    <mergeCell ref="A43:G44"/>
    <mergeCell ref="J28:M28"/>
    <mergeCell ref="A33:Y33"/>
    <mergeCell ref="A41:F41"/>
    <mergeCell ref="J34:M34"/>
    <mergeCell ref="Q43:W44"/>
    <mergeCell ref="Q23:R23"/>
    <mergeCell ref="J50:M50"/>
    <mergeCell ref="Q22:R22"/>
    <mergeCell ref="A46:Y46"/>
    <mergeCell ref="A47:Y47"/>
    <mergeCell ref="F17:G17"/>
    <mergeCell ref="B34:E34"/>
    <mergeCell ref="I41:N41"/>
    <mergeCell ref="I43:O44"/>
    <mergeCell ref="J31:M31"/>
    <mergeCell ref="A184:F184"/>
    <mergeCell ref="A182:F182"/>
    <mergeCell ref="A174:F174"/>
    <mergeCell ref="A180:F180"/>
    <mergeCell ref="A132:E132"/>
    <mergeCell ref="B125:E125"/>
    <mergeCell ref="A124:Y124"/>
    <mergeCell ref="A143:Y143"/>
    <mergeCell ref="A149:Y149"/>
    <mergeCell ref="A158:Y158"/>
    <mergeCell ref="A173:Y173"/>
    <mergeCell ref="J159:M159"/>
    <mergeCell ref="Q139:V139"/>
    <mergeCell ref="R137:V137"/>
    <mergeCell ref="R138:V138"/>
    <mergeCell ref="Q140:W141"/>
    <mergeCell ref="Q182:V182"/>
    <mergeCell ref="Q167:U167"/>
    <mergeCell ref="Q170:W171"/>
    <mergeCell ref="I182:N182"/>
    <mergeCell ref="A170:G171"/>
    <mergeCell ref="A167:E167"/>
    <mergeCell ref="Q174:V174"/>
    <mergeCell ref="J137:N137"/>
    <mergeCell ref="AD26:AE26"/>
    <mergeCell ref="AD27:AE27"/>
    <mergeCell ref="AD28:AE28"/>
    <mergeCell ref="AD29:AE29"/>
    <mergeCell ref="AD30:AE30"/>
    <mergeCell ref="AD31:AE31"/>
    <mergeCell ref="B28:E28"/>
    <mergeCell ref="F28:G28"/>
    <mergeCell ref="J30:M30"/>
    <mergeCell ref="X30:Y30"/>
    <mergeCell ref="X31:Y31"/>
    <mergeCell ref="F29:G29"/>
    <mergeCell ref="J27:M27"/>
    <mergeCell ref="F30:G30"/>
    <mergeCell ref="X28:Y28"/>
    <mergeCell ref="X29:Y29"/>
    <mergeCell ref="B30:E30"/>
    <mergeCell ref="F31:G31"/>
    <mergeCell ref="B31:E31"/>
    <mergeCell ref="F26:G26"/>
    <mergeCell ref="V31:W31"/>
  </mergeCells>
  <dataValidations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2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2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46" fitToHeight="0" orientation="portrait" r:id="rId1"/>
  <headerFooter alignWithMargins="0">
    <oddHeader>&amp;L&amp;"+,Negrito"&amp;8PROPOSTA Nº 053/2020 - CJF</oddHeader>
  </headerFooter>
  <rowBreaks count="2" manualBreakCount="2">
    <brk id="62" max="25" man="1"/>
    <brk id="134" max="25" man="1"/>
  </rowBreaks>
  <ignoredErrors>
    <ignoredError sqref="D20:E20 D31:E31 D30:E30 D28:E28 D18:E18 D21:E21 G95 G153:G154 G12:G13 A17 D17:E17 D19:E19 F20:G20 F21:G21 D26:E26 G39 G36:G37 B26 B21 A18:B18 A20:B20 G84 E23:G23 C12:D12 B95 G19 G17 G18 F19 F18 F17 C13:D13 G102:G104 G145:G146 G151:G152 G86 G28 G27 G29 G30 G31 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0"/>
  <dimension ref="A1:AI186"/>
  <sheetViews>
    <sheetView showGridLines="0" topLeftCell="B167" zoomScaleNormal="100" zoomScaleSheetLayoutView="100" workbookViewId="0">
      <selection activeCell="AG191" sqref="AG191"/>
    </sheetView>
  </sheetViews>
  <sheetFormatPr defaultColWidth="9.140625" defaultRowHeight="14.25" x14ac:dyDescent="0.2"/>
  <cols>
    <col min="1" max="1" width="13.28515625" style="34" customWidth="1"/>
    <col min="2" max="2" width="25.5703125" style="34" customWidth="1"/>
    <col min="3" max="3" width="19.7109375" style="34" customWidth="1"/>
    <col min="4" max="4" width="10.140625" style="34" customWidth="1"/>
    <col min="5" max="5" width="19.28515625" style="34" customWidth="1"/>
    <col min="6" max="6" width="15.42578125" style="34" customWidth="1"/>
    <col min="7" max="7" width="18" style="66" customWidth="1"/>
    <col min="8" max="8" width="15.140625" style="35" customWidth="1"/>
    <col min="9" max="9" width="20" style="35" hidden="1" customWidth="1"/>
    <col min="10" max="10" width="18.140625" style="35" hidden="1" customWidth="1"/>
    <col min="11" max="11" width="3.85546875" style="35" hidden="1" customWidth="1"/>
    <col min="12" max="12" width="24.140625" style="35" hidden="1" customWidth="1"/>
    <col min="13" max="13" width="4.7109375" style="35" hidden="1" customWidth="1"/>
    <col min="14" max="14" width="4" style="35" hidden="1" customWidth="1"/>
    <col min="15" max="15" width="13.28515625" style="35" hidden="1" customWidth="1"/>
    <col min="16" max="16" width="10.28515625" style="35" hidden="1" customWidth="1"/>
    <col min="17" max="17" width="0" style="35" hidden="1" customWidth="1"/>
    <col min="18" max="20" width="15.85546875" style="35" hidden="1" customWidth="1"/>
    <col min="21" max="21" width="19.7109375" style="35" hidden="1" customWidth="1"/>
    <col min="22" max="22" width="15.28515625" style="35" hidden="1" customWidth="1"/>
    <col min="23" max="23" width="18.140625" style="35" hidden="1" customWidth="1"/>
    <col min="24" max="25" width="20.7109375" style="35" hidden="1" customWidth="1"/>
    <col min="26" max="26" width="16.7109375" style="35" hidden="1" customWidth="1"/>
    <col min="27" max="27" width="18.140625" style="35" hidden="1" customWidth="1"/>
    <col min="28" max="28" width="16.7109375" style="35" hidden="1" customWidth="1"/>
    <col min="29" max="29" width="18.28515625" style="35" customWidth="1"/>
    <col min="30" max="30" width="17.7109375" style="35" customWidth="1"/>
    <col min="31" max="31" width="9.140625" style="35" customWidth="1"/>
    <col min="32" max="16384" width="9.140625" style="35"/>
  </cols>
  <sheetData>
    <row r="1" spans="1:20" x14ac:dyDescent="0.2">
      <c r="A1" s="65" t="str">
        <f>Proposta!C55</f>
        <v>Razão Social: BRASFORT EMPRESA DE SEGURANÇA LTDA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">
      <c r="A2" s="65" t="str">
        <f>Proposta!C56</f>
        <v>CNPJ: 03.497.401/0001-97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4.25" hidden="1" customHeight="1" x14ac:dyDescent="0.2">
      <c r="A5" s="1196" t="str">
        <f>Dados!H2</f>
        <v xml:space="preserve">REPACTUAÇÃO CONTRATUAL 20___ - </v>
      </c>
      <c r="B5" s="1196"/>
      <c r="C5" s="1196"/>
      <c r="D5" s="1196"/>
      <c r="E5" s="1196"/>
      <c r="F5" s="1196"/>
      <c r="G5" s="119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hidden="1" customHeight="1" x14ac:dyDescent="0.2">
      <c r="A6" s="1249" t="str">
        <f>Dados!A10</f>
        <v>CONTRATO Nº __________/201__ - CONTRATANTE - PRESTAÇÃO DE SERVIÇOS --------</v>
      </c>
      <c r="B6" s="1249"/>
      <c r="C6" s="1249"/>
      <c r="D6" s="1249"/>
      <c r="E6" s="1249"/>
      <c r="F6" s="1249"/>
      <c r="G6" s="124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2">
      <c r="A7" s="1250" t="s">
        <v>475</v>
      </c>
      <c r="B7" s="1251"/>
      <c r="C7" s="1251"/>
      <c r="D7" s="1251"/>
      <c r="E7" s="1251"/>
      <c r="F7" s="1251"/>
      <c r="G7" s="1252"/>
      <c r="H7" s="593"/>
      <c r="I7" s="8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 x14ac:dyDescent="0.2">
      <c r="A8" s="1250" t="str">
        <f>Dados!A11</f>
        <v>PLANILHA DE CUSTOS E FORMAÇÃO DE PREÇOS - CJF</v>
      </c>
      <c r="B8" s="1251"/>
      <c r="C8" s="1251"/>
      <c r="D8" s="1251"/>
      <c r="E8" s="1251"/>
      <c r="F8" s="1251"/>
      <c r="G8" s="1252"/>
      <c r="H8" s="593"/>
      <c r="I8" s="8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hidden="1" customHeight="1" x14ac:dyDescent="0.2">
      <c r="A9" s="1250" t="s">
        <v>256</v>
      </c>
      <c r="B9" s="1251"/>
      <c r="C9" s="1251"/>
      <c r="D9" s="1251"/>
      <c r="E9" s="1251"/>
      <c r="F9" s="1251"/>
      <c r="G9" s="1252"/>
      <c r="H9" s="593"/>
      <c r="I9" s="8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">
      <c r="A10" s="668"/>
      <c r="B10" s="668"/>
      <c r="C10" s="668"/>
      <c r="D10" s="668"/>
      <c r="E10" s="668"/>
      <c r="F10" s="668"/>
      <c r="G10" s="668"/>
      <c r="H10" s="593"/>
      <c r="I10" s="8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9.75" customHeight="1" x14ac:dyDescent="0.2">
      <c r="A11" s="594"/>
      <c r="B11" s="594"/>
      <c r="C11" s="594"/>
      <c r="D11" s="594"/>
      <c r="E11" s="594"/>
      <c r="F11" s="594"/>
      <c r="G11" s="594"/>
      <c r="H11" s="593"/>
      <c r="I11" s="8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 customHeight="1" x14ac:dyDescent="0.2">
      <c r="A12" s="1187" t="s">
        <v>104</v>
      </c>
      <c r="B12" s="1188"/>
      <c r="C12" s="1199" t="str">
        <f>Dados!G14</f>
        <v>0000793-29.2020.4.90.8000</v>
      </c>
      <c r="D12" s="1200"/>
      <c r="E12" s="595"/>
      <c r="F12" s="593"/>
      <c r="G12" s="595"/>
      <c r="H12" s="593"/>
      <c r="I12" s="8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.75" customHeight="1" x14ac:dyDescent="0.2">
      <c r="A13" s="1187" t="s">
        <v>103</v>
      </c>
      <c r="B13" s="1188"/>
      <c r="C13" s="1189" t="str">
        <f>"Pregão Eletrônico nº:" &amp; " " &amp; Dados!G22</f>
        <v>Pregão Eletrônico nº: 09/2020</v>
      </c>
      <c r="D13" s="1190"/>
      <c r="E13" s="595"/>
      <c r="F13" s="722">
        <v>1</v>
      </c>
      <c r="G13" s="595"/>
      <c r="H13" s="593"/>
      <c r="I13" s="8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 customHeight="1" x14ac:dyDescent="0.2">
      <c r="A14" s="683" t="str">
        <f>"Dia:" &amp; " " &amp; TEXT(Dados!G15,"dd/mm/aaaa") &amp; " " &amp; "às" &amp; " " &amp; TEXT(Dados!G18,"hh:mm") &amp; " " &amp; "horas"</f>
        <v>Dia: 22/06/2020 às 10:00 horas</v>
      </c>
      <c r="B14" s="683"/>
      <c r="C14" s="683"/>
      <c r="D14" s="594"/>
      <c r="E14" s="595"/>
      <c r="F14" s="668"/>
      <c r="G14" s="596"/>
      <c r="H14" s="593"/>
      <c r="I14" s="80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8.25" customHeight="1" x14ac:dyDescent="0.2">
      <c r="A15" s="683"/>
      <c r="B15" s="683"/>
      <c r="C15" s="683"/>
      <c r="D15" s="594"/>
      <c r="E15" s="595"/>
      <c r="F15" s="663"/>
      <c r="G15" s="596"/>
      <c r="H15" s="593"/>
      <c r="I15" s="8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8" customHeight="1" x14ac:dyDescent="0.2">
      <c r="A16" s="1178" t="s">
        <v>205</v>
      </c>
      <c r="B16" s="1179"/>
      <c r="C16" s="1179"/>
      <c r="D16" s="1179"/>
      <c r="E16" s="1179"/>
      <c r="F16" s="1179"/>
      <c r="G16" s="1180"/>
      <c r="H16" s="593"/>
      <c r="I16" s="80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30" ht="16.5" customHeight="1" x14ac:dyDescent="0.2">
      <c r="A17" s="668" t="s">
        <v>1</v>
      </c>
      <c r="B17" s="683" t="s">
        <v>105</v>
      </c>
      <c r="C17" s="683"/>
      <c r="D17" s="674"/>
      <c r="E17" s="595"/>
      <c r="F17" s="1163">
        <f>Dados!G16</f>
        <v>44012</v>
      </c>
      <c r="G17" s="1164"/>
      <c r="H17" s="593"/>
      <c r="I17" s="8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30" ht="16.5" customHeight="1" x14ac:dyDescent="0.2">
      <c r="A18" s="668" t="s">
        <v>2</v>
      </c>
      <c r="B18" s="674" t="s">
        <v>3</v>
      </c>
      <c r="C18" s="674"/>
      <c r="D18" s="674"/>
      <c r="E18" s="595"/>
      <c r="F18" s="1163" t="str">
        <f>Dados!G19</f>
        <v>Brasília - DF</v>
      </c>
      <c r="G18" s="1164"/>
      <c r="H18" s="593"/>
      <c r="I18" s="8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30" ht="16.5" customHeight="1" x14ac:dyDescent="0.2">
      <c r="A19" s="668" t="s">
        <v>4</v>
      </c>
      <c r="B19" s="683" t="s">
        <v>106</v>
      </c>
      <c r="C19" s="683"/>
      <c r="D19" s="674"/>
      <c r="E19" s="595"/>
      <c r="F19" s="1165">
        <f>Dados!G26</f>
        <v>20</v>
      </c>
      <c r="G19" s="1166"/>
      <c r="H19" s="593"/>
      <c r="I19" s="8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30" ht="9" customHeight="1" x14ac:dyDescent="0.2">
      <c r="A20" s="668"/>
      <c r="B20" s="594"/>
      <c r="C20" s="594"/>
      <c r="D20" s="594"/>
      <c r="E20" s="594"/>
      <c r="F20" s="594"/>
      <c r="G20" s="668"/>
      <c r="H20" s="593"/>
      <c r="I20" s="8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30" ht="16.5" customHeight="1" x14ac:dyDescent="0.2">
      <c r="A21" s="1179" t="s">
        <v>204</v>
      </c>
      <c r="B21" s="1179"/>
      <c r="C21" s="1179"/>
      <c r="D21" s="1179"/>
      <c r="E21" s="1179"/>
      <c r="F21" s="1179"/>
      <c r="G21" s="117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30" ht="51" customHeight="1" x14ac:dyDescent="0.2">
      <c r="A22" s="1178" t="s">
        <v>76</v>
      </c>
      <c r="B22" s="1180"/>
      <c r="C22" s="703" t="s">
        <v>148</v>
      </c>
      <c r="D22" s="703" t="s">
        <v>102</v>
      </c>
      <c r="E22" s="703" t="s">
        <v>64</v>
      </c>
      <c r="F22" s="703" t="s">
        <v>149</v>
      </c>
      <c r="G22" s="1178" t="s">
        <v>74</v>
      </c>
      <c r="H22" s="1180"/>
      <c r="I22" s="67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30" ht="33.75" customHeight="1" x14ac:dyDescent="0.2">
      <c r="A23" s="1187" t="str">
        <f>Dados!N74</f>
        <v>Vigilância Diurna 5x2</v>
      </c>
      <c r="B23" s="1188"/>
      <c r="C23" s="668" t="str">
        <f>Dados!J31</f>
        <v>44 horas semanais - 5x2</v>
      </c>
      <c r="D23" s="668" t="str">
        <f>Dados!G25</f>
        <v>Postos de Serviços</v>
      </c>
      <c r="E23" s="325">
        <f>Dados!R74</f>
        <v>6</v>
      </c>
      <c r="F23" s="325">
        <f>Dados!S74</f>
        <v>1</v>
      </c>
      <c r="G23" s="1247">
        <f>E23*F23</f>
        <v>6</v>
      </c>
      <c r="H23" s="1248"/>
      <c r="I23" s="37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30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30" ht="64.5" customHeight="1" x14ac:dyDescent="0.2">
      <c r="A25" s="1213" t="s">
        <v>415</v>
      </c>
      <c r="B25" s="1201"/>
      <c r="C25" s="1201"/>
      <c r="D25" s="1201"/>
      <c r="E25" s="1201"/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  <c r="P25" s="1201"/>
      <c r="Q25" s="1201"/>
      <c r="R25" s="1201"/>
      <c r="S25" s="894"/>
      <c r="T25" s="894"/>
    </row>
    <row r="26" spans="1:30" ht="88.5" customHeight="1" x14ac:dyDescent="0.2">
      <c r="A26" s="668">
        <v>1</v>
      </c>
      <c r="B26" s="1161" t="s">
        <v>76</v>
      </c>
      <c r="C26" s="1161"/>
      <c r="D26" s="1161"/>
      <c r="E26" s="1161"/>
      <c r="F26" s="1167" t="str">
        <f>Dados!P74</f>
        <v>Vigilante Desarmado Diurno, 44 horas semanais, sendo 8h48 trabalhadas de 2ª a 6ª feira, entre das 07h e 21h</v>
      </c>
      <c r="G26" s="1167"/>
      <c r="H26" s="1167"/>
      <c r="I26" s="1165" t="s">
        <v>360</v>
      </c>
      <c r="J26" s="1257"/>
      <c r="K26" s="1166"/>
      <c r="L26" s="1165" t="s">
        <v>360</v>
      </c>
      <c r="M26" s="1257"/>
      <c r="N26" s="1257"/>
      <c r="O26" s="1167" t="s">
        <v>360</v>
      </c>
      <c r="P26" s="1167"/>
      <c r="Q26" s="1167"/>
      <c r="R26" s="1167"/>
      <c r="S26" s="893"/>
      <c r="T26" s="893"/>
      <c r="U26" s="648"/>
      <c r="W26" s="1149" t="s">
        <v>360</v>
      </c>
      <c r="X26" s="1150"/>
      <c r="Y26" s="870"/>
      <c r="Z26" s="772"/>
      <c r="AC26" s="1149" t="s">
        <v>360</v>
      </c>
      <c r="AD26" s="1150"/>
    </row>
    <row r="27" spans="1:30" ht="14.25" customHeight="1" x14ac:dyDescent="0.2">
      <c r="A27" s="668">
        <v>2</v>
      </c>
      <c r="B27" s="1161" t="s">
        <v>202</v>
      </c>
      <c r="C27" s="1161"/>
      <c r="D27" s="1161"/>
      <c r="E27" s="1161"/>
      <c r="F27" s="1193" t="str">
        <f>Dados!O74</f>
        <v>5173-30</v>
      </c>
      <c r="G27" s="1193"/>
      <c r="H27" s="1193"/>
      <c r="I27" s="1187" t="s">
        <v>350</v>
      </c>
      <c r="J27" s="1258"/>
      <c r="K27" s="1188"/>
      <c r="L27" s="1187" t="s">
        <v>350</v>
      </c>
      <c r="M27" s="1258"/>
      <c r="N27" s="1258"/>
      <c r="O27" s="1193" t="s">
        <v>350</v>
      </c>
      <c r="P27" s="1193"/>
      <c r="Q27" s="1193"/>
      <c r="R27" s="1193"/>
      <c r="S27" s="890"/>
      <c r="T27" s="890"/>
      <c r="U27" s="68"/>
      <c r="W27" s="1151" t="s">
        <v>350</v>
      </c>
      <c r="X27" s="1152"/>
      <c r="Y27" s="871"/>
      <c r="Z27" s="773"/>
      <c r="AC27" s="1151" t="s">
        <v>350</v>
      </c>
      <c r="AD27" s="1152"/>
    </row>
    <row r="28" spans="1:30" ht="15.75" customHeight="1" x14ac:dyDescent="0.2">
      <c r="A28" s="668">
        <v>3</v>
      </c>
      <c r="B28" s="1161" t="s">
        <v>416</v>
      </c>
      <c r="C28" s="1161"/>
      <c r="D28" s="1161"/>
      <c r="E28" s="1161"/>
      <c r="F28" s="1162">
        <f>Dados!U74</f>
        <v>2192.65</v>
      </c>
      <c r="G28" s="1162"/>
      <c r="H28" s="1162"/>
      <c r="I28" s="1259">
        <v>2258.4299999999998</v>
      </c>
      <c r="J28" s="1260"/>
      <c r="K28" s="1262"/>
      <c r="L28" s="1259">
        <v>2258.4299999999998</v>
      </c>
      <c r="M28" s="1260"/>
      <c r="N28" s="1260"/>
      <c r="O28" s="1162">
        <v>2258.4299999999998</v>
      </c>
      <c r="P28" s="1162"/>
      <c r="Q28" s="1162"/>
      <c r="R28" s="1162"/>
      <c r="S28" s="902"/>
      <c r="T28" s="902"/>
      <c r="U28" s="649"/>
      <c r="W28" s="1153">
        <v>2450.39</v>
      </c>
      <c r="X28" s="1154"/>
      <c r="Y28" s="872"/>
      <c r="Z28" s="774"/>
      <c r="AC28" s="1153">
        <v>2593.73</v>
      </c>
      <c r="AD28" s="1154"/>
    </row>
    <row r="29" spans="1:30" ht="33" customHeight="1" x14ac:dyDescent="0.2">
      <c r="A29" s="668" t="s">
        <v>4</v>
      </c>
      <c r="B29" s="683" t="s">
        <v>417</v>
      </c>
      <c r="C29" s="609"/>
      <c r="D29" s="609"/>
      <c r="E29" s="609"/>
      <c r="F29" s="1167" t="str">
        <f>Dados!N82</f>
        <v>SINDESV/SINDESP-DF</v>
      </c>
      <c r="G29" s="1167"/>
      <c r="H29" s="1167"/>
      <c r="I29" s="1165" t="s">
        <v>242</v>
      </c>
      <c r="J29" s="1257"/>
      <c r="K29" s="1166"/>
      <c r="L29" s="1165" t="s">
        <v>242</v>
      </c>
      <c r="M29" s="1257"/>
      <c r="N29" s="1257"/>
      <c r="O29" s="1167" t="s">
        <v>242</v>
      </c>
      <c r="P29" s="1167"/>
      <c r="Q29" s="1167"/>
      <c r="R29" s="1167"/>
      <c r="S29" s="893"/>
      <c r="T29" s="893"/>
      <c r="U29" s="69"/>
      <c r="W29" s="1155" t="s">
        <v>242</v>
      </c>
      <c r="X29" s="1156"/>
      <c r="Y29" s="873"/>
      <c r="Z29" s="775"/>
      <c r="AC29" s="1155" t="s">
        <v>242</v>
      </c>
      <c r="AD29" s="1156"/>
    </row>
    <row r="30" spans="1:30" ht="14.25" customHeight="1" x14ac:dyDescent="0.2">
      <c r="A30" s="668">
        <v>4</v>
      </c>
      <c r="B30" s="1161" t="s">
        <v>10</v>
      </c>
      <c r="C30" s="1161"/>
      <c r="D30" s="1161"/>
      <c r="E30" s="1161"/>
      <c r="F30" s="1168">
        <f>Dados!T82</f>
        <v>43831</v>
      </c>
      <c r="G30" s="1168"/>
      <c r="H30" s="1168"/>
      <c r="I30" s="1163">
        <v>43831</v>
      </c>
      <c r="J30" s="1261"/>
      <c r="K30" s="1164"/>
      <c r="L30" s="1163">
        <v>43831</v>
      </c>
      <c r="M30" s="1261"/>
      <c r="N30" s="1261"/>
      <c r="O30" s="1168">
        <v>43831</v>
      </c>
      <c r="P30" s="1168"/>
      <c r="Q30" s="1168"/>
      <c r="R30" s="1168"/>
      <c r="S30" s="892"/>
      <c r="T30" s="892"/>
      <c r="U30" s="650"/>
      <c r="W30" s="1157">
        <v>44562</v>
      </c>
      <c r="X30" s="1158"/>
      <c r="Y30" s="874"/>
      <c r="Z30" s="776"/>
      <c r="AC30" s="1157">
        <v>44927</v>
      </c>
      <c r="AD30" s="1158"/>
    </row>
    <row r="31" spans="1:30" ht="14.25" customHeight="1" x14ac:dyDescent="0.2">
      <c r="A31" s="668">
        <v>5</v>
      </c>
      <c r="B31" s="1161" t="s">
        <v>418</v>
      </c>
      <c r="C31" s="1161"/>
      <c r="D31" s="1161"/>
      <c r="E31" s="1161"/>
      <c r="F31" s="1168" t="str">
        <f>Dados!L82</f>
        <v>DF000040/2020</v>
      </c>
      <c r="G31" s="1168"/>
      <c r="H31" s="1168"/>
      <c r="I31" s="1163" t="s">
        <v>491</v>
      </c>
      <c r="J31" s="1261"/>
      <c r="K31" s="1164"/>
      <c r="L31" s="1163" t="s">
        <v>491</v>
      </c>
      <c r="M31" s="1261"/>
      <c r="N31" s="1261"/>
      <c r="O31" s="1168" t="s">
        <v>491</v>
      </c>
      <c r="P31" s="1168"/>
      <c r="Q31" s="1168"/>
      <c r="R31" s="1168"/>
      <c r="S31" s="892"/>
      <c r="T31" s="892"/>
      <c r="U31" s="650"/>
      <c r="W31" s="1159" t="s">
        <v>556</v>
      </c>
      <c r="X31" s="1160"/>
      <c r="Y31" s="875"/>
      <c r="Z31" s="777"/>
      <c r="AC31" s="1227" t="s">
        <v>596</v>
      </c>
      <c r="AD31" s="1228"/>
    </row>
    <row r="32" spans="1:30" ht="14.25" customHeight="1" x14ac:dyDescent="0.2">
      <c r="A32" s="668"/>
      <c r="B32" s="1187"/>
      <c r="C32" s="1258"/>
      <c r="D32" s="1258"/>
      <c r="E32" s="1188"/>
      <c r="F32" s="1163"/>
      <c r="G32" s="1261"/>
      <c r="H32" s="1164"/>
      <c r="I32" s="1236"/>
      <c r="J32" s="1269"/>
      <c r="K32" s="1237"/>
      <c r="L32" s="313"/>
      <c r="M32" s="122"/>
      <c r="N32" s="314"/>
      <c r="O32" s="313"/>
      <c r="P32" s="122"/>
      <c r="Q32" s="122"/>
      <c r="R32" s="314"/>
      <c r="S32" s="80"/>
      <c r="T32" s="80"/>
      <c r="U32" s="373"/>
    </row>
    <row r="33" spans="1:30" s="198" customFormat="1" x14ac:dyDescent="0.2">
      <c r="A33" s="1221" t="s">
        <v>25</v>
      </c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901"/>
      <c r="T33" s="901"/>
    </row>
    <row r="34" spans="1:30" ht="56.45" customHeight="1" x14ac:dyDescent="0.2">
      <c r="A34" s="928">
        <v>1</v>
      </c>
      <c r="B34" s="1173" t="s">
        <v>77</v>
      </c>
      <c r="C34" s="1173"/>
      <c r="D34" s="1173"/>
      <c r="E34" s="1173"/>
      <c r="F34" s="924" t="s">
        <v>222</v>
      </c>
      <c r="G34" s="1173" t="s">
        <v>518</v>
      </c>
      <c r="H34" s="1173"/>
      <c r="I34" s="924" t="s">
        <v>222</v>
      </c>
      <c r="J34" s="1174" t="s">
        <v>519</v>
      </c>
      <c r="K34" s="1174"/>
      <c r="L34" s="924" t="s">
        <v>222</v>
      </c>
      <c r="M34" s="1174" t="s">
        <v>520</v>
      </c>
      <c r="N34" s="1174"/>
      <c r="O34" s="1178" t="s">
        <v>222</v>
      </c>
      <c r="P34" s="1180"/>
      <c r="Q34" s="1178" t="s">
        <v>539</v>
      </c>
      <c r="R34" s="1180"/>
      <c r="S34" s="783" t="s">
        <v>222</v>
      </c>
      <c r="T34" s="783" t="s">
        <v>591</v>
      </c>
      <c r="U34" s="783" t="s">
        <v>222</v>
      </c>
      <c r="V34" s="783" t="s">
        <v>601</v>
      </c>
      <c r="W34" s="783" t="s">
        <v>222</v>
      </c>
      <c r="X34" s="783" t="s">
        <v>593</v>
      </c>
      <c r="Y34" s="783" t="s">
        <v>222</v>
      </c>
      <c r="Z34" s="783" t="s">
        <v>602</v>
      </c>
      <c r="AA34" s="783" t="s">
        <v>222</v>
      </c>
      <c r="AB34" s="783" t="s">
        <v>603</v>
      </c>
      <c r="AC34" s="783" t="s">
        <v>222</v>
      </c>
      <c r="AD34" s="783" t="s">
        <v>600</v>
      </c>
    </row>
    <row r="35" spans="1:30" x14ac:dyDescent="0.2">
      <c r="A35" s="940" t="s">
        <v>1</v>
      </c>
      <c r="B35" s="931" t="s">
        <v>178</v>
      </c>
      <c r="C35" s="931"/>
      <c r="D35" s="931"/>
      <c r="E35" s="931"/>
      <c r="F35" s="296"/>
      <c r="G35" s="1246">
        <f>$F$28*F13</f>
        <v>2192.65</v>
      </c>
      <c r="H35" s="1246"/>
      <c r="I35" s="943"/>
      <c r="J35" s="1246">
        <f>$F$28*F13*1.03</f>
        <v>2258.4299999999998</v>
      </c>
      <c r="K35" s="1246"/>
      <c r="L35" s="943"/>
      <c r="M35" s="1246">
        <f>$F$28*F13*1.03</f>
        <v>2258.4299999999998</v>
      </c>
      <c r="N35" s="1246"/>
      <c r="O35" s="1267"/>
      <c r="P35" s="1268"/>
      <c r="Q35" s="1246">
        <f>$F$28*F13*1.03</f>
        <v>2258.4299999999998</v>
      </c>
      <c r="R35" s="1246"/>
      <c r="S35" s="943"/>
      <c r="T35" s="943">
        <f>Q35</f>
        <v>2258.4299999999998</v>
      </c>
      <c r="U35" s="779"/>
      <c r="V35" s="779">
        <f>Q35</f>
        <v>2258.4299999999998</v>
      </c>
      <c r="W35" s="779"/>
      <c r="X35" s="779">
        <f>TRUNC(Q35*1.085,2)</f>
        <v>2450.39</v>
      </c>
      <c r="Y35" s="779"/>
      <c r="Z35" s="779">
        <f>X35</f>
        <v>2450.39</v>
      </c>
      <c r="AA35" s="779"/>
      <c r="AB35" s="779">
        <f>Z35</f>
        <v>2450.39</v>
      </c>
      <c r="AC35" s="779"/>
      <c r="AD35" s="779">
        <v>2593.73</v>
      </c>
    </row>
    <row r="36" spans="1:30" x14ac:dyDescent="0.2">
      <c r="A36" s="940" t="s">
        <v>2</v>
      </c>
      <c r="B36" s="931" t="str">
        <f>Dados!A36 &amp; " " &amp; "- Salário base x 30%"</f>
        <v>Adicional de Periculosidade  - Salário base x 30%</v>
      </c>
      <c r="C36" s="931"/>
      <c r="D36" s="931"/>
      <c r="E36" s="931"/>
      <c r="F36" s="296">
        <f>Dados!G36</f>
        <v>0.3</v>
      </c>
      <c r="G36" s="1231">
        <f>G35*F36</f>
        <v>657.8</v>
      </c>
      <c r="H36" s="1231"/>
      <c r="I36" s="296">
        <v>0.3</v>
      </c>
      <c r="J36" s="1263">
        <f>J35*I36</f>
        <v>677.53</v>
      </c>
      <c r="K36" s="1264"/>
      <c r="L36" s="296">
        <v>0.3</v>
      </c>
      <c r="M36" s="1263">
        <f>M35*L36</f>
        <v>677.53</v>
      </c>
      <c r="N36" s="1264"/>
      <c r="O36" s="1265">
        <v>0.3</v>
      </c>
      <c r="P36" s="1266"/>
      <c r="Q36" s="1263">
        <f>M35*L36</f>
        <v>677.53</v>
      </c>
      <c r="R36" s="1264"/>
      <c r="S36" s="903">
        <v>0.3</v>
      </c>
      <c r="T36" s="904">
        <f>Q36</f>
        <v>677.53</v>
      </c>
      <c r="U36" s="780">
        <v>0.3</v>
      </c>
      <c r="V36" s="781">
        <f>Q36</f>
        <v>677.53</v>
      </c>
      <c r="W36" s="780">
        <v>0.3</v>
      </c>
      <c r="X36" s="781">
        <f>X35*0.3</f>
        <v>735.12</v>
      </c>
      <c r="Y36" s="780">
        <v>0.3</v>
      </c>
      <c r="Z36" s="781">
        <f>Z35*0.3</f>
        <v>735.12</v>
      </c>
      <c r="AA36" s="780">
        <v>0.3</v>
      </c>
      <c r="AB36" s="781">
        <f>AB35*0.3</f>
        <v>735.12</v>
      </c>
      <c r="AC36" s="780">
        <v>0.3</v>
      </c>
      <c r="AD36" s="781">
        <f>AD35*0.3</f>
        <v>778.12</v>
      </c>
    </row>
    <row r="37" spans="1:30" x14ac:dyDescent="0.2">
      <c r="A37" s="940" t="s">
        <v>4</v>
      </c>
      <c r="B37" s="931" t="s">
        <v>255</v>
      </c>
      <c r="C37" s="931"/>
      <c r="D37" s="931"/>
      <c r="E37" s="931"/>
      <c r="F37" s="296"/>
      <c r="G37" s="633"/>
      <c r="H37" s="633"/>
      <c r="I37" s="633"/>
      <c r="J37" s="1236"/>
      <c r="K37" s="1237"/>
      <c r="L37" s="633"/>
      <c r="M37" s="1236"/>
      <c r="N37" s="1237"/>
      <c r="O37" s="1263"/>
      <c r="P37" s="1264"/>
      <c r="Q37" s="1236"/>
      <c r="R37" s="1237"/>
      <c r="S37" s="942"/>
      <c r="T37" s="942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</row>
    <row r="38" spans="1:30" ht="15" x14ac:dyDescent="0.2">
      <c r="A38" s="940" t="s">
        <v>5</v>
      </c>
      <c r="B38" s="931" t="s">
        <v>437</v>
      </c>
      <c r="C38" s="931"/>
      <c r="D38" s="931"/>
      <c r="E38" s="931"/>
      <c r="F38" s="296">
        <f>Dados!G39</f>
        <v>0.2</v>
      </c>
      <c r="G38" s="1231"/>
      <c r="H38" s="1231"/>
      <c r="I38" s="936"/>
      <c r="J38" s="1236"/>
      <c r="K38" s="1237"/>
      <c r="L38" s="936"/>
      <c r="M38" s="1236"/>
      <c r="N38" s="1237"/>
      <c r="O38" s="1263"/>
      <c r="P38" s="1264"/>
      <c r="Q38" s="1236"/>
      <c r="R38" s="1237"/>
      <c r="S38" s="942"/>
      <c r="T38" s="942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</row>
    <row r="39" spans="1:30" x14ac:dyDescent="0.2">
      <c r="A39" s="940" t="s">
        <v>6</v>
      </c>
      <c r="B39" s="931" t="s">
        <v>206</v>
      </c>
      <c r="C39" s="931"/>
      <c r="D39" s="931"/>
      <c r="E39" s="931"/>
      <c r="F39" s="296"/>
      <c r="G39" s="1231"/>
      <c r="H39" s="1231"/>
      <c r="I39" s="936"/>
      <c r="J39" s="1236"/>
      <c r="K39" s="1237"/>
      <c r="L39" s="936"/>
      <c r="M39" s="1236"/>
      <c r="N39" s="1237"/>
      <c r="O39" s="1263"/>
      <c r="P39" s="1264"/>
      <c r="Q39" s="1236"/>
      <c r="R39" s="1237"/>
      <c r="S39" s="942"/>
      <c r="T39" s="942"/>
      <c r="U39" s="781"/>
      <c r="V39" s="781"/>
      <c r="W39" s="781"/>
      <c r="X39" s="781"/>
      <c r="Y39" s="781"/>
      <c r="Z39" s="781"/>
      <c r="AA39" s="781"/>
      <c r="AB39" s="781"/>
      <c r="AC39" s="781"/>
      <c r="AD39" s="781"/>
    </row>
    <row r="40" spans="1:30" x14ac:dyDescent="0.2">
      <c r="A40" s="940" t="s">
        <v>7</v>
      </c>
      <c r="B40" s="931" t="s">
        <v>51</v>
      </c>
      <c r="C40" s="931"/>
      <c r="D40" s="931"/>
      <c r="E40" s="931"/>
      <c r="F40" s="296"/>
      <c r="G40" s="1231"/>
      <c r="H40" s="1231"/>
      <c r="I40" s="936"/>
      <c r="J40" s="1236"/>
      <c r="K40" s="1237"/>
      <c r="L40" s="936"/>
      <c r="M40" s="1236"/>
      <c r="N40" s="1237"/>
      <c r="O40" s="1263"/>
      <c r="P40" s="1264"/>
      <c r="Q40" s="1236"/>
      <c r="R40" s="1237"/>
      <c r="S40" s="942"/>
      <c r="T40" s="942"/>
      <c r="U40" s="781"/>
      <c r="V40" s="781"/>
      <c r="W40" s="781"/>
      <c r="X40" s="781"/>
      <c r="Y40" s="781"/>
      <c r="Z40" s="781"/>
      <c r="AA40" s="781"/>
      <c r="AB40" s="781"/>
      <c r="AC40" s="781"/>
      <c r="AD40" s="781"/>
    </row>
    <row r="41" spans="1:30" ht="16.5" customHeight="1" x14ac:dyDescent="0.2">
      <c r="A41" s="1172" t="s">
        <v>159</v>
      </c>
      <c r="B41" s="1172"/>
      <c r="C41" s="1172"/>
      <c r="D41" s="1172"/>
      <c r="E41" s="1172"/>
      <c r="F41" s="1172"/>
      <c r="G41" s="1229">
        <f>SUM(G35:G40)</f>
        <v>2850.45</v>
      </c>
      <c r="H41" s="1229"/>
      <c r="I41" s="935" t="s">
        <v>159</v>
      </c>
      <c r="J41" s="1270">
        <f>SUM(J35:J40)</f>
        <v>2935.96</v>
      </c>
      <c r="K41" s="1271"/>
      <c r="L41" s="935" t="s">
        <v>159</v>
      </c>
      <c r="M41" s="1229">
        <f>SUM(M35:N36)</f>
        <v>2935.96</v>
      </c>
      <c r="N41" s="1229"/>
      <c r="O41" s="1270" t="s">
        <v>159</v>
      </c>
      <c r="P41" s="1271"/>
      <c r="Q41" s="1229">
        <f>SUM(Q35:R36)</f>
        <v>2935.96</v>
      </c>
      <c r="R41" s="1229"/>
      <c r="S41" s="935"/>
      <c r="T41" s="935">
        <f>Q41</f>
        <v>2935.96</v>
      </c>
      <c r="U41" s="782" t="s">
        <v>159</v>
      </c>
      <c r="V41" s="782">
        <f>SUM(V35:V40)</f>
        <v>2935.96</v>
      </c>
      <c r="W41" s="782" t="s">
        <v>159</v>
      </c>
      <c r="X41" s="782">
        <f>SUM(X35:X40)</f>
        <v>3185.51</v>
      </c>
      <c r="Y41" s="782" t="s">
        <v>159</v>
      </c>
      <c r="Z41" s="782">
        <f>SUM(Z35:Z40)</f>
        <v>3185.51</v>
      </c>
      <c r="AA41" s="782" t="s">
        <v>159</v>
      </c>
      <c r="AB41" s="782">
        <f>SUM(AB35:AB40)</f>
        <v>3185.51</v>
      </c>
      <c r="AC41" s="782" t="s">
        <v>159</v>
      </c>
      <c r="AD41" s="782">
        <f>SUM(AD35:AD40)</f>
        <v>3371.85</v>
      </c>
    </row>
    <row r="42" spans="1:30" s="34" customFormat="1" hidden="1" x14ac:dyDescent="0.2">
      <c r="A42" s="931" t="s">
        <v>207</v>
      </c>
      <c r="B42" s="931"/>
      <c r="C42" s="931"/>
      <c r="D42" s="931"/>
      <c r="E42" s="931"/>
      <c r="F42" s="618"/>
      <c r="G42" s="619"/>
      <c r="H42" s="592"/>
      <c r="I42" s="639"/>
    </row>
    <row r="43" spans="1:30" s="34" customFormat="1" ht="14.25" hidden="1" customHeight="1" x14ac:dyDescent="0.2">
      <c r="A43" s="1215" t="s">
        <v>208</v>
      </c>
      <c r="B43" s="1215"/>
      <c r="C43" s="1215"/>
      <c r="D43" s="1215"/>
      <c r="E43" s="1215"/>
      <c r="F43" s="1215"/>
      <c r="G43" s="1215"/>
      <c r="H43" s="592"/>
      <c r="I43" s="639"/>
    </row>
    <row r="44" spans="1:30" s="34" customFormat="1" ht="14.25" hidden="1" customHeight="1" x14ac:dyDescent="0.2">
      <c r="A44" s="1215"/>
      <c r="B44" s="1215"/>
      <c r="C44" s="1215"/>
      <c r="D44" s="1215"/>
      <c r="E44" s="1215"/>
      <c r="F44" s="1215"/>
      <c r="G44" s="1215"/>
      <c r="H44" s="592"/>
      <c r="I44" s="639"/>
    </row>
    <row r="45" spans="1:30" s="34" customFormat="1" hidden="1" x14ac:dyDescent="0.2">
      <c r="A45" s="640"/>
      <c r="B45" s="640"/>
      <c r="C45" s="640"/>
      <c r="D45" s="640"/>
      <c r="E45" s="640"/>
      <c r="F45" s="641"/>
      <c r="G45" s="642"/>
      <c r="H45" s="630"/>
      <c r="I45" s="639"/>
    </row>
    <row r="46" spans="1:30" s="34" customFormat="1" ht="14.25" customHeight="1" x14ac:dyDescent="0.2">
      <c r="A46" s="1173" t="s">
        <v>209</v>
      </c>
      <c r="B46" s="1173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3"/>
      <c r="P46" s="1173"/>
      <c r="Q46" s="1173"/>
      <c r="R46" s="1173"/>
      <c r="S46" s="944"/>
      <c r="T46" s="944"/>
    </row>
    <row r="47" spans="1:30" s="34" customFormat="1" x14ac:dyDescent="0.2">
      <c r="A47" s="1173" t="s">
        <v>216</v>
      </c>
      <c r="B47" s="1173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944"/>
      <c r="T47" s="944"/>
    </row>
    <row r="48" spans="1:30" s="34" customFormat="1" ht="28.5" customHeight="1" x14ac:dyDescent="0.2">
      <c r="A48" s="924" t="s">
        <v>211</v>
      </c>
      <c r="B48" s="1174" t="s">
        <v>223</v>
      </c>
      <c r="C48" s="1174"/>
      <c r="D48" s="1174"/>
      <c r="E48" s="1174"/>
      <c r="F48" s="924" t="s">
        <v>222</v>
      </c>
      <c r="G48" s="1173" t="s">
        <v>107</v>
      </c>
      <c r="H48" s="1173"/>
      <c r="I48" s="924" t="s">
        <v>222</v>
      </c>
      <c r="J48" s="1173" t="s">
        <v>107</v>
      </c>
      <c r="K48" s="1173"/>
      <c r="L48" s="924" t="s">
        <v>222</v>
      </c>
      <c r="M48" s="1173" t="s">
        <v>107</v>
      </c>
      <c r="N48" s="1173"/>
      <c r="O48" s="1173" t="s">
        <v>107</v>
      </c>
      <c r="P48" s="1173"/>
      <c r="Q48" s="1173" t="s">
        <v>107</v>
      </c>
      <c r="R48" s="1173"/>
      <c r="S48" s="924" t="s">
        <v>222</v>
      </c>
      <c r="T48" s="928" t="s">
        <v>107</v>
      </c>
      <c r="U48" s="783" t="s">
        <v>222</v>
      </c>
      <c r="V48" s="946" t="s">
        <v>107</v>
      </c>
      <c r="W48" s="783" t="s">
        <v>222</v>
      </c>
      <c r="X48" s="946" t="s">
        <v>107</v>
      </c>
      <c r="Y48" s="783" t="s">
        <v>222</v>
      </c>
      <c r="Z48" s="946" t="s">
        <v>107</v>
      </c>
      <c r="AA48" s="783" t="s">
        <v>222</v>
      </c>
      <c r="AB48" s="946" t="s">
        <v>107</v>
      </c>
      <c r="AC48" s="783" t="s">
        <v>222</v>
      </c>
      <c r="AD48" s="1000" t="s">
        <v>107</v>
      </c>
    </row>
    <row r="49" spans="1:30" s="34" customFormat="1" x14ac:dyDescent="0.2">
      <c r="A49" s="925" t="s">
        <v>1</v>
      </c>
      <c r="B49" s="593" t="str">
        <f>Dados!B76</f>
        <v xml:space="preserve">13º (décimo terceiro) salário  </v>
      </c>
      <c r="C49" s="593"/>
      <c r="D49" s="594"/>
      <c r="E49" s="594"/>
      <c r="F49" s="308">
        <f>Dados!G76</f>
        <v>9.0899999999999995E-2</v>
      </c>
      <c r="G49" s="1238">
        <f>F49*$G$41</f>
        <v>259.11</v>
      </c>
      <c r="H49" s="1238"/>
      <c r="I49" s="308">
        <f>Dados!G76</f>
        <v>9.0899999999999995E-2</v>
      </c>
      <c r="J49" s="1238">
        <f>I49*J41</f>
        <v>266.88</v>
      </c>
      <c r="K49" s="1238"/>
      <c r="L49" s="308">
        <f>Dados!G76</f>
        <v>9.0899999999999995E-2</v>
      </c>
      <c r="M49" s="1238">
        <f>L49*J41</f>
        <v>266.88</v>
      </c>
      <c r="N49" s="1238"/>
      <c r="O49" s="1233">
        <f>Dados!G76</f>
        <v>9.0899999999999995E-2</v>
      </c>
      <c r="P49" s="1234"/>
      <c r="Q49" s="1238">
        <f>L49*J41</f>
        <v>266.88</v>
      </c>
      <c r="R49" s="1238"/>
      <c r="S49" s="599">
        <v>9.0899999999999995E-2</v>
      </c>
      <c r="T49" s="600">
        <f>S49*T41</f>
        <v>266.88</v>
      </c>
      <c r="U49" s="784">
        <v>9.0899999999999995E-2</v>
      </c>
      <c r="V49" s="785">
        <f>U49*$V$41</f>
        <v>266.88</v>
      </c>
      <c r="W49" s="784">
        <v>9.0899999999999995E-2</v>
      </c>
      <c r="X49" s="785">
        <f>W49*$X$41</f>
        <v>289.56</v>
      </c>
      <c r="Y49" s="784">
        <v>9.0899999999999995E-2</v>
      </c>
      <c r="Z49" s="785">
        <f>X49</f>
        <v>289.56</v>
      </c>
      <c r="AA49" s="784">
        <v>9.0899999999999995E-2</v>
      </c>
      <c r="AB49" s="785">
        <f>Z49</f>
        <v>289.56</v>
      </c>
      <c r="AC49" s="784">
        <v>9.0899999999999995E-2</v>
      </c>
      <c r="AD49" s="785">
        <f>AC49*$AD$41</f>
        <v>306.5</v>
      </c>
    </row>
    <row r="50" spans="1:30" s="34" customFormat="1" ht="14.25" customHeight="1" x14ac:dyDescent="0.2">
      <c r="A50" s="925" t="s">
        <v>2</v>
      </c>
      <c r="B50" s="1215" t="str">
        <f>Dados!B77</f>
        <v>Férias e Adicional de Férias</v>
      </c>
      <c r="C50" s="1215"/>
      <c r="D50" s="1215"/>
      <c r="E50" s="1215"/>
      <c r="F50" s="308">
        <f>Dados!G77</f>
        <v>0.1212</v>
      </c>
      <c r="G50" s="1238">
        <f>F50*$G$41</f>
        <v>345.47</v>
      </c>
      <c r="H50" s="1238"/>
      <c r="I50" s="308">
        <f>Dados!G77</f>
        <v>0.1212</v>
      </c>
      <c r="J50" s="1238">
        <f>I50*J41</f>
        <v>355.84</v>
      </c>
      <c r="K50" s="1238"/>
      <c r="L50" s="308">
        <f>Dados!G77</f>
        <v>0.1212</v>
      </c>
      <c r="M50" s="1238">
        <f>L50*J41</f>
        <v>355.84</v>
      </c>
      <c r="N50" s="1238"/>
      <c r="O50" s="1233">
        <f>Dados!G77</f>
        <v>0.1212</v>
      </c>
      <c r="P50" s="1234"/>
      <c r="Q50" s="1238">
        <f>L50*J41</f>
        <v>355.84</v>
      </c>
      <c r="R50" s="1238"/>
      <c r="S50" s="308">
        <v>0.1212</v>
      </c>
      <c r="T50" s="934">
        <f>S50*T41</f>
        <v>355.84</v>
      </c>
      <c r="U50" s="786">
        <v>0.1212</v>
      </c>
      <c r="V50" s="787">
        <f>U50*$V$41</f>
        <v>355.84</v>
      </c>
      <c r="W50" s="786">
        <v>0.1212</v>
      </c>
      <c r="X50" s="787">
        <f>W50*$X$41</f>
        <v>386.08</v>
      </c>
      <c r="Y50" s="786">
        <v>0.1212</v>
      </c>
      <c r="Z50" s="785">
        <f t="shared" ref="Z50:Z51" si="0">X50</f>
        <v>386.08</v>
      </c>
      <c r="AA50" s="786">
        <v>0.1212</v>
      </c>
      <c r="AB50" s="785">
        <f t="shared" ref="AB50:AB51" si="1">Z50</f>
        <v>386.08</v>
      </c>
      <c r="AC50" s="786">
        <v>0.1212</v>
      </c>
      <c r="AD50" s="785">
        <f>AC50*$AD$41</f>
        <v>408.67</v>
      </c>
    </row>
    <row r="51" spans="1:30" s="34" customFormat="1" ht="18.75" customHeight="1" x14ac:dyDescent="0.2">
      <c r="A51" s="1172" t="s">
        <v>159</v>
      </c>
      <c r="B51" s="1172"/>
      <c r="C51" s="1172"/>
      <c r="D51" s="1172"/>
      <c r="E51" s="1172"/>
      <c r="F51" s="311">
        <f>SUM(F49:F50)</f>
        <v>0.21210000000000001</v>
      </c>
      <c r="G51" s="1229">
        <f>SUM(G49:G50)</f>
        <v>604.58000000000004</v>
      </c>
      <c r="H51" s="1229"/>
      <c r="I51" s="311">
        <f>SUM(I49:I50)</f>
        <v>0.21210000000000001</v>
      </c>
      <c r="J51" s="1229">
        <f>SUM(J49:J50)</f>
        <v>622.72</v>
      </c>
      <c r="K51" s="1229"/>
      <c r="L51" s="311">
        <f>SUM(L49:L50)</f>
        <v>0.21210000000000001</v>
      </c>
      <c r="M51" s="1229">
        <f>SUM(M49:M50)</f>
        <v>622.72</v>
      </c>
      <c r="N51" s="1229"/>
      <c r="O51" s="1278">
        <f t="shared" ref="O51" si="2">SUM(O49:O50)</f>
        <v>0.21210000000000001</v>
      </c>
      <c r="P51" s="1279"/>
      <c r="Q51" s="1229">
        <f>SUM(Q49:Q50)</f>
        <v>622.72</v>
      </c>
      <c r="R51" s="1229"/>
      <c r="S51" s="935"/>
      <c r="T51" s="935">
        <f>SUM(T49:T50)</f>
        <v>622.72</v>
      </c>
      <c r="U51" s="788">
        <v>0.21210000000000001</v>
      </c>
      <c r="V51" s="877">
        <f>SUM(V49:V50)</f>
        <v>622.72</v>
      </c>
      <c r="W51" s="788">
        <v>0.21210000000000001</v>
      </c>
      <c r="X51" s="877">
        <f>SUM(X49:X50)</f>
        <v>675.64</v>
      </c>
      <c r="Y51" s="788">
        <v>0.21210000000000001</v>
      </c>
      <c r="Z51" s="785">
        <f t="shared" si="0"/>
        <v>675.64</v>
      </c>
      <c r="AA51" s="788">
        <v>0.21210000000000001</v>
      </c>
      <c r="AB51" s="785">
        <f t="shared" si="1"/>
        <v>675.64</v>
      </c>
      <c r="AC51" s="788">
        <v>0.21210000000000001</v>
      </c>
      <c r="AD51" s="785">
        <f>SUM(AD49:AD50)</f>
        <v>715.17</v>
      </c>
    </row>
    <row r="52" spans="1:30" s="34" customFormat="1" ht="14.25" hidden="1" customHeight="1" x14ac:dyDescent="0.2">
      <c r="A52" s="1215" t="s">
        <v>215</v>
      </c>
      <c r="B52" s="1215"/>
      <c r="C52" s="1215"/>
      <c r="D52" s="1215"/>
      <c r="E52" s="1215"/>
      <c r="F52" s="1215"/>
      <c r="G52" s="1215"/>
      <c r="H52" s="592"/>
      <c r="I52" s="639"/>
      <c r="L52" s="639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34" customFormat="1" ht="14.25" hidden="1" customHeight="1" x14ac:dyDescent="0.2">
      <c r="A53" s="1215"/>
      <c r="B53" s="1215"/>
      <c r="C53" s="1215"/>
      <c r="D53" s="1215"/>
      <c r="E53" s="1215"/>
      <c r="F53" s="1215"/>
      <c r="G53" s="1215"/>
      <c r="H53" s="592"/>
      <c r="I53" s="639"/>
      <c r="L53" s="639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s="34" customFormat="1" ht="14.25" hidden="1" customHeight="1" x14ac:dyDescent="0.2">
      <c r="A54" s="1239" t="s">
        <v>478</v>
      </c>
      <c r="B54" s="1239"/>
      <c r="C54" s="1239"/>
      <c r="D54" s="1239"/>
      <c r="E54" s="1239"/>
      <c r="F54" s="1239"/>
      <c r="G54" s="1239"/>
      <c r="H54" s="592"/>
      <c r="I54" s="639"/>
      <c r="L54" s="639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34" customFormat="1" ht="14.25" hidden="1" customHeight="1" x14ac:dyDescent="0.2">
      <c r="A55" s="1239"/>
      <c r="B55" s="1239"/>
      <c r="C55" s="1239"/>
      <c r="D55" s="1239"/>
      <c r="E55" s="1239"/>
      <c r="F55" s="1239"/>
      <c r="G55" s="1239"/>
      <c r="H55" s="592"/>
      <c r="I55" s="639"/>
      <c r="L55" s="639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34" customFormat="1" ht="14.25" hidden="1" customHeight="1" x14ac:dyDescent="0.2">
      <c r="A56" s="1215" t="s">
        <v>419</v>
      </c>
      <c r="B56" s="1215"/>
      <c r="C56" s="1215"/>
      <c r="D56" s="1215"/>
      <c r="E56" s="1215"/>
      <c r="F56" s="1215"/>
      <c r="G56" s="1215"/>
      <c r="H56" s="592"/>
      <c r="I56" s="639"/>
      <c r="L56" s="639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s="34" customFormat="1" ht="14.25" hidden="1" customHeight="1" x14ac:dyDescent="0.2">
      <c r="A57" s="1215"/>
      <c r="B57" s="1215"/>
      <c r="C57" s="1215"/>
      <c r="D57" s="1215"/>
      <c r="E57" s="1215"/>
      <c r="F57" s="1215"/>
      <c r="G57" s="1215"/>
      <c r="H57" s="592"/>
      <c r="I57" s="639"/>
      <c r="L57" s="639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s="34" customFormat="1" ht="14.25" hidden="1" customHeight="1" x14ac:dyDescent="0.2">
      <c r="A58" s="929"/>
      <c r="B58" s="929"/>
      <c r="C58" s="929"/>
      <c r="D58" s="929"/>
      <c r="E58" s="929"/>
      <c r="F58" s="929"/>
      <c r="G58" s="929"/>
      <c r="H58" s="592"/>
      <c r="I58" s="639"/>
      <c r="L58" s="639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s="34" customFormat="1" ht="64.5" customHeight="1" x14ac:dyDescent="0.2">
      <c r="A59" s="1174" t="s">
        <v>420</v>
      </c>
      <c r="B59" s="1174"/>
      <c r="C59" s="1174"/>
      <c r="D59" s="1174"/>
      <c r="E59" s="1174"/>
      <c r="F59" s="1174"/>
      <c r="G59" s="1173" t="s">
        <v>107</v>
      </c>
      <c r="H59" s="1173"/>
      <c r="I59" s="924" t="s">
        <v>420</v>
      </c>
      <c r="J59" s="1173" t="s">
        <v>107</v>
      </c>
      <c r="K59" s="1173"/>
      <c r="L59" s="924" t="s">
        <v>420</v>
      </c>
      <c r="M59" s="1173" t="s">
        <v>107</v>
      </c>
      <c r="N59" s="1173"/>
      <c r="O59" s="1178" t="s">
        <v>420</v>
      </c>
      <c r="P59" s="1180"/>
      <c r="Q59" s="1173" t="s">
        <v>107</v>
      </c>
      <c r="R59" s="1173"/>
      <c r="S59" s="924" t="s">
        <v>420</v>
      </c>
      <c r="T59" s="946" t="s">
        <v>107</v>
      </c>
      <c r="U59" s="924" t="s">
        <v>420</v>
      </c>
      <c r="V59" s="946" t="s">
        <v>107</v>
      </c>
      <c r="W59" s="924" t="s">
        <v>420</v>
      </c>
      <c r="X59" s="946" t="s">
        <v>107</v>
      </c>
      <c r="Y59" s="924" t="s">
        <v>420</v>
      </c>
      <c r="Z59" s="946" t="s">
        <v>107</v>
      </c>
      <c r="AA59" s="924" t="s">
        <v>420</v>
      </c>
      <c r="AB59" s="946" t="s">
        <v>107</v>
      </c>
      <c r="AC59" s="962" t="s">
        <v>420</v>
      </c>
      <c r="AD59" s="1000" t="s">
        <v>107</v>
      </c>
    </row>
    <row r="60" spans="1:30" s="34" customFormat="1" x14ac:dyDescent="0.2">
      <c r="A60" s="925">
        <v>1</v>
      </c>
      <c r="B60" s="593" t="str">
        <f>A33</f>
        <v>Módulo 1 - Composição da Remuneração</v>
      </c>
      <c r="C60" s="593"/>
      <c r="D60" s="594"/>
      <c r="E60" s="594"/>
      <c r="F60" s="308"/>
      <c r="G60" s="1238">
        <f>G41</f>
        <v>2850.45</v>
      </c>
      <c r="H60" s="1238"/>
      <c r="I60" s="934"/>
      <c r="J60" s="1238">
        <f>J41</f>
        <v>2935.96</v>
      </c>
      <c r="K60" s="1238"/>
      <c r="L60" s="934"/>
      <c r="M60" s="1238">
        <f>J41</f>
        <v>2935.96</v>
      </c>
      <c r="N60" s="1238"/>
      <c r="O60" s="1274"/>
      <c r="P60" s="1275"/>
      <c r="Q60" s="1238">
        <f>J41</f>
        <v>2935.96</v>
      </c>
      <c r="R60" s="1238"/>
      <c r="S60" s="934"/>
      <c r="T60" s="934">
        <f>T41</f>
        <v>2935.96</v>
      </c>
      <c r="U60" s="787"/>
      <c r="V60" s="787">
        <f>V41</f>
        <v>2935.96</v>
      </c>
      <c r="W60" s="787"/>
      <c r="X60" s="787">
        <f>X41</f>
        <v>3185.51</v>
      </c>
      <c r="Y60" s="787"/>
      <c r="Z60" s="787">
        <f>Z41</f>
        <v>3185.51</v>
      </c>
      <c r="AA60" s="787"/>
      <c r="AB60" s="787">
        <f>AB41</f>
        <v>3185.51</v>
      </c>
      <c r="AC60" s="787"/>
      <c r="AD60" s="787">
        <f>AD41</f>
        <v>3371.85</v>
      </c>
    </row>
    <row r="61" spans="1:30" s="34" customFormat="1" x14ac:dyDescent="0.2">
      <c r="A61" s="925" t="s">
        <v>211</v>
      </c>
      <c r="B61" s="593" t="str">
        <f>A47</f>
        <v>Submódulo 2.1 - 13º (décimo terceiro) Salário, Férias e Adicional de Férias</v>
      </c>
      <c r="C61" s="593"/>
      <c r="D61" s="594"/>
      <c r="E61" s="594"/>
      <c r="F61" s="308"/>
      <c r="G61" s="1238">
        <f>G51</f>
        <v>604.58000000000004</v>
      </c>
      <c r="H61" s="1238"/>
      <c r="I61" s="934"/>
      <c r="J61" s="1238">
        <f>J51</f>
        <v>622.72</v>
      </c>
      <c r="K61" s="1238"/>
      <c r="L61" s="934"/>
      <c r="M61" s="1238">
        <f>M51</f>
        <v>622.72</v>
      </c>
      <c r="N61" s="1238"/>
      <c r="O61" s="1274"/>
      <c r="P61" s="1275"/>
      <c r="Q61" s="1238">
        <f>Q51</f>
        <v>622.72</v>
      </c>
      <c r="R61" s="1238"/>
      <c r="S61" s="934"/>
      <c r="T61" s="934">
        <f>T51</f>
        <v>622.72</v>
      </c>
      <c r="U61" s="787"/>
      <c r="V61" s="787">
        <f>V51</f>
        <v>622.72</v>
      </c>
      <c r="W61" s="787"/>
      <c r="X61" s="787">
        <f>X51</f>
        <v>675.64</v>
      </c>
      <c r="Y61" s="787"/>
      <c r="Z61" s="787">
        <f>Z51</f>
        <v>675.64</v>
      </c>
      <c r="AA61" s="787"/>
      <c r="AB61" s="787">
        <f>AB51</f>
        <v>675.64</v>
      </c>
      <c r="AC61" s="787"/>
      <c r="AD61" s="787">
        <f>AD51</f>
        <v>715.17</v>
      </c>
    </row>
    <row r="62" spans="1:30" s="34" customFormat="1" x14ac:dyDescent="0.2">
      <c r="A62" s="1202" t="s">
        <v>241</v>
      </c>
      <c r="B62" s="1202"/>
      <c r="C62" s="1202"/>
      <c r="D62" s="1202"/>
      <c r="E62" s="1202"/>
      <c r="F62" s="1202"/>
      <c r="G62" s="1229">
        <f>SUM(G60:G61)</f>
        <v>3455.03</v>
      </c>
      <c r="H62" s="1229"/>
      <c r="I62" s="935" t="s">
        <v>159</v>
      </c>
      <c r="J62" s="1229">
        <f>SUM(J60:J61)</f>
        <v>3558.68</v>
      </c>
      <c r="K62" s="1229"/>
      <c r="L62" s="935" t="s">
        <v>159</v>
      </c>
      <c r="M62" s="1229">
        <f>SUM(M60:M61)</f>
        <v>3558.68</v>
      </c>
      <c r="N62" s="1229"/>
      <c r="O62" s="1270" t="s">
        <v>159</v>
      </c>
      <c r="P62" s="1271"/>
      <c r="Q62" s="1229">
        <f>SUM(Q60:Q61)</f>
        <v>3558.68</v>
      </c>
      <c r="R62" s="1229"/>
      <c r="S62" s="935" t="s">
        <v>159</v>
      </c>
      <c r="T62" s="935">
        <f>SUM(T60:T61)</f>
        <v>3558.68</v>
      </c>
      <c r="U62" s="789" t="s">
        <v>159</v>
      </c>
      <c r="V62" s="789">
        <f>SUM(V60:V61)</f>
        <v>3558.68</v>
      </c>
      <c r="W62" s="789" t="s">
        <v>159</v>
      </c>
      <c r="X62" s="789">
        <f>SUM(X60:X61)</f>
        <v>3861.15</v>
      </c>
      <c r="Y62" s="789" t="s">
        <v>159</v>
      </c>
      <c r="Z62" s="789">
        <f>SUM(Z60:Z61)</f>
        <v>3861.15</v>
      </c>
      <c r="AA62" s="789" t="s">
        <v>159</v>
      </c>
      <c r="AB62" s="789">
        <f>SUM(AB60:AB61)</f>
        <v>3861.15</v>
      </c>
      <c r="AC62" s="789" t="s">
        <v>159</v>
      </c>
      <c r="AD62" s="789">
        <f>SUM(AD60:AD61)</f>
        <v>4087.02</v>
      </c>
    </row>
    <row r="63" spans="1:30" s="34" customFormat="1" hidden="1" x14ac:dyDescent="0.2">
      <c r="A63" s="945"/>
      <c r="B63" s="945"/>
      <c r="C63" s="945"/>
      <c r="D63" s="945"/>
      <c r="E63" s="945"/>
      <c r="F63" s="945"/>
      <c r="G63" s="945"/>
      <c r="H63" s="630"/>
      <c r="I63" s="639"/>
      <c r="L63" s="639"/>
    </row>
    <row r="64" spans="1:30" x14ac:dyDescent="0.2">
      <c r="A64" s="1173" t="s">
        <v>217</v>
      </c>
      <c r="B64" s="1173"/>
      <c r="C64" s="1173"/>
      <c r="D64" s="1173"/>
      <c r="E64" s="1173"/>
      <c r="F64" s="1173"/>
      <c r="G64" s="1173"/>
      <c r="H64" s="1173"/>
      <c r="I64" s="1173"/>
      <c r="J64" s="1173"/>
      <c r="K64" s="1173"/>
      <c r="L64" s="1173"/>
      <c r="M64" s="1173"/>
      <c r="N64" s="1173"/>
      <c r="O64" s="1173"/>
      <c r="P64" s="1173"/>
      <c r="Q64" s="1173"/>
      <c r="R64" s="1173"/>
      <c r="S64" s="944"/>
      <c r="T64" s="944"/>
    </row>
    <row r="65" spans="1:30" ht="28.5" customHeight="1" x14ac:dyDescent="0.2">
      <c r="A65" s="924" t="s">
        <v>210</v>
      </c>
      <c r="B65" s="1174" t="s">
        <v>221</v>
      </c>
      <c r="C65" s="1174"/>
      <c r="D65" s="1174"/>
      <c r="E65" s="1174"/>
      <c r="F65" s="924" t="s">
        <v>222</v>
      </c>
      <c r="G65" s="1173" t="s">
        <v>107</v>
      </c>
      <c r="H65" s="1173"/>
      <c r="I65" s="924" t="s">
        <v>222</v>
      </c>
      <c r="J65" s="1173" t="s">
        <v>107</v>
      </c>
      <c r="K65" s="1173"/>
      <c r="L65" s="924" t="s">
        <v>222</v>
      </c>
      <c r="M65" s="1173" t="s">
        <v>107</v>
      </c>
      <c r="N65" s="1173"/>
      <c r="O65" s="1178" t="s">
        <v>222</v>
      </c>
      <c r="P65" s="1180"/>
      <c r="Q65" s="1173" t="s">
        <v>107</v>
      </c>
      <c r="R65" s="1173"/>
      <c r="S65" s="778" t="s">
        <v>222</v>
      </c>
      <c r="T65" s="790" t="s">
        <v>107</v>
      </c>
      <c r="U65" s="778" t="s">
        <v>222</v>
      </c>
      <c r="V65" s="790" t="s">
        <v>107</v>
      </c>
      <c r="W65" s="778" t="s">
        <v>222</v>
      </c>
      <c r="X65" s="790" t="s">
        <v>107</v>
      </c>
      <c r="Y65" s="778" t="s">
        <v>222</v>
      </c>
      <c r="Z65" s="790" t="s">
        <v>107</v>
      </c>
      <c r="AA65" s="778" t="s">
        <v>222</v>
      </c>
      <c r="AB65" s="790" t="s">
        <v>107</v>
      </c>
      <c r="AC65" s="778" t="s">
        <v>222</v>
      </c>
      <c r="AD65" s="790" t="s">
        <v>107</v>
      </c>
    </row>
    <row r="66" spans="1:30" x14ac:dyDescent="0.2">
      <c r="A66" s="925" t="s">
        <v>1</v>
      </c>
      <c r="B66" s="593" t="str">
        <f>Dados!B80</f>
        <v>INSS</v>
      </c>
      <c r="C66" s="593"/>
      <c r="D66" s="594"/>
      <c r="E66" s="594"/>
      <c r="F66" s="308">
        <f>Dados!G80</f>
        <v>0.2</v>
      </c>
      <c r="G66" s="1238">
        <f>$G$62*F66</f>
        <v>691.01</v>
      </c>
      <c r="H66" s="1238"/>
      <c r="I66" s="308">
        <f>Dados!G80</f>
        <v>0.2</v>
      </c>
      <c r="J66" s="1238">
        <f>$J$62*F66</f>
        <v>711.74</v>
      </c>
      <c r="K66" s="1238"/>
      <c r="L66" s="308">
        <f>Dados!G80</f>
        <v>0.2</v>
      </c>
      <c r="M66" s="1238">
        <f>$J$62*I66</f>
        <v>711.74</v>
      </c>
      <c r="N66" s="1238"/>
      <c r="O66" s="1233">
        <f>Dados!G80</f>
        <v>0.2</v>
      </c>
      <c r="P66" s="1234"/>
      <c r="Q66" s="1238">
        <f>$J$62*L66</f>
        <v>711.74</v>
      </c>
      <c r="R66" s="1238"/>
      <c r="S66" s="786">
        <v>0.2</v>
      </c>
      <c r="T66" s="878">
        <f>$T$62*S66</f>
        <v>711.74</v>
      </c>
      <c r="U66" s="786">
        <v>0.2</v>
      </c>
      <c r="V66" s="878">
        <f>$V$62*U66</f>
        <v>711.74</v>
      </c>
      <c r="W66" s="786">
        <v>0.2</v>
      </c>
      <c r="X66" s="787">
        <f>$X$62*W66</f>
        <v>772.23</v>
      </c>
      <c r="Y66" s="786">
        <v>0.2</v>
      </c>
      <c r="Z66" s="787">
        <f>X66</f>
        <v>772.23</v>
      </c>
      <c r="AA66" s="786">
        <v>0.2</v>
      </c>
      <c r="AB66" s="787">
        <f>Z66</f>
        <v>772.23</v>
      </c>
      <c r="AC66" s="786">
        <v>0.2</v>
      </c>
      <c r="AD66" s="787">
        <f t="shared" ref="AD66:AD73" si="3">$AD$62*AC66</f>
        <v>817.4</v>
      </c>
    </row>
    <row r="67" spans="1:30" x14ac:dyDescent="0.2">
      <c r="A67" s="925" t="s">
        <v>2</v>
      </c>
      <c r="B67" s="593" t="str">
        <f>Dados!B81</f>
        <v>Salário Educação</v>
      </c>
      <c r="C67" s="593"/>
      <c r="D67" s="594"/>
      <c r="E67" s="594"/>
      <c r="F67" s="308">
        <f>Dados!G81</f>
        <v>2.5000000000000001E-2</v>
      </c>
      <c r="G67" s="1238">
        <f t="shared" ref="G67:G73" si="4">$G$62*F67</f>
        <v>86.38</v>
      </c>
      <c r="H67" s="1238"/>
      <c r="I67" s="308">
        <f>Dados!G81</f>
        <v>2.5000000000000001E-2</v>
      </c>
      <c r="J67" s="1238">
        <f>$J$62*F67</f>
        <v>88.97</v>
      </c>
      <c r="K67" s="1238"/>
      <c r="L67" s="308">
        <f>Dados!G81</f>
        <v>2.5000000000000001E-2</v>
      </c>
      <c r="M67" s="1238">
        <f>$J$62*I67</f>
        <v>88.97</v>
      </c>
      <c r="N67" s="1238"/>
      <c r="O67" s="1233">
        <f>Dados!G81</f>
        <v>2.5000000000000001E-2</v>
      </c>
      <c r="P67" s="1234"/>
      <c r="Q67" s="1238">
        <f t="shared" ref="Q67:Q73" si="5">$J$62*L67</f>
        <v>88.97</v>
      </c>
      <c r="R67" s="1238"/>
      <c r="S67" s="786">
        <v>2.5000000000000001E-2</v>
      </c>
      <c r="T67" s="878">
        <f t="shared" ref="T67:T73" si="6">$T$62*S67</f>
        <v>88.97</v>
      </c>
      <c r="U67" s="786">
        <v>2.5000000000000001E-2</v>
      </c>
      <c r="V67" s="878">
        <f t="shared" ref="V67:V73" si="7">$V$62*U67</f>
        <v>88.97</v>
      </c>
      <c r="W67" s="786">
        <v>2.5000000000000001E-2</v>
      </c>
      <c r="X67" s="787">
        <f t="shared" ref="X67:X73" si="8">$X$62*W67</f>
        <v>96.53</v>
      </c>
      <c r="Y67" s="786">
        <v>2.5000000000000001E-2</v>
      </c>
      <c r="Z67" s="787">
        <f t="shared" ref="Z67:Z73" si="9">X67</f>
        <v>96.53</v>
      </c>
      <c r="AA67" s="786">
        <v>2.5000000000000001E-2</v>
      </c>
      <c r="AB67" s="787">
        <f t="shared" ref="AB67:AB73" si="10">Z67</f>
        <v>96.53</v>
      </c>
      <c r="AC67" s="786">
        <v>2.5000000000000001E-2</v>
      </c>
      <c r="AD67" s="787">
        <f t="shared" si="3"/>
        <v>102.18</v>
      </c>
    </row>
    <row r="68" spans="1:30" x14ac:dyDescent="0.2">
      <c r="A68" s="925" t="s">
        <v>4</v>
      </c>
      <c r="B68" s="593" t="str">
        <f>Dados!B82</f>
        <v>Seguro Acidente do Trabalho - SAT = RAT x FAP</v>
      </c>
      <c r="C68" s="593"/>
      <c r="D68" s="594"/>
      <c r="E68" s="594"/>
      <c r="F68" s="308">
        <f>Dados!G82</f>
        <v>2.4899999999999999E-2</v>
      </c>
      <c r="G68" s="1238">
        <f t="shared" si="4"/>
        <v>86.03</v>
      </c>
      <c r="H68" s="1238"/>
      <c r="I68" s="308">
        <v>2.5700000000000001E-2</v>
      </c>
      <c r="J68" s="1238">
        <f>$J$62*I68</f>
        <v>91.46</v>
      </c>
      <c r="K68" s="1238"/>
      <c r="L68" s="308">
        <v>2.5700000000000001E-2</v>
      </c>
      <c r="M68" s="1238">
        <f>$J$62*L68</f>
        <v>91.46</v>
      </c>
      <c r="N68" s="1238"/>
      <c r="O68" s="1233">
        <v>2.5700000000000001E-2</v>
      </c>
      <c r="P68" s="1234"/>
      <c r="Q68" s="1238">
        <f t="shared" si="5"/>
        <v>91.46</v>
      </c>
      <c r="R68" s="1238"/>
      <c r="S68" s="786">
        <v>2.5700000000000001E-2</v>
      </c>
      <c r="T68" s="878">
        <f t="shared" si="6"/>
        <v>91.46</v>
      </c>
      <c r="U68" s="786">
        <v>2.5700000000000001E-2</v>
      </c>
      <c r="V68" s="878">
        <f t="shared" si="7"/>
        <v>91.46</v>
      </c>
      <c r="W68" s="786">
        <v>2.7400000000000001E-2</v>
      </c>
      <c r="X68" s="787">
        <f t="shared" si="8"/>
        <v>105.8</v>
      </c>
      <c r="Y68" s="786">
        <v>2.7400000000000001E-2</v>
      </c>
      <c r="Z68" s="787">
        <f t="shared" si="9"/>
        <v>105.8</v>
      </c>
      <c r="AA68" s="786">
        <v>2.7400000000000001E-2</v>
      </c>
      <c r="AB68" s="787">
        <f t="shared" si="10"/>
        <v>105.8</v>
      </c>
      <c r="AC68" s="786">
        <v>3.4000000000000002E-2</v>
      </c>
      <c r="AD68" s="787">
        <f t="shared" si="3"/>
        <v>138.96</v>
      </c>
    </row>
    <row r="69" spans="1:30" x14ac:dyDescent="0.2">
      <c r="A69" s="925" t="s">
        <v>5</v>
      </c>
      <c r="B69" s="593" t="str">
        <f>Dados!B83</f>
        <v>SESI ou SESC</v>
      </c>
      <c r="C69" s="593"/>
      <c r="D69" s="594"/>
      <c r="E69" s="594"/>
      <c r="F69" s="308">
        <f>Dados!G83</f>
        <v>1.4999999999999999E-2</v>
      </c>
      <c r="G69" s="1238">
        <f t="shared" si="4"/>
        <v>51.83</v>
      </c>
      <c r="H69" s="1238"/>
      <c r="I69" s="308">
        <f>Dados!G83</f>
        <v>1.4999999999999999E-2</v>
      </c>
      <c r="J69" s="1238">
        <f>$J$62*F69</f>
        <v>53.38</v>
      </c>
      <c r="K69" s="1238"/>
      <c r="L69" s="308">
        <f>Dados!G83</f>
        <v>1.4999999999999999E-2</v>
      </c>
      <c r="M69" s="1238">
        <f>$J$62*I69</f>
        <v>53.38</v>
      </c>
      <c r="N69" s="1238"/>
      <c r="O69" s="1233">
        <f>Dados!G83</f>
        <v>1.4999999999999999E-2</v>
      </c>
      <c r="P69" s="1234"/>
      <c r="Q69" s="1238">
        <f t="shared" si="5"/>
        <v>53.38</v>
      </c>
      <c r="R69" s="1238"/>
      <c r="S69" s="786">
        <v>1.4999999999999999E-2</v>
      </c>
      <c r="T69" s="878">
        <f t="shared" si="6"/>
        <v>53.38</v>
      </c>
      <c r="U69" s="786">
        <v>1.4999999999999999E-2</v>
      </c>
      <c r="V69" s="878">
        <f t="shared" si="7"/>
        <v>53.38</v>
      </c>
      <c r="W69" s="786">
        <v>1.4999999999999999E-2</v>
      </c>
      <c r="X69" s="787">
        <f t="shared" si="8"/>
        <v>57.92</v>
      </c>
      <c r="Y69" s="786">
        <v>1.4999999999999999E-2</v>
      </c>
      <c r="Z69" s="787">
        <f t="shared" si="9"/>
        <v>57.92</v>
      </c>
      <c r="AA69" s="786">
        <v>1.4999999999999999E-2</v>
      </c>
      <c r="AB69" s="787">
        <f t="shared" si="10"/>
        <v>57.92</v>
      </c>
      <c r="AC69" s="786">
        <v>1.4999999999999999E-2</v>
      </c>
      <c r="AD69" s="787">
        <f t="shared" si="3"/>
        <v>61.31</v>
      </c>
    </row>
    <row r="70" spans="1:30" x14ac:dyDescent="0.2">
      <c r="A70" s="925" t="s">
        <v>6</v>
      </c>
      <c r="B70" s="593" t="str">
        <f>Dados!B84</f>
        <v>SENAI ou SENAC</v>
      </c>
      <c r="C70" s="593"/>
      <c r="D70" s="594"/>
      <c r="E70" s="594"/>
      <c r="F70" s="308">
        <f>Dados!G84</f>
        <v>0.01</v>
      </c>
      <c r="G70" s="1238">
        <f t="shared" si="4"/>
        <v>34.549999999999997</v>
      </c>
      <c r="H70" s="1238"/>
      <c r="I70" s="308">
        <f>Dados!G84</f>
        <v>0.01</v>
      </c>
      <c r="J70" s="1238">
        <f>$J$62*F70</f>
        <v>35.590000000000003</v>
      </c>
      <c r="K70" s="1238"/>
      <c r="L70" s="308">
        <f>Dados!G84</f>
        <v>0.01</v>
      </c>
      <c r="M70" s="1238">
        <f>$J$62*I70</f>
        <v>35.590000000000003</v>
      </c>
      <c r="N70" s="1238"/>
      <c r="O70" s="1233">
        <f>Dados!G84</f>
        <v>0.01</v>
      </c>
      <c r="P70" s="1234"/>
      <c r="Q70" s="1238">
        <f t="shared" si="5"/>
        <v>35.590000000000003</v>
      </c>
      <c r="R70" s="1238"/>
      <c r="S70" s="786">
        <v>0.01</v>
      </c>
      <c r="T70" s="878">
        <f t="shared" si="6"/>
        <v>35.590000000000003</v>
      </c>
      <c r="U70" s="786">
        <v>0.01</v>
      </c>
      <c r="V70" s="878">
        <f t="shared" si="7"/>
        <v>35.590000000000003</v>
      </c>
      <c r="W70" s="786">
        <v>0.01</v>
      </c>
      <c r="X70" s="787">
        <f t="shared" si="8"/>
        <v>38.61</v>
      </c>
      <c r="Y70" s="786">
        <v>0.01</v>
      </c>
      <c r="Z70" s="787">
        <f t="shared" si="9"/>
        <v>38.61</v>
      </c>
      <c r="AA70" s="786">
        <v>0.01</v>
      </c>
      <c r="AB70" s="787">
        <f t="shared" si="10"/>
        <v>38.61</v>
      </c>
      <c r="AC70" s="786">
        <v>0.01</v>
      </c>
      <c r="AD70" s="787">
        <f t="shared" si="3"/>
        <v>40.869999999999997</v>
      </c>
    </row>
    <row r="71" spans="1:30" x14ac:dyDescent="0.2">
      <c r="A71" s="925" t="s">
        <v>7</v>
      </c>
      <c r="B71" s="593" t="str">
        <f>Dados!B85</f>
        <v>SEBRAE</v>
      </c>
      <c r="C71" s="593"/>
      <c r="D71" s="594"/>
      <c r="E71" s="594"/>
      <c r="F71" s="308">
        <f>Dados!G85</f>
        <v>6.0000000000000001E-3</v>
      </c>
      <c r="G71" s="1238">
        <f t="shared" si="4"/>
        <v>20.73</v>
      </c>
      <c r="H71" s="1238"/>
      <c r="I71" s="308">
        <f>Dados!G85</f>
        <v>6.0000000000000001E-3</v>
      </c>
      <c r="J71" s="1238">
        <f>$J$62*F71</f>
        <v>21.35</v>
      </c>
      <c r="K71" s="1238"/>
      <c r="L71" s="308">
        <f>Dados!G85</f>
        <v>6.0000000000000001E-3</v>
      </c>
      <c r="M71" s="1238">
        <f>$J$62*I71</f>
        <v>21.35</v>
      </c>
      <c r="N71" s="1238"/>
      <c r="O71" s="1233">
        <f>Dados!G85</f>
        <v>6.0000000000000001E-3</v>
      </c>
      <c r="P71" s="1234"/>
      <c r="Q71" s="1238">
        <f t="shared" si="5"/>
        <v>21.35</v>
      </c>
      <c r="R71" s="1238"/>
      <c r="S71" s="786">
        <v>6.0000000000000001E-3</v>
      </c>
      <c r="T71" s="878">
        <f t="shared" si="6"/>
        <v>21.35</v>
      </c>
      <c r="U71" s="786">
        <v>6.0000000000000001E-3</v>
      </c>
      <c r="V71" s="878">
        <f t="shared" si="7"/>
        <v>21.35</v>
      </c>
      <c r="W71" s="786">
        <v>6.0000000000000001E-3</v>
      </c>
      <c r="X71" s="787">
        <f t="shared" si="8"/>
        <v>23.17</v>
      </c>
      <c r="Y71" s="786">
        <v>6.0000000000000001E-3</v>
      </c>
      <c r="Z71" s="787">
        <f t="shared" si="9"/>
        <v>23.17</v>
      </c>
      <c r="AA71" s="786">
        <v>6.0000000000000001E-3</v>
      </c>
      <c r="AB71" s="787">
        <f t="shared" si="10"/>
        <v>23.17</v>
      </c>
      <c r="AC71" s="786">
        <v>6.0000000000000001E-3</v>
      </c>
      <c r="AD71" s="787">
        <f t="shared" si="3"/>
        <v>24.52</v>
      </c>
    </row>
    <row r="72" spans="1:30" x14ac:dyDescent="0.2">
      <c r="A72" s="925" t="s">
        <v>8</v>
      </c>
      <c r="B72" s="593" t="str">
        <f>Dados!B86</f>
        <v>INCRA</v>
      </c>
      <c r="C72" s="593"/>
      <c r="D72" s="594"/>
      <c r="E72" s="594"/>
      <c r="F72" s="308">
        <f>Dados!G86</f>
        <v>2E-3</v>
      </c>
      <c r="G72" s="1238">
        <f t="shared" si="4"/>
        <v>6.91</v>
      </c>
      <c r="H72" s="1238"/>
      <c r="I72" s="308">
        <f>Dados!G86</f>
        <v>2E-3</v>
      </c>
      <c r="J72" s="1238">
        <f>$J$62*F72</f>
        <v>7.12</v>
      </c>
      <c r="K72" s="1238"/>
      <c r="L72" s="308">
        <f>Dados!G86</f>
        <v>2E-3</v>
      </c>
      <c r="M72" s="1238">
        <f>$J$62*I72</f>
        <v>7.12</v>
      </c>
      <c r="N72" s="1238"/>
      <c r="O72" s="1233">
        <f>Dados!G86</f>
        <v>2E-3</v>
      </c>
      <c r="P72" s="1234"/>
      <c r="Q72" s="1238">
        <f t="shared" si="5"/>
        <v>7.12</v>
      </c>
      <c r="R72" s="1238"/>
      <c r="S72" s="786">
        <v>2E-3</v>
      </c>
      <c r="T72" s="878">
        <f t="shared" si="6"/>
        <v>7.12</v>
      </c>
      <c r="U72" s="786">
        <v>2E-3</v>
      </c>
      <c r="V72" s="878">
        <f t="shared" si="7"/>
        <v>7.12</v>
      </c>
      <c r="W72" s="786">
        <v>2E-3</v>
      </c>
      <c r="X72" s="787">
        <f t="shared" si="8"/>
        <v>7.72</v>
      </c>
      <c r="Y72" s="786">
        <v>2E-3</v>
      </c>
      <c r="Z72" s="787">
        <f t="shared" si="9"/>
        <v>7.72</v>
      </c>
      <c r="AA72" s="786">
        <v>2E-3</v>
      </c>
      <c r="AB72" s="787">
        <f t="shared" si="10"/>
        <v>7.72</v>
      </c>
      <c r="AC72" s="786">
        <v>2E-3</v>
      </c>
      <c r="AD72" s="787">
        <f t="shared" si="3"/>
        <v>8.17</v>
      </c>
    </row>
    <row r="73" spans="1:30" x14ac:dyDescent="0.2">
      <c r="A73" s="925" t="s">
        <v>9</v>
      </c>
      <c r="B73" s="593" t="str">
        <f>Dados!B87</f>
        <v>FGTS</v>
      </c>
      <c r="C73" s="593"/>
      <c r="D73" s="594"/>
      <c r="E73" s="594"/>
      <c r="F73" s="308">
        <f>Dados!G87</f>
        <v>0.08</v>
      </c>
      <c r="G73" s="1238">
        <f t="shared" si="4"/>
        <v>276.39999999999998</v>
      </c>
      <c r="H73" s="1238"/>
      <c r="I73" s="308">
        <f>Dados!G87</f>
        <v>0.08</v>
      </c>
      <c r="J73" s="1238">
        <f>$J$62*F73</f>
        <v>284.69</v>
      </c>
      <c r="K73" s="1238"/>
      <c r="L73" s="308">
        <f>Dados!G87</f>
        <v>0.08</v>
      </c>
      <c r="M73" s="1238">
        <f>$J$62*I73</f>
        <v>284.69</v>
      </c>
      <c r="N73" s="1238"/>
      <c r="O73" s="1233">
        <f>Dados!G87</f>
        <v>0.08</v>
      </c>
      <c r="P73" s="1234"/>
      <c r="Q73" s="1238">
        <f t="shared" si="5"/>
        <v>284.69</v>
      </c>
      <c r="R73" s="1238"/>
      <c r="S73" s="791">
        <v>0.08</v>
      </c>
      <c r="T73" s="878">
        <f t="shared" si="6"/>
        <v>284.69</v>
      </c>
      <c r="U73" s="791">
        <v>0.08</v>
      </c>
      <c r="V73" s="878">
        <f t="shared" si="7"/>
        <v>284.69</v>
      </c>
      <c r="W73" s="791">
        <v>0.08</v>
      </c>
      <c r="X73" s="787">
        <f t="shared" si="8"/>
        <v>308.89</v>
      </c>
      <c r="Y73" s="791">
        <v>0.08</v>
      </c>
      <c r="Z73" s="787">
        <f t="shared" si="9"/>
        <v>308.89</v>
      </c>
      <c r="AA73" s="791">
        <v>0.08</v>
      </c>
      <c r="AB73" s="787">
        <f t="shared" si="10"/>
        <v>308.89</v>
      </c>
      <c r="AC73" s="791">
        <v>0.08</v>
      </c>
      <c r="AD73" s="787">
        <f t="shared" si="3"/>
        <v>326.95999999999998</v>
      </c>
    </row>
    <row r="74" spans="1:30" ht="15.75" customHeight="1" x14ac:dyDescent="0.2">
      <c r="A74" s="1172" t="s">
        <v>159</v>
      </c>
      <c r="B74" s="1172"/>
      <c r="C74" s="1172"/>
      <c r="D74" s="1172"/>
      <c r="E74" s="1172"/>
      <c r="F74" s="311">
        <f>SUM(F66:F73)</f>
        <v>0.3629</v>
      </c>
      <c r="G74" s="1229">
        <f>SUM(G66:G73)</f>
        <v>1253.8399999999999</v>
      </c>
      <c r="H74" s="1229"/>
      <c r="I74" s="311">
        <f>SUM(I66:I73)</f>
        <v>0.36370000000000002</v>
      </c>
      <c r="J74" s="1229">
        <f>SUM(J66:J73)</f>
        <v>1294.3</v>
      </c>
      <c r="K74" s="1229"/>
      <c r="L74" s="311">
        <f>SUM(L66:L73)</f>
        <v>0.36370000000000002</v>
      </c>
      <c r="M74" s="1229">
        <f>SUM(M66:M73)</f>
        <v>1294.3</v>
      </c>
      <c r="N74" s="1229"/>
      <c r="O74" s="1278">
        <f t="shared" ref="O74" si="11">SUM(O66:O73)</f>
        <v>0.36370000000000002</v>
      </c>
      <c r="P74" s="1279"/>
      <c r="Q74" s="1229">
        <f>SUM(Q66:Q73)</f>
        <v>1294.3</v>
      </c>
      <c r="R74" s="1229"/>
      <c r="S74" s="788">
        <f t="shared" ref="S74:T74" si="12">SUM(S66:S73)</f>
        <v>0.36370000000000002</v>
      </c>
      <c r="T74" s="789">
        <f t="shared" si="12"/>
        <v>1294.3</v>
      </c>
      <c r="U74" s="788">
        <f t="shared" ref="U74:AB74" si="13">SUM(U66:U73)</f>
        <v>0.36370000000000002</v>
      </c>
      <c r="V74" s="789">
        <f t="shared" si="13"/>
        <v>1294.3</v>
      </c>
      <c r="W74" s="788">
        <f t="shared" si="13"/>
        <v>0.3654</v>
      </c>
      <c r="X74" s="789">
        <f t="shared" si="13"/>
        <v>1410.87</v>
      </c>
      <c r="Y74" s="788">
        <f t="shared" si="13"/>
        <v>0.3654</v>
      </c>
      <c r="Z74" s="789">
        <f t="shared" si="13"/>
        <v>1410.87</v>
      </c>
      <c r="AA74" s="788">
        <f t="shared" si="13"/>
        <v>0.3654</v>
      </c>
      <c r="AB74" s="789">
        <f t="shared" si="13"/>
        <v>1410.87</v>
      </c>
      <c r="AC74" s="788">
        <f t="shared" ref="AC74:AD74" si="14">SUM(AC66:AC73)</f>
        <v>0.372</v>
      </c>
      <c r="AD74" s="789">
        <f t="shared" si="14"/>
        <v>1520.37</v>
      </c>
    </row>
    <row r="75" spans="1:30" ht="14.25" hidden="1" customHeight="1" x14ac:dyDescent="0.2">
      <c r="A75" s="1215" t="s">
        <v>432</v>
      </c>
      <c r="B75" s="1215"/>
      <c r="C75" s="1215"/>
      <c r="D75" s="1215"/>
      <c r="E75" s="1215"/>
      <c r="F75" s="1215"/>
      <c r="G75" s="1215"/>
      <c r="H75" s="592"/>
      <c r="I75" s="639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30" ht="14.25" hidden="1" customHeight="1" x14ac:dyDescent="0.2">
      <c r="A76" s="1215" t="s">
        <v>430</v>
      </c>
      <c r="B76" s="1215"/>
      <c r="C76" s="1215"/>
      <c r="D76" s="1215"/>
      <c r="E76" s="1215"/>
      <c r="F76" s="1215"/>
      <c r="G76" s="1215"/>
      <c r="H76" s="592"/>
      <c r="I76" s="639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30" ht="30.75" hidden="1" customHeight="1" x14ac:dyDescent="0.2">
      <c r="A77" s="1239" t="s">
        <v>480</v>
      </c>
      <c r="B77" s="1239"/>
      <c r="C77" s="1239"/>
      <c r="D77" s="1239"/>
      <c r="E77" s="1239"/>
      <c r="F77" s="1239"/>
      <c r="G77" s="1239"/>
      <c r="H77" s="592"/>
      <c r="I77" s="639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30" hidden="1" x14ac:dyDescent="0.2">
      <c r="A78" s="634" t="s">
        <v>552</v>
      </c>
      <c r="B78" s="634"/>
      <c r="C78" s="634"/>
      <c r="D78" s="634"/>
      <c r="E78" s="634"/>
      <c r="F78" s="634"/>
      <c r="G78" s="634"/>
      <c r="H78" s="592"/>
      <c r="I78" s="639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30" hidden="1" x14ac:dyDescent="0.2">
      <c r="A79" s="931" t="s">
        <v>431</v>
      </c>
      <c r="B79" s="634"/>
      <c r="C79" s="634"/>
      <c r="D79" s="634"/>
      <c r="E79" s="634"/>
      <c r="F79" s="634"/>
      <c r="G79" s="634"/>
      <c r="H79" s="592"/>
      <c r="I79" s="639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30" hidden="1" x14ac:dyDescent="0.2">
      <c r="A80" s="931" t="s">
        <v>551</v>
      </c>
      <c r="B80" s="634"/>
      <c r="C80" s="634"/>
      <c r="D80" s="634"/>
      <c r="E80" s="634"/>
      <c r="F80" s="634"/>
      <c r="G80" s="634"/>
      <c r="H80" s="592"/>
      <c r="I80" s="639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35" ht="15" hidden="1" x14ac:dyDescent="0.2">
      <c r="A81" s="723"/>
      <c r="B81" s="647"/>
      <c r="C81" s="647"/>
      <c r="D81" s="647"/>
      <c r="E81" s="647"/>
      <c r="F81" s="647"/>
      <c r="G81" s="647"/>
      <c r="H81" s="630"/>
      <c r="I81" s="639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35" x14ac:dyDescent="0.2">
      <c r="A82" s="1173" t="s">
        <v>218</v>
      </c>
      <c r="B82" s="1173"/>
      <c r="C82" s="1173"/>
      <c r="D82" s="1173"/>
      <c r="E82" s="1173"/>
      <c r="F82" s="1173"/>
      <c r="G82" s="1173"/>
      <c r="H82" s="1173"/>
      <c r="I82" s="1173"/>
      <c r="J82" s="1173"/>
      <c r="K82" s="1173"/>
      <c r="L82" s="1173"/>
      <c r="M82" s="1173"/>
      <c r="N82" s="1173"/>
      <c r="O82" s="1173"/>
      <c r="P82" s="1173"/>
      <c r="Q82" s="1173"/>
      <c r="R82" s="1173"/>
      <c r="S82" s="944"/>
      <c r="T82" s="944"/>
    </row>
    <row r="83" spans="1:35" ht="28.5" customHeight="1" x14ac:dyDescent="0.2">
      <c r="A83" s="924" t="s">
        <v>219</v>
      </c>
      <c r="B83" s="1174" t="s">
        <v>22</v>
      </c>
      <c r="C83" s="1174"/>
      <c r="D83" s="1174"/>
      <c r="E83" s="1174"/>
      <c r="F83" s="924" t="s">
        <v>222</v>
      </c>
      <c r="G83" s="1173" t="s">
        <v>107</v>
      </c>
      <c r="H83" s="1173"/>
      <c r="I83" s="924" t="s">
        <v>222</v>
      </c>
      <c r="J83" s="1173" t="s">
        <v>107</v>
      </c>
      <c r="K83" s="1173"/>
      <c r="L83" s="924" t="s">
        <v>222</v>
      </c>
      <c r="M83" s="1173" t="s">
        <v>107</v>
      </c>
      <c r="N83" s="1173"/>
      <c r="O83" s="1178" t="s">
        <v>222</v>
      </c>
      <c r="P83" s="1180"/>
      <c r="Q83" s="1173" t="s">
        <v>107</v>
      </c>
      <c r="R83" s="1173"/>
      <c r="S83" s="946" t="s">
        <v>222</v>
      </c>
      <c r="T83" s="946" t="s">
        <v>107</v>
      </c>
      <c r="U83" s="946" t="s">
        <v>222</v>
      </c>
      <c r="V83" s="946" t="s">
        <v>107</v>
      </c>
      <c r="W83" s="946" t="s">
        <v>222</v>
      </c>
      <c r="X83" s="946" t="s">
        <v>107</v>
      </c>
      <c r="Y83" s="946" t="s">
        <v>222</v>
      </c>
      <c r="Z83" s="946" t="s">
        <v>107</v>
      </c>
      <c r="AA83" s="946" t="s">
        <v>222</v>
      </c>
      <c r="AB83" s="946" t="s">
        <v>107</v>
      </c>
      <c r="AC83" s="1000" t="s">
        <v>222</v>
      </c>
      <c r="AD83" s="1000" t="s">
        <v>107</v>
      </c>
    </row>
    <row r="84" spans="1:35" x14ac:dyDescent="0.2">
      <c r="A84" s="1193" t="s">
        <v>1</v>
      </c>
      <c r="B84" s="931" t="s">
        <v>529</v>
      </c>
      <c r="C84" s="931"/>
      <c r="D84" s="929"/>
      <c r="E84" s="925">
        <f>INDEX(Dados!$J$27:$M$32,MATCH($C$23,Dados!$J$27:$J$32,0),4)</f>
        <v>22</v>
      </c>
      <c r="F84" s="937">
        <f>Dados!J45</f>
        <v>11</v>
      </c>
      <c r="G84" s="1231">
        <f>$E$84*F84*$F$13</f>
        <v>242</v>
      </c>
      <c r="H84" s="1231"/>
      <c r="I84" s="937">
        <f>Dados!M45</f>
        <v>0</v>
      </c>
      <c r="J84" s="1231">
        <f>$E$84*F84*$F$13</f>
        <v>242</v>
      </c>
      <c r="K84" s="1231"/>
      <c r="L84" s="937">
        <f>Dados!P45</f>
        <v>0</v>
      </c>
      <c r="M84" s="1231">
        <f>$E$84*F84*$F$13</f>
        <v>242</v>
      </c>
      <c r="N84" s="1231"/>
      <c r="O84" s="1253">
        <f>Dados!S45</f>
        <v>0</v>
      </c>
      <c r="P84" s="1254"/>
      <c r="Q84" s="1231">
        <f>$E$84*F84*$F$13</f>
        <v>242</v>
      </c>
      <c r="R84" s="1231"/>
      <c r="S84" s="793">
        <v>11</v>
      </c>
      <c r="T84" s="793">
        <f>$E$84*S84*$F$13</f>
        <v>242</v>
      </c>
      <c r="U84" s="793">
        <v>11</v>
      </c>
      <c r="V84" s="793">
        <f>$E$84*U84*$F$13</f>
        <v>242</v>
      </c>
      <c r="W84" s="793">
        <v>11</v>
      </c>
      <c r="X84" s="793">
        <f>$E$84*W84*$F$13</f>
        <v>242</v>
      </c>
      <c r="Y84" s="793">
        <v>11</v>
      </c>
      <c r="Z84" s="793">
        <f>X84</f>
        <v>242</v>
      </c>
      <c r="AA84" s="793">
        <v>11</v>
      </c>
      <c r="AB84" s="793">
        <f>Z84</f>
        <v>242</v>
      </c>
      <c r="AC84" s="793">
        <v>11</v>
      </c>
      <c r="AD84" s="793">
        <f>$E$84*AC84*$F$13</f>
        <v>242</v>
      </c>
    </row>
    <row r="85" spans="1:35" x14ac:dyDescent="0.2">
      <c r="A85" s="1193"/>
      <c r="B85" s="931" t="str">
        <f>Dados!A46</f>
        <v>Desconto Legal sobre o salário</v>
      </c>
      <c r="C85" s="931"/>
      <c r="D85" s="929"/>
      <c r="E85" s="929"/>
      <c r="F85" s="300">
        <f>Dados!J46</f>
        <v>0.06</v>
      </c>
      <c r="G85" s="1232">
        <f>-MIN(G84,(F85*G35))</f>
        <v>-131.56</v>
      </c>
      <c r="H85" s="1232"/>
      <c r="I85" s="300">
        <f>Dados!J46</f>
        <v>0.06</v>
      </c>
      <c r="J85" s="1232">
        <f>-MIN(J84,(I85*J35))</f>
        <v>-135.51</v>
      </c>
      <c r="K85" s="1232"/>
      <c r="L85" s="300">
        <f>Dados!J46</f>
        <v>0.06</v>
      </c>
      <c r="M85" s="1232">
        <f>-MIN(M84,(L85*M35))</f>
        <v>-135.51</v>
      </c>
      <c r="N85" s="1232"/>
      <c r="O85" s="1289">
        <v>0.06</v>
      </c>
      <c r="P85" s="1290"/>
      <c r="Q85" s="1232">
        <f>-MIN(M84,(L85*M35))</f>
        <v>-135.51</v>
      </c>
      <c r="R85" s="1232"/>
      <c r="S85" s="780">
        <v>0.06</v>
      </c>
      <c r="T85" s="937">
        <f>-MIN(T84,(S85*T35))</f>
        <v>-135.51</v>
      </c>
      <c r="U85" s="780">
        <v>0.06</v>
      </c>
      <c r="V85" s="937">
        <f>-MIN(V84,(U85*V35))</f>
        <v>-135.51</v>
      </c>
      <c r="W85" s="780">
        <v>0.06</v>
      </c>
      <c r="X85" s="937">
        <f>-MIN(X84,(W85*X35))</f>
        <v>-147.02000000000001</v>
      </c>
      <c r="Y85" s="780">
        <v>0.06</v>
      </c>
      <c r="Z85" s="793">
        <f t="shared" ref="Z85:Z91" si="15">X85</f>
        <v>-147.02000000000001</v>
      </c>
      <c r="AA85" s="780">
        <v>0.06</v>
      </c>
      <c r="AB85" s="793">
        <f t="shared" ref="AB85:AB91" si="16">Z85</f>
        <v>-147.02000000000001</v>
      </c>
      <c r="AC85" s="780">
        <v>0.06</v>
      </c>
      <c r="AD85" s="793">
        <f>-MIN(AD84,(AC85*AD35))</f>
        <v>-155.62</v>
      </c>
    </row>
    <row r="86" spans="1:35" x14ac:dyDescent="0.2">
      <c r="A86" s="1193" t="s">
        <v>2</v>
      </c>
      <c r="B86" s="931" t="s">
        <v>530</v>
      </c>
      <c r="C86" s="931"/>
      <c r="D86" s="929"/>
      <c r="E86" s="925">
        <f>INDEX(Dados!$J$27:$M$32,MATCH($C$23,Dados!$J$27:$J$32,0),4)</f>
        <v>22</v>
      </c>
      <c r="F86" s="937">
        <f>Dados!J48</f>
        <v>37.5</v>
      </c>
      <c r="G86" s="1231">
        <f>(E86*F86)*$F$13</f>
        <v>825</v>
      </c>
      <c r="H86" s="1231"/>
      <c r="I86" s="937">
        <f>Dados!M48</f>
        <v>0</v>
      </c>
      <c r="J86" s="1231">
        <v>864.38</v>
      </c>
      <c r="K86" s="1231"/>
      <c r="L86" s="937">
        <f>Dados!P48</f>
        <v>0</v>
      </c>
      <c r="M86" s="1231">
        <v>864.38</v>
      </c>
      <c r="N86" s="1231"/>
      <c r="O86" s="1253">
        <f>Dados!S48</f>
        <v>0</v>
      </c>
      <c r="P86" s="1254"/>
      <c r="Q86" s="1231">
        <v>864.38</v>
      </c>
      <c r="R86" s="1231"/>
      <c r="S86" s="845"/>
      <c r="T86" s="845">
        <f>Q86</f>
        <v>864.38</v>
      </c>
      <c r="U86" s="845"/>
      <c r="V86" s="845">
        <f t="shared" ref="V86:V91" si="17">Q86</f>
        <v>864.38</v>
      </c>
      <c r="W86" s="845">
        <v>42.63</v>
      </c>
      <c r="X86" s="845">
        <f>'Mem.Submódulo 2.3'!AE47</f>
        <v>937.86</v>
      </c>
      <c r="Y86" s="845">
        <v>42.63</v>
      </c>
      <c r="Z86" s="793">
        <f t="shared" si="15"/>
        <v>937.86</v>
      </c>
      <c r="AA86" s="845">
        <v>42.63</v>
      </c>
      <c r="AB86" s="793">
        <f t="shared" si="16"/>
        <v>937.86</v>
      </c>
      <c r="AC86" s="845"/>
      <c r="AD86" s="793">
        <f>'Mem.Submódulo 2.3'!AN47</f>
        <v>992.64</v>
      </c>
    </row>
    <row r="87" spans="1:35" x14ac:dyDescent="0.2">
      <c r="A87" s="1193"/>
      <c r="B87" s="931" t="s">
        <v>528</v>
      </c>
      <c r="C87" s="635"/>
      <c r="D87" s="595"/>
      <c r="E87" s="594"/>
      <c r="F87" s="937">
        <f>Dados!J49</f>
        <v>0.75</v>
      </c>
      <c r="G87" s="1230">
        <f>-F87*E86</f>
        <v>-16.5</v>
      </c>
      <c r="H87" s="1230"/>
      <c r="I87" s="937">
        <f>Dados!M49</f>
        <v>0</v>
      </c>
      <c r="J87" s="1230">
        <v>-17.38</v>
      </c>
      <c r="K87" s="1230"/>
      <c r="L87" s="937">
        <f>Dados!P49</f>
        <v>0</v>
      </c>
      <c r="M87" s="1230">
        <v>-17.38</v>
      </c>
      <c r="N87" s="1230"/>
      <c r="O87" s="1253">
        <f>Dados!S49</f>
        <v>0</v>
      </c>
      <c r="P87" s="1254"/>
      <c r="Q87" s="1230">
        <v>-17.38</v>
      </c>
      <c r="R87" s="1230"/>
      <c r="S87" s="780">
        <v>0.02</v>
      </c>
      <c r="T87" s="845">
        <f t="shared" ref="T87:T94" si="18">Q87</f>
        <v>-17.38</v>
      </c>
      <c r="U87" s="780">
        <v>0.02</v>
      </c>
      <c r="V87" s="794">
        <f t="shared" si="17"/>
        <v>-17.38</v>
      </c>
      <c r="W87" s="780">
        <v>0.02</v>
      </c>
      <c r="X87" s="794">
        <f>'Mem.Submódulo 2.3'!AE52</f>
        <v>-18.7</v>
      </c>
      <c r="Y87" s="780">
        <v>0.02</v>
      </c>
      <c r="Z87" s="793">
        <f t="shared" si="15"/>
        <v>-18.7</v>
      </c>
      <c r="AA87" s="780">
        <v>0.02</v>
      </c>
      <c r="AB87" s="793">
        <f t="shared" si="16"/>
        <v>-18.7</v>
      </c>
      <c r="AC87" s="780">
        <v>0.02</v>
      </c>
      <c r="AD87" s="793">
        <f>'Mem.Submódulo 2.3'!AN52</f>
        <v>-19.8</v>
      </c>
    </row>
    <row r="88" spans="1:35" x14ac:dyDescent="0.2">
      <c r="A88" s="925" t="s">
        <v>4</v>
      </c>
      <c r="B88" s="931" t="s">
        <v>531</v>
      </c>
      <c r="C88" s="635"/>
      <c r="D88" s="595"/>
      <c r="E88" s="594"/>
      <c r="F88" s="937">
        <f>Dados!J50</f>
        <v>140</v>
      </c>
      <c r="G88" s="1230">
        <v>140</v>
      </c>
      <c r="H88" s="1230"/>
      <c r="I88" s="937">
        <f>Dados!M50</f>
        <v>0</v>
      </c>
      <c r="J88" s="1230">
        <v>140</v>
      </c>
      <c r="K88" s="1230"/>
      <c r="L88" s="937">
        <f>Dados!P50</f>
        <v>0</v>
      </c>
      <c r="M88" s="1230">
        <v>140</v>
      </c>
      <c r="N88" s="1230"/>
      <c r="O88" s="1253">
        <f>Dados!S50</f>
        <v>0</v>
      </c>
      <c r="P88" s="1254"/>
      <c r="Q88" s="1230">
        <v>140</v>
      </c>
      <c r="R88" s="1230"/>
      <c r="S88" s="794"/>
      <c r="T88" s="845">
        <f t="shared" si="18"/>
        <v>140</v>
      </c>
      <c r="U88" s="794"/>
      <c r="V88" s="794">
        <f t="shared" si="17"/>
        <v>140</v>
      </c>
      <c r="W88" s="794"/>
      <c r="X88" s="794">
        <v>151.9</v>
      </c>
      <c r="Y88" s="794"/>
      <c r="Z88" s="793">
        <f t="shared" si="15"/>
        <v>151.9</v>
      </c>
      <c r="AA88" s="794"/>
      <c r="AB88" s="793">
        <f t="shared" si="16"/>
        <v>151.9</v>
      </c>
      <c r="AC88" s="794"/>
      <c r="AD88" s="793">
        <f t="shared" ref="AD88" si="19">AB88</f>
        <v>151.9</v>
      </c>
    </row>
    <row r="89" spans="1:35" x14ac:dyDescent="0.2">
      <c r="A89" s="925" t="s">
        <v>5</v>
      </c>
      <c r="B89" s="931" t="s">
        <v>532</v>
      </c>
      <c r="C89" s="635"/>
      <c r="D89" s="595"/>
      <c r="E89" s="594"/>
      <c r="F89" s="937">
        <f>Dados!J51</f>
        <v>14</v>
      </c>
      <c r="G89" s="1230">
        <f t="shared" ref="G89:G94" si="20">F89*$F$13</f>
        <v>14</v>
      </c>
      <c r="H89" s="1230"/>
      <c r="I89" s="937">
        <f>Dados!M51</f>
        <v>0</v>
      </c>
      <c r="J89" s="1230">
        <f>F89*$F$13</f>
        <v>14</v>
      </c>
      <c r="K89" s="1230"/>
      <c r="L89" s="937">
        <f>Dados!P51</f>
        <v>0</v>
      </c>
      <c r="M89" s="1230">
        <f>F89*$F$13</f>
        <v>14</v>
      </c>
      <c r="N89" s="1230"/>
      <c r="O89" s="1253">
        <f>Dados!S51</f>
        <v>0</v>
      </c>
      <c r="P89" s="1254"/>
      <c r="Q89" s="1230">
        <f>F89*$F$13</f>
        <v>14</v>
      </c>
      <c r="R89" s="1230"/>
      <c r="S89" s="794"/>
      <c r="T89" s="845">
        <f t="shared" si="18"/>
        <v>14</v>
      </c>
      <c r="U89" s="794"/>
      <c r="V89" s="794">
        <f t="shared" si="17"/>
        <v>14</v>
      </c>
      <c r="W89" s="794"/>
      <c r="X89" s="794">
        <v>15.19</v>
      </c>
      <c r="Y89" s="794"/>
      <c r="Z89" s="793">
        <f t="shared" si="15"/>
        <v>15.19</v>
      </c>
      <c r="AA89" s="794"/>
      <c r="AB89" s="793">
        <f t="shared" si="16"/>
        <v>15.19</v>
      </c>
      <c r="AC89" s="794"/>
      <c r="AD89" s="793">
        <v>16.07</v>
      </c>
    </row>
    <row r="90" spans="1:35" x14ac:dyDescent="0.2">
      <c r="A90" s="925" t="s">
        <v>6</v>
      </c>
      <c r="B90" s="931" t="s">
        <v>533</v>
      </c>
      <c r="C90" s="635"/>
      <c r="D90" s="595"/>
      <c r="E90" s="594"/>
      <c r="F90" s="937">
        <f>Dados!J52</f>
        <v>6.4</v>
      </c>
      <c r="G90" s="1230">
        <f t="shared" si="20"/>
        <v>6.4</v>
      </c>
      <c r="H90" s="1230"/>
      <c r="I90" s="937">
        <f>Dados!M52</f>
        <v>0</v>
      </c>
      <c r="J90" s="1232">
        <v>6.6</v>
      </c>
      <c r="K90" s="1232"/>
      <c r="L90" s="937">
        <f>Dados!P52</f>
        <v>0</v>
      </c>
      <c r="M90" s="1232">
        <v>6.6</v>
      </c>
      <c r="N90" s="1232"/>
      <c r="O90" s="1253">
        <f>Dados!S52</f>
        <v>0</v>
      </c>
      <c r="P90" s="1254"/>
      <c r="Q90" s="1232">
        <v>6.6</v>
      </c>
      <c r="R90" s="1232"/>
      <c r="S90" s="794"/>
      <c r="T90" s="845">
        <f t="shared" si="18"/>
        <v>6.6</v>
      </c>
      <c r="U90" s="794"/>
      <c r="V90" s="794">
        <f t="shared" si="17"/>
        <v>6.6</v>
      </c>
      <c r="W90" s="794"/>
      <c r="X90" s="794">
        <f>'Mem.Submódulo 2.3'!AC59</f>
        <v>7.87</v>
      </c>
      <c r="Y90" s="794"/>
      <c r="Z90" s="793">
        <f t="shared" si="15"/>
        <v>7.87</v>
      </c>
      <c r="AA90" s="794"/>
      <c r="AB90" s="793">
        <f t="shared" si="16"/>
        <v>7.87</v>
      </c>
      <c r="AC90" s="794"/>
      <c r="AD90" s="793">
        <f>'Mem.Submódulo 2.3'!AL59</f>
        <v>8.34</v>
      </c>
    </row>
    <row r="91" spans="1:35" x14ac:dyDescent="0.2">
      <c r="A91" s="925" t="s">
        <v>7</v>
      </c>
      <c r="B91" s="931" t="s">
        <v>534</v>
      </c>
      <c r="C91" s="635"/>
      <c r="D91" s="595"/>
      <c r="E91" s="594"/>
      <c r="F91" s="937">
        <f>Dados!J53</f>
        <v>9</v>
      </c>
      <c r="G91" s="1230">
        <f t="shared" si="20"/>
        <v>9</v>
      </c>
      <c r="H91" s="1230"/>
      <c r="I91" s="937">
        <f>Dados!M53</f>
        <v>0</v>
      </c>
      <c r="J91" s="1230">
        <f>F91*$F$13</f>
        <v>9</v>
      </c>
      <c r="K91" s="1230"/>
      <c r="L91" s="937">
        <f>Dados!P53</f>
        <v>0</v>
      </c>
      <c r="M91" s="1230">
        <f>F91*$F$13</f>
        <v>9</v>
      </c>
      <c r="N91" s="1230"/>
      <c r="O91" s="1253">
        <f>Dados!S53</f>
        <v>0</v>
      </c>
      <c r="P91" s="1254"/>
      <c r="Q91" s="1230">
        <f>F91*$F$13</f>
        <v>9</v>
      </c>
      <c r="R91" s="1230"/>
      <c r="S91" s="794"/>
      <c r="T91" s="845">
        <f t="shared" si="18"/>
        <v>9</v>
      </c>
      <c r="U91" s="794"/>
      <c r="V91" s="794">
        <f t="shared" si="17"/>
        <v>9</v>
      </c>
      <c r="W91" s="794"/>
      <c r="X91" s="794">
        <v>9.76</v>
      </c>
      <c r="Y91" s="794"/>
      <c r="Z91" s="793">
        <f t="shared" si="15"/>
        <v>9.76</v>
      </c>
      <c r="AA91" s="794"/>
      <c r="AB91" s="793">
        <f t="shared" si="16"/>
        <v>9.76</v>
      </c>
      <c r="AC91" s="794"/>
      <c r="AD91" s="793">
        <v>10.33</v>
      </c>
      <c r="AH91" s="847"/>
      <c r="AI91" s="847"/>
    </row>
    <row r="92" spans="1:35" ht="14.25" hidden="1" customHeight="1" x14ac:dyDescent="0.2">
      <c r="A92" s="925" t="s">
        <v>9</v>
      </c>
      <c r="B92" s="931" t="e">
        <f>HLOOKUP($F$29,#REF!,9,FALSE)</f>
        <v>#REF!</v>
      </c>
      <c r="C92" s="635"/>
      <c r="D92" s="595"/>
      <c r="E92" s="594"/>
      <c r="F92" s="937">
        <f>Dados!J54</f>
        <v>0</v>
      </c>
      <c r="G92" s="938">
        <f t="shared" si="20"/>
        <v>0</v>
      </c>
      <c r="H92" s="592"/>
      <c r="I92" s="937">
        <f>Dados!M54</f>
        <v>0</v>
      </c>
      <c r="J92" s="34"/>
      <c r="K92" s="34"/>
      <c r="L92" s="937">
        <f>Dados!P54</f>
        <v>0</v>
      </c>
      <c r="M92" s="34"/>
      <c r="N92" s="34"/>
      <c r="O92" s="937">
        <f>Dados!S54</f>
        <v>0</v>
      </c>
      <c r="P92" s="937"/>
      <c r="Q92" s="34"/>
      <c r="R92" s="34"/>
      <c r="S92" s="794"/>
      <c r="T92" s="845">
        <f t="shared" si="18"/>
        <v>0</v>
      </c>
      <c r="U92" s="794"/>
      <c r="V92" s="794">
        <v>0</v>
      </c>
      <c r="W92" s="794"/>
      <c r="X92" s="794">
        <v>0</v>
      </c>
      <c r="Y92" s="794"/>
      <c r="Z92" s="794">
        <v>0</v>
      </c>
      <c r="AA92" s="794"/>
      <c r="AB92" s="794">
        <v>0</v>
      </c>
      <c r="AC92" s="794"/>
      <c r="AD92" s="794">
        <v>0</v>
      </c>
    </row>
    <row r="93" spans="1:35" ht="14.25" hidden="1" customHeight="1" x14ac:dyDescent="0.2">
      <c r="A93" s="925" t="s">
        <v>127</v>
      </c>
      <c r="B93" s="931" t="e">
        <f>HLOOKUP($F$29,#REF!,10,FALSE)</f>
        <v>#REF!</v>
      </c>
      <c r="C93" s="635"/>
      <c r="D93" s="595"/>
      <c r="E93" s="594"/>
      <c r="F93" s="937">
        <f>Dados!J55</f>
        <v>0</v>
      </c>
      <c r="G93" s="938">
        <f t="shared" si="20"/>
        <v>0</v>
      </c>
      <c r="H93" s="592"/>
      <c r="I93" s="937">
        <f>Dados!M55</f>
        <v>0</v>
      </c>
      <c r="J93" s="34"/>
      <c r="K93" s="34"/>
      <c r="L93" s="937">
        <f>Dados!P55</f>
        <v>0</v>
      </c>
      <c r="M93" s="34"/>
      <c r="N93" s="34"/>
      <c r="O93" s="937">
        <f>Dados!S55</f>
        <v>0</v>
      </c>
      <c r="P93" s="937"/>
      <c r="Q93" s="34"/>
      <c r="R93" s="34"/>
      <c r="S93" s="794"/>
      <c r="T93" s="845">
        <f t="shared" si="18"/>
        <v>0</v>
      </c>
      <c r="U93" s="794"/>
      <c r="V93" s="794">
        <v>0</v>
      </c>
      <c r="W93" s="794"/>
      <c r="X93" s="794">
        <v>0</v>
      </c>
      <c r="Y93" s="794"/>
      <c r="Z93" s="794">
        <v>0</v>
      </c>
      <c r="AA93" s="794"/>
      <c r="AB93" s="794">
        <v>0</v>
      </c>
      <c r="AC93" s="794"/>
      <c r="AD93" s="794">
        <v>0</v>
      </c>
    </row>
    <row r="94" spans="1:35" ht="14.25" hidden="1" customHeight="1" x14ac:dyDescent="0.2">
      <c r="A94" s="925" t="s">
        <v>282</v>
      </c>
      <c r="B94" s="931" t="e">
        <f>HLOOKUP($F$29,#REF!,11,FALSE)</f>
        <v>#REF!</v>
      </c>
      <c r="C94" s="651"/>
      <c r="D94" s="652"/>
      <c r="E94" s="646"/>
      <c r="F94" s="724">
        <f>Dados!J56</f>
        <v>0</v>
      </c>
      <c r="G94" s="645">
        <f t="shared" si="20"/>
        <v>0</v>
      </c>
      <c r="H94" s="630"/>
      <c r="I94" s="724">
        <f>Dados!M56</f>
        <v>0</v>
      </c>
      <c r="J94" s="34"/>
      <c r="K94" s="34"/>
      <c r="L94" s="724">
        <f>Dados!P56</f>
        <v>0</v>
      </c>
      <c r="M94" s="34"/>
      <c r="N94" s="34"/>
      <c r="O94" s="724">
        <f>Dados!S56</f>
        <v>0</v>
      </c>
      <c r="P94" s="724"/>
      <c r="Q94" s="34"/>
      <c r="R94" s="34"/>
      <c r="S94" s="794"/>
      <c r="T94" s="845">
        <f t="shared" si="18"/>
        <v>0</v>
      </c>
      <c r="U94" s="794"/>
      <c r="V94" s="794">
        <v>0</v>
      </c>
      <c r="W94" s="794"/>
      <c r="X94" s="794">
        <v>0</v>
      </c>
      <c r="Y94" s="794"/>
      <c r="Z94" s="794">
        <v>0</v>
      </c>
      <c r="AA94" s="794"/>
      <c r="AB94" s="794">
        <v>0</v>
      </c>
      <c r="AC94" s="794"/>
      <c r="AD94" s="794">
        <v>0</v>
      </c>
    </row>
    <row r="95" spans="1:35" x14ac:dyDescent="0.2">
      <c r="A95" s="925" t="s">
        <v>8</v>
      </c>
      <c r="B95" s="635" t="s">
        <v>51</v>
      </c>
      <c r="C95" s="635"/>
      <c r="D95" s="595"/>
      <c r="E95" s="594"/>
      <c r="F95" s="937"/>
      <c r="G95" s="1238"/>
      <c r="H95" s="1238"/>
      <c r="I95" s="937"/>
      <c r="J95" s="1255"/>
      <c r="K95" s="1255"/>
      <c r="L95" s="937"/>
      <c r="M95" s="1255"/>
      <c r="N95" s="1255"/>
      <c r="O95" s="1253"/>
      <c r="P95" s="1254"/>
      <c r="Q95" s="593"/>
      <c r="R95" s="593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7"/>
    </row>
    <row r="96" spans="1:35" ht="18" customHeight="1" x14ac:dyDescent="0.2">
      <c r="A96" s="1202" t="s">
        <v>159</v>
      </c>
      <c r="B96" s="1202"/>
      <c r="C96" s="1202"/>
      <c r="D96" s="1202"/>
      <c r="E96" s="1202"/>
      <c r="F96" s="1202"/>
      <c r="G96" s="1256">
        <f>SUM(G84:G95)</f>
        <v>1088.3399999999999</v>
      </c>
      <c r="H96" s="1256"/>
      <c r="I96" s="939" t="s">
        <v>159</v>
      </c>
      <c r="J96" s="1256">
        <f>SUM(J84:J95)</f>
        <v>1123.0899999999999</v>
      </c>
      <c r="K96" s="1256"/>
      <c r="L96" s="939" t="s">
        <v>159</v>
      </c>
      <c r="M96" s="1256">
        <f>SUM(M84:M95)</f>
        <v>1123.0899999999999</v>
      </c>
      <c r="N96" s="1256"/>
      <c r="O96" s="1285" t="s">
        <v>159</v>
      </c>
      <c r="P96" s="1286"/>
      <c r="Q96" s="1256">
        <f>SUM(Q84:Q95)</f>
        <v>1123.0899999999999</v>
      </c>
      <c r="R96" s="1256"/>
      <c r="S96" s="795" t="s">
        <v>159</v>
      </c>
      <c r="T96" s="795">
        <f>SUM(T84:T95)</f>
        <v>1123.0899999999999</v>
      </c>
      <c r="U96" s="795" t="s">
        <v>159</v>
      </c>
      <c r="V96" s="795">
        <f>SUM(V84:V95)</f>
        <v>1123.0899999999999</v>
      </c>
      <c r="W96" s="795" t="s">
        <v>159</v>
      </c>
      <c r="X96" s="795">
        <f>SUM(X84:X95)</f>
        <v>1198.8599999999999</v>
      </c>
      <c r="Y96" s="795" t="s">
        <v>159</v>
      </c>
      <c r="Z96" s="795">
        <f>SUM(Z84:Z95)</f>
        <v>1198.8599999999999</v>
      </c>
      <c r="AA96" s="795" t="s">
        <v>159</v>
      </c>
      <c r="AB96" s="795">
        <f>SUM(AB84:AB95)</f>
        <v>1198.8599999999999</v>
      </c>
      <c r="AC96" s="795" t="s">
        <v>159</v>
      </c>
      <c r="AD96" s="795">
        <f>SUM(AD84:AD95)</f>
        <v>1245.8599999999999</v>
      </c>
    </row>
    <row r="97" spans="1:30" s="34" customFormat="1" ht="15" hidden="1" customHeight="1" x14ac:dyDescent="0.2">
      <c r="A97" s="931" t="s">
        <v>220</v>
      </c>
      <c r="B97" s="594"/>
      <c r="C97" s="594"/>
      <c r="D97" s="594"/>
      <c r="E97" s="594"/>
      <c r="F97" s="636"/>
      <c r="G97" s="934"/>
      <c r="H97" s="592"/>
      <c r="I97" s="639"/>
    </row>
    <row r="98" spans="1:30" s="34" customFormat="1" ht="14.25" hidden="1" customHeight="1" x14ac:dyDescent="0.2">
      <c r="A98" s="1239" t="s">
        <v>482</v>
      </c>
      <c r="B98" s="1239"/>
      <c r="C98" s="1239"/>
      <c r="D98" s="1239"/>
      <c r="E98" s="1239"/>
      <c r="F98" s="1239"/>
      <c r="G98" s="1239"/>
      <c r="H98" s="592"/>
      <c r="I98" s="639"/>
    </row>
    <row r="99" spans="1:30" s="34" customFormat="1" hidden="1" x14ac:dyDescent="0.2">
      <c r="A99" s="933"/>
      <c r="B99" s="646"/>
      <c r="C99" s="646"/>
      <c r="D99" s="646"/>
      <c r="E99" s="646"/>
      <c r="F99" s="644"/>
      <c r="G99" s="328"/>
      <c r="H99" s="630"/>
      <c r="I99" s="639"/>
    </row>
    <row r="100" spans="1:30" s="34" customFormat="1" x14ac:dyDescent="0.2">
      <c r="A100" s="1173" t="s">
        <v>225</v>
      </c>
      <c r="B100" s="1173"/>
      <c r="C100" s="1173"/>
      <c r="D100" s="1173"/>
      <c r="E100" s="1173"/>
      <c r="F100" s="1173"/>
      <c r="G100" s="1173"/>
      <c r="H100" s="1173"/>
      <c r="I100" s="1173"/>
      <c r="J100" s="1173"/>
      <c r="K100" s="1173"/>
      <c r="L100" s="1173"/>
      <c r="M100" s="1173"/>
      <c r="N100" s="1173"/>
      <c r="O100" s="1173"/>
      <c r="P100" s="1173"/>
      <c r="Q100" s="1173"/>
      <c r="R100" s="1173"/>
      <c r="S100" s="944"/>
      <c r="T100" s="944"/>
    </row>
    <row r="101" spans="1:30" s="34" customFormat="1" ht="57" customHeight="1" x14ac:dyDescent="0.2">
      <c r="A101" s="928">
        <v>2</v>
      </c>
      <c r="B101" s="1173" t="s">
        <v>226</v>
      </c>
      <c r="C101" s="1173"/>
      <c r="D101" s="1173"/>
      <c r="E101" s="1173"/>
      <c r="F101" s="1173"/>
      <c r="G101" s="1173" t="s">
        <v>107</v>
      </c>
      <c r="H101" s="1173"/>
      <c r="I101" s="924" t="s">
        <v>226</v>
      </c>
      <c r="J101" s="1173" t="s">
        <v>107</v>
      </c>
      <c r="K101" s="1173"/>
      <c r="L101" s="924" t="s">
        <v>226</v>
      </c>
      <c r="M101" s="1173" t="s">
        <v>107</v>
      </c>
      <c r="N101" s="1173"/>
      <c r="O101" s="1178" t="s">
        <v>226</v>
      </c>
      <c r="P101" s="1180"/>
      <c r="Q101" s="1173" t="s">
        <v>107</v>
      </c>
      <c r="R101" s="1173"/>
      <c r="S101" s="946"/>
      <c r="T101" s="946" t="s">
        <v>107</v>
      </c>
      <c r="U101" s="946"/>
      <c r="V101" s="946" t="s">
        <v>107</v>
      </c>
      <c r="W101" s="946"/>
      <c r="X101" s="946" t="s">
        <v>107</v>
      </c>
      <c r="Y101" s="946"/>
      <c r="Z101" s="946" t="s">
        <v>107</v>
      </c>
      <c r="AA101" s="946"/>
      <c r="AB101" s="946" t="s">
        <v>107</v>
      </c>
      <c r="AC101" s="1000"/>
      <c r="AD101" s="1000" t="s">
        <v>107</v>
      </c>
    </row>
    <row r="102" spans="1:30" s="34" customFormat="1" x14ac:dyDescent="0.2">
      <c r="A102" s="940" t="s">
        <v>211</v>
      </c>
      <c r="B102" s="931" t="str">
        <f>B48</f>
        <v>13º (décimo terceiro) Salário, Férias e Adicional de Férias</v>
      </c>
      <c r="C102" s="592"/>
      <c r="D102" s="592"/>
      <c r="E102" s="592"/>
      <c r="F102" s="296"/>
      <c r="G102" s="1231">
        <f>G51</f>
        <v>604.58000000000004</v>
      </c>
      <c r="H102" s="1231"/>
      <c r="I102" s="936"/>
      <c r="J102" s="1231">
        <f>J51</f>
        <v>622.72</v>
      </c>
      <c r="K102" s="1231"/>
      <c r="L102" s="936"/>
      <c r="M102" s="1231">
        <f>M51</f>
        <v>622.72</v>
      </c>
      <c r="N102" s="1231"/>
      <c r="O102" s="1263"/>
      <c r="P102" s="1264"/>
      <c r="Q102" s="1231">
        <f>Q51</f>
        <v>622.72</v>
      </c>
      <c r="R102" s="1231"/>
      <c r="S102" s="845"/>
      <c r="T102" s="845">
        <f>Q102</f>
        <v>622.72</v>
      </c>
      <c r="U102" s="845"/>
      <c r="V102" s="845">
        <f>V51</f>
        <v>622.72</v>
      </c>
      <c r="W102" s="845"/>
      <c r="X102" s="845">
        <f>X51</f>
        <v>675.64</v>
      </c>
      <c r="Y102" s="845"/>
      <c r="Z102" s="845">
        <f>Z51</f>
        <v>675.64</v>
      </c>
      <c r="AA102" s="845"/>
      <c r="AB102" s="845">
        <f>AB51</f>
        <v>675.64</v>
      </c>
      <c r="AC102" s="845"/>
      <c r="AD102" s="845">
        <f>AD51</f>
        <v>715.17</v>
      </c>
    </row>
    <row r="103" spans="1:30" s="34" customFormat="1" x14ac:dyDescent="0.2">
      <c r="A103" s="940" t="s">
        <v>210</v>
      </c>
      <c r="B103" s="931" t="str">
        <f>B65</f>
        <v>GPS, FGTS e outras contribuições</v>
      </c>
      <c r="C103" s="592"/>
      <c r="D103" s="592"/>
      <c r="E103" s="592"/>
      <c r="F103" s="296"/>
      <c r="G103" s="1231">
        <f>G74</f>
        <v>1253.8399999999999</v>
      </c>
      <c r="H103" s="1231"/>
      <c r="I103" s="936"/>
      <c r="J103" s="1231">
        <f>J74</f>
        <v>1294.3</v>
      </c>
      <c r="K103" s="1231"/>
      <c r="L103" s="936"/>
      <c r="M103" s="1231">
        <f>M74</f>
        <v>1294.3</v>
      </c>
      <c r="N103" s="1231"/>
      <c r="O103" s="1263"/>
      <c r="P103" s="1264"/>
      <c r="Q103" s="1231">
        <f>Q74</f>
        <v>1294.3</v>
      </c>
      <c r="R103" s="1231"/>
      <c r="S103" s="845"/>
      <c r="T103" s="845">
        <f>Q103</f>
        <v>1294.3</v>
      </c>
      <c r="U103" s="845"/>
      <c r="V103" s="845">
        <f>Q103</f>
        <v>1294.3</v>
      </c>
      <c r="W103" s="845"/>
      <c r="X103" s="845">
        <f>X74</f>
        <v>1410.87</v>
      </c>
      <c r="Y103" s="845"/>
      <c r="Z103" s="845">
        <f>Z74</f>
        <v>1410.87</v>
      </c>
      <c r="AA103" s="845"/>
      <c r="AB103" s="845">
        <f>AB74</f>
        <v>1410.87</v>
      </c>
      <c r="AC103" s="845"/>
      <c r="AD103" s="845">
        <f>AD74</f>
        <v>1520.37</v>
      </c>
    </row>
    <row r="104" spans="1:30" s="34" customFormat="1" x14ac:dyDescent="0.2">
      <c r="A104" s="940" t="s">
        <v>219</v>
      </c>
      <c r="B104" s="931" t="str">
        <f>B83</f>
        <v>Benefícios Mensais e Diários</v>
      </c>
      <c r="C104" s="592"/>
      <c r="D104" s="592"/>
      <c r="E104" s="592"/>
      <c r="F104" s="296"/>
      <c r="G104" s="1231">
        <f>G96</f>
        <v>1088.3399999999999</v>
      </c>
      <c r="H104" s="1231"/>
      <c r="I104" s="936"/>
      <c r="J104" s="1231">
        <f>J96</f>
        <v>1123.0899999999999</v>
      </c>
      <c r="K104" s="1231"/>
      <c r="L104" s="936"/>
      <c r="M104" s="1231">
        <f>M96</f>
        <v>1123.0899999999999</v>
      </c>
      <c r="N104" s="1231"/>
      <c r="O104" s="1263"/>
      <c r="P104" s="1264"/>
      <c r="Q104" s="1231">
        <f>Q96</f>
        <v>1123.0899999999999</v>
      </c>
      <c r="R104" s="1231"/>
      <c r="S104" s="879"/>
      <c r="T104" s="845">
        <f>Q104</f>
        <v>1123.0899999999999</v>
      </c>
      <c r="U104" s="879"/>
      <c r="V104" s="845">
        <f>Q104</f>
        <v>1123.0899999999999</v>
      </c>
      <c r="W104" s="879"/>
      <c r="X104" s="845">
        <f>X96</f>
        <v>1198.8599999999999</v>
      </c>
      <c r="Y104" s="879"/>
      <c r="Z104" s="845">
        <f>Z96</f>
        <v>1198.8599999999999</v>
      </c>
      <c r="AA104" s="879"/>
      <c r="AB104" s="845">
        <f>AB96</f>
        <v>1198.8599999999999</v>
      </c>
      <c r="AC104" s="879"/>
      <c r="AD104" s="845">
        <f>AD96</f>
        <v>1245.8599999999999</v>
      </c>
    </row>
    <row r="105" spans="1:30" s="34" customFormat="1" x14ac:dyDescent="0.2">
      <c r="A105" s="1172" t="s">
        <v>159</v>
      </c>
      <c r="B105" s="1172"/>
      <c r="C105" s="1172"/>
      <c r="D105" s="1172"/>
      <c r="E105" s="1172"/>
      <c r="F105" s="1172"/>
      <c r="G105" s="1229">
        <f>SUM(G102:G104)</f>
        <v>2946.76</v>
      </c>
      <c r="H105" s="1229"/>
      <c r="I105" s="935" t="s">
        <v>159</v>
      </c>
      <c r="J105" s="1229">
        <f>SUM(J102:J104)</f>
        <v>3040.11</v>
      </c>
      <c r="K105" s="1229"/>
      <c r="L105" s="935" t="s">
        <v>159</v>
      </c>
      <c r="M105" s="1229">
        <f>SUM(M102:M104)</f>
        <v>3040.11</v>
      </c>
      <c r="N105" s="1229"/>
      <c r="O105" s="1270" t="s">
        <v>159</v>
      </c>
      <c r="P105" s="1271"/>
      <c r="Q105" s="1229">
        <f>SUM(Q102:Q104)</f>
        <v>3040.11</v>
      </c>
      <c r="R105" s="1229"/>
      <c r="S105" s="880" t="s">
        <v>159</v>
      </c>
      <c r="T105" s="789">
        <f>SUM(T102:T104)</f>
        <v>3040.11</v>
      </c>
      <c r="U105" s="880" t="s">
        <v>159</v>
      </c>
      <c r="V105" s="789">
        <f>SUM(V102:V104)</f>
        <v>3040.11</v>
      </c>
      <c r="W105" s="880" t="s">
        <v>159</v>
      </c>
      <c r="X105" s="789">
        <f>SUM(X102:X104)</f>
        <v>3285.37</v>
      </c>
      <c r="Y105" s="880" t="s">
        <v>159</v>
      </c>
      <c r="Z105" s="789">
        <f>SUM(Z102:Z104)</f>
        <v>3285.37</v>
      </c>
      <c r="AA105" s="880" t="s">
        <v>159</v>
      </c>
      <c r="AB105" s="789">
        <f>SUM(AB102:AB104)</f>
        <v>3285.37</v>
      </c>
      <c r="AC105" s="880" t="s">
        <v>159</v>
      </c>
      <c r="AD105" s="789">
        <f>SUM(AD102:AD104)</f>
        <v>3481.4</v>
      </c>
    </row>
    <row r="106" spans="1:30" s="34" customFormat="1" hidden="1" x14ac:dyDescent="0.2">
      <c r="A106" s="640"/>
      <c r="B106" s="640"/>
      <c r="C106" s="640"/>
      <c r="D106" s="640"/>
      <c r="E106" s="640"/>
      <c r="F106" s="641"/>
      <c r="G106" s="642"/>
      <c r="H106" s="630"/>
      <c r="I106" s="639"/>
      <c r="L106" s="639"/>
    </row>
    <row r="107" spans="1:30" s="34" customFormat="1" ht="15" customHeight="1" x14ac:dyDescent="0.2">
      <c r="A107" s="1221" t="s">
        <v>227</v>
      </c>
      <c r="B107" s="1222"/>
      <c r="C107" s="1222"/>
      <c r="D107" s="1222"/>
      <c r="E107" s="1222"/>
      <c r="F107" s="1222"/>
      <c r="G107" s="1222"/>
      <c r="H107" s="1222"/>
      <c r="I107" s="1222"/>
      <c r="J107" s="1222"/>
      <c r="K107" s="1222"/>
      <c r="L107" s="1222"/>
      <c r="M107" s="1222"/>
      <c r="N107" s="1222"/>
      <c r="O107" s="1222"/>
      <c r="P107" s="1222"/>
      <c r="Q107" s="1222"/>
      <c r="R107" s="1223"/>
      <c r="S107" s="944"/>
      <c r="T107" s="944"/>
    </row>
    <row r="108" spans="1:30" s="34" customFormat="1" ht="28.5" customHeight="1" x14ac:dyDescent="0.2">
      <c r="A108" s="924">
        <v>3</v>
      </c>
      <c r="B108" s="1174" t="s">
        <v>84</v>
      </c>
      <c r="C108" s="1174"/>
      <c r="D108" s="1174"/>
      <c r="E108" s="1174"/>
      <c r="F108" s="924" t="s">
        <v>222</v>
      </c>
      <c r="G108" s="1173" t="s">
        <v>107</v>
      </c>
      <c r="H108" s="1173"/>
      <c r="I108" s="924" t="s">
        <v>222</v>
      </c>
      <c r="J108" s="1173" t="s">
        <v>107</v>
      </c>
      <c r="K108" s="1173"/>
      <c r="L108" s="924" t="s">
        <v>222</v>
      </c>
      <c r="M108" s="1173" t="s">
        <v>107</v>
      </c>
      <c r="N108" s="1173"/>
      <c r="O108" s="1178" t="s">
        <v>222</v>
      </c>
      <c r="P108" s="1180"/>
      <c r="Q108" s="1173" t="s">
        <v>107</v>
      </c>
      <c r="R108" s="1173"/>
      <c r="S108" s="783" t="s">
        <v>222</v>
      </c>
      <c r="T108" s="946" t="s">
        <v>107</v>
      </c>
      <c r="U108" s="783" t="s">
        <v>222</v>
      </c>
      <c r="V108" s="946" t="s">
        <v>107</v>
      </c>
      <c r="W108" s="783" t="s">
        <v>222</v>
      </c>
      <c r="X108" s="946" t="s">
        <v>107</v>
      </c>
      <c r="Y108" s="783" t="s">
        <v>222</v>
      </c>
      <c r="Z108" s="946" t="s">
        <v>107</v>
      </c>
      <c r="AA108" s="783" t="s">
        <v>222</v>
      </c>
      <c r="AB108" s="946" t="s">
        <v>107</v>
      </c>
      <c r="AC108" s="783" t="s">
        <v>222</v>
      </c>
      <c r="AD108" s="1000" t="s">
        <v>107</v>
      </c>
    </row>
    <row r="109" spans="1:30" s="34" customFormat="1" x14ac:dyDescent="0.2">
      <c r="A109" s="925" t="s">
        <v>1</v>
      </c>
      <c r="B109" s="593" t="str">
        <f>Dados!B90</f>
        <v>Aviso Prévio Indenizado </v>
      </c>
      <c r="C109" s="593"/>
      <c r="D109" s="594"/>
      <c r="E109" s="594"/>
      <c r="F109" s="308">
        <f>Dados!G90</f>
        <v>2.5000000000000001E-3</v>
      </c>
      <c r="G109" s="1238">
        <f>F109*$G$62</f>
        <v>8.64</v>
      </c>
      <c r="H109" s="1238"/>
      <c r="I109" s="308">
        <f>Dados!G90</f>
        <v>2.5000000000000001E-3</v>
      </c>
      <c r="J109" s="1238">
        <f>I109*J62</f>
        <v>8.9</v>
      </c>
      <c r="K109" s="1238"/>
      <c r="L109" s="636">
        <v>2.5000000000000001E-3</v>
      </c>
      <c r="M109" s="1238">
        <f>L109*M62</f>
        <v>8.9</v>
      </c>
      <c r="N109" s="1238"/>
      <c r="O109" s="1276">
        <v>2.5000000000000001E-3</v>
      </c>
      <c r="P109" s="1277"/>
      <c r="Q109" s="1238">
        <f>L109*M62</f>
        <v>8.9</v>
      </c>
      <c r="R109" s="1238"/>
      <c r="S109" s="803">
        <v>2.5000000000000001E-3</v>
      </c>
      <c r="T109" s="785">
        <f>T$62*S109</f>
        <v>8.9</v>
      </c>
      <c r="U109" s="803">
        <v>2.5000000000000001E-3</v>
      </c>
      <c r="V109" s="785">
        <f>U109*V62</f>
        <v>8.9</v>
      </c>
      <c r="W109" s="803">
        <v>2.5000000000000001E-3</v>
      </c>
      <c r="X109" s="785">
        <f>W109*$X$62</f>
        <v>9.65</v>
      </c>
      <c r="Y109" s="803">
        <v>2.5000000000000001E-3</v>
      </c>
      <c r="Z109" s="785">
        <f>X109</f>
        <v>9.65</v>
      </c>
      <c r="AA109" s="803">
        <v>2.5000000000000001E-3</v>
      </c>
      <c r="AB109" s="785">
        <f>Z109</f>
        <v>9.65</v>
      </c>
      <c r="AC109" s="803">
        <v>2.5000000000000001E-3</v>
      </c>
      <c r="AD109" s="785">
        <f>AC109*$AD$62</f>
        <v>10.220000000000001</v>
      </c>
    </row>
    <row r="110" spans="1:30" s="34" customFormat="1" x14ac:dyDescent="0.2">
      <c r="A110" s="925" t="s">
        <v>2</v>
      </c>
      <c r="B110" s="593" t="str">
        <f>Dados!B91</f>
        <v>Incidência do FGTS sobre aviso prévio indenizado</v>
      </c>
      <c r="C110" s="593"/>
      <c r="D110" s="594"/>
      <c r="E110" s="594"/>
      <c r="F110" s="308">
        <f>Dados!G91</f>
        <v>2.0000000000000001E-4</v>
      </c>
      <c r="G110" s="1238">
        <f t="shared" ref="G110:G115" si="21">F110*$G$62</f>
        <v>0.69</v>
      </c>
      <c r="H110" s="1238"/>
      <c r="I110" s="308">
        <f>Dados!G91</f>
        <v>2.0000000000000001E-4</v>
      </c>
      <c r="J110" s="1238">
        <f>F110*$J$62</f>
        <v>0.71</v>
      </c>
      <c r="K110" s="1238"/>
      <c r="L110" s="636">
        <v>2.0000000000000001E-4</v>
      </c>
      <c r="M110" s="1238">
        <f>I110*$J$62</f>
        <v>0.71</v>
      </c>
      <c r="N110" s="1238"/>
      <c r="O110" s="1276">
        <v>2.0000000000000001E-4</v>
      </c>
      <c r="P110" s="1277"/>
      <c r="Q110" s="1238">
        <f>L110*$J$62</f>
        <v>0.71</v>
      </c>
      <c r="R110" s="1238"/>
      <c r="S110" s="803">
        <v>2.0000000000000001E-4</v>
      </c>
      <c r="T110" s="785">
        <f t="shared" ref="T110:T115" si="22">T$62*S110</f>
        <v>0.71</v>
      </c>
      <c r="U110" s="803">
        <v>2.0000000000000001E-4</v>
      </c>
      <c r="V110" s="785">
        <f t="shared" ref="V110:V115" si="23">Q110</f>
        <v>0.71</v>
      </c>
      <c r="W110" s="803">
        <v>2.0000000000000001E-4</v>
      </c>
      <c r="X110" s="785">
        <f t="shared" ref="X110:X115" si="24">W110*$X$62</f>
        <v>0.77</v>
      </c>
      <c r="Y110" s="803">
        <v>2.0000000000000001E-4</v>
      </c>
      <c r="Z110" s="785">
        <f t="shared" ref="Z110:Z116" si="25">X110</f>
        <v>0.77</v>
      </c>
      <c r="AA110" s="803">
        <v>2.0000000000000001E-4</v>
      </c>
      <c r="AB110" s="785">
        <f t="shared" ref="AB110:AB116" si="26">Z110</f>
        <v>0.77</v>
      </c>
      <c r="AC110" s="803">
        <v>2.0000000000000001E-4</v>
      </c>
      <c r="AD110" s="785">
        <f>AC110*$AD$62</f>
        <v>0.82</v>
      </c>
    </row>
    <row r="111" spans="1:30" s="34" customFormat="1" x14ac:dyDescent="0.2">
      <c r="A111" s="925" t="s">
        <v>4</v>
      </c>
      <c r="B111" s="593" t="str">
        <f>Dados!B92</f>
        <v xml:space="preserve">Multa sobre FGTS sobre o aviso prévio indenizado </v>
      </c>
      <c r="C111" s="593"/>
      <c r="D111" s="594"/>
      <c r="E111" s="594"/>
      <c r="F111" s="354">
        <f>Dados!G92</f>
        <v>9.9999999999999995E-7</v>
      </c>
      <c r="G111" s="1238">
        <f t="shared" si="21"/>
        <v>0</v>
      </c>
      <c r="H111" s="1238"/>
      <c r="I111" s="354">
        <f>Dados!G92</f>
        <v>9.9999999999999995E-7</v>
      </c>
      <c r="J111" s="1238">
        <f>F111*$J$62</f>
        <v>0</v>
      </c>
      <c r="K111" s="1238"/>
      <c r="L111" s="721">
        <v>9.9999999999999995E-7</v>
      </c>
      <c r="M111" s="1238">
        <f>I111*$J$62</f>
        <v>0</v>
      </c>
      <c r="N111" s="1238"/>
      <c r="O111" s="1280">
        <v>9.9999999999999995E-7</v>
      </c>
      <c r="P111" s="1281"/>
      <c r="Q111" s="1238">
        <f>L111*$J$62</f>
        <v>0</v>
      </c>
      <c r="R111" s="1238"/>
      <c r="S111" s="804">
        <v>9.9999999999999995E-7</v>
      </c>
      <c r="T111" s="785">
        <f t="shared" si="22"/>
        <v>0</v>
      </c>
      <c r="U111" s="804">
        <v>9.9999999999999995E-7</v>
      </c>
      <c r="V111" s="785">
        <f t="shared" si="23"/>
        <v>0</v>
      </c>
      <c r="W111" s="804">
        <v>9.9999999999999995E-7</v>
      </c>
      <c r="X111" s="785">
        <f t="shared" si="24"/>
        <v>0</v>
      </c>
      <c r="Y111" s="804">
        <v>9.9999999999999995E-7</v>
      </c>
      <c r="Z111" s="785">
        <f t="shared" si="25"/>
        <v>0</v>
      </c>
      <c r="AA111" s="804">
        <v>9.9999999999999995E-7</v>
      </c>
      <c r="AB111" s="785">
        <f t="shared" si="26"/>
        <v>0</v>
      </c>
      <c r="AC111" s="804">
        <v>9.9999999999999995E-7</v>
      </c>
      <c r="AD111" s="785">
        <f t="shared" ref="AD111" si="27">AB111</f>
        <v>0</v>
      </c>
    </row>
    <row r="112" spans="1:30" s="34" customFormat="1" x14ac:dyDescent="0.2">
      <c r="A112" s="925" t="s">
        <v>5</v>
      </c>
      <c r="B112" s="593" t="str">
        <f>Dados!B93</f>
        <v>Aviso Prévio Trabalhado</v>
      </c>
      <c r="C112" s="593"/>
      <c r="D112" s="594"/>
      <c r="E112" s="594"/>
      <c r="F112" s="308">
        <f>Dados!G93</f>
        <v>1.9400000000000001E-2</v>
      </c>
      <c r="G112" s="1238">
        <f t="shared" si="21"/>
        <v>67.03</v>
      </c>
      <c r="H112" s="1238"/>
      <c r="I112" s="308">
        <f>Dados!G93</f>
        <v>1.9400000000000001E-2</v>
      </c>
      <c r="J112" s="1238">
        <f>F112*$J$62</f>
        <v>69.040000000000006</v>
      </c>
      <c r="K112" s="1238"/>
      <c r="L112" s="725">
        <v>1.9400000000000001E-3</v>
      </c>
      <c r="M112" s="1238">
        <f>L112*M62</f>
        <v>6.9</v>
      </c>
      <c r="N112" s="1238"/>
      <c r="O112" s="1272">
        <v>1.9400000000000001E-3</v>
      </c>
      <c r="P112" s="1273"/>
      <c r="Q112" s="1238">
        <f>L112*M62</f>
        <v>6.9</v>
      </c>
      <c r="R112" s="1238"/>
      <c r="S112" s="805">
        <v>1.9400000000000001E-3</v>
      </c>
      <c r="T112" s="785">
        <f t="shared" si="22"/>
        <v>6.9</v>
      </c>
      <c r="U112" s="805">
        <v>1.9400000000000001E-3</v>
      </c>
      <c r="V112" s="785">
        <f t="shared" si="23"/>
        <v>6.9</v>
      </c>
      <c r="W112" s="805">
        <v>1.9400000000000001E-3</v>
      </c>
      <c r="X112" s="785">
        <f t="shared" si="24"/>
        <v>7.49</v>
      </c>
      <c r="Y112" s="805">
        <v>1.9400000000000001E-3</v>
      </c>
      <c r="Z112" s="785">
        <f t="shared" si="25"/>
        <v>7.49</v>
      </c>
      <c r="AA112" s="805">
        <v>1.9400000000000001E-3</v>
      </c>
      <c r="AB112" s="785">
        <f t="shared" si="26"/>
        <v>7.49</v>
      </c>
      <c r="AC112" s="805">
        <v>1.9400000000000001E-3</v>
      </c>
      <c r="AD112" s="785">
        <f>AC112*$AD$62</f>
        <v>7.93</v>
      </c>
    </row>
    <row r="113" spans="1:30" s="34" customFormat="1" x14ac:dyDescent="0.2">
      <c r="A113" s="925" t="s">
        <v>6</v>
      </c>
      <c r="B113" s="593" t="str">
        <f>Dados!B94</f>
        <v>Incidência de GPS, FGTS e outras contribuições sobre o aviso prévio trabalhado</v>
      </c>
      <c r="C113" s="593"/>
      <c r="D113" s="594"/>
      <c r="E113" s="594"/>
      <c r="F113" s="308">
        <f>Dados!G94</f>
        <v>7.0000000000000001E-3</v>
      </c>
      <c r="G113" s="1238">
        <f t="shared" si="21"/>
        <v>24.19</v>
      </c>
      <c r="H113" s="1238"/>
      <c r="I113" s="308">
        <v>7.1000000000000004E-3</v>
      </c>
      <c r="J113" s="1238">
        <f>I113*$J$62</f>
        <v>25.27</v>
      </c>
      <c r="K113" s="1238"/>
      <c r="L113" s="636">
        <v>6.9999999999999999E-4</v>
      </c>
      <c r="M113" s="1238">
        <f>L113*M62</f>
        <v>2.4900000000000002</v>
      </c>
      <c r="N113" s="1238"/>
      <c r="O113" s="1276">
        <v>6.9999999999999999E-4</v>
      </c>
      <c r="P113" s="1277"/>
      <c r="Q113" s="1238">
        <f>L113*M62</f>
        <v>2.4900000000000002</v>
      </c>
      <c r="R113" s="1238"/>
      <c r="S113" s="803">
        <v>6.9999999999999999E-4</v>
      </c>
      <c r="T113" s="785">
        <f t="shared" si="22"/>
        <v>2.4900000000000002</v>
      </c>
      <c r="U113" s="803">
        <v>6.9999999999999999E-4</v>
      </c>
      <c r="V113" s="785">
        <f t="shared" si="23"/>
        <v>2.4900000000000002</v>
      </c>
      <c r="W113" s="803">
        <v>6.9999999999999999E-4</v>
      </c>
      <c r="X113" s="785">
        <f t="shared" si="24"/>
        <v>2.7</v>
      </c>
      <c r="Y113" s="803">
        <v>6.9999999999999999E-4</v>
      </c>
      <c r="Z113" s="785">
        <f t="shared" si="25"/>
        <v>2.7</v>
      </c>
      <c r="AA113" s="803">
        <v>6.9999999999999999E-4</v>
      </c>
      <c r="AB113" s="785">
        <f t="shared" si="26"/>
        <v>2.7</v>
      </c>
      <c r="AC113" s="803">
        <v>6.9999999999999999E-4</v>
      </c>
      <c r="AD113" s="785">
        <f>AC113*$AD$62</f>
        <v>2.86</v>
      </c>
    </row>
    <row r="114" spans="1:30" s="34" customFormat="1" x14ac:dyDescent="0.2">
      <c r="A114" s="925" t="s">
        <v>7</v>
      </c>
      <c r="B114" s="593" t="str">
        <f>Dados!B95</f>
        <v xml:space="preserve">Multa sobre FGTS sobre o aviso prévio trabalhado </v>
      </c>
      <c r="C114" s="593"/>
      <c r="D114" s="594"/>
      <c r="E114" s="594"/>
      <c r="F114" s="308">
        <f>Dados!G95</f>
        <v>1E-4</v>
      </c>
      <c r="G114" s="1238">
        <f t="shared" si="21"/>
        <v>0.35</v>
      </c>
      <c r="H114" s="1238"/>
      <c r="I114" s="308">
        <f>Dados!G95</f>
        <v>1E-4</v>
      </c>
      <c r="J114" s="1238">
        <f>F114*$J$62</f>
        <v>0.36</v>
      </c>
      <c r="K114" s="1238"/>
      <c r="L114" s="721">
        <v>7.9999999999999996E-6</v>
      </c>
      <c r="M114" s="1238">
        <f>L114*M62</f>
        <v>0.03</v>
      </c>
      <c r="N114" s="1238"/>
      <c r="O114" s="1280">
        <v>7.9999999999999996E-6</v>
      </c>
      <c r="P114" s="1281"/>
      <c r="Q114" s="1238">
        <f>L114*M62</f>
        <v>0.03</v>
      </c>
      <c r="R114" s="1238"/>
      <c r="S114" s="804">
        <v>7.9999999999999996E-6</v>
      </c>
      <c r="T114" s="785">
        <f t="shared" si="22"/>
        <v>0.03</v>
      </c>
      <c r="U114" s="804">
        <v>7.9999999999999996E-6</v>
      </c>
      <c r="V114" s="785">
        <f t="shared" si="23"/>
        <v>0.03</v>
      </c>
      <c r="W114" s="804">
        <v>7.9999999999999996E-6</v>
      </c>
      <c r="X114" s="785">
        <f t="shared" si="24"/>
        <v>0.03</v>
      </c>
      <c r="Y114" s="804">
        <v>7.9999999999999996E-6</v>
      </c>
      <c r="Z114" s="785">
        <f t="shared" si="25"/>
        <v>0.03</v>
      </c>
      <c r="AA114" s="804">
        <v>7.9999999999999996E-6</v>
      </c>
      <c r="AB114" s="785">
        <f t="shared" si="26"/>
        <v>0.03</v>
      </c>
      <c r="AC114" s="804">
        <v>7.9999999999999996E-6</v>
      </c>
      <c r="AD114" s="785">
        <f>AC114*$AD$62</f>
        <v>0.03</v>
      </c>
    </row>
    <row r="115" spans="1:30" s="34" customFormat="1" x14ac:dyDescent="0.2">
      <c r="A115" s="925" t="s">
        <v>7</v>
      </c>
      <c r="B115" s="593" t="str">
        <f>Dados!B96</f>
        <v>Multa FGTS - rescisão sem justa causa</v>
      </c>
      <c r="C115" s="593"/>
      <c r="D115" s="594"/>
      <c r="E115" s="594"/>
      <c r="F115" s="308">
        <f>Dados!G96</f>
        <v>3.49E-2</v>
      </c>
      <c r="G115" s="1238">
        <f t="shared" si="21"/>
        <v>120.58</v>
      </c>
      <c r="H115" s="1238"/>
      <c r="I115" s="308">
        <f>Dados!G96</f>
        <v>3.49E-2</v>
      </c>
      <c r="J115" s="1238">
        <f>F115*$J$62</f>
        <v>124.2</v>
      </c>
      <c r="K115" s="1238"/>
      <c r="L115" s="636">
        <v>3.49E-2</v>
      </c>
      <c r="M115" s="1238">
        <f>I115*$J$62</f>
        <v>124.2</v>
      </c>
      <c r="N115" s="1238"/>
      <c r="O115" s="1276">
        <v>3.49E-2</v>
      </c>
      <c r="P115" s="1277"/>
      <c r="Q115" s="1238">
        <f>L115*$J$62</f>
        <v>124.2</v>
      </c>
      <c r="R115" s="1238"/>
      <c r="S115" s="803">
        <v>3.49E-2</v>
      </c>
      <c r="T115" s="785">
        <f t="shared" si="22"/>
        <v>124.2</v>
      </c>
      <c r="U115" s="803">
        <v>3.49E-2</v>
      </c>
      <c r="V115" s="785">
        <f t="shared" si="23"/>
        <v>124.2</v>
      </c>
      <c r="W115" s="803">
        <v>3.49E-2</v>
      </c>
      <c r="X115" s="785">
        <f t="shared" si="24"/>
        <v>134.75</v>
      </c>
      <c r="Y115" s="803">
        <v>3.49E-2</v>
      </c>
      <c r="Z115" s="785">
        <f t="shared" si="25"/>
        <v>134.75</v>
      </c>
      <c r="AA115" s="803">
        <v>3.49E-2</v>
      </c>
      <c r="AB115" s="785">
        <f t="shared" si="26"/>
        <v>134.75</v>
      </c>
      <c r="AC115" s="803">
        <v>3.49E-2</v>
      </c>
      <c r="AD115" s="785">
        <f>AC115*$AD$62</f>
        <v>142.63999999999999</v>
      </c>
    </row>
    <row r="116" spans="1:30" s="34" customFormat="1" x14ac:dyDescent="0.2">
      <c r="A116" s="1172" t="s">
        <v>159</v>
      </c>
      <c r="B116" s="1172"/>
      <c r="C116" s="1172"/>
      <c r="D116" s="1172"/>
      <c r="E116" s="1172"/>
      <c r="F116" s="311">
        <f>SUM(F109:F115)</f>
        <v>6.4100000000000004E-2</v>
      </c>
      <c r="G116" s="1229">
        <f>SUM(G109:G115)</f>
        <v>221.48</v>
      </c>
      <c r="H116" s="1229"/>
      <c r="I116" s="311">
        <f>SUM(I109:I115)</f>
        <v>6.4199999999999993E-2</v>
      </c>
      <c r="J116" s="1229">
        <f>SUM(J109:J115)</f>
        <v>228.48</v>
      </c>
      <c r="K116" s="1229"/>
      <c r="L116" s="311">
        <f>SUM(L109:L115)</f>
        <v>4.02E-2</v>
      </c>
      <c r="M116" s="1229">
        <f>SUM(M109:M115)</f>
        <v>143.22999999999999</v>
      </c>
      <c r="N116" s="1229"/>
      <c r="O116" s="1278">
        <f t="shared" ref="O116" si="28">SUM(O109:O115)</f>
        <v>4.02E-2</v>
      </c>
      <c r="P116" s="1279"/>
      <c r="Q116" s="1229">
        <f>SUM(Q109:Q115)</f>
        <v>143.22999999999999</v>
      </c>
      <c r="R116" s="1229"/>
      <c r="S116" s="788">
        <f t="shared" ref="S116:Y116" si="29">SUM(S109:S115)</f>
        <v>4.02E-2</v>
      </c>
      <c r="T116" s="789">
        <f t="shared" si="29"/>
        <v>143.22999999999999</v>
      </c>
      <c r="U116" s="788">
        <f t="shared" si="29"/>
        <v>4.02E-2</v>
      </c>
      <c r="V116" s="789">
        <f t="shared" si="29"/>
        <v>143.22999999999999</v>
      </c>
      <c r="W116" s="788">
        <f t="shared" si="29"/>
        <v>4.02E-2</v>
      </c>
      <c r="X116" s="789">
        <f t="shared" si="29"/>
        <v>155.38999999999999</v>
      </c>
      <c r="Y116" s="788">
        <f t="shared" si="29"/>
        <v>4.02E-2</v>
      </c>
      <c r="Z116" s="785">
        <f t="shared" si="25"/>
        <v>155.38999999999999</v>
      </c>
      <c r="AA116" s="788">
        <f>SUM(AA109:AA115)</f>
        <v>4.02E-2</v>
      </c>
      <c r="AB116" s="785">
        <f t="shared" si="26"/>
        <v>155.38999999999999</v>
      </c>
      <c r="AC116" s="788">
        <f>SUM(AC109:AC115)</f>
        <v>4.02E-2</v>
      </c>
      <c r="AD116" s="785">
        <f>SUM(AD109:AD115)</f>
        <v>164.5</v>
      </c>
    </row>
    <row r="117" spans="1:30" s="34" customFormat="1" ht="14.25" hidden="1" customHeight="1" x14ac:dyDescent="0.2">
      <c r="A117" s="931" t="s">
        <v>422</v>
      </c>
      <c r="B117" s="931"/>
      <c r="C117" s="931"/>
      <c r="D117" s="931"/>
      <c r="E117" s="927"/>
      <c r="F117" s="311"/>
      <c r="G117" s="935"/>
      <c r="H117" s="592"/>
      <c r="I117" s="639"/>
    </row>
    <row r="118" spans="1:30" s="34" customFormat="1" ht="14.25" hidden="1" customHeight="1" x14ac:dyDescent="0.2">
      <c r="A118" s="931" t="s">
        <v>423</v>
      </c>
      <c r="B118" s="931"/>
      <c r="C118" s="931"/>
      <c r="D118" s="931"/>
      <c r="E118" s="927"/>
      <c r="F118" s="311"/>
      <c r="G118" s="935"/>
      <c r="H118" s="592"/>
      <c r="I118" s="639"/>
    </row>
    <row r="119" spans="1:30" s="34" customFormat="1" hidden="1" x14ac:dyDescent="0.2">
      <c r="A119" s="931" t="s">
        <v>551</v>
      </c>
      <c r="B119" s="927"/>
      <c r="C119" s="927"/>
      <c r="D119" s="927"/>
      <c r="E119" s="927"/>
      <c r="F119" s="311"/>
      <c r="G119" s="935"/>
      <c r="H119" s="592"/>
      <c r="I119" s="639"/>
    </row>
    <row r="120" spans="1:30" s="34" customFormat="1" hidden="1" x14ac:dyDescent="0.2">
      <c r="A120" s="643"/>
      <c r="B120" s="643"/>
      <c r="C120" s="643"/>
      <c r="D120" s="643"/>
      <c r="E120" s="643"/>
      <c r="F120" s="644"/>
      <c r="G120" s="645"/>
      <c r="H120" s="630"/>
      <c r="I120" s="639"/>
    </row>
    <row r="121" spans="1:30" s="34" customFormat="1" ht="14.25" customHeight="1" x14ac:dyDescent="0.2">
      <c r="A121" s="1173" t="s">
        <v>228</v>
      </c>
      <c r="B121" s="1173"/>
      <c r="C121" s="1173"/>
      <c r="D121" s="1173"/>
      <c r="E121" s="1173"/>
      <c r="F121" s="1173"/>
      <c r="G121" s="1173"/>
      <c r="H121" s="1173"/>
      <c r="I121" s="1173"/>
      <c r="J121" s="1173"/>
      <c r="K121" s="1173"/>
      <c r="L121" s="1173"/>
      <c r="M121" s="1173"/>
      <c r="N121" s="1173"/>
      <c r="O121" s="1173"/>
      <c r="P121" s="1173"/>
      <c r="Q121" s="1173"/>
      <c r="R121" s="1173"/>
      <c r="S121" s="944"/>
      <c r="T121" s="944"/>
    </row>
    <row r="122" spans="1:30" s="34" customFormat="1" ht="14.25" hidden="1" customHeight="1" x14ac:dyDescent="0.2">
      <c r="A122" s="1193" t="s">
        <v>258</v>
      </c>
      <c r="B122" s="1193"/>
      <c r="C122" s="1193"/>
      <c r="D122" s="1193"/>
      <c r="E122" s="1193"/>
      <c r="F122" s="1193"/>
      <c r="G122" s="1193"/>
      <c r="H122" s="1193"/>
      <c r="I122" s="925"/>
      <c r="J122" s="593"/>
      <c r="K122" s="593"/>
      <c r="L122" s="593"/>
      <c r="M122" s="593"/>
      <c r="N122" s="593"/>
      <c r="O122" s="593"/>
      <c r="P122" s="593"/>
      <c r="Q122" s="593"/>
      <c r="R122" s="593"/>
      <c r="S122" s="80"/>
      <c r="T122" s="80"/>
    </row>
    <row r="123" spans="1:30" s="34" customFormat="1" ht="14.25" hidden="1" customHeight="1" x14ac:dyDescent="0.2">
      <c r="A123" s="1193"/>
      <c r="B123" s="1193"/>
      <c r="C123" s="1193"/>
      <c r="D123" s="1193"/>
      <c r="E123" s="1193"/>
      <c r="F123" s="1193"/>
      <c r="G123" s="1193"/>
      <c r="H123" s="1193"/>
      <c r="I123" s="925"/>
      <c r="J123" s="593"/>
      <c r="K123" s="593"/>
      <c r="L123" s="593"/>
      <c r="M123" s="593"/>
      <c r="N123" s="593"/>
      <c r="O123" s="593"/>
      <c r="P123" s="593"/>
      <c r="Q123" s="593"/>
      <c r="R123" s="593"/>
      <c r="S123" s="80"/>
      <c r="T123" s="80"/>
    </row>
    <row r="124" spans="1:30" s="34" customFormat="1" ht="39" customHeight="1" x14ac:dyDescent="0.2">
      <c r="A124" s="1173" t="s">
        <v>259</v>
      </c>
      <c r="B124" s="1173"/>
      <c r="C124" s="1173"/>
      <c r="D124" s="1173"/>
      <c r="E124" s="1173"/>
      <c r="F124" s="1173"/>
      <c r="G124" s="1173"/>
      <c r="H124" s="1173"/>
      <c r="I124" s="1173"/>
      <c r="J124" s="1173"/>
      <c r="K124" s="1173"/>
      <c r="L124" s="1173"/>
      <c r="M124" s="1173"/>
      <c r="N124" s="1173"/>
      <c r="O124" s="1173"/>
      <c r="P124" s="1173"/>
      <c r="Q124" s="1173"/>
      <c r="R124" s="1173"/>
      <c r="S124" s="944"/>
      <c r="T124" s="944"/>
    </row>
    <row r="125" spans="1:30" s="34" customFormat="1" ht="30" customHeight="1" x14ac:dyDescent="0.2">
      <c r="A125" s="924" t="s">
        <v>42</v>
      </c>
      <c r="B125" s="1174" t="s">
        <v>269</v>
      </c>
      <c r="C125" s="1174"/>
      <c r="D125" s="1174"/>
      <c r="E125" s="1174"/>
      <c r="F125" s="924" t="s">
        <v>254</v>
      </c>
      <c r="G125" s="1173" t="s">
        <v>107</v>
      </c>
      <c r="H125" s="1173"/>
      <c r="I125" s="924" t="s">
        <v>254</v>
      </c>
      <c r="J125" s="1173" t="s">
        <v>107</v>
      </c>
      <c r="K125" s="1173"/>
      <c r="L125" s="924" t="s">
        <v>254</v>
      </c>
      <c r="M125" s="1173" t="s">
        <v>107</v>
      </c>
      <c r="N125" s="1173"/>
      <c r="O125" s="1178" t="s">
        <v>254</v>
      </c>
      <c r="P125" s="1180"/>
      <c r="Q125" s="1173" t="s">
        <v>107</v>
      </c>
      <c r="R125" s="1173"/>
      <c r="S125" s="783" t="s">
        <v>254</v>
      </c>
      <c r="T125" s="946" t="s">
        <v>107</v>
      </c>
      <c r="U125" s="783" t="s">
        <v>254</v>
      </c>
      <c r="V125" s="946" t="s">
        <v>107</v>
      </c>
      <c r="W125" s="783" t="s">
        <v>254</v>
      </c>
      <c r="X125" s="946" t="s">
        <v>107</v>
      </c>
      <c r="Y125" s="783" t="s">
        <v>254</v>
      </c>
      <c r="Z125" s="946" t="s">
        <v>107</v>
      </c>
      <c r="AA125" s="783" t="s">
        <v>254</v>
      </c>
      <c r="AB125" s="946" t="s">
        <v>107</v>
      </c>
      <c r="AC125" s="783" t="s">
        <v>254</v>
      </c>
      <c r="AD125" s="1000" t="s">
        <v>107</v>
      </c>
    </row>
    <row r="126" spans="1:30" s="34" customFormat="1" x14ac:dyDescent="0.2">
      <c r="A126" s="925" t="s">
        <v>1</v>
      </c>
      <c r="B126" s="593" t="str">
        <f>Dados!B99</f>
        <v>Substituto na cobertura de Férias</v>
      </c>
      <c r="C126" s="593"/>
      <c r="D126" s="594"/>
      <c r="E126" s="593"/>
      <c r="F126" s="308">
        <f>Dados!G99</f>
        <v>6.8999999999999999E-3</v>
      </c>
      <c r="G126" s="1238">
        <f>$G$62*F126</f>
        <v>23.84</v>
      </c>
      <c r="H126" s="1238"/>
      <c r="I126" s="308">
        <f>Dados!G99</f>
        <v>6.8999999999999999E-3</v>
      </c>
      <c r="J126" s="1238">
        <f>I126*J62</f>
        <v>24.55</v>
      </c>
      <c r="K126" s="1238"/>
      <c r="L126" s="308">
        <f>Dados!G99</f>
        <v>6.8999999999999999E-3</v>
      </c>
      <c r="M126" s="1238">
        <f>L126*M62</f>
        <v>24.55</v>
      </c>
      <c r="N126" s="1238"/>
      <c r="O126" s="1233">
        <f>Dados!G99</f>
        <v>6.8999999999999999E-3</v>
      </c>
      <c r="P126" s="1234"/>
      <c r="Q126" s="1238">
        <f>L126*M62</f>
        <v>24.55</v>
      </c>
      <c r="R126" s="1238"/>
      <c r="S126" s="784">
        <v>6.8999999999999999E-3</v>
      </c>
      <c r="T126" s="785">
        <f>S126*T$62</f>
        <v>24.55</v>
      </c>
      <c r="U126" s="784">
        <v>6.8999999999999999E-3</v>
      </c>
      <c r="V126" s="785">
        <f>Q126</f>
        <v>24.55</v>
      </c>
      <c r="W126" s="784">
        <v>6.8999999999999999E-3</v>
      </c>
      <c r="X126" s="785">
        <f>$X$62*W126</f>
        <v>26.64</v>
      </c>
      <c r="Y126" s="784">
        <v>6.8999999999999999E-3</v>
      </c>
      <c r="Z126" s="785">
        <f>X126</f>
        <v>26.64</v>
      </c>
      <c r="AA126" s="784">
        <v>6.8999999999999999E-3</v>
      </c>
      <c r="AB126" s="785">
        <f>Z126</f>
        <v>26.64</v>
      </c>
      <c r="AC126" s="784">
        <v>6.8999999999999999E-3</v>
      </c>
      <c r="AD126" s="785">
        <f>$AD$62*AC126</f>
        <v>28.2</v>
      </c>
    </row>
    <row r="127" spans="1:30" s="34" customFormat="1" x14ac:dyDescent="0.2">
      <c r="A127" s="925" t="s">
        <v>2</v>
      </c>
      <c r="B127" s="593" t="str">
        <f>Dados!B100</f>
        <v>Substituto na cobertura de Ausências Legais</v>
      </c>
      <c r="C127" s="593"/>
      <c r="D127" s="594"/>
      <c r="E127" s="593"/>
      <c r="F127" s="308">
        <f>Dados!G100</f>
        <v>1E-4</v>
      </c>
      <c r="G127" s="1238">
        <f t="shared" ref="G127:G131" si="30">$G$62*F127</f>
        <v>0.35</v>
      </c>
      <c r="H127" s="1238"/>
      <c r="I127" s="308">
        <f>Dados!G100</f>
        <v>1E-4</v>
      </c>
      <c r="J127" s="1238">
        <f>I127*J62</f>
        <v>0.36</v>
      </c>
      <c r="K127" s="1238"/>
      <c r="L127" s="308">
        <f>Dados!G100</f>
        <v>1E-4</v>
      </c>
      <c r="M127" s="1238">
        <f>L127*M62</f>
        <v>0.36</v>
      </c>
      <c r="N127" s="1238"/>
      <c r="O127" s="1233">
        <f>Dados!G100</f>
        <v>1E-4</v>
      </c>
      <c r="P127" s="1234"/>
      <c r="Q127" s="1238">
        <f>L127*M62</f>
        <v>0.36</v>
      </c>
      <c r="R127" s="1238"/>
      <c r="S127" s="786">
        <v>1E-4</v>
      </c>
      <c r="T127" s="785">
        <f t="shared" ref="T127:T131" si="31">S127*T$62</f>
        <v>0.36</v>
      </c>
      <c r="U127" s="786">
        <v>1E-4</v>
      </c>
      <c r="V127" s="785">
        <f t="shared" ref="V127:V131" si="32">Q127</f>
        <v>0.36</v>
      </c>
      <c r="W127" s="786">
        <v>1E-4</v>
      </c>
      <c r="X127" s="785">
        <f t="shared" ref="X127:X131" si="33">$X$62*W127</f>
        <v>0.39</v>
      </c>
      <c r="Y127" s="786">
        <v>1E-4</v>
      </c>
      <c r="Z127" s="785">
        <f t="shared" ref="Z127:Z142" si="34">X127</f>
        <v>0.39</v>
      </c>
      <c r="AA127" s="786">
        <v>1E-4</v>
      </c>
      <c r="AB127" s="785">
        <f t="shared" ref="AB127:AB142" si="35">Z127</f>
        <v>0.39</v>
      </c>
      <c r="AC127" s="786">
        <v>1E-4</v>
      </c>
      <c r="AD127" s="785">
        <f>$AD$62*AC127</f>
        <v>0.41</v>
      </c>
    </row>
    <row r="128" spans="1:30" s="34" customFormat="1" x14ac:dyDescent="0.2">
      <c r="A128" s="925" t="s">
        <v>4</v>
      </c>
      <c r="B128" s="593" t="str">
        <f>Dados!B101</f>
        <v>Substituto na cobertura de Licença-Paternidade</v>
      </c>
      <c r="C128" s="593"/>
      <c r="D128" s="594"/>
      <c r="E128" s="593"/>
      <c r="F128" s="308">
        <f>Dados!G101</f>
        <v>1E-4</v>
      </c>
      <c r="G128" s="1238">
        <f t="shared" si="30"/>
        <v>0.35</v>
      </c>
      <c r="H128" s="1238"/>
      <c r="I128" s="308">
        <f>Dados!G101</f>
        <v>1E-4</v>
      </c>
      <c r="J128" s="1238">
        <f>I128*J62</f>
        <v>0.36</v>
      </c>
      <c r="K128" s="1238"/>
      <c r="L128" s="308">
        <f>Dados!G101</f>
        <v>1E-4</v>
      </c>
      <c r="M128" s="1238">
        <f>L128*M62</f>
        <v>0.36</v>
      </c>
      <c r="N128" s="1238"/>
      <c r="O128" s="1233">
        <f>Dados!G101</f>
        <v>1E-4</v>
      </c>
      <c r="P128" s="1234"/>
      <c r="Q128" s="1238">
        <f>L128*M62</f>
        <v>0.36</v>
      </c>
      <c r="R128" s="1238"/>
      <c r="S128" s="786">
        <v>1E-4</v>
      </c>
      <c r="T128" s="785">
        <f t="shared" si="31"/>
        <v>0.36</v>
      </c>
      <c r="U128" s="786">
        <v>1E-4</v>
      </c>
      <c r="V128" s="785">
        <f t="shared" si="32"/>
        <v>0.36</v>
      </c>
      <c r="W128" s="786">
        <v>1E-4</v>
      </c>
      <c r="X128" s="785">
        <f t="shared" si="33"/>
        <v>0.39</v>
      </c>
      <c r="Y128" s="786">
        <v>1E-4</v>
      </c>
      <c r="Z128" s="785">
        <f t="shared" si="34"/>
        <v>0.39</v>
      </c>
      <c r="AA128" s="786">
        <v>1E-4</v>
      </c>
      <c r="AB128" s="785">
        <f t="shared" si="35"/>
        <v>0.39</v>
      </c>
      <c r="AC128" s="786">
        <v>1E-4</v>
      </c>
      <c r="AD128" s="785">
        <f>$AD$62*AC128</f>
        <v>0.41</v>
      </c>
    </row>
    <row r="129" spans="1:30" s="34" customFormat="1" x14ac:dyDescent="0.2">
      <c r="A129" s="925" t="s">
        <v>5</v>
      </c>
      <c r="B129" s="593" t="str">
        <f>Dados!B102</f>
        <v>Substituto na cobertura de Ausência por acidente de trabalho</v>
      </c>
      <c r="C129" s="593"/>
      <c r="D129" s="594"/>
      <c r="E129" s="593"/>
      <c r="F129" s="308">
        <f>Dados!G102</f>
        <v>1E-4</v>
      </c>
      <c r="G129" s="1238">
        <f t="shared" si="30"/>
        <v>0.35</v>
      </c>
      <c r="H129" s="1238"/>
      <c r="I129" s="308">
        <f>Dados!G102</f>
        <v>1E-4</v>
      </c>
      <c r="J129" s="1238">
        <f>I129*J62</f>
        <v>0.36</v>
      </c>
      <c r="K129" s="1238"/>
      <c r="L129" s="308">
        <f>Dados!G102</f>
        <v>1E-4</v>
      </c>
      <c r="M129" s="1238">
        <f>L129*M62</f>
        <v>0.36</v>
      </c>
      <c r="N129" s="1238"/>
      <c r="O129" s="1233">
        <f>Dados!G102</f>
        <v>1E-4</v>
      </c>
      <c r="P129" s="1234"/>
      <c r="Q129" s="1238">
        <f>L129*M62</f>
        <v>0.36</v>
      </c>
      <c r="R129" s="1238"/>
      <c r="S129" s="786">
        <v>1E-4</v>
      </c>
      <c r="T129" s="785">
        <f t="shared" si="31"/>
        <v>0.36</v>
      </c>
      <c r="U129" s="786">
        <v>1E-4</v>
      </c>
      <c r="V129" s="785">
        <f t="shared" si="32"/>
        <v>0.36</v>
      </c>
      <c r="W129" s="786">
        <v>1E-4</v>
      </c>
      <c r="X129" s="785">
        <f t="shared" si="33"/>
        <v>0.39</v>
      </c>
      <c r="Y129" s="786">
        <v>1E-4</v>
      </c>
      <c r="Z129" s="785">
        <f t="shared" si="34"/>
        <v>0.39</v>
      </c>
      <c r="AA129" s="786">
        <v>1E-4</v>
      </c>
      <c r="AB129" s="785">
        <f t="shared" si="35"/>
        <v>0.39</v>
      </c>
      <c r="AC129" s="786">
        <v>1E-4</v>
      </c>
      <c r="AD129" s="785">
        <f>$AD$62*AC129</f>
        <v>0.41</v>
      </c>
    </row>
    <row r="130" spans="1:30" s="34" customFormat="1" x14ac:dyDescent="0.2">
      <c r="A130" s="925" t="s">
        <v>6</v>
      </c>
      <c r="B130" s="593" t="str">
        <f>Dados!B103</f>
        <v>Substituto na cobertura de Afastamento Maternidade</v>
      </c>
      <c r="C130" s="593"/>
      <c r="D130" s="594"/>
      <c r="E130" s="593"/>
      <c r="F130" s="308">
        <f>Dados!G103</f>
        <v>1E-4</v>
      </c>
      <c r="G130" s="1238">
        <f t="shared" si="30"/>
        <v>0.35</v>
      </c>
      <c r="H130" s="1238"/>
      <c r="I130" s="308">
        <f>Dados!G103</f>
        <v>1E-4</v>
      </c>
      <c r="J130" s="1238">
        <f>I130*J62</f>
        <v>0.36</v>
      </c>
      <c r="K130" s="1238"/>
      <c r="L130" s="308">
        <f>Dados!G103</f>
        <v>1E-4</v>
      </c>
      <c r="M130" s="1238">
        <f>L130*M62</f>
        <v>0.36</v>
      </c>
      <c r="N130" s="1238"/>
      <c r="O130" s="1233">
        <f>Dados!G103</f>
        <v>1E-4</v>
      </c>
      <c r="P130" s="1234"/>
      <c r="Q130" s="1238">
        <f>L130*M62</f>
        <v>0.36</v>
      </c>
      <c r="R130" s="1238"/>
      <c r="S130" s="786">
        <v>1E-4</v>
      </c>
      <c r="T130" s="785">
        <f t="shared" si="31"/>
        <v>0.36</v>
      </c>
      <c r="U130" s="786">
        <v>1E-4</v>
      </c>
      <c r="V130" s="785">
        <f t="shared" si="32"/>
        <v>0.36</v>
      </c>
      <c r="W130" s="786">
        <v>1E-4</v>
      </c>
      <c r="X130" s="785">
        <f t="shared" si="33"/>
        <v>0.39</v>
      </c>
      <c r="Y130" s="786">
        <v>1E-4</v>
      </c>
      <c r="Z130" s="785">
        <f t="shared" si="34"/>
        <v>0.39</v>
      </c>
      <c r="AA130" s="786">
        <v>1E-4</v>
      </c>
      <c r="AB130" s="785">
        <f t="shared" si="35"/>
        <v>0.39</v>
      </c>
      <c r="AC130" s="786">
        <v>1E-4</v>
      </c>
      <c r="AD130" s="785">
        <f>$AD$62*AC130</f>
        <v>0.41</v>
      </c>
    </row>
    <row r="131" spans="1:30" s="34" customFormat="1" x14ac:dyDescent="0.2">
      <c r="A131" s="925" t="s">
        <v>7</v>
      </c>
      <c r="B131" s="593" t="str">
        <f>Dados!B104</f>
        <v>Substituto na cobertura de Outras ausências (especificar)</v>
      </c>
      <c r="C131" s="593"/>
      <c r="D131" s="594"/>
      <c r="E131" s="593"/>
      <c r="F131" s="308">
        <f>Dados!G104</f>
        <v>0</v>
      </c>
      <c r="G131" s="1238">
        <f t="shared" si="30"/>
        <v>0</v>
      </c>
      <c r="H131" s="1238"/>
      <c r="I131" s="308">
        <f>Dados!G104</f>
        <v>0</v>
      </c>
      <c r="J131" s="1238">
        <f>I131*J62</f>
        <v>0</v>
      </c>
      <c r="K131" s="1238"/>
      <c r="L131" s="308">
        <f>Dados!G104</f>
        <v>0</v>
      </c>
      <c r="M131" s="1238">
        <f>L131*M62</f>
        <v>0</v>
      </c>
      <c r="N131" s="1238"/>
      <c r="O131" s="1233">
        <f>Dados!G104</f>
        <v>0</v>
      </c>
      <c r="P131" s="1234"/>
      <c r="Q131" s="1238">
        <f>N131*Q62</f>
        <v>0</v>
      </c>
      <c r="R131" s="1238"/>
      <c r="S131" s="786">
        <v>0</v>
      </c>
      <c r="T131" s="785">
        <f t="shared" si="31"/>
        <v>0</v>
      </c>
      <c r="U131" s="786">
        <v>0</v>
      </c>
      <c r="V131" s="785">
        <f t="shared" si="32"/>
        <v>0</v>
      </c>
      <c r="W131" s="786">
        <v>0</v>
      </c>
      <c r="X131" s="785">
        <f t="shared" si="33"/>
        <v>0</v>
      </c>
      <c r="Y131" s="786">
        <v>0</v>
      </c>
      <c r="Z131" s="785">
        <f t="shared" si="34"/>
        <v>0</v>
      </c>
      <c r="AA131" s="786">
        <v>0</v>
      </c>
      <c r="AB131" s="785">
        <f t="shared" si="35"/>
        <v>0</v>
      </c>
      <c r="AC131" s="786">
        <v>0</v>
      </c>
      <c r="AD131" s="785">
        <f t="shared" ref="AD131:AD142" si="36">AB131</f>
        <v>0</v>
      </c>
    </row>
    <row r="132" spans="1:30" s="34" customFormat="1" ht="14.25" customHeight="1" x14ac:dyDescent="0.2">
      <c r="A132" s="1172" t="s">
        <v>159</v>
      </c>
      <c r="B132" s="1172"/>
      <c r="C132" s="1172"/>
      <c r="D132" s="1172"/>
      <c r="E132" s="1172"/>
      <c r="F132" s="311">
        <f>SUM(F126:F131)</f>
        <v>7.3000000000000001E-3</v>
      </c>
      <c r="G132" s="1229">
        <f>SUM(G126:G131)</f>
        <v>25.24</v>
      </c>
      <c r="H132" s="1229"/>
      <c r="I132" s="311">
        <f>SUM(I126:I131)</f>
        <v>7.3000000000000001E-3</v>
      </c>
      <c r="J132" s="1229">
        <f>SUM(J126:J131)</f>
        <v>25.99</v>
      </c>
      <c r="K132" s="1229"/>
      <c r="L132" s="311">
        <f>SUM(L126:L131)</f>
        <v>7.3000000000000001E-3</v>
      </c>
      <c r="M132" s="1229">
        <f>SUM(M126:M131)</f>
        <v>25.99</v>
      </c>
      <c r="N132" s="1229"/>
      <c r="O132" s="1278">
        <f t="shared" ref="O132" si="37">SUM(O126:O131)</f>
        <v>7.3000000000000001E-3</v>
      </c>
      <c r="P132" s="1279"/>
      <c r="Q132" s="1229">
        <f>SUM(Q126:Q131)</f>
        <v>25.99</v>
      </c>
      <c r="R132" s="1229"/>
      <c r="S132" s="788">
        <v>7.3000000000000001E-3</v>
      </c>
      <c r="T132" s="789">
        <f>SUM(T126:T131)</f>
        <v>25.99</v>
      </c>
      <c r="U132" s="788">
        <v>7.3000000000000001E-3</v>
      </c>
      <c r="V132" s="789">
        <f>SUM(V126:V131)</f>
        <v>25.99</v>
      </c>
      <c r="W132" s="788">
        <v>7.3000000000000001E-3</v>
      </c>
      <c r="X132" s="789">
        <f>SUM(X126:X131)</f>
        <v>28.2</v>
      </c>
      <c r="Y132" s="788">
        <v>7.3000000000000001E-3</v>
      </c>
      <c r="Z132" s="785">
        <f t="shared" si="34"/>
        <v>28.2</v>
      </c>
      <c r="AA132" s="788">
        <v>7.3000000000000001E-3</v>
      </c>
      <c r="AB132" s="785">
        <f t="shared" si="35"/>
        <v>28.2</v>
      </c>
      <c r="AC132" s="788">
        <v>7.3000000000000001E-3</v>
      </c>
      <c r="AD132" s="1008">
        <f>SUM(AD126:AD131)</f>
        <v>29.84</v>
      </c>
    </row>
    <row r="133" spans="1:30" s="34" customFormat="1" ht="14.25" hidden="1" customHeight="1" x14ac:dyDescent="0.2">
      <c r="A133" s="931" t="s">
        <v>424</v>
      </c>
      <c r="B133" s="931"/>
      <c r="C133" s="931"/>
      <c r="D133" s="931"/>
      <c r="E133" s="929"/>
      <c r="F133" s="929"/>
      <c r="G133" s="929"/>
      <c r="H133" s="592"/>
      <c r="I133" s="639"/>
      <c r="Z133" s="785">
        <f t="shared" si="34"/>
        <v>0</v>
      </c>
      <c r="AB133" s="785">
        <f t="shared" si="35"/>
        <v>0</v>
      </c>
      <c r="AD133" s="785">
        <f t="shared" si="36"/>
        <v>0</v>
      </c>
    </row>
    <row r="134" spans="1:30" s="34" customFormat="1" hidden="1" x14ac:dyDescent="0.2">
      <c r="A134" s="931" t="s">
        <v>551</v>
      </c>
      <c r="B134" s="929"/>
      <c r="C134" s="929"/>
      <c r="D134" s="929"/>
      <c r="E134" s="929"/>
      <c r="F134" s="929"/>
      <c r="G134" s="929"/>
      <c r="H134" s="592"/>
      <c r="I134" s="639"/>
      <c r="Z134" s="785">
        <f t="shared" si="34"/>
        <v>0</v>
      </c>
      <c r="AB134" s="785">
        <f t="shared" si="35"/>
        <v>0</v>
      </c>
      <c r="AD134" s="785">
        <f t="shared" si="36"/>
        <v>0</v>
      </c>
    </row>
    <row r="135" spans="1:30" s="34" customFormat="1" hidden="1" x14ac:dyDescent="0.2">
      <c r="A135" s="929"/>
      <c r="B135" s="929"/>
      <c r="C135" s="929"/>
      <c r="D135" s="929"/>
      <c r="E135" s="929"/>
      <c r="F135" s="929"/>
      <c r="G135" s="929"/>
      <c r="H135" s="592"/>
      <c r="I135" s="639"/>
      <c r="Z135" s="785">
        <f t="shared" si="34"/>
        <v>0</v>
      </c>
      <c r="AB135" s="785">
        <f t="shared" si="35"/>
        <v>0</v>
      </c>
      <c r="AD135" s="785">
        <f t="shared" si="36"/>
        <v>0</v>
      </c>
    </row>
    <row r="136" spans="1:30" s="34" customFormat="1" ht="14.25" hidden="1" customHeight="1" x14ac:dyDescent="0.2">
      <c r="A136" s="1173" t="s">
        <v>267</v>
      </c>
      <c r="B136" s="1173"/>
      <c r="C136" s="1173"/>
      <c r="D136" s="1173"/>
      <c r="E136" s="1173"/>
      <c r="F136" s="1173"/>
      <c r="G136" s="1173"/>
      <c r="H136" s="592"/>
      <c r="I136" s="639"/>
      <c r="Z136" s="785">
        <f t="shared" si="34"/>
        <v>0</v>
      </c>
      <c r="AB136" s="785">
        <f t="shared" si="35"/>
        <v>0</v>
      </c>
      <c r="AD136" s="785">
        <f t="shared" si="36"/>
        <v>0</v>
      </c>
    </row>
    <row r="137" spans="1:30" s="34" customFormat="1" ht="14.25" hidden="1" customHeight="1" x14ac:dyDescent="0.2">
      <c r="A137" s="924" t="s">
        <v>47</v>
      </c>
      <c r="B137" s="1174" t="s">
        <v>425</v>
      </c>
      <c r="C137" s="1174"/>
      <c r="D137" s="1174"/>
      <c r="E137" s="1174"/>
      <c r="F137" s="1174"/>
      <c r="G137" s="928" t="s">
        <v>107</v>
      </c>
      <c r="H137" s="592"/>
      <c r="I137" s="639"/>
      <c r="Z137" s="785">
        <f t="shared" si="34"/>
        <v>0</v>
      </c>
      <c r="AB137" s="785">
        <f t="shared" si="35"/>
        <v>0</v>
      </c>
      <c r="AD137" s="785">
        <f t="shared" si="36"/>
        <v>0</v>
      </c>
    </row>
    <row r="138" spans="1:30" s="34" customFormat="1" ht="14.25" hidden="1" customHeight="1" x14ac:dyDescent="0.2">
      <c r="A138" s="925" t="s">
        <v>1</v>
      </c>
      <c r="B138" s="1220" t="s">
        <v>268</v>
      </c>
      <c r="C138" s="1220"/>
      <c r="D138" s="1220"/>
      <c r="E138" s="1220"/>
      <c r="F138" s="1220"/>
      <c r="G138" s="934">
        <f>ROUND(IF(G40=0,H138,0),2)</f>
        <v>0</v>
      </c>
      <c r="H138" s="592"/>
      <c r="I138" s="639"/>
      <c r="Z138" s="785">
        <f t="shared" si="34"/>
        <v>0</v>
      </c>
      <c r="AB138" s="785">
        <f t="shared" si="35"/>
        <v>0</v>
      </c>
      <c r="AD138" s="785">
        <f t="shared" si="36"/>
        <v>0</v>
      </c>
    </row>
    <row r="139" spans="1:30" s="34" customFormat="1" ht="15.75" hidden="1" customHeight="1" x14ac:dyDescent="0.2">
      <c r="A139" s="1172" t="s">
        <v>159</v>
      </c>
      <c r="B139" s="1172"/>
      <c r="C139" s="1172"/>
      <c r="D139" s="1172"/>
      <c r="E139" s="1172"/>
      <c r="F139" s="1172"/>
      <c r="G139" s="939">
        <f>SUM(G133:G138)</f>
        <v>0</v>
      </c>
      <c r="H139" s="592"/>
      <c r="I139" s="639"/>
      <c r="Z139" s="785">
        <f t="shared" si="34"/>
        <v>0</v>
      </c>
      <c r="AB139" s="785">
        <f t="shared" si="35"/>
        <v>0</v>
      </c>
      <c r="AD139" s="785">
        <f t="shared" si="36"/>
        <v>0</v>
      </c>
    </row>
    <row r="140" spans="1:30" s="34" customFormat="1" ht="14.25" hidden="1" customHeight="1" x14ac:dyDescent="0.2">
      <c r="A140" s="1215" t="s">
        <v>229</v>
      </c>
      <c r="B140" s="1215"/>
      <c r="C140" s="1215"/>
      <c r="D140" s="1215"/>
      <c r="E140" s="1215"/>
      <c r="F140" s="1215"/>
      <c r="G140" s="1215"/>
      <c r="H140" s="592"/>
      <c r="I140" s="639"/>
      <c r="Z140" s="785">
        <f t="shared" si="34"/>
        <v>0</v>
      </c>
      <c r="AB140" s="785">
        <f t="shared" si="35"/>
        <v>0</v>
      </c>
      <c r="AD140" s="785">
        <f t="shared" si="36"/>
        <v>0</v>
      </c>
    </row>
    <row r="141" spans="1:30" s="34" customFormat="1" ht="14.25" hidden="1" customHeight="1" x14ac:dyDescent="0.2">
      <c r="A141" s="1215"/>
      <c r="B141" s="1215"/>
      <c r="C141" s="1215"/>
      <c r="D141" s="1215"/>
      <c r="E141" s="1215"/>
      <c r="F141" s="1215"/>
      <c r="G141" s="1215"/>
      <c r="H141" s="592"/>
      <c r="I141" s="639"/>
      <c r="Z141" s="785">
        <f t="shared" si="34"/>
        <v>0</v>
      </c>
      <c r="AB141" s="785">
        <f t="shared" si="35"/>
        <v>0</v>
      </c>
      <c r="AD141" s="785">
        <f t="shared" si="36"/>
        <v>0</v>
      </c>
    </row>
    <row r="142" spans="1:30" s="34" customFormat="1" hidden="1" x14ac:dyDescent="0.2">
      <c r="A142" s="640"/>
      <c r="B142" s="640"/>
      <c r="C142" s="640"/>
      <c r="D142" s="640"/>
      <c r="E142" s="640"/>
      <c r="F142" s="641"/>
      <c r="G142" s="642"/>
      <c r="H142" s="630"/>
      <c r="I142" s="639"/>
      <c r="Z142" s="785">
        <f t="shared" si="34"/>
        <v>0</v>
      </c>
      <c r="AB142" s="785">
        <f t="shared" si="35"/>
        <v>0</v>
      </c>
      <c r="AD142" s="785">
        <f t="shared" si="36"/>
        <v>0</v>
      </c>
    </row>
    <row r="143" spans="1:30" s="34" customFormat="1" ht="23.25" customHeight="1" x14ac:dyDescent="0.2">
      <c r="A143" s="1173" t="s">
        <v>231</v>
      </c>
      <c r="B143" s="1173"/>
      <c r="C143" s="1173"/>
      <c r="D143" s="1173"/>
      <c r="E143" s="1173"/>
      <c r="F143" s="1173"/>
      <c r="G143" s="1173"/>
      <c r="H143" s="1173"/>
      <c r="I143" s="1173"/>
      <c r="J143" s="1173"/>
      <c r="K143" s="1173"/>
      <c r="L143" s="1173"/>
      <c r="M143" s="1173"/>
      <c r="N143" s="1173"/>
      <c r="O143" s="1173"/>
      <c r="P143" s="1173"/>
      <c r="Q143" s="1173"/>
      <c r="R143" s="1173"/>
      <c r="S143" s="944"/>
      <c r="T143" s="944"/>
    </row>
    <row r="144" spans="1:30" s="34" customFormat="1" ht="80.25" customHeight="1" x14ac:dyDescent="0.2">
      <c r="A144" s="924">
        <v>4</v>
      </c>
      <c r="B144" s="1174" t="s">
        <v>230</v>
      </c>
      <c r="C144" s="1174"/>
      <c r="D144" s="1174"/>
      <c r="E144" s="1174"/>
      <c r="F144" s="1174"/>
      <c r="G144" s="1173" t="s">
        <v>107</v>
      </c>
      <c r="H144" s="1173"/>
      <c r="I144" s="924" t="s">
        <v>230</v>
      </c>
      <c r="J144" s="1173" t="s">
        <v>107</v>
      </c>
      <c r="K144" s="1173"/>
      <c r="L144" s="924" t="s">
        <v>230</v>
      </c>
      <c r="M144" s="1173" t="s">
        <v>107</v>
      </c>
      <c r="N144" s="1173"/>
      <c r="O144" s="1178" t="s">
        <v>230</v>
      </c>
      <c r="P144" s="1180"/>
      <c r="Q144" s="1173" t="s">
        <v>107</v>
      </c>
      <c r="R144" s="1173"/>
      <c r="S144" s="783" t="s">
        <v>230</v>
      </c>
      <c r="T144" s="946" t="s">
        <v>107</v>
      </c>
      <c r="U144" s="783" t="s">
        <v>230</v>
      </c>
      <c r="V144" s="946" t="s">
        <v>107</v>
      </c>
      <c r="W144" s="783" t="s">
        <v>230</v>
      </c>
      <c r="X144" s="946" t="s">
        <v>107</v>
      </c>
      <c r="Y144" s="783" t="s">
        <v>230</v>
      </c>
      <c r="Z144" s="946" t="s">
        <v>107</v>
      </c>
      <c r="AA144" s="783" t="s">
        <v>230</v>
      </c>
      <c r="AB144" s="946" t="s">
        <v>107</v>
      </c>
      <c r="AC144" s="783" t="s">
        <v>230</v>
      </c>
      <c r="AD144" s="1000" t="s">
        <v>107</v>
      </c>
    </row>
    <row r="145" spans="1:30" s="34" customFormat="1" x14ac:dyDescent="0.2">
      <c r="A145" s="940" t="s">
        <v>42</v>
      </c>
      <c r="B145" s="931" t="str">
        <f>B125</f>
        <v>Substituto nas Ausências Legais</v>
      </c>
      <c r="C145" s="592"/>
      <c r="D145" s="592"/>
      <c r="E145" s="592"/>
      <c r="F145" s="296"/>
      <c r="G145" s="1231">
        <f>G132</f>
        <v>25.24</v>
      </c>
      <c r="H145" s="1231"/>
      <c r="I145" s="936"/>
      <c r="J145" s="1231">
        <f>J132</f>
        <v>25.99</v>
      </c>
      <c r="K145" s="1231"/>
      <c r="L145" s="936"/>
      <c r="M145" s="1231">
        <f>M132</f>
        <v>25.99</v>
      </c>
      <c r="N145" s="1231"/>
      <c r="O145" s="1263"/>
      <c r="P145" s="1264"/>
      <c r="Q145" s="1231">
        <f>Q132</f>
        <v>25.99</v>
      </c>
      <c r="R145" s="1231"/>
      <c r="S145" s="793"/>
      <c r="T145" s="793">
        <f>T132</f>
        <v>25.99</v>
      </c>
      <c r="U145" s="793"/>
      <c r="V145" s="793">
        <f>V132</f>
        <v>25.99</v>
      </c>
      <c r="W145" s="793"/>
      <c r="X145" s="793">
        <f>X132</f>
        <v>28.2</v>
      </c>
      <c r="Y145" s="793"/>
      <c r="Z145" s="793">
        <f>Z132</f>
        <v>28.2</v>
      </c>
      <c r="AA145" s="793"/>
      <c r="AB145" s="793">
        <f>AB132</f>
        <v>28.2</v>
      </c>
      <c r="AC145" s="793"/>
      <c r="AD145" s="793">
        <f>AD132</f>
        <v>29.84</v>
      </c>
    </row>
    <row r="146" spans="1:30" s="34" customFormat="1" ht="14.25" hidden="1" customHeight="1" x14ac:dyDescent="0.2">
      <c r="A146" s="940" t="s">
        <v>47</v>
      </c>
      <c r="B146" s="931" t="str">
        <f>B137</f>
        <v>Substituto na Intrajornada</v>
      </c>
      <c r="C146" s="592"/>
      <c r="D146" s="592"/>
      <c r="E146" s="592"/>
      <c r="F146" s="296"/>
      <c r="G146" s="936">
        <f>G139</f>
        <v>0</v>
      </c>
      <c r="H146" s="592"/>
      <c r="I146" s="592"/>
      <c r="J146" s="936">
        <f>J139</f>
        <v>0</v>
      </c>
      <c r="K146" s="592"/>
      <c r="L146" s="592"/>
      <c r="S146" s="806"/>
      <c r="T146" s="35"/>
      <c r="U146" s="806"/>
      <c r="V146" s="35"/>
      <c r="W146" s="806"/>
      <c r="X146" s="35"/>
      <c r="Y146" s="806"/>
      <c r="Z146" s="35"/>
      <c r="AA146" s="806"/>
      <c r="AB146" s="35"/>
      <c r="AC146" s="806"/>
      <c r="AD146" s="35"/>
    </row>
    <row r="147" spans="1:30" s="34" customFormat="1" x14ac:dyDescent="0.2">
      <c r="A147" s="1172" t="s">
        <v>159</v>
      </c>
      <c r="B147" s="1172"/>
      <c r="C147" s="1172"/>
      <c r="D147" s="1172"/>
      <c r="E147" s="1172"/>
      <c r="F147" s="1172"/>
      <c r="G147" s="1229">
        <f>SUM(G145:G146)</f>
        <v>25.24</v>
      </c>
      <c r="H147" s="1229"/>
      <c r="I147" s="935"/>
      <c r="J147" s="1229">
        <f>SUM(J145:J146)</f>
        <v>25.99</v>
      </c>
      <c r="K147" s="1229"/>
      <c r="L147" s="935"/>
      <c r="M147" s="1229">
        <f>SUM(M145:M146)</f>
        <v>25.99</v>
      </c>
      <c r="N147" s="1229"/>
      <c r="O147" s="1270"/>
      <c r="P147" s="1271"/>
      <c r="Q147" s="1229">
        <f>SUM(Q145:Q146)</f>
        <v>25.99</v>
      </c>
      <c r="R147" s="1229"/>
      <c r="S147" s="789" t="s">
        <v>159</v>
      </c>
      <c r="T147" s="789">
        <f>T145</f>
        <v>25.99</v>
      </c>
      <c r="U147" s="789" t="s">
        <v>159</v>
      </c>
      <c r="V147" s="789">
        <f>V145</f>
        <v>25.99</v>
      </c>
      <c r="W147" s="789" t="s">
        <v>159</v>
      </c>
      <c r="X147" s="789">
        <f>X145</f>
        <v>28.2</v>
      </c>
      <c r="Y147" s="789" t="s">
        <v>159</v>
      </c>
      <c r="Z147" s="789">
        <f>Z145</f>
        <v>28.2</v>
      </c>
      <c r="AA147" s="789" t="s">
        <v>159</v>
      </c>
      <c r="AB147" s="789">
        <f>AB145</f>
        <v>28.2</v>
      </c>
      <c r="AC147" s="789" t="s">
        <v>159</v>
      </c>
      <c r="AD147" s="789">
        <f>AD145</f>
        <v>29.84</v>
      </c>
    </row>
    <row r="148" spans="1:30" s="34" customFormat="1" hidden="1" x14ac:dyDescent="0.2">
      <c r="A148" s="931"/>
      <c r="B148" s="931"/>
      <c r="C148" s="931"/>
      <c r="D148" s="931"/>
      <c r="E148" s="931"/>
      <c r="F148" s="618"/>
      <c r="G148" s="619"/>
      <c r="H148" s="592"/>
      <c r="I148" s="639"/>
      <c r="L148" s="639"/>
    </row>
    <row r="149" spans="1:30" ht="15" customHeight="1" x14ac:dyDescent="0.2">
      <c r="A149" s="1206" t="s">
        <v>233</v>
      </c>
      <c r="B149" s="1207"/>
      <c r="C149" s="1207"/>
      <c r="D149" s="1207"/>
      <c r="E149" s="1207"/>
      <c r="F149" s="1207"/>
      <c r="G149" s="1207"/>
      <c r="H149" s="1207"/>
      <c r="I149" s="1207"/>
      <c r="J149" s="1207"/>
      <c r="K149" s="1207"/>
      <c r="L149" s="1207"/>
      <c r="M149" s="1207"/>
      <c r="N149" s="1207"/>
      <c r="O149" s="1207"/>
      <c r="P149" s="1207"/>
      <c r="Q149" s="1207"/>
      <c r="R149" s="1207"/>
      <c r="S149" s="944"/>
      <c r="T149" s="944"/>
    </row>
    <row r="150" spans="1:30" ht="14.25" customHeight="1" x14ac:dyDescent="0.2">
      <c r="A150" s="924">
        <v>5</v>
      </c>
      <c r="B150" s="1174" t="s">
        <v>79</v>
      </c>
      <c r="C150" s="1174"/>
      <c r="D150" s="1174"/>
      <c r="E150" s="1174"/>
      <c r="F150" s="1174"/>
      <c r="G150" s="1173" t="s">
        <v>107</v>
      </c>
      <c r="H150" s="1173"/>
      <c r="I150" s="928" t="s">
        <v>79</v>
      </c>
      <c r="J150" s="1173" t="s">
        <v>107</v>
      </c>
      <c r="K150" s="1173"/>
      <c r="L150" s="928" t="s">
        <v>79</v>
      </c>
      <c r="M150" s="1173" t="s">
        <v>107</v>
      </c>
      <c r="N150" s="1173"/>
      <c r="O150" s="1221" t="s">
        <v>79</v>
      </c>
      <c r="P150" s="1223"/>
      <c r="Q150" s="1173" t="s">
        <v>107</v>
      </c>
      <c r="R150" s="1173"/>
      <c r="S150" s="928" t="s">
        <v>79</v>
      </c>
      <c r="T150" s="928" t="s">
        <v>107</v>
      </c>
      <c r="U150" s="928" t="s">
        <v>79</v>
      </c>
      <c r="V150" s="928" t="s">
        <v>107</v>
      </c>
      <c r="W150" s="928" t="s">
        <v>79</v>
      </c>
      <c r="X150" s="928" t="s">
        <v>107</v>
      </c>
      <c r="Y150" s="928" t="s">
        <v>79</v>
      </c>
      <c r="Z150" s="928" t="s">
        <v>107</v>
      </c>
      <c r="AA150" s="928" t="s">
        <v>79</v>
      </c>
      <c r="AB150" s="928" t="s">
        <v>107</v>
      </c>
      <c r="AC150" s="963" t="s">
        <v>79</v>
      </c>
      <c r="AD150" s="963" t="s">
        <v>107</v>
      </c>
    </row>
    <row r="151" spans="1:30" x14ac:dyDescent="0.2">
      <c r="A151" s="940" t="s">
        <v>1</v>
      </c>
      <c r="B151" s="592" t="str">
        <f>Dados!A60</f>
        <v>Uniformes</v>
      </c>
      <c r="C151" s="592"/>
      <c r="D151" s="592"/>
      <c r="E151" s="592"/>
      <c r="F151" s="937">
        <f>Dados!J61</f>
        <v>62.41</v>
      </c>
      <c r="G151" s="1231">
        <f>F151*$F$13</f>
        <v>62.41</v>
      </c>
      <c r="H151" s="1231"/>
      <c r="I151" s="936"/>
      <c r="J151" s="1231">
        <f>F151*$F$13</f>
        <v>62.41</v>
      </c>
      <c r="K151" s="1231"/>
      <c r="L151" s="936"/>
      <c r="M151" s="1231">
        <f>F151*$F$13</f>
        <v>62.41</v>
      </c>
      <c r="N151" s="1231"/>
      <c r="O151" s="1263"/>
      <c r="P151" s="1264"/>
      <c r="Q151" s="1231">
        <v>74.89</v>
      </c>
      <c r="R151" s="1231"/>
      <c r="S151" s="591"/>
      <c r="T151" s="591">
        <f>'Uniformes III TA'!H52</f>
        <v>62.41</v>
      </c>
      <c r="U151" s="591"/>
      <c r="V151" s="591">
        <f>'Uniformes III TA'!Q53</f>
        <v>68.45</v>
      </c>
      <c r="W151" s="591"/>
      <c r="X151" s="591">
        <f>'Uniformes III TA'!Q53</f>
        <v>68.45</v>
      </c>
      <c r="Y151" s="591"/>
      <c r="Z151" s="591">
        <f>'Uniformes III TA'!Y53</f>
        <v>68.45</v>
      </c>
      <c r="AA151" s="591"/>
      <c r="AB151" s="591">
        <f>'Uniformes III TA'!AH53</f>
        <v>75.33</v>
      </c>
      <c r="AC151" s="591"/>
      <c r="AD151" s="591">
        <f>'Uniformes III TA'!AH53</f>
        <v>75.33</v>
      </c>
    </row>
    <row r="152" spans="1:30" x14ac:dyDescent="0.2">
      <c r="A152" s="940" t="s">
        <v>2</v>
      </c>
      <c r="B152" s="592" t="str">
        <f>Dados!A62</f>
        <v>Materiais e Equipamentos</v>
      </c>
      <c r="C152" s="592"/>
      <c r="D152" s="592"/>
      <c r="E152" s="592"/>
      <c r="F152" s="937">
        <f>Dados!J63</f>
        <v>24.36</v>
      </c>
      <c r="G152" s="1231">
        <f>F152*$F$13</f>
        <v>24.36</v>
      </c>
      <c r="H152" s="1231"/>
      <c r="I152" s="936"/>
      <c r="J152" s="1231">
        <f>F152*$F$13</f>
        <v>24.36</v>
      </c>
      <c r="K152" s="1231"/>
      <c r="L152" s="936"/>
      <c r="M152" s="1231">
        <f>F152*$F$13</f>
        <v>24.36</v>
      </c>
      <c r="N152" s="1231"/>
      <c r="O152" s="1263"/>
      <c r="P152" s="1264"/>
      <c r="Q152" s="1231">
        <f>'Mat. e Equip. II TA'!I30</f>
        <v>26.38</v>
      </c>
      <c r="R152" s="1231"/>
      <c r="S152" s="936"/>
      <c r="T152" s="936">
        <f>'Mat. e Equip. II TA'!I30</f>
        <v>26.38</v>
      </c>
      <c r="U152" s="936"/>
      <c r="V152" s="936">
        <f>'Mat. e Equip. II TA'!S30</f>
        <v>26.71</v>
      </c>
      <c r="W152" s="936"/>
      <c r="X152" s="936">
        <f>'Mat. e Equip. II TA'!S30</f>
        <v>26.71</v>
      </c>
      <c r="Y152" s="936"/>
      <c r="Z152" s="936">
        <f>'Mat. e Equip. II TA'!AC30</f>
        <v>28.93</v>
      </c>
      <c r="AA152" s="936"/>
      <c r="AB152" s="936">
        <f>'Mat. e Equip. II TA'!AM30</f>
        <v>31.84</v>
      </c>
      <c r="AC152" s="982"/>
      <c r="AD152" s="982">
        <f>'Mat. e Equip. II TA'!AM30</f>
        <v>31.84</v>
      </c>
    </row>
    <row r="153" spans="1:30" x14ac:dyDescent="0.2">
      <c r="A153" s="940" t="s">
        <v>4</v>
      </c>
      <c r="B153" s="931" t="str">
        <f>Dados!A64</f>
        <v>Depreciação e manutenção dos equipamentos</v>
      </c>
      <c r="C153" s="592"/>
      <c r="D153" s="592"/>
      <c r="E153" s="592"/>
      <c r="F153" s="296">
        <f>Dados!I64</f>
        <v>0.1</v>
      </c>
      <c r="G153" s="1231">
        <f>G152*F153</f>
        <v>2.44</v>
      </c>
      <c r="H153" s="1231"/>
      <c r="I153" s="936"/>
      <c r="J153" s="1231">
        <f>G152*F153</f>
        <v>2.44</v>
      </c>
      <c r="K153" s="1231"/>
      <c r="L153" s="936"/>
      <c r="M153" s="1231">
        <f>G152*F153</f>
        <v>2.44</v>
      </c>
      <c r="N153" s="1231"/>
      <c r="O153" s="1263"/>
      <c r="P153" s="1264"/>
      <c r="Q153" s="1231">
        <f>Q152*10%</f>
        <v>2.64</v>
      </c>
      <c r="R153" s="1231"/>
      <c r="S153" s="936"/>
      <c r="T153" s="936">
        <f>T152*10%</f>
        <v>2.64</v>
      </c>
      <c r="U153" s="936"/>
      <c r="V153" s="936">
        <f>V152*10%</f>
        <v>2.67</v>
      </c>
      <c r="W153" s="936"/>
      <c r="X153" s="936">
        <f>X152*10%</f>
        <v>2.67</v>
      </c>
      <c r="Y153" s="936"/>
      <c r="Z153" s="936">
        <f>Z152*10%</f>
        <v>2.89</v>
      </c>
      <c r="AA153" s="936"/>
      <c r="AB153" s="936">
        <f>AB152*10%</f>
        <v>3.18</v>
      </c>
      <c r="AC153" s="982"/>
      <c r="AD153" s="982">
        <f>AD152*10%</f>
        <v>3.18</v>
      </c>
    </row>
    <row r="154" spans="1:30" x14ac:dyDescent="0.2">
      <c r="A154" s="940" t="s">
        <v>5</v>
      </c>
      <c r="B154" s="635" t="s">
        <v>51</v>
      </c>
      <c r="C154" s="635"/>
      <c r="D154" s="635"/>
      <c r="E154" s="593"/>
      <c r="F154" s="296"/>
      <c r="G154" s="1230"/>
      <c r="H154" s="1230"/>
      <c r="I154" s="938"/>
      <c r="J154" s="1230"/>
      <c r="K154" s="1230"/>
      <c r="L154" s="938"/>
      <c r="M154" s="1230"/>
      <c r="N154" s="1230"/>
      <c r="O154" s="1287"/>
      <c r="P154" s="1288"/>
      <c r="Q154" s="1230"/>
      <c r="R154" s="1230"/>
      <c r="S154" s="938"/>
      <c r="T154" s="938"/>
      <c r="U154" s="938"/>
      <c r="V154" s="938"/>
      <c r="W154" s="938"/>
      <c r="X154" s="938"/>
      <c r="Y154" s="938"/>
      <c r="Z154" s="938"/>
      <c r="AA154" s="938"/>
      <c r="AB154" s="938"/>
      <c r="AC154" s="984"/>
      <c r="AD154" s="984"/>
    </row>
    <row r="155" spans="1:30" x14ac:dyDescent="0.2">
      <c r="A155" s="1172" t="s">
        <v>159</v>
      </c>
      <c r="B155" s="1172"/>
      <c r="C155" s="1172"/>
      <c r="D155" s="1172"/>
      <c r="E155" s="1172"/>
      <c r="F155" s="1172"/>
      <c r="G155" s="1229">
        <f>SUM(G151:G154)</f>
        <v>89.21</v>
      </c>
      <c r="H155" s="1229"/>
      <c r="I155" s="935" t="s">
        <v>159</v>
      </c>
      <c r="J155" s="1229">
        <f>SUM(J151:J154)</f>
        <v>89.21</v>
      </c>
      <c r="K155" s="1229"/>
      <c r="L155" s="935" t="s">
        <v>159</v>
      </c>
      <c r="M155" s="1229">
        <f>SUM(M151:M154)</f>
        <v>89.21</v>
      </c>
      <c r="N155" s="1229"/>
      <c r="O155" s="1270" t="s">
        <v>159</v>
      </c>
      <c r="P155" s="1271"/>
      <c r="Q155" s="1229">
        <f>SUM(Q151:Q154)</f>
        <v>103.91</v>
      </c>
      <c r="R155" s="1229"/>
      <c r="S155" s="935" t="s">
        <v>159</v>
      </c>
      <c r="T155" s="935">
        <f>SUM(T151:T154)</f>
        <v>91.43</v>
      </c>
      <c r="U155" s="935" t="s">
        <v>159</v>
      </c>
      <c r="V155" s="935">
        <f>SUM(V151:V154)</f>
        <v>97.83</v>
      </c>
      <c r="W155" s="935" t="s">
        <v>159</v>
      </c>
      <c r="X155" s="935">
        <f>SUM(X151:X154)</f>
        <v>97.83</v>
      </c>
      <c r="Y155" s="935" t="s">
        <v>159</v>
      </c>
      <c r="Z155" s="935">
        <f>SUM(Z151:Z154)</f>
        <v>100.27</v>
      </c>
      <c r="AA155" s="935" t="s">
        <v>159</v>
      </c>
      <c r="AB155" s="935">
        <f>SUM(AB151:AB154)</f>
        <v>110.35</v>
      </c>
      <c r="AC155" s="981" t="s">
        <v>159</v>
      </c>
      <c r="AD155" s="981">
        <f>SUM(AD151:AD154)</f>
        <v>110.35</v>
      </c>
    </row>
    <row r="156" spans="1:30" s="34" customFormat="1" hidden="1" x14ac:dyDescent="0.2">
      <c r="A156" s="931" t="s">
        <v>234</v>
      </c>
      <c r="B156" s="594"/>
      <c r="C156" s="594"/>
      <c r="D156" s="594"/>
      <c r="E156" s="594"/>
      <c r="F156" s="636"/>
      <c r="G156" s="934" t="s">
        <v>0</v>
      </c>
      <c r="H156" s="592"/>
      <c r="I156" s="639"/>
      <c r="L156" s="639"/>
    </row>
    <row r="157" spans="1:30" s="34" customFormat="1" hidden="1" x14ac:dyDescent="0.2">
      <c r="A157" s="933"/>
      <c r="B157" s="646"/>
      <c r="C157" s="646"/>
      <c r="D157" s="646"/>
      <c r="E157" s="646"/>
      <c r="F157" s="644"/>
      <c r="G157" s="328"/>
      <c r="H157" s="630"/>
      <c r="I157" s="639"/>
      <c r="L157" s="639"/>
    </row>
    <row r="158" spans="1:30" ht="15" customHeight="1" x14ac:dyDescent="0.2">
      <c r="A158" s="1173" t="s">
        <v>237</v>
      </c>
      <c r="B158" s="1173"/>
      <c r="C158" s="1173"/>
      <c r="D158" s="1173"/>
      <c r="E158" s="1173"/>
      <c r="F158" s="1173"/>
      <c r="G158" s="1173"/>
      <c r="H158" s="1173"/>
      <c r="I158" s="1173"/>
      <c r="J158" s="1173"/>
      <c r="K158" s="1173"/>
      <c r="L158" s="1173"/>
      <c r="M158" s="1173"/>
      <c r="N158" s="1173"/>
      <c r="O158" s="1173"/>
      <c r="P158" s="1173"/>
      <c r="Q158" s="1173"/>
      <c r="R158" s="1173"/>
      <c r="S158" s="944"/>
      <c r="T158" s="944"/>
    </row>
    <row r="159" spans="1:30" ht="28.5" customHeight="1" x14ac:dyDescent="0.2">
      <c r="A159" s="924">
        <v>6</v>
      </c>
      <c r="B159" s="1174" t="s">
        <v>23</v>
      </c>
      <c r="C159" s="1174"/>
      <c r="D159" s="1174"/>
      <c r="E159" s="1174"/>
      <c r="F159" s="924" t="s">
        <v>222</v>
      </c>
      <c r="G159" s="1173" t="s">
        <v>107</v>
      </c>
      <c r="H159" s="1173"/>
      <c r="I159" s="924" t="s">
        <v>222</v>
      </c>
      <c r="J159" s="1173" t="s">
        <v>107</v>
      </c>
      <c r="K159" s="1173"/>
      <c r="L159" s="924" t="s">
        <v>222</v>
      </c>
      <c r="M159" s="1173" t="s">
        <v>107</v>
      </c>
      <c r="N159" s="1173"/>
      <c r="O159" s="1178" t="s">
        <v>222</v>
      </c>
      <c r="P159" s="1180"/>
      <c r="Q159" s="1173" t="s">
        <v>107</v>
      </c>
      <c r="R159" s="1173"/>
      <c r="S159" s="924" t="s">
        <v>222</v>
      </c>
      <c r="T159" s="928" t="s">
        <v>107</v>
      </c>
      <c r="U159" s="924" t="s">
        <v>222</v>
      </c>
      <c r="V159" s="928" t="s">
        <v>107</v>
      </c>
      <c r="W159" s="924" t="s">
        <v>222</v>
      </c>
      <c r="X159" s="928" t="s">
        <v>107</v>
      </c>
      <c r="Y159" s="924" t="s">
        <v>222</v>
      </c>
      <c r="Z159" s="928" t="s">
        <v>107</v>
      </c>
      <c r="AA159" s="924" t="s">
        <v>222</v>
      </c>
      <c r="AB159" s="928" t="s">
        <v>107</v>
      </c>
      <c r="AC159" s="962" t="s">
        <v>222</v>
      </c>
      <c r="AD159" s="963" t="s">
        <v>107</v>
      </c>
    </row>
    <row r="160" spans="1:30" ht="14.25" customHeight="1" x14ac:dyDescent="0.2">
      <c r="A160" s="925" t="s">
        <v>1</v>
      </c>
      <c r="B160" s="594" t="s">
        <v>24</v>
      </c>
      <c r="C160" s="594"/>
      <c r="D160" s="594"/>
      <c r="E160" s="594"/>
      <c r="F160" s="308">
        <f>Dados!J67</f>
        <v>0.01</v>
      </c>
      <c r="G160" s="1232">
        <f>$G$180*F160</f>
        <v>61.33</v>
      </c>
      <c r="H160" s="1232"/>
      <c r="I160" s="308">
        <f>Dados!J67</f>
        <v>0.01</v>
      </c>
      <c r="J160" s="1232">
        <f>I160*J180</f>
        <v>63.2</v>
      </c>
      <c r="K160" s="1232"/>
      <c r="L160" s="308">
        <f>Dados!J67</f>
        <v>0.01</v>
      </c>
      <c r="M160" s="1232">
        <f>L160*M180</f>
        <v>62.35</v>
      </c>
      <c r="N160" s="1232"/>
      <c r="O160" s="1233">
        <f>Dados!J67</f>
        <v>0.01</v>
      </c>
      <c r="P160" s="1234"/>
      <c r="Q160" s="1282">
        <f>O160*Q180</f>
        <v>62.49</v>
      </c>
      <c r="R160" s="1232"/>
      <c r="S160" s="599">
        <v>0.01</v>
      </c>
      <c r="T160" s="809">
        <f>$T$180*S160</f>
        <v>62.37</v>
      </c>
      <c r="U160" s="599">
        <v>0.01</v>
      </c>
      <c r="V160" s="809">
        <f>$V$180*U160</f>
        <v>62.43</v>
      </c>
      <c r="W160" s="599">
        <v>0.01</v>
      </c>
      <c r="X160" s="809">
        <f>$X$180*W160</f>
        <v>67.52</v>
      </c>
      <c r="Y160" s="599">
        <v>0.01</v>
      </c>
      <c r="Z160" s="809">
        <f>$Z$180*Y160</f>
        <v>67.55</v>
      </c>
      <c r="AA160" s="599">
        <v>0.01</v>
      </c>
      <c r="AB160" s="809">
        <f>$AB$180*AA160</f>
        <v>67.650000000000006</v>
      </c>
      <c r="AC160" s="599">
        <v>0.01</v>
      </c>
      <c r="AD160" s="809">
        <f>$AD$180*AC160</f>
        <v>71.58</v>
      </c>
    </row>
    <row r="161" spans="1:30" ht="14.25" customHeight="1" x14ac:dyDescent="0.2">
      <c r="A161" s="925" t="s">
        <v>2</v>
      </c>
      <c r="B161" s="594" t="s">
        <v>18</v>
      </c>
      <c r="C161" s="594"/>
      <c r="D161" s="594"/>
      <c r="E161" s="594"/>
      <c r="F161" s="308">
        <f>Dados!J68</f>
        <v>0.01</v>
      </c>
      <c r="G161" s="1232">
        <f>($G$180+$G$160)*F161</f>
        <v>61.94</v>
      </c>
      <c r="H161" s="1232"/>
      <c r="I161" s="308">
        <f>Dados!J68</f>
        <v>0.01</v>
      </c>
      <c r="J161" s="1232">
        <f>($J$180+$J$160)*I161</f>
        <v>63.83</v>
      </c>
      <c r="K161" s="1232"/>
      <c r="L161" s="308">
        <f>Dados!J68</f>
        <v>0.01</v>
      </c>
      <c r="M161" s="1232">
        <f>($M$180+$M$160)*L161</f>
        <v>62.97</v>
      </c>
      <c r="N161" s="1232"/>
      <c r="O161" s="1233">
        <f>Dados!J68</f>
        <v>0.01</v>
      </c>
      <c r="P161" s="1234"/>
      <c r="Q161" s="1232">
        <f>($Q$180+$Q$160)*O161</f>
        <v>63.12</v>
      </c>
      <c r="R161" s="1232"/>
      <c r="S161" s="308">
        <v>0.01</v>
      </c>
      <c r="T161" s="937">
        <f>($T$180+$T$160)*S161</f>
        <v>62.99</v>
      </c>
      <c r="U161" s="308">
        <v>0.01</v>
      </c>
      <c r="V161" s="937">
        <f>($V$180+$V$160)*U161</f>
        <v>63.06</v>
      </c>
      <c r="W161" s="308">
        <v>0.01</v>
      </c>
      <c r="X161" s="937">
        <f>($X$180+$X$160)*W161</f>
        <v>68.2</v>
      </c>
      <c r="Y161" s="308">
        <v>0.01</v>
      </c>
      <c r="Z161" s="937">
        <f>($X$180+$X$160)*Y161</f>
        <v>68.2</v>
      </c>
      <c r="AA161" s="308">
        <v>0.01</v>
      </c>
      <c r="AB161" s="937">
        <f>($AB$180+$AB$160)*AA161</f>
        <v>68.319999999999993</v>
      </c>
      <c r="AC161" s="308">
        <v>0.01</v>
      </c>
      <c r="AD161" s="983">
        <f>($AD$180+$AD$160)*AC161</f>
        <v>72.3</v>
      </c>
    </row>
    <row r="162" spans="1:30" ht="14.25" customHeight="1" x14ac:dyDescent="0.2">
      <c r="A162" s="925" t="s">
        <v>4</v>
      </c>
      <c r="B162" s="594" t="s">
        <v>426</v>
      </c>
      <c r="C162" s="594"/>
      <c r="D162" s="594"/>
      <c r="E162" s="594"/>
      <c r="F162" s="308"/>
      <c r="G162" s="1232">
        <f>SUM(G160:G161)</f>
        <v>123.27</v>
      </c>
      <c r="H162" s="1232"/>
      <c r="I162" s="308"/>
      <c r="J162" s="1232">
        <f>SUM(J160:J161)</f>
        <v>127.03</v>
      </c>
      <c r="K162" s="1232"/>
      <c r="L162" s="308"/>
      <c r="M162" s="1232">
        <f>SUM(M160:M161)</f>
        <v>125.32</v>
      </c>
      <c r="N162" s="1232"/>
      <c r="O162" s="1233"/>
      <c r="P162" s="1234"/>
      <c r="Q162" s="1232"/>
      <c r="R162" s="1232"/>
      <c r="S162" s="308"/>
      <c r="T162" s="937"/>
      <c r="U162" s="308"/>
      <c r="V162" s="937"/>
      <c r="W162" s="308"/>
      <c r="X162" s="937"/>
      <c r="Y162" s="308"/>
      <c r="Z162" s="937"/>
      <c r="AA162" s="308"/>
      <c r="AB162" s="937"/>
      <c r="AC162" s="308"/>
      <c r="AD162" s="983"/>
    </row>
    <row r="163" spans="1:30" ht="14.25" customHeight="1" x14ac:dyDescent="0.2">
      <c r="A163" s="925" t="s">
        <v>271</v>
      </c>
      <c r="B163" s="593" t="s">
        <v>427</v>
      </c>
      <c r="C163" s="593"/>
      <c r="D163" s="594"/>
      <c r="E163" s="593"/>
      <c r="F163" s="309">
        <f>Dados!F72</f>
        <v>6.4999999999999997E-3</v>
      </c>
      <c r="G163" s="1232">
        <f>(($G$180+$G$160+$G$161)/Dados!$H$72)*F163</f>
        <v>44.52</v>
      </c>
      <c r="H163" s="1232"/>
      <c r="I163" s="309">
        <f>Dados!F72</f>
        <v>6.4999999999999997E-3</v>
      </c>
      <c r="J163" s="1232">
        <f>(($J$180+$J$160+$J$161)/Dados!$H$72)*I163</f>
        <v>45.87</v>
      </c>
      <c r="K163" s="1232"/>
      <c r="L163" s="309">
        <f>Dados!F72</f>
        <v>6.4999999999999997E-3</v>
      </c>
      <c r="M163" s="1232">
        <f>(($M$180+$M$160+$M$161)/Dados!$H$72)*L163</f>
        <v>45.25</v>
      </c>
      <c r="N163" s="1232"/>
      <c r="O163" s="1283">
        <f>Dados!F72</f>
        <v>6.4999999999999997E-3</v>
      </c>
      <c r="P163" s="1284"/>
      <c r="Q163" s="1232">
        <f>(($Q$180+$Q$160+$Q$161)/Dados!$H$72)*O163</f>
        <v>45.36</v>
      </c>
      <c r="R163" s="1232"/>
      <c r="S163" s="309">
        <v>6.4999999999999997E-3</v>
      </c>
      <c r="T163" s="310">
        <f>(($T$180+$T$160+$T$161)/Dados!$H$72)*S163</f>
        <v>45.27</v>
      </c>
      <c r="U163" s="309">
        <v>6.4999999999999997E-3</v>
      </c>
      <c r="V163" s="310">
        <f>(($V$180+$V$160+$V$161)/Dados!$H$72)*U163</f>
        <v>45.32</v>
      </c>
      <c r="W163" s="309">
        <v>6.4999999999999997E-3</v>
      </c>
      <c r="X163" s="310">
        <f>(($X$180+$X$160+$X$161)/Dados!$H$72)*W163</f>
        <v>49.01</v>
      </c>
      <c r="Y163" s="309">
        <v>6.4999999999999997E-3</v>
      </c>
      <c r="Z163" s="310">
        <f>(($Z$180+$Z$160+$Z$161)/Dados!$H$72)*Y163</f>
        <v>49.03</v>
      </c>
      <c r="AA163" s="309">
        <v>6.4999999999999997E-3</v>
      </c>
      <c r="AB163" s="310">
        <f>(($AB$180+$AB$160+$AB$161)/Dados!$H$72)*AA163</f>
        <v>49.1</v>
      </c>
      <c r="AC163" s="309">
        <v>6.4999999999999997E-3</v>
      </c>
      <c r="AD163" s="1009">
        <f>(($AD$180+$AD$160+$AD$161)/Dados!$H$72)*AC163</f>
        <v>51.96</v>
      </c>
    </row>
    <row r="164" spans="1:30" ht="14.25" customHeight="1" x14ac:dyDescent="0.2">
      <c r="A164" s="925" t="s">
        <v>272</v>
      </c>
      <c r="B164" s="593" t="s">
        <v>484</v>
      </c>
      <c r="C164" s="593"/>
      <c r="D164" s="594"/>
      <c r="E164" s="594"/>
      <c r="F164" s="309">
        <f>Dados!E72</f>
        <v>0.03</v>
      </c>
      <c r="G164" s="1232">
        <f>(($G$180+$G$160+$G$161)/Dados!$H$72)*F164</f>
        <v>205.47</v>
      </c>
      <c r="H164" s="1232"/>
      <c r="I164" s="309">
        <f>Dados!E72</f>
        <v>0.03</v>
      </c>
      <c r="J164" s="1232">
        <f>(($J$180+$J$160+$J$161)/Dados!$H$72)*I164</f>
        <v>211.72</v>
      </c>
      <c r="K164" s="1232"/>
      <c r="L164" s="309">
        <f>Dados!E72</f>
        <v>0.03</v>
      </c>
      <c r="M164" s="1232">
        <f>(($M$180+$M$160+$M$161)/Dados!$H$72)*L164</f>
        <v>208.86</v>
      </c>
      <c r="N164" s="1232"/>
      <c r="O164" s="1283">
        <f>Dados!E72</f>
        <v>0.03</v>
      </c>
      <c r="P164" s="1284"/>
      <c r="Q164" s="1232">
        <f>(($Q$180+$Q$160+$Q$161)/Dados!$H$72)*O164</f>
        <v>209.35</v>
      </c>
      <c r="R164" s="1232"/>
      <c r="S164" s="309">
        <v>0.03</v>
      </c>
      <c r="T164" s="310">
        <f>(($T$180+$T$160+$T$161)/Dados!$H$72)*S164</f>
        <v>208.94</v>
      </c>
      <c r="U164" s="309">
        <v>0.03</v>
      </c>
      <c r="V164" s="310">
        <f>(($V$180+$V$160+$V$161)/Dados!$H$72)*U164</f>
        <v>209.15</v>
      </c>
      <c r="W164" s="309">
        <v>0.03</v>
      </c>
      <c r="X164" s="310">
        <f>(($X$180+$X$160+$X$161)/Dados!$H$72)*W164</f>
        <v>226.21</v>
      </c>
      <c r="Y164" s="309">
        <v>0.03</v>
      </c>
      <c r="Z164" s="310">
        <f>(($Z$180+$Z$160+$Z$161)/Dados!$H$72)*Y164</f>
        <v>226.29</v>
      </c>
      <c r="AA164" s="309">
        <v>0.03</v>
      </c>
      <c r="AB164" s="310">
        <f>(($AB$180+$AB$160+$AB$161)/Dados!$H$72)*AA164</f>
        <v>226.63</v>
      </c>
      <c r="AC164" s="309">
        <v>0.03</v>
      </c>
      <c r="AD164" s="310">
        <f>(($AD$180+$AD$160+$AD$161)/Dados!$H$72)*AC164</f>
        <v>239.8</v>
      </c>
    </row>
    <row r="165" spans="1:30" ht="14.25" customHeight="1" x14ac:dyDescent="0.2">
      <c r="A165" s="925" t="s">
        <v>428</v>
      </c>
      <c r="B165" s="593" t="s">
        <v>486</v>
      </c>
      <c r="C165" s="593"/>
      <c r="D165" s="594"/>
      <c r="E165" s="594"/>
      <c r="F165" s="309">
        <f>Dados!C72</f>
        <v>0.05</v>
      </c>
      <c r="G165" s="1232">
        <f>(($G$180+$G$160+$G$161)/Dados!$H$72)*F165</f>
        <v>342.44</v>
      </c>
      <c r="H165" s="1232"/>
      <c r="I165" s="309">
        <f>Dados!C72</f>
        <v>0.05</v>
      </c>
      <c r="J165" s="1232">
        <f>(($J$180+$J$160+$J$161)/Dados!$H$72)*I165</f>
        <v>352.86</v>
      </c>
      <c r="K165" s="1232"/>
      <c r="L165" s="309">
        <f>Dados!C72</f>
        <v>0.05</v>
      </c>
      <c r="M165" s="1232">
        <f>(($M$180+$M$160+$M$161)/Dados!$H$72)*L165</f>
        <v>348.1</v>
      </c>
      <c r="N165" s="1232"/>
      <c r="O165" s="1283">
        <f>Dados!C72</f>
        <v>0.05</v>
      </c>
      <c r="P165" s="1284"/>
      <c r="Q165" s="1232">
        <f>(($Q$180+$Q$160+$Q$161)/Dados!$H$72)*O165</f>
        <v>348.92</v>
      </c>
      <c r="R165" s="1232"/>
      <c r="S165" s="309">
        <v>0.05</v>
      </c>
      <c r="T165" s="310">
        <f>(($T$180+$T$160+$T$161)/Dados!$H$72)*S165</f>
        <v>348.23</v>
      </c>
      <c r="U165" s="309">
        <v>0.05</v>
      </c>
      <c r="V165" s="310">
        <f>(($V$180+$V$160+$V$161)/Dados!$H$72)*U165</f>
        <v>348.58</v>
      </c>
      <c r="W165" s="309">
        <v>0.05</v>
      </c>
      <c r="X165" s="310">
        <f>(($X$180+$X$160+$X$161)/Dados!$H$72)*W165</f>
        <v>377.01</v>
      </c>
      <c r="Y165" s="309">
        <v>0.05</v>
      </c>
      <c r="Z165" s="310">
        <f>(($Z$180+$Z$160+$Z$161)/Dados!$H$72)*Y165</f>
        <v>377.15</v>
      </c>
      <c r="AA165" s="309">
        <v>0.05</v>
      </c>
      <c r="AB165" s="310">
        <f>(($AB$180+$AB$160+$AB$161)/Dados!$H$72)*AA165</f>
        <v>377.71</v>
      </c>
      <c r="AC165" s="309">
        <v>0.05</v>
      </c>
      <c r="AD165" s="310">
        <f>(($AD$180+$AD$160+$AD$161)/Dados!$H$72)*AC165</f>
        <v>399.66</v>
      </c>
    </row>
    <row r="166" spans="1:30" ht="14.25" customHeight="1" x14ac:dyDescent="0.2">
      <c r="A166" s="925" t="s">
        <v>5</v>
      </c>
      <c r="B166" s="593" t="s">
        <v>429</v>
      </c>
      <c r="C166" s="593"/>
      <c r="D166" s="594"/>
      <c r="E166" s="594"/>
      <c r="F166" s="309">
        <v>0</v>
      </c>
      <c r="G166" s="1232">
        <v>0</v>
      </c>
      <c r="H166" s="1232"/>
      <c r="I166" s="309">
        <v>0</v>
      </c>
      <c r="J166" s="1232">
        <v>0</v>
      </c>
      <c r="K166" s="1232"/>
      <c r="L166" s="309">
        <v>0</v>
      </c>
      <c r="M166" s="1232">
        <v>0</v>
      </c>
      <c r="N166" s="1232"/>
      <c r="O166" s="1283">
        <v>0</v>
      </c>
      <c r="P166" s="1284"/>
      <c r="Q166" s="1232">
        <v>0</v>
      </c>
      <c r="R166" s="1232"/>
      <c r="S166" s="309">
        <v>0</v>
      </c>
      <c r="T166" s="310">
        <v>0</v>
      </c>
      <c r="U166" s="309">
        <v>0</v>
      </c>
      <c r="V166" s="310">
        <v>0</v>
      </c>
      <c r="W166" s="309">
        <v>0</v>
      </c>
      <c r="X166" s="310">
        <v>0</v>
      </c>
      <c r="Y166" s="309">
        <v>0</v>
      </c>
      <c r="Z166" s="310">
        <f t="shared" ref="Z166:AB166" si="38">X166</f>
        <v>0</v>
      </c>
      <c r="AA166" s="309">
        <v>0</v>
      </c>
      <c r="AB166" s="310">
        <f t="shared" si="38"/>
        <v>0</v>
      </c>
      <c r="AC166" s="309">
        <v>0</v>
      </c>
      <c r="AD166" s="310">
        <f t="shared" ref="AD166" si="39">AB166</f>
        <v>0</v>
      </c>
    </row>
    <row r="167" spans="1:30" ht="18" customHeight="1" x14ac:dyDescent="0.2">
      <c r="A167" s="1172" t="s">
        <v>159</v>
      </c>
      <c r="B167" s="1172"/>
      <c r="C167" s="1172"/>
      <c r="D167" s="1172"/>
      <c r="E167" s="1172"/>
      <c r="F167" s="311">
        <f>SUM(F160:F165)</f>
        <v>0.1065</v>
      </c>
      <c r="G167" s="1235">
        <f>G160+G163+G164+G165+G161</f>
        <v>715.7</v>
      </c>
      <c r="H167" s="1235"/>
      <c r="I167" s="311">
        <f>SUM(I160:I165)</f>
        <v>0.1065</v>
      </c>
      <c r="J167" s="1235">
        <f>J160+J163+J164+J165+J161</f>
        <v>737.48</v>
      </c>
      <c r="K167" s="1235"/>
      <c r="L167" s="311">
        <f>SUM(L160:L165)</f>
        <v>0.1065</v>
      </c>
      <c r="M167" s="1235">
        <f>M160+M163+M164+M165+M161</f>
        <v>727.53</v>
      </c>
      <c r="N167" s="1235"/>
      <c r="O167" s="1278">
        <f t="shared" ref="O167" si="40">SUM(O160:O165)</f>
        <v>0.1065</v>
      </c>
      <c r="P167" s="1279"/>
      <c r="Q167" s="1235">
        <f>Q160+Q163+Q164+Q165+Q161</f>
        <v>729.24</v>
      </c>
      <c r="R167" s="1235"/>
      <c r="S167" s="311">
        <f>SUM(S160:S165)</f>
        <v>0.1065</v>
      </c>
      <c r="T167" s="941">
        <f>T160+T163+T164+T165+T161</f>
        <v>727.8</v>
      </c>
      <c r="U167" s="311">
        <f>SUM(U160:U165)</f>
        <v>0.1065</v>
      </c>
      <c r="V167" s="941">
        <f>V160+V163+V164+V165+V161</f>
        <v>728.54</v>
      </c>
      <c r="W167" s="311">
        <f>SUM(W160:W165)</f>
        <v>0.1065</v>
      </c>
      <c r="X167" s="941">
        <f>X160+X163+X164+X165+X161</f>
        <v>787.95</v>
      </c>
      <c r="Y167" s="311">
        <f>SUM(Y160:Y165)</f>
        <v>0.1065</v>
      </c>
      <c r="Z167" s="941">
        <f>Z160+Z163+Z164+Z165+Z161</f>
        <v>788.22</v>
      </c>
      <c r="AA167" s="311">
        <f>SUM(AA160:AA165)</f>
        <v>0.1065</v>
      </c>
      <c r="AB167" s="941">
        <f>AB160+AB163+AB164+AB165+AB161</f>
        <v>789.41</v>
      </c>
      <c r="AC167" s="311">
        <f>SUM(AC160:AC165)</f>
        <v>0.1065</v>
      </c>
      <c r="AD167" s="988">
        <f>AD160+AD163+AD164+AD165+AD161</f>
        <v>835.3</v>
      </c>
    </row>
    <row r="168" spans="1:30" ht="14.25" hidden="1" customHeight="1" x14ac:dyDescent="0.2">
      <c r="A168" s="931" t="s">
        <v>236</v>
      </c>
      <c r="B168" s="929"/>
      <c r="C168" s="929"/>
      <c r="D168" s="929"/>
      <c r="E168" s="929"/>
      <c r="F168" s="929"/>
      <c r="G168" s="637"/>
      <c r="H168" s="592"/>
      <c r="I168" s="639"/>
      <c r="J168" s="34"/>
      <c r="K168" s="34"/>
      <c r="L168" s="639"/>
      <c r="M168" s="34"/>
      <c r="N168" s="34"/>
      <c r="O168" s="34"/>
      <c r="P168" s="34"/>
      <c r="Q168" s="34"/>
      <c r="R168" s="34"/>
      <c r="S168" s="34"/>
      <c r="T168" s="34"/>
    </row>
    <row r="169" spans="1:30" ht="14.25" hidden="1" customHeight="1" x14ac:dyDescent="0.2">
      <c r="A169" s="931" t="s">
        <v>235</v>
      </c>
      <c r="B169" s="929"/>
      <c r="C169" s="929"/>
      <c r="D169" s="929"/>
      <c r="E169" s="929"/>
      <c r="F169" s="929"/>
      <c r="G169" s="637"/>
      <c r="H169" s="592"/>
      <c r="I169" s="639"/>
      <c r="J169" s="34"/>
      <c r="K169" s="34"/>
      <c r="L169" s="639"/>
      <c r="M169" s="34"/>
      <c r="N169" s="34"/>
      <c r="O169" s="34"/>
      <c r="P169" s="34"/>
      <c r="Q169" s="34"/>
      <c r="R169" s="34"/>
      <c r="S169" s="34"/>
      <c r="T169" s="34"/>
    </row>
    <row r="170" spans="1:30" ht="14.25" hidden="1" customHeight="1" x14ac:dyDescent="0.2">
      <c r="A170" s="1215" t="s">
        <v>433</v>
      </c>
      <c r="B170" s="1215"/>
      <c r="C170" s="1215"/>
      <c r="D170" s="1215"/>
      <c r="E170" s="1215"/>
      <c r="F170" s="1215"/>
      <c r="G170" s="1215"/>
      <c r="H170" s="592"/>
      <c r="I170" s="639"/>
      <c r="J170" s="34"/>
      <c r="K170" s="34"/>
      <c r="L170" s="639"/>
      <c r="M170" s="34"/>
      <c r="N170" s="34"/>
      <c r="O170" s="34"/>
      <c r="P170" s="34"/>
      <c r="Q170" s="34"/>
      <c r="R170" s="34"/>
      <c r="S170" s="34"/>
      <c r="T170" s="34"/>
    </row>
    <row r="171" spans="1:30" ht="14.25" hidden="1" customHeight="1" x14ac:dyDescent="0.2">
      <c r="A171" s="1215"/>
      <c r="B171" s="1215"/>
      <c r="C171" s="1215"/>
      <c r="D171" s="1215"/>
      <c r="E171" s="1215"/>
      <c r="F171" s="1215"/>
      <c r="G171" s="1215"/>
      <c r="H171" s="592"/>
      <c r="I171" s="639"/>
      <c r="J171" s="34"/>
      <c r="K171" s="34"/>
      <c r="L171" s="639"/>
      <c r="M171" s="34"/>
      <c r="N171" s="34"/>
      <c r="O171" s="34"/>
      <c r="P171" s="34"/>
      <c r="Q171" s="34"/>
      <c r="R171" s="34"/>
      <c r="S171" s="34"/>
      <c r="T171" s="34"/>
    </row>
    <row r="172" spans="1:30" ht="14.25" hidden="1" customHeight="1" x14ac:dyDescent="0.2">
      <c r="A172" s="931"/>
      <c r="B172" s="929"/>
      <c r="C172" s="929"/>
      <c r="D172" s="929"/>
      <c r="E172" s="929"/>
      <c r="F172" s="929"/>
      <c r="G172" s="637"/>
      <c r="H172" s="592"/>
      <c r="I172" s="639"/>
      <c r="J172" s="34"/>
      <c r="K172" s="34"/>
      <c r="L172" s="639"/>
      <c r="M172" s="34"/>
      <c r="N172" s="34"/>
      <c r="O172" s="34"/>
      <c r="P172" s="34"/>
      <c r="Q172" s="34"/>
      <c r="R172" s="34"/>
      <c r="S172" s="34"/>
      <c r="T172" s="34"/>
    </row>
    <row r="173" spans="1:30" ht="14.25" hidden="1" customHeight="1" x14ac:dyDescent="0.2">
      <c r="A173" s="638" t="s">
        <v>434</v>
      </c>
      <c r="B173" s="1173"/>
      <c r="C173" s="1173"/>
      <c r="D173" s="1173"/>
      <c r="E173" s="1173"/>
      <c r="F173" s="1173"/>
      <c r="G173" s="1173"/>
      <c r="H173" s="1173"/>
      <c r="I173" s="944"/>
      <c r="J173" s="34"/>
      <c r="K173" s="34"/>
      <c r="L173" s="944"/>
      <c r="M173" s="34"/>
      <c r="N173" s="34"/>
      <c r="O173" s="34"/>
      <c r="P173" s="34"/>
      <c r="Q173" s="34"/>
      <c r="R173" s="34"/>
      <c r="S173" s="34"/>
      <c r="T173" s="34"/>
    </row>
    <row r="174" spans="1:30" ht="80.25" customHeight="1" x14ac:dyDescent="0.2">
      <c r="A174" s="1173" t="s">
        <v>201</v>
      </c>
      <c r="B174" s="1173"/>
      <c r="C174" s="1173"/>
      <c r="D174" s="1173"/>
      <c r="E174" s="1173"/>
      <c r="F174" s="1173"/>
      <c r="G174" s="1173" t="s">
        <v>521</v>
      </c>
      <c r="H174" s="1173"/>
      <c r="I174" s="924" t="s">
        <v>201</v>
      </c>
      <c r="J174" s="1174" t="s">
        <v>519</v>
      </c>
      <c r="K174" s="1174"/>
      <c r="L174" s="924" t="s">
        <v>201</v>
      </c>
      <c r="M174" s="1174" t="s">
        <v>520</v>
      </c>
      <c r="N174" s="1174"/>
      <c r="O174" s="1178" t="s">
        <v>201</v>
      </c>
      <c r="P174" s="1180"/>
      <c r="Q174" s="1174" t="s">
        <v>539</v>
      </c>
      <c r="R174" s="1174"/>
      <c r="S174" s="783" t="s">
        <v>222</v>
      </c>
      <c r="T174" s="783" t="s">
        <v>591</v>
      </c>
      <c r="U174" s="783" t="s">
        <v>201</v>
      </c>
      <c r="V174" s="778" t="s">
        <v>601</v>
      </c>
      <c r="W174" s="783" t="s">
        <v>201</v>
      </c>
      <c r="X174" s="778" t="s">
        <v>604</v>
      </c>
      <c r="Y174" s="783" t="s">
        <v>201</v>
      </c>
      <c r="Z174" s="783" t="s">
        <v>602</v>
      </c>
      <c r="AA174" s="783" t="s">
        <v>201</v>
      </c>
      <c r="AB174" s="783" t="s">
        <v>603</v>
      </c>
      <c r="AC174" s="783" t="s">
        <v>201</v>
      </c>
      <c r="AD174" s="783" t="s">
        <v>600</v>
      </c>
    </row>
    <row r="175" spans="1:30" ht="24" customHeight="1" x14ac:dyDescent="0.2">
      <c r="A175" s="925" t="s">
        <v>1</v>
      </c>
      <c r="B175" s="931" t="str">
        <f>A33</f>
        <v>Módulo 1 - Composição da Remuneração</v>
      </c>
      <c r="C175" s="931"/>
      <c r="D175" s="929"/>
      <c r="E175" s="929"/>
      <c r="F175" s="636"/>
      <c r="G175" s="1230">
        <f>G41</f>
        <v>2850.45</v>
      </c>
      <c r="H175" s="1230"/>
      <c r="I175" s="938"/>
      <c r="J175" s="1230">
        <f>J41</f>
        <v>2935.96</v>
      </c>
      <c r="K175" s="1230"/>
      <c r="L175" s="938"/>
      <c r="M175" s="1230">
        <f>J41</f>
        <v>2935.96</v>
      </c>
      <c r="N175" s="1230"/>
      <c r="O175" s="1287"/>
      <c r="P175" s="1288"/>
      <c r="Q175" s="1230">
        <f>J41</f>
        <v>2935.96</v>
      </c>
      <c r="R175" s="1230"/>
      <c r="S175" s="807"/>
      <c r="T175" s="807">
        <f>T41</f>
        <v>2935.96</v>
      </c>
      <c r="U175" s="807"/>
      <c r="V175" s="807">
        <f>V41</f>
        <v>2935.96</v>
      </c>
      <c r="W175" s="807"/>
      <c r="X175" s="807">
        <f>X41</f>
        <v>3185.51</v>
      </c>
      <c r="Y175" s="807"/>
      <c r="Z175" s="807">
        <f>Z41</f>
        <v>3185.51</v>
      </c>
      <c r="AA175" s="807"/>
      <c r="AB175" s="807">
        <f>AB41</f>
        <v>3185.51</v>
      </c>
      <c r="AC175" s="807"/>
      <c r="AD175" s="807">
        <f>AD41</f>
        <v>3371.85</v>
      </c>
    </row>
    <row r="176" spans="1:30" ht="14.25" customHeight="1" x14ac:dyDescent="0.2">
      <c r="A176" s="925" t="s">
        <v>2</v>
      </c>
      <c r="B176" s="931" t="str">
        <f>A46</f>
        <v>Módulo 2 - Encargos e Benefícios Anuais, Mensais e Diários</v>
      </c>
      <c r="C176" s="931"/>
      <c r="D176" s="929"/>
      <c r="E176" s="929"/>
      <c r="F176" s="636"/>
      <c r="G176" s="1230">
        <f>G105</f>
        <v>2946.76</v>
      </c>
      <c r="H176" s="1230"/>
      <c r="I176" s="938"/>
      <c r="J176" s="1230">
        <f>J105</f>
        <v>3040.11</v>
      </c>
      <c r="K176" s="1230"/>
      <c r="L176" s="938"/>
      <c r="M176" s="1230">
        <f>M105</f>
        <v>3040.11</v>
      </c>
      <c r="N176" s="1230"/>
      <c r="O176" s="1287"/>
      <c r="P176" s="1288"/>
      <c r="Q176" s="1230">
        <f>Q105</f>
        <v>3040.11</v>
      </c>
      <c r="R176" s="1230"/>
      <c r="S176" s="794"/>
      <c r="T176" s="794">
        <f>T105</f>
        <v>3040.11</v>
      </c>
      <c r="U176" s="794"/>
      <c r="V176" s="794">
        <f>V105</f>
        <v>3040.11</v>
      </c>
      <c r="W176" s="794"/>
      <c r="X176" s="794">
        <f>X105</f>
        <v>3285.37</v>
      </c>
      <c r="Y176" s="794"/>
      <c r="Z176" s="794">
        <f>Z105</f>
        <v>3285.37</v>
      </c>
      <c r="AA176" s="794"/>
      <c r="AB176" s="794">
        <f>AB105</f>
        <v>3285.37</v>
      </c>
      <c r="AC176" s="794"/>
      <c r="AD176" s="794">
        <f>AD105</f>
        <v>3481.4</v>
      </c>
    </row>
    <row r="177" spans="1:30" ht="14.25" customHeight="1" x14ac:dyDescent="0.2">
      <c r="A177" s="925" t="s">
        <v>4</v>
      </c>
      <c r="B177" s="931" t="str">
        <f>A107</f>
        <v>Módulo 3 - Provisão para Rescisão</v>
      </c>
      <c r="C177" s="931"/>
      <c r="D177" s="929"/>
      <c r="E177" s="929"/>
      <c r="F177" s="636"/>
      <c r="G177" s="1230">
        <f>G116</f>
        <v>221.48</v>
      </c>
      <c r="H177" s="1230"/>
      <c r="I177" s="938"/>
      <c r="J177" s="1230">
        <f>J116</f>
        <v>228.48</v>
      </c>
      <c r="K177" s="1230"/>
      <c r="L177" s="938"/>
      <c r="M177" s="1230">
        <f>M116</f>
        <v>143.22999999999999</v>
      </c>
      <c r="N177" s="1230"/>
      <c r="O177" s="1287"/>
      <c r="P177" s="1288"/>
      <c r="Q177" s="1230">
        <f>Q116</f>
        <v>143.22999999999999</v>
      </c>
      <c r="R177" s="1230"/>
      <c r="S177" s="794"/>
      <c r="T177" s="794">
        <f>T116</f>
        <v>143.22999999999999</v>
      </c>
      <c r="U177" s="794"/>
      <c r="V177" s="794">
        <f>V116</f>
        <v>143.22999999999999</v>
      </c>
      <c r="W177" s="794"/>
      <c r="X177" s="794">
        <f>X116</f>
        <v>155.38999999999999</v>
      </c>
      <c r="Y177" s="794"/>
      <c r="Z177" s="794">
        <f>Z116</f>
        <v>155.38999999999999</v>
      </c>
      <c r="AA177" s="794"/>
      <c r="AB177" s="794">
        <f>AB116</f>
        <v>155.38999999999999</v>
      </c>
      <c r="AC177" s="794"/>
      <c r="AD177" s="794">
        <f>AD116</f>
        <v>164.5</v>
      </c>
    </row>
    <row r="178" spans="1:30" ht="14.25" customHeight="1" x14ac:dyDescent="0.2">
      <c r="A178" s="925" t="s">
        <v>5</v>
      </c>
      <c r="B178" s="931" t="str">
        <f>A121</f>
        <v>Módulo 4 - Custo de Reposição do Profissional</v>
      </c>
      <c r="C178" s="931"/>
      <c r="D178" s="929"/>
      <c r="E178" s="929"/>
      <c r="F178" s="636"/>
      <c r="G178" s="1230">
        <f>G147</f>
        <v>25.24</v>
      </c>
      <c r="H178" s="1230"/>
      <c r="I178" s="938"/>
      <c r="J178" s="1230">
        <f>J147</f>
        <v>25.99</v>
      </c>
      <c r="K178" s="1230"/>
      <c r="L178" s="938"/>
      <c r="M178" s="1230">
        <f>M147</f>
        <v>25.99</v>
      </c>
      <c r="N178" s="1230"/>
      <c r="O178" s="1287"/>
      <c r="P178" s="1288"/>
      <c r="Q178" s="1230">
        <f>Q147</f>
        <v>25.99</v>
      </c>
      <c r="R178" s="1230"/>
      <c r="S178" s="794"/>
      <c r="T178" s="794">
        <v>25.99</v>
      </c>
      <c r="U178" s="794"/>
      <c r="V178" s="794">
        <v>25.99</v>
      </c>
      <c r="W178" s="794"/>
      <c r="X178" s="794">
        <f>X147</f>
        <v>28.2</v>
      </c>
      <c r="Y178" s="794"/>
      <c r="Z178" s="794">
        <f>Z147</f>
        <v>28.2</v>
      </c>
      <c r="AA178" s="794"/>
      <c r="AB178" s="794">
        <f>AB145</f>
        <v>28.2</v>
      </c>
      <c r="AC178" s="794"/>
      <c r="AD178" s="794">
        <f>AD145</f>
        <v>29.84</v>
      </c>
    </row>
    <row r="179" spans="1:30" x14ac:dyDescent="0.2">
      <c r="A179" s="940" t="s">
        <v>6</v>
      </c>
      <c r="B179" s="931" t="str">
        <f>A149</f>
        <v>Módulo 5 - Insumos Diversos</v>
      </c>
      <c r="C179" s="638"/>
      <c r="D179" s="638"/>
      <c r="E179" s="638"/>
      <c r="F179" s="638"/>
      <c r="G179" s="1230">
        <f>G155</f>
        <v>89.21</v>
      </c>
      <c r="H179" s="1230"/>
      <c r="I179" s="938"/>
      <c r="J179" s="1230">
        <f>J155</f>
        <v>89.21</v>
      </c>
      <c r="K179" s="1230"/>
      <c r="L179" s="938"/>
      <c r="M179" s="1230">
        <f>M155</f>
        <v>89.21</v>
      </c>
      <c r="N179" s="1230"/>
      <c r="O179" s="1287"/>
      <c r="P179" s="1288"/>
      <c r="Q179" s="1230">
        <f>Q155</f>
        <v>103.91</v>
      </c>
      <c r="R179" s="1230"/>
      <c r="S179" s="808"/>
      <c r="T179" s="808">
        <f>T155</f>
        <v>91.43</v>
      </c>
      <c r="U179" s="808"/>
      <c r="V179" s="808">
        <f>V155</f>
        <v>97.83</v>
      </c>
      <c r="W179" s="808"/>
      <c r="X179" s="808">
        <f>X155</f>
        <v>97.83</v>
      </c>
      <c r="Y179" s="808"/>
      <c r="Z179" s="808">
        <f>Z155</f>
        <v>100.27</v>
      </c>
      <c r="AA179" s="808"/>
      <c r="AB179" s="808">
        <f>AB155</f>
        <v>110.35</v>
      </c>
      <c r="AC179" s="808"/>
      <c r="AD179" s="808">
        <f>AD155</f>
        <v>110.35</v>
      </c>
    </row>
    <row r="180" spans="1:30" ht="50.25" customHeight="1" x14ac:dyDescent="0.2">
      <c r="A180" s="1172" t="s">
        <v>238</v>
      </c>
      <c r="B180" s="1172"/>
      <c r="C180" s="1172"/>
      <c r="D180" s="1172"/>
      <c r="E180" s="1172"/>
      <c r="F180" s="1172"/>
      <c r="G180" s="1229">
        <f>SUM(G175:G179)</f>
        <v>6133.14</v>
      </c>
      <c r="H180" s="1229"/>
      <c r="I180" s="939" t="s">
        <v>238</v>
      </c>
      <c r="J180" s="1229">
        <f>SUM(J175:J179)</f>
        <v>6319.75</v>
      </c>
      <c r="K180" s="1229"/>
      <c r="L180" s="939" t="s">
        <v>238</v>
      </c>
      <c r="M180" s="1229">
        <f>SUM(M175:M179)</f>
        <v>6234.5</v>
      </c>
      <c r="N180" s="1229"/>
      <c r="O180" s="1285" t="s">
        <v>238</v>
      </c>
      <c r="P180" s="1286"/>
      <c r="Q180" s="1229">
        <f>SUM(Q175:Q179)</f>
        <v>6249.2</v>
      </c>
      <c r="R180" s="1229"/>
      <c r="S180" s="795" t="s">
        <v>238</v>
      </c>
      <c r="T180" s="789">
        <f>SUM(T175:T179)</f>
        <v>6236.72</v>
      </c>
      <c r="U180" s="795" t="s">
        <v>238</v>
      </c>
      <c r="V180" s="789">
        <f>SUM(V175:V179)</f>
        <v>6243.12</v>
      </c>
      <c r="W180" s="795" t="s">
        <v>238</v>
      </c>
      <c r="X180" s="789">
        <f>SUM(X175:X179)</f>
        <v>6752.3</v>
      </c>
      <c r="Y180" s="795" t="s">
        <v>238</v>
      </c>
      <c r="Z180" s="789">
        <f>SUM(Z175:Z179)</f>
        <v>6754.74</v>
      </c>
      <c r="AA180" s="795" t="s">
        <v>238</v>
      </c>
      <c r="AB180" s="789">
        <f>SUM(AB175:AB179)</f>
        <v>6764.82</v>
      </c>
      <c r="AC180" s="795" t="s">
        <v>238</v>
      </c>
      <c r="AD180" s="789">
        <f>SUM(AD175:AD179)</f>
        <v>7157.94</v>
      </c>
    </row>
    <row r="181" spans="1:30" ht="14.25" customHeight="1" x14ac:dyDescent="0.2">
      <c r="A181" s="925" t="s">
        <v>7</v>
      </c>
      <c r="B181" s="931" t="str">
        <f>A158</f>
        <v>Módulo 6 - Custos Indiretos, Tributos e Lucro</v>
      </c>
      <c r="C181" s="931"/>
      <c r="D181" s="929"/>
      <c r="E181" s="929"/>
      <c r="F181" s="636"/>
      <c r="G181" s="1230">
        <f>G167</f>
        <v>715.7</v>
      </c>
      <c r="H181" s="1230"/>
      <c r="I181" s="938"/>
      <c r="J181" s="1230">
        <f>J167</f>
        <v>737.48</v>
      </c>
      <c r="K181" s="1230"/>
      <c r="L181" s="938"/>
      <c r="M181" s="1230">
        <f>M167</f>
        <v>727.53</v>
      </c>
      <c r="N181" s="1230"/>
      <c r="O181" s="1287"/>
      <c r="P181" s="1288"/>
      <c r="Q181" s="1230">
        <f>Q167</f>
        <v>729.24</v>
      </c>
      <c r="R181" s="1230"/>
      <c r="S181" s="794"/>
      <c r="T181" s="794">
        <f>T167</f>
        <v>727.8</v>
      </c>
      <c r="U181" s="794"/>
      <c r="V181" s="794">
        <f>V167</f>
        <v>728.54</v>
      </c>
      <c r="W181" s="794"/>
      <c r="X181" s="794">
        <f>X167</f>
        <v>787.95</v>
      </c>
      <c r="Y181" s="794"/>
      <c r="Z181" s="794">
        <f>Z167</f>
        <v>788.22</v>
      </c>
      <c r="AA181" s="794"/>
      <c r="AB181" s="794">
        <f>AB167</f>
        <v>789.41</v>
      </c>
      <c r="AC181" s="794"/>
      <c r="AD181" s="794">
        <f>AD167</f>
        <v>835.3</v>
      </c>
    </row>
    <row r="182" spans="1:30" ht="42.75" customHeight="1" x14ac:dyDescent="0.2">
      <c r="A182" s="1172" t="s">
        <v>179</v>
      </c>
      <c r="B182" s="1172"/>
      <c r="C182" s="1172"/>
      <c r="D182" s="1172"/>
      <c r="E182" s="1172"/>
      <c r="F182" s="1172"/>
      <c r="G182" s="1229">
        <f>SUM(G180:G181)</f>
        <v>6848.84</v>
      </c>
      <c r="H182" s="1229"/>
      <c r="I182" s="939" t="s">
        <v>179</v>
      </c>
      <c r="J182" s="1229">
        <f>SUM(J180:J181)</f>
        <v>7057.23</v>
      </c>
      <c r="K182" s="1229"/>
      <c r="L182" s="939" t="s">
        <v>179</v>
      </c>
      <c r="M182" s="1229">
        <f>SUM(M180:M181)</f>
        <v>6962.03</v>
      </c>
      <c r="N182" s="1229"/>
      <c r="O182" s="1285" t="s">
        <v>179</v>
      </c>
      <c r="P182" s="1286"/>
      <c r="Q182" s="1229">
        <f>SUM(Q180:Q181)</f>
        <v>6978.44</v>
      </c>
      <c r="R182" s="1229"/>
      <c r="S182" s="795" t="s">
        <v>179</v>
      </c>
      <c r="T182" s="789">
        <f>SUM(T180:T181)</f>
        <v>6964.52</v>
      </c>
      <c r="U182" s="795" t="s">
        <v>179</v>
      </c>
      <c r="V182" s="789">
        <f>SUM(V180:V181)</f>
        <v>6971.66</v>
      </c>
      <c r="W182" s="795" t="s">
        <v>179</v>
      </c>
      <c r="X182" s="789">
        <f>SUM(X180:X181)</f>
        <v>7540.25</v>
      </c>
      <c r="Y182" s="795" t="s">
        <v>179</v>
      </c>
      <c r="Z182" s="789">
        <f>SUM(Z180:Z181)</f>
        <v>7542.96</v>
      </c>
      <c r="AA182" s="795" t="s">
        <v>179</v>
      </c>
      <c r="AB182" s="789">
        <f>SUM(AB180:AB181)</f>
        <v>7554.23</v>
      </c>
      <c r="AC182" s="795" t="s">
        <v>179</v>
      </c>
      <c r="AD182" s="789">
        <f>SUM(AD180:AD181)</f>
        <v>7993.24</v>
      </c>
    </row>
    <row r="183" spans="1:30" ht="14.25" hidden="1" customHeight="1" x14ac:dyDescent="0.2">
      <c r="A183" s="1243" t="s">
        <v>436</v>
      </c>
      <c r="B183" s="1244"/>
      <c r="C183" s="1244"/>
      <c r="D183" s="1244"/>
      <c r="E183" s="1244"/>
      <c r="F183" s="1245"/>
      <c r="G183" s="632"/>
    </row>
    <row r="184" spans="1:30" ht="14.25" hidden="1" customHeight="1" x14ac:dyDescent="0.2">
      <c r="A184" s="1240" t="s">
        <v>179</v>
      </c>
      <c r="B184" s="1241"/>
      <c r="C184" s="1241"/>
      <c r="D184" s="1241"/>
      <c r="E184" s="1241"/>
      <c r="F184" s="1242"/>
      <c r="G184" s="326">
        <f>SUM(G182:G183)</f>
        <v>6848.84</v>
      </c>
    </row>
    <row r="185" spans="1:30" ht="17.25" customHeight="1" x14ac:dyDescent="0.2"/>
    <row r="186" spans="1:30" ht="2.25" hidden="1" customHeight="1" x14ac:dyDescent="0.2">
      <c r="J186" s="653">
        <f>J182</f>
        <v>7057.23</v>
      </c>
      <c r="M186" s="653">
        <f>M182</f>
        <v>6962.03</v>
      </c>
      <c r="R186" s="653">
        <f>Q182</f>
        <v>6978.44</v>
      </c>
      <c r="S186" s="653"/>
      <c r="T186" s="653"/>
    </row>
  </sheetData>
  <mergeCells count="549">
    <mergeCell ref="W26:X26"/>
    <mergeCell ref="W27:X27"/>
    <mergeCell ref="W28:X28"/>
    <mergeCell ref="W29:X29"/>
    <mergeCell ref="A25:R25"/>
    <mergeCell ref="O59:P59"/>
    <mergeCell ref="O51:P51"/>
    <mergeCell ref="O50:P50"/>
    <mergeCell ref="O49:P49"/>
    <mergeCell ref="O48:P48"/>
    <mergeCell ref="O41:P41"/>
    <mergeCell ref="O39:P39"/>
    <mergeCell ref="O40:P40"/>
    <mergeCell ref="O38:P38"/>
    <mergeCell ref="A46:R46"/>
    <mergeCell ref="A47:R47"/>
    <mergeCell ref="Q48:R48"/>
    <mergeCell ref="Q49:R49"/>
    <mergeCell ref="Q50:R50"/>
    <mergeCell ref="Q51:R51"/>
    <mergeCell ref="Q59:R59"/>
    <mergeCell ref="Q34:R34"/>
    <mergeCell ref="O26:R26"/>
    <mergeCell ref="O27:R27"/>
    <mergeCell ref="J69:K69"/>
    <mergeCell ref="J70:K70"/>
    <mergeCell ref="J34:K34"/>
    <mergeCell ref="J35:K35"/>
    <mergeCell ref="J36:K36"/>
    <mergeCell ref="M37:N37"/>
    <mergeCell ref="J41:K41"/>
    <mergeCell ref="J48:K48"/>
    <mergeCell ref="J49:K49"/>
    <mergeCell ref="J50:K50"/>
    <mergeCell ref="O67:P67"/>
    <mergeCell ref="O66:P66"/>
    <mergeCell ref="O65:P65"/>
    <mergeCell ref="W30:X30"/>
    <mergeCell ref="W31:X31"/>
    <mergeCell ref="J61:K61"/>
    <mergeCell ref="J62:K62"/>
    <mergeCell ref="J65:K65"/>
    <mergeCell ref="J67:K67"/>
    <mergeCell ref="O62:P62"/>
    <mergeCell ref="J71:K71"/>
    <mergeCell ref="O60:P60"/>
    <mergeCell ref="A64:R64"/>
    <mergeCell ref="Q66:R66"/>
    <mergeCell ref="Q67:R67"/>
    <mergeCell ref="Q68:R68"/>
    <mergeCell ref="Q69:R69"/>
    <mergeCell ref="Q70:R70"/>
    <mergeCell ref="Q60:R60"/>
    <mergeCell ref="Q61:R61"/>
    <mergeCell ref="Q62:R62"/>
    <mergeCell ref="Q65:R65"/>
    <mergeCell ref="M65:N65"/>
    <mergeCell ref="G65:H65"/>
    <mergeCell ref="G62:H62"/>
    <mergeCell ref="G61:H61"/>
    <mergeCell ref="J66:K66"/>
    <mergeCell ref="M60:N60"/>
    <mergeCell ref="M61:N61"/>
    <mergeCell ref="J60:K60"/>
    <mergeCell ref="O70:P70"/>
    <mergeCell ref="O69:P69"/>
    <mergeCell ref="O68:P68"/>
    <mergeCell ref="O86:P86"/>
    <mergeCell ref="O85:P85"/>
    <mergeCell ref="O84:P84"/>
    <mergeCell ref="O83:P83"/>
    <mergeCell ref="O74:P74"/>
    <mergeCell ref="O73:P73"/>
    <mergeCell ref="O72:P72"/>
    <mergeCell ref="O91:P91"/>
    <mergeCell ref="O90:P90"/>
    <mergeCell ref="O89:P89"/>
    <mergeCell ref="O88:P88"/>
    <mergeCell ref="A82:R82"/>
    <mergeCell ref="Q83:R83"/>
    <mergeCell ref="Q84:R84"/>
    <mergeCell ref="Q85:R85"/>
    <mergeCell ref="Q86:R86"/>
    <mergeCell ref="Q87:R87"/>
    <mergeCell ref="Q72:R72"/>
    <mergeCell ref="Q73:R73"/>
    <mergeCell ref="Q74:R74"/>
    <mergeCell ref="M74:N74"/>
    <mergeCell ref="M83:N83"/>
    <mergeCell ref="M84:N84"/>
    <mergeCell ref="G83:H83"/>
    <mergeCell ref="O128:P128"/>
    <mergeCell ref="O129:P129"/>
    <mergeCell ref="O130:P130"/>
    <mergeCell ref="O131:P131"/>
    <mergeCell ref="M102:N102"/>
    <mergeCell ref="M103:N103"/>
    <mergeCell ref="G111:H111"/>
    <mergeCell ref="A121:R121"/>
    <mergeCell ref="A124:R124"/>
    <mergeCell ref="M108:N108"/>
    <mergeCell ref="M109:N109"/>
    <mergeCell ref="M110:N110"/>
    <mergeCell ref="M111:N111"/>
    <mergeCell ref="Q108:R108"/>
    <mergeCell ref="Q109:R109"/>
    <mergeCell ref="Q110:R110"/>
    <mergeCell ref="Q113:R113"/>
    <mergeCell ref="Q114:R114"/>
    <mergeCell ref="Q115:R115"/>
    <mergeCell ref="J111:K111"/>
    <mergeCell ref="J112:K112"/>
    <mergeCell ref="J102:K102"/>
    <mergeCell ref="J103:K103"/>
    <mergeCell ref="J104:K104"/>
    <mergeCell ref="Q167:R167"/>
    <mergeCell ref="O132:P132"/>
    <mergeCell ref="A143:R143"/>
    <mergeCell ref="Q125:R125"/>
    <mergeCell ref="Q126:R126"/>
    <mergeCell ref="Q127:R127"/>
    <mergeCell ref="G127:H127"/>
    <mergeCell ref="G126:H126"/>
    <mergeCell ref="G125:H125"/>
    <mergeCell ref="J131:K131"/>
    <mergeCell ref="A136:G136"/>
    <mergeCell ref="J128:K128"/>
    <mergeCell ref="J129:K129"/>
    <mergeCell ref="J130:K130"/>
    <mergeCell ref="Q128:R128"/>
    <mergeCell ref="Q129:R129"/>
    <mergeCell ref="Q130:R130"/>
    <mergeCell ref="Q131:R131"/>
    <mergeCell ref="J127:K127"/>
    <mergeCell ref="A158:R158"/>
    <mergeCell ref="Q151:R151"/>
    <mergeCell ref="M153:N153"/>
    <mergeCell ref="M154:N154"/>
    <mergeCell ref="O164:P164"/>
    <mergeCell ref="Q176:R176"/>
    <mergeCell ref="Q177:R177"/>
    <mergeCell ref="Q178:R178"/>
    <mergeCell ref="Q179:R179"/>
    <mergeCell ref="Q180:R180"/>
    <mergeCell ref="Q181:R181"/>
    <mergeCell ref="Q182:R182"/>
    <mergeCell ref="O162:P162"/>
    <mergeCell ref="O161:P161"/>
    <mergeCell ref="Q161:R161"/>
    <mergeCell ref="Q162:R162"/>
    <mergeCell ref="O182:P182"/>
    <mergeCell ref="O180:P180"/>
    <mergeCell ref="O179:P179"/>
    <mergeCell ref="O178:P178"/>
    <mergeCell ref="O181:P181"/>
    <mergeCell ref="O177:P177"/>
    <mergeCell ref="O176:P176"/>
    <mergeCell ref="O175:P175"/>
    <mergeCell ref="O167:P167"/>
    <mergeCell ref="O174:P174"/>
    <mergeCell ref="Q165:R165"/>
    <mergeCell ref="O166:P166"/>
    <mergeCell ref="O165:P165"/>
    <mergeCell ref="O163:P163"/>
    <mergeCell ref="Q174:R174"/>
    <mergeCell ref="Q175:R175"/>
    <mergeCell ref="Q96:R96"/>
    <mergeCell ref="Q101:R101"/>
    <mergeCell ref="Q102:R102"/>
    <mergeCell ref="Q103:R103"/>
    <mergeCell ref="Q104:R104"/>
    <mergeCell ref="O101:P101"/>
    <mergeCell ref="O96:P96"/>
    <mergeCell ref="Q163:R163"/>
    <mergeCell ref="Q164:R164"/>
    <mergeCell ref="O160:P160"/>
    <mergeCell ref="O151:P151"/>
    <mergeCell ref="O152:P152"/>
    <mergeCell ref="O153:P153"/>
    <mergeCell ref="O154:P154"/>
    <mergeCell ref="O155:P155"/>
    <mergeCell ref="O159:P159"/>
    <mergeCell ref="O110:P110"/>
    <mergeCell ref="Q132:R132"/>
    <mergeCell ref="Q144:R144"/>
    <mergeCell ref="Q166:R166"/>
    <mergeCell ref="Q105:R105"/>
    <mergeCell ref="Q152:R152"/>
    <mergeCell ref="Q160:R160"/>
    <mergeCell ref="Q153:R153"/>
    <mergeCell ref="Q154:R154"/>
    <mergeCell ref="Q155:R155"/>
    <mergeCell ref="Q159:R159"/>
    <mergeCell ref="O111:P111"/>
    <mergeCell ref="Q145:R145"/>
    <mergeCell ref="Q147:R147"/>
    <mergeCell ref="Q150:R150"/>
    <mergeCell ref="A149:R149"/>
    <mergeCell ref="B137:F137"/>
    <mergeCell ref="O147:P147"/>
    <mergeCell ref="O150:P150"/>
    <mergeCell ref="O145:P145"/>
    <mergeCell ref="M145:N145"/>
    <mergeCell ref="M147:N147"/>
    <mergeCell ref="M150:N150"/>
    <mergeCell ref="M151:N151"/>
    <mergeCell ref="M152:N152"/>
    <mergeCell ref="G128:H128"/>
    <mergeCell ref="O144:P144"/>
    <mergeCell ref="M132:N132"/>
    <mergeCell ref="M112:N112"/>
    <mergeCell ref="O125:P125"/>
    <mergeCell ref="O126:P126"/>
    <mergeCell ref="G112:H112"/>
    <mergeCell ref="G104:H104"/>
    <mergeCell ref="G103:H103"/>
    <mergeCell ref="O109:P109"/>
    <mergeCell ref="O104:P104"/>
    <mergeCell ref="O103:P103"/>
    <mergeCell ref="J113:K113"/>
    <mergeCell ref="J114:K114"/>
    <mergeCell ref="J115:K115"/>
    <mergeCell ref="J116:K116"/>
    <mergeCell ref="M114:N114"/>
    <mergeCell ref="M115:N115"/>
    <mergeCell ref="M116:N116"/>
    <mergeCell ref="O116:P116"/>
    <mergeCell ref="O115:P115"/>
    <mergeCell ref="O114:P114"/>
    <mergeCell ref="O113:P113"/>
    <mergeCell ref="J125:K125"/>
    <mergeCell ref="J126:K126"/>
    <mergeCell ref="M113:N113"/>
    <mergeCell ref="M144:N144"/>
    <mergeCell ref="G144:H144"/>
    <mergeCell ref="G132:H132"/>
    <mergeCell ref="G131:H131"/>
    <mergeCell ref="G130:H130"/>
    <mergeCell ref="G129:H129"/>
    <mergeCell ref="Q41:R41"/>
    <mergeCell ref="M125:N125"/>
    <mergeCell ref="M126:N126"/>
    <mergeCell ref="M127:N127"/>
    <mergeCell ref="M128:N128"/>
    <mergeCell ref="M129:N129"/>
    <mergeCell ref="M130:N130"/>
    <mergeCell ref="M131:N131"/>
    <mergeCell ref="M87:N87"/>
    <mergeCell ref="M88:N88"/>
    <mergeCell ref="M89:N89"/>
    <mergeCell ref="M62:N62"/>
    <mergeCell ref="M66:N66"/>
    <mergeCell ref="M67:N67"/>
    <mergeCell ref="M68:N68"/>
    <mergeCell ref="M69:N69"/>
    <mergeCell ref="M51:N51"/>
    <mergeCell ref="M59:N59"/>
    <mergeCell ref="B30:E30"/>
    <mergeCell ref="B31:E31"/>
    <mergeCell ref="O105:P105"/>
    <mergeCell ref="O108:P108"/>
    <mergeCell ref="O112:P112"/>
    <mergeCell ref="Q38:R38"/>
    <mergeCell ref="Q39:R39"/>
    <mergeCell ref="Q40:R40"/>
    <mergeCell ref="O102:P102"/>
    <mergeCell ref="M104:N104"/>
    <mergeCell ref="M101:N101"/>
    <mergeCell ref="O71:P71"/>
    <mergeCell ref="Q71:R71"/>
    <mergeCell ref="M85:N85"/>
    <mergeCell ref="M86:N86"/>
    <mergeCell ref="O61:P61"/>
    <mergeCell ref="M38:N38"/>
    <mergeCell ref="M39:N39"/>
    <mergeCell ref="M40:N40"/>
    <mergeCell ref="J105:K105"/>
    <mergeCell ref="J108:K108"/>
    <mergeCell ref="J109:K109"/>
    <mergeCell ref="J110:K110"/>
    <mergeCell ref="G102:H102"/>
    <mergeCell ref="I26:K26"/>
    <mergeCell ref="I27:K27"/>
    <mergeCell ref="I28:K28"/>
    <mergeCell ref="I29:K29"/>
    <mergeCell ref="I30:K30"/>
    <mergeCell ref="I31:K31"/>
    <mergeCell ref="Q35:R35"/>
    <mergeCell ref="Q36:R36"/>
    <mergeCell ref="Q37:R37"/>
    <mergeCell ref="O37:P37"/>
    <mergeCell ref="O36:P36"/>
    <mergeCell ref="O35:P35"/>
    <mergeCell ref="O34:P34"/>
    <mergeCell ref="M34:N34"/>
    <mergeCell ref="M35:N35"/>
    <mergeCell ref="M36:N36"/>
    <mergeCell ref="O28:R28"/>
    <mergeCell ref="O29:R29"/>
    <mergeCell ref="O30:R30"/>
    <mergeCell ref="O31:R31"/>
    <mergeCell ref="A33:R33"/>
    <mergeCell ref="I32:K32"/>
    <mergeCell ref="F32:H32"/>
    <mergeCell ref="B32:E32"/>
    <mergeCell ref="M155:N155"/>
    <mergeCell ref="L26:N26"/>
    <mergeCell ref="L27:N27"/>
    <mergeCell ref="L28:N28"/>
    <mergeCell ref="L29:N29"/>
    <mergeCell ref="L30:N30"/>
    <mergeCell ref="L31:N31"/>
    <mergeCell ref="M41:N41"/>
    <mergeCell ref="M105:N105"/>
    <mergeCell ref="A107:R107"/>
    <mergeCell ref="Q111:R111"/>
    <mergeCell ref="Q112:R112"/>
    <mergeCell ref="B108:E108"/>
    <mergeCell ref="G116:H116"/>
    <mergeCell ref="G115:H115"/>
    <mergeCell ref="G114:H114"/>
    <mergeCell ref="G113:H113"/>
    <mergeCell ref="M70:N70"/>
    <mergeCell ref="M71:N71"/>
    <mergeCell ref="M72:N72"/>
    <mergeCell ref="M73:N73"/>
    <mergeCell ref="M48:N48"/>
    <mergeCell ref="M49:N49"/>
    <mergeCell ref="M50:N50"/>
    <mergeCell ref="M180:N180"/>
    <mergeCell ref="M181:N181"/>
    <mergeCell ref="M182:N182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74:N174"/>
    <mergeCell ref="M175:N175"/>
    <mergeCell ref="M176:N176"/>
    <mergeCell ref="G51:H51"/>
    <mergeCell ref="G50:H50"/>
    <mergeCell ref="G96:H96"/>
    <mergeCell ref="G88:H88"/>
    <mergeCell ref="G87:H87"/>
    <mergeCell ref="G86:H86"/>
    <mergeCell ref="G85:H85"/>
    <mergeCell ref="G84:H84"/>
    <mergeCell ref="B173:H173"/>
    <mergeCell ref="G155:H155"/>
    <mergeCell ref="G154:H154"/>
    <mergeCell ref="G153:H153"/>
    <mergeCell ref="G152:H152"/>
    <mergeCell ref="G151:H151"/>
    <mergeCell ref="G150:H150"/>
    <mergeCell ref="A96:F96"/>
    <mergeCell ref="A105:F105"/>
    <mergeCell ref="A122:H123"/>
    <mergeCell ref="B125:E125"/>
    <mergeCell ref="A132:E132"/>
    <mergeCell ref="G110:H110"/>
    <mergeCell ref="G109:H109"/>
    <mergeCell ref="G108:H108"/>
    <mergeCell ref="G105:H105"/>
    <mergeCell ref="B101:F101"/>
    <mergeCell ref="B83:E83"/>
    <mergeCell ref="G95:H95"/>
    <mergeCell ref="G91:H91"/>
    <mergeCell ref="G90:H90"/>
    <mergeCell ref="G89:H89"/>
    <mergeCell ref="G60:H60"/>
    <mergeCell ref="G59:H59"/>
    <mergeCell ref="A84:A85"/>
    <mergeCell ref="A86:A87"/>
    <mergeCell ref="A100:R100"/>
    <mergeCell ref="O95:P95"/>
    <mergeCell ref="Q88:R88"/>
    <mergeCell ref="Q89:R89"/>
    <mergeCell ref="Q90:R90"/>
    <mergeCell ref="Q91:R91"/>
    <mergeCell ref="M90:N90"/>
    <mergeCell ref="M91:N91"/>
    <mergeCell ref="M95:N95"/>
    <mergeCell ref="A98:G98"/>
    <mergeCell ref="G101:H101"/>
    <mergeCell ref="J101:K101"/>
    <mergeCell ref="O87:P87"/>
    <mergeCell ref="M96:N96"/>
    <mergeCell ref="F19:G19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6:G16"/>
    <mergeCell ref="F17:G17"/>
    <mergeCell ref="F18:G18"/>
    <mergeCell ref="A21:G21"/>
    <mergeCell ref="A22:B22"/>
    <mergeCell ref="A23:B23"/>
    <mergeCell ref="B26:E26"/>
    <mergeCell ref="B48:E48"/>
    <mergeCell ref="A43:G44"/>
    <mergeCell ref="G40:H40"/>
    <mergeCell ref="G39:H39"/>
    <mergeCell ref="G38:H38"/>
    <mergeCell ref="G36:H36"/>
    <mergeCell ref="G35:H35"/>
    <mergeCell ref="G34:H34"/>
    <mergeCell ref="F30:H30"/>
    <mergeCell ref="F31:H31"/>
    <mergeCell ref="F29:H29"/>
    <mergeCell ref="F28:H28"/>
    <mergeCell ref="F27:H27"/>
    <mergeCell ref="F26:H26"/>
    <mergeCell ref="G22:H22"/>
    <mergeCell ref="G23:H23"/>
    <mergeCell ref="A41:F41"/>
    <mergeCell ref="B34:E34"/>
    <mergeCell ref="B27:E27"/>
    <mergeCell ref="B28:E28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G162:H162"/>
    <mergeCell ref="G161:H161"/>
    <mergeCell ref="G160:H160"/>
    <mergeCell ref="G159:H159"/>
    <mergeCell ref="G182:H182"/>
    <mergeCell ref="G181:H181"/>
    <mergeCell ref="G180:H180"/>
    <mergeCell ref="G147:H147"/>
    <mergeCell ref="G145:H145"/>
    <mergeCell ref="G49:H49"/>
    <mergeCell ref="G48:H48"/>
    <mergeCell ref="G41:H41"/>
    <mergeCell ref="A74:E74"/>
    <mergeCell ref="A75:G75"/>
    <mergeCell ref="A76:G76"/>
    <mergeCell ref="A77:G77"/>
    <mergeCell ref="G72:H72"/>
    <mergeCell ref="G71:H71"/>
    <mergeCell ref="G70:H70"/>
    <mergeCell ref="G69:H69"/>
    <mergeCell ref="G68:H68"/>
    <mergeCell ref="G67:H67"/>
    <mergeCell ref="G66:H66"/>
    <mergeCell ref="G74:H74"/>
    <mergeCell ref="G73:H73"/>
    <mergeCell ref="B50:E50"/>
    <mergeCell ref="A51:E51"/>
    <mergeCell ref="A52:G53"/>
    <mergeCell ref="B65:E65"/>
    <mergeCell ref="A54:G55"/>
    <mergeCell ref="A56:G57"/>
    <mergeCell ref="A59:F59"/>
    <mergeCell ref="A62:F62"/>
    <mergeCell ref="J51:K51"/>
    <mergeCell ref="J59:K59"/>
    <mergeCell ref="J37:K37"/>
    <mergeCell ref="J38:K38"/>
    <mergeCell ref="J39:K39"/>
    <mergeCell ref="J40:K40"/>
    <mergeCell ref="J164:K164"/>
    <mergeCell ref="J176:K176"/>
    <mergeCell ref="J177:K177"/>
    <mergeCell ref="J87:K87"/>
    <mergeCell ref="J88:K88"/>
    <mergeCell ref="J89:K89"/>
    <mergeCell ref="J90:K90"/>
    <mergeCell ref="J91:K91"/>
    <mergeCell ref="J95:K95"/>
    <mergeCell ref="J96:K96"/>
    <mergeCell ref="J72:K72"/>
    <mergeCell ref="J73:K73"/>
    <mergeCell ref="J74:K74"/>
    <mergeCell ref="J83:K83"/>
    <mergeCell ref="J84:K84"/>
    <mergeCell ref="J85:K85"/>
    <mergeCell ref="J86:K86"/>
    <mergeCell ref="J68:K68"/>
    <mergeCell ref="J178:K178"/>
    <mergeCell ref="J179:K179"/>
    <mergeCell ref="J165:K165"/>
    <mergeCell ref="Q116:R116"/>
    <mergeCell ref="O127:P127"/>
    <mergeCell ref="A116:E116"/>
    <mergeCell ref="G167:H167"/>
    <mergeCell ref="G166:H166"/>
    <mergeCell ref="G165:H165"/>
    <mergeCell ref="G164:H164"/>
    <mergeCell ref="G163:H163"/>
    <mergeCell ref="G179:H179"/>
    <mergeCell ref="G178:H178"/>
    <mergeCell ref="G177:H177"/>
    <mergeCell ref="G176:H176"/>
    <mergeCell ref="G175:H175"/>
    <mergeCell ref="G174:H174"/>
    <mergeCell ref="J166:K166"/>
    <mergeCell ref="J167:K167"/>
    <mergeCell ref="J174:K174"/>
    <mergeCell ref="J175:K175"/>
    <mergeCell ref="M177:N177"/>
    <mergeCell ref="M178:N178"/>
    <mergeCell ref="M179:N179"/>
    <mergeCell ref="AC26:AD26"/>
    <mergeCell ref="AC27:AD27"/>
    <mergeCell ref="AC28:AD28"/>
    <mergeCell ref="AC29:AD29"/>
    <mergeCell ref="AC30:AD30"/>
    <mergeCell ref="AC31:AD31"/>
    <mergeCell ref="J180:K180"/>
    <mergeCell ref="J181:K181"/>
    <mergeCell ref="J182:K182"/>
    <mergeCell ref="J132:K132"/>
    <mergeCell ref="J144:K144"/>
    <mergeCell ref="J145:K145"/>
    <mergeCell ref="J147:K147"/>
    <mergeCell ref="J151:K151"/>
    <mergeCell ref="J152:K152"/>
    <mergeCell ref="J153:K153"/>
    <mergeCell ref="J154:K154"/>
    <mergeCell ref="J155:K155"/>
    <mergeCell ref="J150:K150"/>
    <mergeCell ref="J159:K159"/>
    <mergeCell ref="J160:K160"/>
    <mergeCell ref="J161:K161"/>
    <mergeCell ref="J162:K162"/>
    <mergeCell ref="J163:K163"/>
  </mergeCells>
  <dataValidations disablePrompts="1"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3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I84:I95 L84:L95 O84:O95 P92:P94" xr:uid="{00000000-0002-0000-03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  <ignoredErrors>
    <ignoredError sqref="A12:G24 A31:E31 A26:E26 A27:E27 A28:E28 G36 G84:G87 G102:G104 A145:G148 A153:G153 A151:E151 G151 A152:E152 G152 A150:G150 A149 A29:E29 A30:E30 A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1"/>
  <dimension ref="A1:AK189"/>
  <sheetViews>
    <sheetView topLeftCell="A158" zoomScaleNormal="100" zoomScaleSheetLayoutView="100" workbookViewId="0">
      <selection activeCell="AM185" sqref="AM185"/>
    </sheetView>
  </sheetViews>
  <sheetFormatPr defaultColWidth="9.140625" defaultRowHeight="14.25" x14ac:dyDescent="0.2"/>
  <cols>
    <col min="1" max="1" width="12.2851562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18" style="66" customWidth="1"/>
    <col min="8" max="8" width="11" style="35" hidden="1" customWidth="1"/>
    <col min="9" max="9" width="9.140625" style="35" hidden="1" customWidth="1"/>
    <col min="10" max="10" width="27.42578125" style="35" hidden="1" customWidth="1"/>
    <col min="11" max="11" width="18.28515625" style="35" hidden="1" customWidth="1"/>
    <col min="12" max="12" width="18.5703125" style="35" hidden="1" customWidth="1"/>
    <col min="13" max="13" width="18.28515625" style="35" hidden="1" customWidth="1"/>
    <col min="14" max="14" width="20.42578125" style="35" hidden="1" customWidth="1"/>
    <col min="15" max="15" width="17.140625" style="35" hidden="1" customWidth="1"/>
    <col min="16" max="17" width="9.140625" style="35" hidden="1" customWidth="1"/>
    <col min="18" max="18" width="27.5703125" style="35" hidden="1" customWidth="1"/>
    <col min="19" max="20" width="18.28515625" style="35" hidden="1" customWidth="1"/>
    <col min="21" max="21" width="22.42578125" style="35" hidden="1" customWidth="1"/>
    <col min="22" max="22" width="18.140625" style="35" hidden="1" customWidth="1"/>
    <col min="23" max="23" width="16.7109375" style="35" hidden="1" customWidth="1"/>
    <col min="24" max="24" width="17.85546875" style="35" hidden="1" customWidth="1"/>
    <col min="25" max="27" width="24" style="35" hidden="1" customWidth="1"/>
    <col min="28" max="28" width="18.5703125" style="35" hidden="1" customWidth="1"/>
    <col min="29" max="29" width="20.5703125" style="35" hidden="1" customWidth="1"/>
    <col min="30" max="30" width="20.42578125" style="35" hidden="1" customWidth="1"/>
    <col min="31" max="31" width="19.140625" style="35" hidden="1" customWidth="1"/>
    <col min="32" max="32" width="19.7109375" style="35" hidden="1" customWidth="1"/>
    <col min="33" max="33" width="18.7109375" style="35" hidden="1" customWidth="1"/>
    <col min="34" max="34" width="19" style="35" hidden="1" customWidth="1"/>
    <col min="35" max="35" width="20.28515625" style="35" hidden="1" customWidth="1"/>
    <col min="36" max="36" width="21" style="35" customWidth="1"/>
    <col min="37" max="37" width="20.42578125" style="35" customWidth="1"/>
    <col min="38" max="16384" width="9.140625" style="35"/>
  </cols>
  <sheetData>
    <row r="1" spans="1:23" x14ac:dyDescent="0.2">
      <c r="A1" s="65" t="str">
        <f>Proposta!C55</f>
        <v>Razão Social: BRASFORT EMPRESA DE SEGURANÇA LTDA</v>
      </c>
      <c r="I1" s="65" t="str">
        <f>Proposta!C55</f>
        <v>Razão Social: BRASFORT EMPRESA DE SEGURANÇA LTDA</v>
      </c>
      <c r="Q1" s="65" t="str">
        <f>Proposta!C55</f>
        <v>Razão Social: BRASFORT EMPRESA DE SEGURANÇA LTDA</v>
      </c>
    </row>
    <row r="2" spans="1:23" x14ac:dyDescent="0.2">
      <c r="A2" s="65" t="str">
        <f>Proposta!C56</f>
        <v>CNPJ: 03.497.401/0001-97</v>
      </c>
      <c r="I2" s="65" t="str">
        <f>Proposta!C56</f>
        <v>CNPJ: 03.497.401/0001-97</v>
      </c>
      <c r="Q2" s="65" t="str">
        <f>Proposta!C56</f>
        <v>CNPJ: 03.497.401/0001-97</v>
      </c>
    </row>
    <row r="3" spans="1:23" x14ac:dyDescent="0.2">
      <c r="A3" s="66"/>
    </row>
    <row r="4" spans="1:23" x14ac:dyDescent="0.2">
      <c r="A4" s="66"/>
    </row>
    <row r="5" spans="1:23" hidden="1" x14ac:dyDescent="0.2">
      <c r="A5" s="1298" t="str">
        <f>Dados!H2</f>
        <v xml:space="preserve">REPACTUAÇÃO CONTRATUAL 20___ - </v>
      </c>
      <c r="B5" s="1298"/>
      <c r="C5" s="1298"/>
      <c r="D5" s="1298"/>
      <c r="E5" s="1298"/>
      <c r="F5" s="1298"/>
      <c r="G5" s="1298"/>
    </row>
    <row r="6" spans="1:23" hidden="1" x14ac:dyDescent="0.2">
      <c r="A6" s="1298" t="str">
        <f>Dados!A10</f>
        <v>CONTRATO Nº __________/201__ - CONTRATANTE - PRESTAÇÃO DE SERVIÇOS --------</v>
      </c>
      <c r="B6" s="1298"/>
      <c r="C6" s="1298"/>
      <c r="D6" s="1298"/>
      <c r="E6" s="1298"/>
      <c r="F6" s="1298"/>
      <c r="G6" s="1298"/>
    </row>
    <row r="7" spans="1:23" x14ac:dyDescent="0.2">
      <c r="A7" s="1196" t="s">
        <v>475</v>
      </c>
      <c r="B7" s="1196"/>
      <c r="C7" s="1196"/>
      <c r="D7" s="1196"/>
      <c r="E7" s="1196"/>
      <c r="F7" s="1196"/>
      <c r="G7" s="1196"/>
      <c r="I7" s="1196"/>
      <c r="J7" s="1196"/>
      <c r="K7" s="1196"/>
      <c r="L7" s="1196"/>
      <c r="M7" s="1196"/>
      <c r="N7" s="1196"/>
      <c r="O7" s="1196"/>
      <c r="Q7" s="1299"/>
      <c r="R7" s="1299"/>
      <c r="S7" s="1299"/>
      <c r="T7" s="1299"/>
      <c r="U7" s="1299"/>
      <c r="V7" s="1299"/>
      <c r="W7" s="1299"/>
    </row>
    <row r="8" spans="1:23" x14ac:dyDescent="0.2">
      <c r="A8" s="1196" t="str">
        <f>Dados!A11</f>
        <v>PLANILHA DE CUSTOS E FORMAÇÃO DE PREÇOS - CJF</v>
      </c>
      <c r="B8" s="1196"/>
      <c r="C8" s="1196"/>
      <c r="D8" s="1196"/>
      <c r="E8" s="1196"/>
      <c r="F8" s="1196"/>
      <c r="G8" s="1196"/>
      <c r="I8" s="1196"/>
      <c r="J8" s="1196"/>
      <c r="K8" s="1196"/>
      <c r="L8" s="1196"/>
      <c r="M8" s="1196"/>
      <c r="N8" s="1196"/>
      <c r="O8" s="1196"/>
      <c r="Q8" s="1299"/>
      <c r="R8" s="1299"/>
      <c r="S8" s="1299"/>
      <c r="T8" s="1299"/>
      <c r="U8" s="1299"/>
      <c r="V8" s="1299"/>
      <c r="W8" s="1299"/>
    </row>
    <row r="9" spans="1:23" hidden="1" x14ac:dyDescent="0.2">
      <c r="A9" s="1196" t="s">
        <v>256</v>
      </c>
      <c r="B9" s="1196"/>
      <c r="C9" s="1196"/>
      <c r="D9" s="1196"/>
      <c r="E9" s="1196"/>
      <c r="F9" s="1196"/>
      <c r="G9" s="1196"/>
      <c r="I9" s="1196" t="s">
        <v>256</v>
      </c>
      <c r="J9" s="1196"/>
      <c r="K9" s="1196"/>
      <c r="L9" s="1196"/>
      <c r="M9" s="1196"/>
      <c r="N9" s="1196"/>
      <c r="O9" s="1196"/>
      <c r="Q9" s="1299"/>
      <c r="R9" s="1299"/>
      <c r="S9" s="1299"/>
      <c r="T9" s="1299"/>
      <c r="U9" s="1299"/>
      <c r="V9" s="1299"/>
      <c r="W9" s="1299"/>
    </row>
    <row r="10" spans="1:23" ht="15.75" customHeight="1" x14ac:dyDescent="0.2">
      <c r="A10" s="67"/>
      <c r="B10" s="67"/>
      <c r="C10" s="67"/>
      <c r="D10" s="67"/>
      <c r="E10" s="67"/>
      <c r="F10" s="67"/>
      <c r="G10" s="67"/>
      <c r="I10" s="364"/>
      <c r="J10" s="364"/>
      <c r="K10" s="1301" t="s">
        <v>488</v>
      </c>
      <c r="L10" s="1301"/>
      <c r="M10" s="1301"/>
      <c r="N10" s="364"/>
      <c r="O10" s="364"/>
      <c r="Q10" s="375"/>
      <c r="R10" s="375"/>
      <c r="S10" s="1300"/>
      <c r="T10" s="1300"/>
      <c r="U10" s="1300"/>
      <c r="V10" s="375"/>
      <c r="W10" s="375"/>
    </row>
    <row r="11" spans="1:23" ht="9.75" customHeight="1" x14ac:dyDescent="0.2">
      <c r="A11" s="68"/>
      <c r="B11" s="68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  <c r="O11" s="68"/>
      <c r="Q11" s="376"/>
      <c r="R11" s="376"/>
      <c r="S11" s="376"/>
      <c r="T11" s="376"/>
      <c r="U11" s="376"/>
      <c r="V11" s="376"/>
      <c r="W11" s="376"/>
    </row>
    <row r="12" spans="1:23" ht="15.75" customHeight="1" x14ac:dyDescent="0.2">
      <c r="A12" s="1193" t="s">
        <v>104</v>
      </c>
      <c r="B12" s="1193"/>
      <c r="C12" s="1197" t="str">
        <f>Dados!G14</f>
        <v>0000793-29.2020.4.90.8000</v>
      </c>
      <c r="D12" s="1197"/>
      <c r="E12" s="72"/>
      <c r="F12" s="80"/>
      <c r="G12" s="69"/>
      <c r="I12" s="1193" t="s">
        <v>104</v>
      </c>
      <c r="J12" s="1193"/>
      <c r="K12" s="1197" t="str">
        <f>Dados!G14</f>
        <v>0000793-29.2020.4.90.8000</v>
      </c>
      <c r="L12" s="1197"/>
      <c r="M12" s="72"/>
      <c r="N12" s="80"/>
      <c r="O12" s="69"/>
      <c r="Q12" s="1302"/>
      <c r="R12" s="1302"/>
      <c r="S12" s="1303"/>
      <c r="T12" s="1303"/>
      <c r="U12" s="378"/>
      <c r="V12" s="380"/>
      <c r="W12" s="379"/>
    </row>
    <row r="13" spans="1:23" ht="15.75" customHeight="1" x14ac:dyDescent="0.2">
      <c r="A13" s="1193" t="s">
        <v>103</v>
      </c>
      <c r="B13" s="1193"/>
      <c r="C13" s="1198" t="str">
        <f>"Pregão Eletrônico nº:" &amp; " " &amp; Dados!G22</f>
        <v>Pregão Eletrônico nº: 09/2020</v>
      </c>
      <c r="D13" s="1198"/>
      <c r="E13" s="72"/>
      <c r="F13" s="151">
        <v>1</v>
      </c>
      <c r="G13" s="69"/>
      <c r="I13" s="1193" t="s">
        <v>103</v>
      </c>
      <c r="J13" s="1193"/>
      <c r="K13" s="1198" t="str">
        <f>"Pregão Eletrônico nº:" &amp; " " &amp; Dados!G22</f>
        <v>Pregão Eletrônico nº: 09/2020</v>
      </c>
      <c r="L13" s="1198"/>
      <c r="M13" s="72"/>
      <c r="N13" s="151">
        <v>1</v>
      </c>
      <c r="O13" s="69"/>
      <c r="Q13" s="1302"/>
      <c r="R13" s="1302"/>
      <c r="S13" s="1304"/>
      <c r="T13" s="1304"/>
      <c r="U13" s="378"/>
      <c r="V13" s="381"/>
      <c r="W13" s="379"/>
    </row>
    <row r="14" spans="1:23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72"/>
      <c r="N14" s="150"/>
      <c r="O14" s="74"/>
      <c r="Q14" s="372"/>
      <c r="R14" s="372"/>
      <c r="S14" s="372"/>
      <c r="T14" s="376"/>
      <c r="U14" s="378"/>
      <c r="V14" s="382"/>
      <c r="W14" s="383"/>
    </row>
    <row r="15" spans="1:23" ht="8.25" customHeight="1" x14ac:dyDescent="0.2">
      <c r="A15" s="71"/>
      <c r="B15" s="71"/>
      <c r="C15" s="71"/>
      <c r="D15" s="68"/>
      <c r="E15" s="72"/>
      <c r="F15" s="73"/>
      <c r="G15" s="74"/>
      <c r="I15" s="71"/>
      <c r="J15" s="71"/>
      <c r="K15" s="71"/>
      <c r="L15" s="68"/>
      <c r="M15" s="72"/>
      <c r="N15" s="73"/>
      <c r="O15" s="74"/>
      <c r="Q15" s="372"/>
      <c r="R15" s="372"/>
      <c r="S15" s="372"/>
      <c r="T15" s="376"/>
      <c r="U15" s="378"/>
      <c r="V15" s="384"/>
      <c r="W15" s="383"/>
    </row>
    <row r="16" spans="1:23" ht="18" customHeight="1" x14ac:dyDescent="0.2">
      <c r="A16" s="1191" t="s">
        <v>205</v>
      </c>
      <c r="B16" s="1191"/>
      <c r="C16" s="1191"/>
      <c r="D16" s="1191"/>
      <c r="E16" s="1191"/>
      <c r="F16" s="1191"/>
      <c r="G16" s="1191"/>
      <c r="I16" s="1191"/>
      <c r="J16" s="1191"/>
      <c r="K16" s="1191"/>
      <c r="L16" s="1191"/>
      <c r="M16" s="1191"/>
      <c r="N16" s="1191"/>
      <c r="O16" s="1191"/>
      <c r="Q16" s="1305"/>
      <c r="R16" s="1305"/>
      <c r="S16" s="1305"/>
      <c r="T16" s="1305"/>
      <c r="U16" s="1305"/>
      <c r="V16" s="1305"/>
      <c r="W16" s="1305"/>
    </row>
    <row r="17" spans="1:37" ht="16.5" customHeight="1" x14ac:dyDescent="0.2">
      <c r="A17" s="301" t="s">
        <v>1</v>
      </c>
      <c r="B17" s="299" t="s">
        <v>105</v>
      </c>
      <c r="C17" s="121"/>
      <c r="D17" s="305"/>
      <c r="E17" s="321"/>
      <c r="F17" s="1168">
        <f>Dados!G16</f>
        <v>44012</v>
      </c>
      <c r="G17" s="1167"/>
      <c r="I17" s="369"/>
      <c r="J17" s="71"/>
      <c r="K17" s="71"/>
      <c r="L17" s="368"/>
      <c r="M17" s="72"/>
      <c r="N17" s="1192"/>
      <c r="O17" s="1195"/>
      <c r="Q17" s="375"/>
      <c r="R17" s="372"/>
      <c r="S17" s="372"/>
      <c r="T17" s="377"/>
      <c r="U17" s="378"/>
      <c r="V17" s="1307"/>
      <c r="W17" s="1308"/>
    </row>
    <row r="18" spans="1:37" ht="16.5" customHeight="1" x14ac:dyDescent="0.2">
      <c r="A18" s="301" t="s">
        <v>2</v>
      </c>
      <c r="B18" s="320" t="s">
        <v>3</v>
      </c>
      <c r="C18" s="305"/>
      <c r="D18" s="305"/>
      <c r="E18" s="322"/>
      <c r="F18" s="1168" t="str">
        <f>Dados!G19</f>
        <v>Brasília - DF</v>
      </c>
      <c r="G18" s="1167"/>
      <c r="I18" s="369"/>
      <c r="J18" s="368"/>
      <c r="K18" s="368"/>
      <c r="L18" s="368"/>
      <c r="M18" s="69"/>
      <c r="N18" s="1192"/>
      <c r="O18" s="1195"/>
      <c r="Q18" s="375"/>
      <c r="R18" s="377"/>
      <c r="S18" s="377"/>
      <c r="T18" s="377"/>
      <c r="U18" s="379"/>
      <c r="V18" s="1307"/>
      <c r="W18" s="1308"/>
    </row>
    <row r="19" spans="1:37" ht="16.5" customHeight="1" x14ac:dyDescent="0.2">
      <c r="A19" s="301" t="s">
        <v>4</v>
      </c>
      <c r="B19" s="299" t="s">
        <v>106</v>
      </c>
      <c r="C19" s="121"/>
      <c r="D19" s="305"/>
      <c r="E19" s="322"/>
      <c r="F19" s="1167">
        <f>Dados!G26</f>
        <v>20</v>
      </c>
      <c r="G19" s="1167"/>
      <c r="I19" s="369"/>
      <c r="J19" s="71"/>
      <c r="K19" s="71"/>
      <c r="L19" s="368"/>
      <c r="M19" s="69"/>
      <c r="N19" s="1195"/>
      <c r="O19" s="1195"/>
      <c r="Q19" s="375"/>
      <c r="R19" s="372"/>
      <c r="S19" s="372"/>
      <c r="T19" s="377"/>
      <c r="U19" s="379"/>
      <c r="V19" s="1308"/>
      <c r="W19" s="1308"/>
    </row>
    <row r="20" spans="1:37" ht="9" customHeight="1" x14ac:dyDescent="0.2">
      <c r="A20" s="67"/>
      <c r="B20" s="68"/>
      <c r="C20" s="68"/>
      <c r="D20" s="68"/>
      <c r="E20" s="68"/>
      <c r="F20" s="75"/>
      <c r="G20" s="76"/>
      <c r="I20" s="369"/>
      <c r="J20" s="68"/>
      <c r="K20" s="68"/>
      <c r="L20" s="68"/>
      <c r="M20" s="68"/>
      <c r="N20" s="68"/>
      <c r="O20" s="369"/>
      <c r="Q20" s="375"/>
      <c r="R20" s="376"/>
      <c r="S20" s="376"/>
      <c r="T20" s="376"/>
      <c r="U20" s="376"/>
      <c r="V20" s="376"/>
      <c r="W20" s="375"/>
    </row>
    <row r="21" spans="1:37" ht="16.5" customHeight="1" x14ac:dyDescent="0.2">
      <c r="A21" s="1191" t="s">
        <v>204</v>
      </c>
      <c r="B21" s="1191"/>
      <c r="C21" s="1191"/>
      <c r="D21" s="1191"/>
      <c r="E21" s="1191"/>
      <c r="F21" s="1191"/>
      <c r="G21" s="1191"/>
      <c r="I21" s="1191"/>
      <c r="J21" s="1191"/>
      <c r="K21" s="1191"/>
      <c r="L21" s="1191"/>
      <c r="M21" s="1191"/>
      <c r="N21" s="1191"/>
      <c r="O21" s="1191"/>
      <c r="Q21" s="1305"/>
      <c r="R21" s="1305"/>
      <c r="S21" s="1305"/>
      <c r="T21" s="1305"/>
      <c r="U21" s="1305"/>
      <c r="V21" s="1305"/>
      <c r="W21" s="1305"/>
    </row>
    <row r="22" spans="1:37" ht="51" customHeight="1" x14ac:dyDescent="0.2">
      <c r="A22" s="1174" t="s">
        <v>76</v>
      </c>
      <c r="B22" s="1174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  <c r="H22" s="34"/>
      <c r="I22" s="1191"/>
      <c r="J22" s="1191"/>
      <c r="K22" s="670"/>
      <c r="L22" s="670"/>
      <c r="M22" s="670"/>
      <c r="N22" s="670"/>
      <c r="O22" s="670"/>
      <c r="P22" s="34"/>
      <c r="Q22" s="1191"/>
      <c r="R22" s="1191"/>
      <c r="S22" s="670"/>
      <c r="T22" s="670"/>
      <c r="U22" s="670"/>
      <c r="V22" s="670"/>
      <c r="W22" s="670"/>
      <c r="X22" s="34"/>
      <c r="Y22" s="34"/>
      <c r="Z22" s="34"/>
      <c r="AA22" s="34"/>
    </row>
    <row r="23" spans="1:37" ht="33.75" customHeight="1" x14ac:dyDescent="0.2">
      <c r="A23" s="1193" t="str">
        <f>Dados!N75</f>
        <v>Vigilância Noturna 12x36</v>
      </c>
      <c r="B23" s="1193"/>
      <c r="C23" s="668" t="str">
        <f>Dados!J30</f>
        <v>Escala 12x36 horas</v>
      </c>
      <c r="D23" s="668" t="str">
        <f>Dados!G25</f>
        <v>Postos de Serviços</v>
      </c>
      <c r="E23" s="325">
        <f>Dados!R75</f>
        <v>5</v>
      </c>
      <c r="F23" s="325">
        <f>Dados!S75</f>
        <v>2</v>
      </c>
      <c r="G23" s="325">
        <f>E23*F23</f>
        <v>10</v>
      </c>
      <c r="H23" s="34"/>
      <c r="I23" s="1194"/>
      <c r="J23" s="1194"/>
      <c r="K23" s="681"/>
      <c r="L23" s="681"/>
      <c r="M23" s="371"/>
      <c r="N23" s="371"/>
      <c r="O23" s="371"/>
      <c r="P23" s="34"/>
      <c r="Q23" s="1194"/>
      <c r="R23" s="1194"/>
      <c r="S23" s="681"/>
      <c r="T23" s="681"/>
      <c r="U23" s="371"/>
      <c r="V23" s="371"/>
      <c r="W23" s="371"/>
      <c r="X23" s="34"/>
      <c r="Y23" s="34"/>
      <c r="Z23" s="34"/>
      <c r="AA23" s="34"/>
    </row>
    <row r="24" spans="1:37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71"/>
      <c r="W24" s="71"/>
      <c r="X24" s="34"/>
      <c r="Y24" s="34"/>
      <c r="Z24" s="34"/>
      <c r="AA24" s="34"/>
    </row>
    <row r="25" spans="1:37" ht="44.25" customHeight="1" x14ac:dyDescent="0.2">
      <c r="A25" s="1174" t="s">
        <v>415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4"/>
      <c r="Y25" s="1174"/>
      <c r="Z25" s="894"/>
      <c r="AA25" s="894"/>
    </row>
    <row r="26" spans="1:37" ht="51" customHeight="1" x14ac:dyDescent="0.2">
      <c r="A26" s="675">
        <v>1</v>
      </c>
      <c r="B26" s="1291" t="s">
        <v>76</v>
      </c>
      <c r="C26" s="1291"/>
      <c r="D26" s="1291"/>
      <c r="E26" s="1291"/>
      <c r="F26" s="1306" t="str">
        <f>Dados!P75</f>
        <v>Vigilante Armado, 12 horas noturnas em escala 12x36, das 19h às 07h</v>
      </c>
      <c r="G26" s="1306"/>
      <c r="H26" s="34"/>
      <c r="I26" s="681"/>
      <c r="J26" s="1309"/>
      <c r="K26" s="1309"/>
      <c r="L26" s="1309"/>
      <c r="M26" s="1309"/>
      <c r="N26" s="1167" t="str">
        <f>Dados!P75</f>
        <v>Vigilante Armado, 12 horas noturnas em escala 12x36, das 19h às 07h</v>
      </c>
      <c r="O26" s="1167"/>
      <c r="P26" s="307"/>
      <c r="Q26" s="307"/>
      <c r="R26" s="307"/>
      <c r="S26" s="307"/>
      <c r="T26" s="307"/>
      <c r="U26" s="307"/>
      <c r="V26" s="1167" t="str">
        <f>Dados!P75</f>
        <v>Vigilante Armado, 12 horas noturnas em escala 12x36, das 19h às 07h</v>
      </c>
      <c r="W26" s="1167"/>
      <c r="X26" s="1167" t="str">
        <f>Dados!P75</f>
        <v>Vigilante Armado, 12 horas noturnas em escala 12x36, das 19h às 07h</v>
      </c>
      <c r="Y26" s="1167"/>
      <c r="Z26" s="893"/>
      <c r="AA26" s="893"/>
      <c r="AD26" s="1167" t="str">
        <f t="shared" ref="AD26" si="0">X26</f>
        <v>Vigilante Armado, 12 horas noturnas em escala 12x36, das 19h às 07h</v>
      </c>
      <c r="AE26" s="1167"/>
      <c r="AJ26" s="1167" t="str">
        <f t="shared" ref="AJ26" si="1">AD26</f>
        <v>Vigilante Armado, 12 horas noturnas em escala 12x36, das 19h às 07h</v>
      </c>
      <c r="AK26" s="1167"/>
    </row>
    <row r="27" spans="1:37" ht="28.5" customHeight="1" x14ac:dyDescent="0.2">
      <c r="A27" s="668">
        <v>2</v>
      </c>
      <c r="B27" s="1161" t="s">
        <v>202</v>
      </c>
      <c r="C27" s="1161"/>
      <c r="D27" s="1161"/>
      <c r="E27" s="1161"/>
      <c r="F27" s="1193" t="str">
        <f>Dados!O75</f>
        <v>5173-30</v>
      </c>
      <c r="G27" s="1193"/>
      <c r="H27" s="34"/>
      <c r="I27" s="681"/>
      <c r="J27" s="1309"/>
      <c r="K27" s="1309"/>
      <c r="L27" s="1309"/>
      <c r="M27" s="1309"/>
      <c r="N27" s="1167" t="str">
        <f>Dados!O75</f>
        <v>5173-30</v>
      </c>
      <c r="O27" s="1167"/>
      <c r="P27" s="307"/>
      <c r="Q27" s="307"/>
      <c r="R27" s="307"/>
      <c r="S27" s="307"/>
      <c r="T27" s="307"/>
      <c r="U27" s="307"/>
      <c r="V27" s="1167" t="str">
        <f>Dados!O75</f>
        <v>5173-30</v>
      </c>
      <c r="W27" s="1167"/>
      <c r="X27" s="1167" t="str">
        <f>Dados!O75</f>
        <v>5173-30</v>
      </c>
      <c r="Y27" s="1167"/>
      <c r="Z27" s="893"/>
      <c r="AA27" s="893"/>
      <c r="AD27" s="1167" t="str">
        <f>X27</f>
        <v>5173-30</v>
      </c>
      <c r="AE27" s="1167"/>
      <c r="AJ27" s="1167" t="str">
        <f>AD27</f>
        <v>5173-30</v>
      </c>
      <c r="AK27" s="1167"/>
    </row>
    <row r="28" spans="1:37" ht="15.75" customHeight="1" x14ac:dyDescent="0.2">
      <c r="A28" s="668">
        <v>3</v>
      </c>
      <c r="B28" s="1161" t="s">
        <v>416</v>
      </c>
      <c r="C28" s="1161"/>
      <c r="D28" s="1161"/>
      <c r="E28" s="1161"/>
      <c r="F28" s="1162">
        <f>Dados!U75</f>
        <v>2192.65</v>
      </c>
      <c r="G28" s="1162"/>
      <c r="H28" s="34"/>
      <c r="I28" s="681"/>
      <c r="J28" s="1309"/>
      <c r="K28" s="1309"/>
      <c r="L28" s="1309"/>
      <c r="M28" s="1309"/>
      <c r="N28" s="1292">
        <f>Dados!U75*1.03</f>
        <v>2258.4299999999998</v>
      </c>
      <c r="O28" s="1292"/>
      <c r="P28" s="726"/>
      <c r="Q28" s="726"/>
      <c r="R28" s="726"/>
      <c r="S28" s="726"/>
      <c r="T28" s="726"/>
      <c r="U28" s="726"/>
      <c r="V28" s="1292">
        <f>Dados!U75*1.03</f>
        <v>2258.4299999999998</v>
      </c>
      <c r="W28" s="1292"/>
      <c r="X28" s="1292">
        <f>Dados!U75*1.03</f>
        <v>2258.4299999999998</v>
      </c>
      <c r="Y28" s="1292"/>
      <c r="Z28" s="905"/>
      <c r="AA28" s="905"/>
      <c r="AD28" s="1310">
        <v>2450.39</v>
      </c>
      <c r="AE28" s="1310"/>
      <c r="AJ28" s="1310">
        <v>2593.73</v>
      </c>
      <c r="AK28" s="1310"/>
    </row>
    <row r="29" spans="1:37" ht="15.75" customHeight="1" x14ac:dyDescent="0.2">
      <c r="A29" s="668" t="s">
        <v>4</v>
      </c>
      <c r="B29" s="664" t="s">
        <v>417</v>
      </c>
      <c r="C29" s="324"/>
      <c r="D29" s="324"/>
      <c r="E29" s="323"/>
      <c r="F29" s="1167" t="str">
        <f>Dados!N82</f>
        <v>SINDESV/SINDESP-DF</v>
      </c>
      <c r="G29" s="1167"/>
      <c r="H29" s="34"/>
      <c r="I29" s="681"/>
      <c r="J29" s="71"/>
      <c r="K29" s="374"/>
      <c r="L29" s="374"/>
      <c r="M29" s="374"/>
      <c r="N29" s="1167" t="str">
        <f>Dados!N82</f>
        <v>SINDESV/SINDESP-DF</v>
      </c>
      <c r="O29" s="1167"/>
      <c r="P29" s="322"/>
      <c r="Q29" s="595"/>
      <c r="R29" s="595"/>
      <c r="S29" s="595"/>
      <c r="T29" s="595"/>
      <c r="U29" s="595"/>
      <c r="V29" s="1167" t="str">
        <f>Dados!N82</f>
        <v>SINDESV/SINDESP-DF</v>
      </c>
      <c r="W29" s="1167"/>
      <c r="X29" s="1167" t="str">
        <f>Dados!N82</f>
        <v>SINDESV/SINDESP-DF</v>
      </c>
      <c r="Y29" s="1167"/>
      <c r="Z29" s="893"/>
      <c r="AA29" s="893"/>
      <c r="AD29" s="1167" t="str">
        <f>X29</f>
        <v>SINDESV/SINDESP-DF</v>
      </c>
      <c r="AE29" s="1167"/>
      <c r="AJ29" s="1167" t="str">
        <f>AD29</f>
        <v>SINDESV/SINDESP-DF</v>
      </c>
      <c r="AK29" s="1167"/>
    </row>
    <row r="30" spans="1:37" x14ac:dyDescent="0.2">
      <c r="A30" s="668">
        <v>4</v>
      </c>
      <c r="B30" s="1161" t="s">
        <v>10</v>
      </c>
      <c r="C30" s="1161"/>
      <c r="D30" s="1161"/>
      <c r="E30" s="1161"/>
      <c r="F30" s="1168">
        <f>Dados!T82</f>
        <v>43831</v>
      </c>
      <c r="G30" s="1168"/>
      <c r="H30" s="34"/>
      <c r="I30" s="681"/>
      <c r="J30" s="1309"/>
      <c r="K30" s="1309"/>
      <c r="L30" s="1309"/>
      <c r="M30" s="1309"/>
      <c r="N30" s="1168">
        <v>44197</v>
      </c>
      <c r="O30" s="1168"/>
      <c r="P30" s="727"/>
      <c r="Q30" s="728"/>
      <c r="R30" s="728"/>
      <c r="S30" s="728"/>
      <c r="T30" s="728"/>
      <c r="U30" s="728"/>
      <c r="V30" s="1168">
        <v>44197</v>
      </c>
      <c r="W30" s="1168"/>
      <c r="X30" s="1168">
        <v>44197</v>
      </c>
      <c r="Y30" s="1168"/>
      <c r="Z30" s="892"/>
      <c r="AA30" s="892"/>
      <c r="AD30" s="1311">
        <v>44562</v>
      </c>
      <c r="AE30" s="1311"/>
      <c r="AJ30" s="1311">
        <v>44927</v>
      </c>
      <c r="AK30" s="1311"/>
    </row>
    <row r="31" spans="1:37" ht="14.25" customHeight="1" x14ac:dyDescent="0.2">
      <c r="A31" s="668">
        <v>5</v>
      </c>
      <c r="B31" s="1161" t="s">
        <v>418</v>
      </c>
      <c r="C31" s="1161"/>
      <c r="D31" s="1161"/>
      <c r="E31" s="1161"/>
      <c r="F31" s="1168" t="str">
        <f>Dados!L82</f>
        <v>DF000040/2020</v>
      </c>
      <c r="G31" s="1168"/>
      <c r="H31" s="34"/>
      <c r="I31" s="681"/>
      <c r="J31" s="1309"/>
      <c r="K31" s="1309"/>
      <c r="L31" s="1309"/>
      <c r="M31" s="1309"/>
      <c r="N31" s="1167" t="s">
        <v>491</v>
      </c>
      <c r="O31" s="1167"/>
      <c r="P31" s="322"/>
      <c r="Q31" s="595"/>
      <c r="R31" s="595"/>
      <c r="S31" s="595"/>
      <c r="T31" s="595"/>
      <c r="U31" s="595"/>
      <c r="V31" s="1167" t="s">
        <v>491</v>
      </c>
      <c r="W31" s="1167"/>
      <c r="X31" s="1167" t="s">
        <v>491</v>
      </c>
      <c r="Y31" s="1167"/>
      <c r="Z31" s="893"/>
      <c r="AA31" s="893"/>
      <c r="AD31" s="1226" t="s">
        <v>556</v>
      </c>
      <c r="AE31" s="1226"/>
      <c r="AJ31" s="1225" t="s">
        <v>596</v>
      </c>
      <c r="AK31" s="1225"/>
    </row>
    <row r="32" spans="1:37" ht="14.25" customHeight="1" x14ac:dyDescent="0.2">
      <c r="A32" s="681"/>
      <c r="B32" s="694"/>
      <c r="C32" s="694"/>
      <c r="D32" s="694"/>
      <c r="E32" s="694"/>
      <c r="F32" s="673"/>
      <c r="G32" s="673"/>
      <c r="H32" s="34"/>
      <c r="I32" s="681"/>
      <c r="J32" s="694"/>
      <c r="K32" s="694"/>
      <c r="L32" s="694"/>
      <c r="M32" s="694"/>
      <c r="N32" s="673"/>
      <c r="O32" s="673"/>
      <c r="P32" s="34"/>
      <c r="Q32" s="681"/>
      <c r="R32" s="694"/>
      <c r="S32" s="694"/>
      <c r="T32" s="694"/>
      <c r="U32" s="694"/>
      <c r="V32" s="673"/>
      <c r="W32" s="673"/>
      <c r="X32" s="34"/>
      <c r="Y32" s="34"/>
      <c r="Z32" s="34"/>
      <c r="AA32" s="34"/>
    </row>
    <row r="33" spans="1:37" s="198" customFormat="1" x14ac:dyDescent="0.2">
      <c r="A33" s="1206" t="s">
        <v>25</v>
      </c>
      <c r="B33" s="1207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901"/>
      <c r="AA33" s="901"/>
    </row>
    <row r="34" spans="1:37" ht="74.25" customHeight="1" x14ac:dyDescent="0.2">
      <c r="A34" s="707">
        <v>1</v>
      </c>
      <c r="B34" s="1173" t="s">
        <v>77</v>
      </c>
      <c r="C34" s="1173"/>
      <c r="D34" s="1173"/>
      <c r="E34" s="1173"/>
      <c r="F34" s="703" t="s">
        <v>222</v>
      </c>
      <c r="G34" s="707" t="s">
        <v>107</v>
      </c>
      <c r="H34" s="592"/>
      <c r="I34" s="707">
        <v>1</v>
      </c>
      <c r="J34" s="1173" t="s">
        <v>77</v>
      </c>
      <c r="K34" s="1173"/>
      <c r="L34" s="1173"/>
      <c r="M34" s="1173"/>
      <c r="N34" s="703" t="s">
        <v>222</v>
      </c>
      <c r="O34" s="703" t="s">
        <v>519</v>
      </c>
      <c r="P34" s="593"/>
      <c r="Q34" s="707">
        <v>1</v>
      </c>
      <c r="R34" s="1173" t="s">
        <v>77</v>
      </c>
      <c r="S34" s="1173"/>
      <c r="T34" s="1173"/>
      <c r="U34" s="1173"/>
      <c r="V34" s="703" t="s">
        <v>222</v>
      </c>
      <c r="W34" s="703" t="s">
        <v>520</v>
      </c>
      <c r="X34" s="703" t="s">
        <v>222</v>
      </c>
      <c r="Y34" s="703" t="s">
        <v>539</v>
      </c>
      <c r="Z34" s="888" t="s">
        <v>222</v>
      </c>
      <c r="AA34" s="783" t="s">
        <v>591</v>
      </c>
      <c r="AB34" s="924" t="s">
        <v>222</v>
      </c>
      <c r="AC34" s="783" t="s">
        <v>601</v>
      </c>
      <c r="AD34" s="783" t="s">
        <v>222</v>
      </c>
      <c r="AE34" s="783" t="s">
        <v>593</v>
      </c>
      <c r="AF34" s="783" t="s">
        <v>222</v>
      </c>
      <c r="AG34" s="783" t="s">
        <v>605</v>
      </c>
      <c r="AH34" s="783" t="s">
        <v>222</v>
      </c>
      <c r="AI34" s="783" t="s">
        <v>603</v>
      </c>
      <c r="AJ34" s="783" t="s">
        <v>222</v>
      </c>
      <c r="AK34" s="783" t="s">
        <v>600</v>
      </c>
    </row>
    <row r="35" spans="1:37" x14ac:dyDescent="0.2">
      <c r="A35" s="587" t="s">
        <v>1</v>
      </c>
      <c r="B35" s="588" t="s">
        <v>178</v>
      </c>
      <c r="C35" s="601"/>
      <c r="D35" s="601"/>
      <c r="E35" s="611"/>
      <c r="F35" s="612"/>
      <c r="G35" s="613">
        <f>$F$28*F13</f>
        <v>2192.65</v>
      </c>
      <c r="H35" s="79"/>
      <c r="I35" s="587" t="s">
        <v>1</v>
      </c>
      <c r="J35" s="588" t="s">
        <v>178</v>
      </c>
      <c r="K35" s="601"/>
      <c r="L35" s="601"/>
      <c r="M35" s="611"/>
      <c r="N35" s="612"/>
      <c r="O35" s="613">
        <f>$F$28*N13*1.03</f>
        <v>2258.4299999999998</v>
      </c>
      <c r="P35" s="34"/>
      <c r="Q35" s="587" t="s">
        <v>1</v>
      </c>
      <c r="R35" s="588" t="s">
        <v>178</v>
      </c>
      <c r="S35" s="601"/>
      <c r="T35" s="601"/>
      <c r="U35" s="611"/>
      <c r="V35" s="612"/>
      <c r="W35" s="613">
        <v>2258.4299999999998</v>
      </c>
      <c r="X35" s="593"/>
      <c r="Y35" s="613">
        <v>2258.4299999999998</v>
      </c>
      <c r="Z35" s="593"/>
      <c r="AA35" s="613">
        <v>2258.4299999999998</v>
      </c>
      <c r="AB35" s="593"/>
      <c r="AC35" s="613">
        <v>2258.4299999999998</v>
      </c>
      <c r="AD35" s="779"/>
      <c r="AE35" s="779">
        <f>TRUNC(Y35*1.085,2)</f>
        <v>2450.39</v>
      </c>
      <c r="AF35" s="779"/>
      <c r="AG35" s="779">
        <f>AE35</f>
        <v>2450.39</v>
      </c>
      <c r="AH35" s="779"/>
      <c r="AI35" s="779">
        <f>AG35</f>
        <v>2450.39</v>
      </c>
      <c r="AJ35" s="779"/>
      <c r="AK35" s="779">
        <v>2593.73</v>
      </c>
    </row>
    <row r="36" spans="1:37" x14ac:dyDescent="0.2">
      <c r="A36" s="295" t="s">
        <v>2</v>
      </c>
      <c r="B36" s="664" t="str">
        <f>Dados!A36 &amp; " " &amp; "- Salário base x 30%"</f>
        <v>Adicional de Periculosidade  - Salário base x 30%</v>
      </c>
      <c r="C36" s="665"/>
      <c r="D36" s="665"/>
      <c r="E36" s="666"/>
      <c r="F36" s="296">
        <f>Dados!G36</f>
        <v>0.3</v>
      </c>
      <c r="G36" s="298">
        <f>G35*F36</f>
        <v>657.8</v>
      </c>
      <c r="H36" s="79"/>
      <c r="I36" s="295" t="s">
        <v>2</v>
      </c>
      <c r="J36" s="664" t="str">
        <f>Dados!A36 &amp; " " &amp; "- Salário base x 30%"</f>
        <v>Adicional de Periculosidade  - Salário base x 30%</v>
      </c>
      <c r="K36" s="665"/>
      <c r="L36" s="665"/>
      <c r="M36" s="666"/>
      <c r="N36" s="296">
        <f>Dados!G36</f>
        <v>0.3</v>
      </c>
      <c r="O36" s="298">
        <f>O35*N36</f>
        <v>677.53</v>
      </c>
      <c r="P36" s="34"/>
      <c r="Q36" s="295" t="s">
        <v>2</v>
      </c>
      <c r="R36" s="664" t="s">
        <v>492</v>
      </c>
      <c r="S36" s="665"/>
      <c r="T36" s="665"/>
      <c r="U36" s="666"/>
      <c r="V36" s="296">
        <v>0.3</v>
      </c>
      <c r="W36" s="298">
        <v>677.53</v>
      </c>
      <c r="X36" s="296">
        <v>0.3</v>
      </c>
      <c r="Y36" s="298">
        <v>677.53</v>
      </c>
      <c r="Z36" s="296">
        <v>0.3</v>
      </c>
      <c r="AA36" s="298">
        <v>677.53</v>
      </c>
      <c r="AB36" s="296">
        <v>0.3</v>
      </c>
      <c r="AC36" s="298">
        <v>677.53</v>
      </c>
      <c r="AD36" s="780">
        <v>0.3</v>
      </c>
      <c r="AE36" s="781">
        <f>AE35*0.3</f>
        <v>735.12</v>
      </c>
      <c r="AF36" s="780">
        <v>0.3</v>
      </c>
      <c r="AG36" s="781">
        <f>AG35*0.3</f>
        <v>735.12</v>
      </c>
      <c r="AH36" s="780">
        <v>0.3</v>
      </c>
      <c r="AI36" s="781">
        <f>AI35*0.3</f>
        <v>735.12</v>
      </c>
      <c r="AJ36" s="780">
        <v>0.3</v>
      </c>
      <c r="AK36" s="781">
        <f>AK35*0.3</f>
        <v>778.12</v>
      </c>
    </row>
    <row r="37" spans="1:37" x14ac:dyDescent="0.2">
      <c r="A37" s="295" t="s">
        <v>4</v>
      </c>
      <c r="B37" s="664" t="s">
        <v>255</v>
      </c>
      <c r="C37" s="665"/>
      <c r="D37" s="665"/>
      <c r="E37" s="666"/>
      <c r="F37" s="296"/>
      <c r="G37" s="298"/>
      <c r="H37" s="79"/>
      <c r="I37" s="295" t="s">
        <v>4</v>
      </c>
      <c r="J37" s="664" t="s">
        <v>255</v>
      </c>
      <c r="K37" s="665"/>
      <c r="L37" s="665"/>
      <c r="M37" s="666"/>
      <c r="N37" s="296"/>
      <c r="O37" s="298"/>
      <c r="P37" s="34"/>
      <c r="Q37" s="295" t="s">
        <v>4</v>
      </c>
      <c r="R37" s="664" t="s">
        <v>255</v>
      </c>
      <c r="S37" s="665"/>
      <c r="T37" s="665"/>
      <c r="U37" s="666"/>
      <c r="V37" s="296"/>
      <c r="W37" s="298"/>
      <c r="X37" s="593"/>
      <c r="Y37" s="298"/>
      <c r="Z37" s="593"/>
      <c r="AA37" s="298"/>
      <c r="AB37" s="593"/>
      <c r="AC37" s="298"/>
      <c r="AD37" s="781"/>
      <c r="AE37" s="781"/>
      <c r="AF37" s="781"/>
      <c r="AG37" s="781"/>
      <c r="AH37" s="781"/>
      <c r="AI37" s="781"/>
      <c r="AJ37" s="781"/>
      <c r="AK37" s="781"/>
    </row>
    <row r="38" spans="1:37" ht="15" x14ac:dyDescent="0.2">
      <c r="A38" s="295" t="s">
        <v>5</v>
      </c>
      <c r="B38" s="664" t="s">
        <v>438</v>
      </c>
      <c r="C38" s="665"/>
      <c r="D38" s="665"/>
      <c r="E38" s="666"/>
      <c r="F38" s="296">
        <f>Dados!G39</f>
        <v>0.2</v>
      </c>
      <c r="G38" s="298">
        <f>((((G35+G36)/220)*F38)*(7/52.3*60))*Dados!M30</f>
        <v>312.14999999999998</v>
      </c>
      <c r="H38" s="79"/>
      <c r="I38" s="295" t="s">
        <v>5</v>
      </c>
      <c r="J38" s="664" t="s">
        <v>438</v>
      </c>
      <c r="K38" s="665"/>
      <c r="L38" s="665"/>
      <c r="M38" s="666"/>
      <c r="N38" s="296">
        <f>Dados!G39</f>
        <v>0.2</v>
      </c>
      <c r="O38" s="298">
        <f>((((O35+O36)/220)*N38)*(7/52.3*60))*Dados!M30</f>
        <v>321.51</v>
      </c>
      <c r="P38" s="34"/>
      <c r="Q38" s="295" t="s">
        <v>5</v>
      </c>
      <c r="R38" s="664" t="s">
        <v>508</v>
      </c>
      <c r="S38" s="665"/>
      <c r="T38" s="665"/>
      <c r="U38" s="666"/>
      <c r="V38" s="296">
        <v>0.2</v>
      </c>
      <c r="W38" s="298">
        <v>321.51</v>
      </c>
      <c r="X38" s="296">
        <v>0.2</v>
      </c>
      <c r="Y38" s="298">
        <v>321.51</v>
      </c>
      <c r="Z38" s="296">
        <v>0.2</v>
      </c>
      <c r="AA38" s="298">
        <v>321.51</v>
      </c>
      <c r="AB38" s="296">
        <v>0.2</v>
      </c>
      <c r="AC38" s="298">
        <v>321.51</v>
      </c>
      <c r="AD38" s="780">
        <v>0.2</v>
      </c>
      <c r="AE38" s="298">
        <f>((((AE35+AE36)/220)*AD38)*(7/52.3*60))*Dados!M30</f>
        <v>348.84</v>
      </c>
      <c r="AF38" s="780">
        <v>0.2</v>
      </c>
      <c r="AG38" s="298">
        <f>AE38</f>
        <v>348.84</v>
      </c>
      <c r="AH38" s="780">
        <v>0.2</v>
      </c>
      <c r="AI38" s="298">
        <f>AG38</f>
        <v>348.84</v>
      </c>
      <c r="AJ38" s="780">
        <v>0.2</v>
      </c>
      <c r="AK38" s="298">
        <f>((((AK35+AK36)/220)*AJ38)*(7/52.3*60))*Dados!M30</f>
        <v>369.24</v>
      </c>
    </row>
    <row r="39" spans="1:37" x14ac:dyDescent="0.2">
      <c r="A39" s="295" t="s">
        <v>6</v>
      </c>
      <c r="B39" s="664" t="s">
        <v>206</v>
      </c>
      <c r="C39" s="665"/>
      <c r="D39" s="665"/>
      <c r="E39" s="666"/>
      <c r="F39" s="296"/>
      <c r="G39" s="298"/>
      <c r="H39" s="79"/>
      <c r="I39" s="295" t="s">
        <v>6</v>
      </c>
      <c r="J39" s="664" t="s">
        <v>206</v>
      </c>
      <c r="K39" s="665"/>
      <c r="L39" s="665"/>
      <c r="M39" s="666"/>
      <c r="N39" s="296"/>
      <c r="O39" s="298"/>
      <c r="P39" s="34"/>
      <c r="Q39" s="295" t="s">
        <v>6</v>
      </c>
      <c r="R39" s="664" t="s">
        <v>206</v>
      </c>
      <c r="S39" s="665"/>
      <c r="T39" s="665"/>
      <c r="U39" s="666"/>
      <c r="V39" s="296"/>
      <c r="W39" s="298"/>
      <c r="X39" s="593"/>
      <c r="Y39" s="298"/>
      <c r="Z39" s="593"/>
      <c r="AA39" s="298"/>
      <c r="AB39" s="593"/>
      <c r="AC39" s="298"/>
      <c r="AD39" s="781"/>
      <c r="AE39" s="781"/>
      <c r="AF39" s="781"/>
      <c r="AG39" s="781"/>
      <c r="AH39" s="781"/>
      <c r="AI39" s="781"/>
      <c r="AJ39" s="781"/>
      <c r="AK39" s="781"/>
    </row>
    <row r="40" spans="1:37" x14ac:dyDescent="0.2">
      <c r="A40" s="295" t="s">
        <v>7</v>
      </c>
      <c r="B40" s="664" t="s">
        <v>51</v>
      </c>
      <c r="C40" s="665"/>
      <c r="D40" s="665"/>
      <c r="E40" s="666"/>
      <c r="F40" s="296"/>
      <c r="G40" s="298"/>
      <c r="H40" s="79"/>
      <c r="I40" s="295" t="s">
        <v>7</v>
      </c>
      <c r="J40" s="664" t="s">
        <v>51</v>
      </c>
      <c r="K40" s="665"/>
      <c r="L40" s="665"/>
      <c r="M40" s="666"/>
      <c r="N40" s="296"/>
      <c r="O40" s="298"/>
      <c r="P40" s="34"/>
      <c r="Q40" s="295" t="s">
        <v>7</v>
      </c>
      <c r="R40" s="664" t="s">
        <v>51</v>
      </c>
      <c r="S40" s="665"/>
      <c r="T40" s="665"/>
      <c r="U40" s="666"/>
      <c r="V40" s="296"/>
      <c r="W40" s="298"/>
      <c r="X40" s="593"/>
      <c r="Y40" s="298"/>
      <c r="Z40" s="593"/>
      <c r="AA40" s="298"/>
      <c r="AB40" s="593"/>
      <c r="AC40" s="298"/>
      <c r="AD40" s="781"/>
      <c r="AE40" s="781"/>
      <c r="AF40" s="781"/>
      <c r="AG40" s="781"/>
      <c r="AH40" s="781"/>
      <c r="AI40" s="781"/>
      <c r="AJ40" s="781"/>
      <c r="AK40" s="781"/>
    </row>
    <row r="41" spans="1:37" ht="16.5" customHeight="1" x14ac:dyDescent="0.2">
      <c r="A41" s="729" t="s">
        <v>159</v>
      </c>
      <c r="B41" s="729"/>
      <c r="C41" s="729"/>
      <c r="D41" s="729"/>
      <c r="E41" s="729"/>
      <c r="F41" s="729"/>
      <c r="G41" s="706">
        <f>SUM(G35:G40)</f>
        <v>3162.6</v>
      </c>
      <c r="H41" s="79"/>
      <c r="I41" s="729" t="s">
        <v>159</v>
      </c>
      <c r="J41" s="729"/>
      <c r="K41" s="729"/>
      <c r="L41" s="729"/>
      <c r="M41" s="729"/>
      <c r="N41" s="729"/>
      <c r="O41" s="706">
        <f>SUM(O35:O40)</f>
        <v>3257.47</v>
      </c>
      <c r="P41" s="34"/>
      <c r="Q41" s="729" t="s">
        <v>159</v>
      </c>
      <c r="R41" s="729"/>
      <c r="S41" s="729"/>
      <c r="T41" s="729"/>
      <c r="U41" s="729"/>
      <c r="V41" s="729"/>
      <c r="W41" s="706">
        <f>SUM(W35:W40)</f>
        <v>3257.47</v>
      </c>
      <c r="X41" s="638" t="s">
        <v>159</v>
      </c>
      <c r="Y41" s="706">
        <f>SUM(Y35:Y40)</f>
        <v>3257.47</v>
      </c>
      <c r="Z41" s="638" t="s">
        <v>159</v>
      </c>
      <c r="AA41" s="706">
        <f>SUM(AA35:AA40)</f>
        <v>3257.47</v>
      </c>
      <c r="AB41" s="638" t="s">
        <v>159</v>
      </c>
      <c r="AC41" s="706">
        <f>SUM(AC35:AC40)</f>
        <v>3257.47</v>
      </c>
      <c r="AD41" s="848" t="s">
        <v>159</v>
      </c>
      <c r="AE41" s="782">
        <f>SUM(AE35:AE40)</f>
        <v>3534.35</v>
      </c>
      <c r="AF41" s="848" t="s">
        <v>159</v>
      </c>
      <c r="AG41" s="782">
        <f>SUM(AG35:AG40)</f>
        <v>3534.35</v>
      </c>
      <c r="AH41" s="848" t="s">
        <v>159</v>
      </c>
      <c r="AI41" s="782">
        <f>SUM(AI35:AI40)</f>
        <v>3534.35</v>
      </c>
      <c r="AJ41" s="848" t="s">
        <v>159</v>
      </c>
      <c r="AK41" s="782">
        <f>SUM(AK35:AK40)</f>
        <v>3741.09</v>
      </c>
    </row>
    <row r="42" spans="1:37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Q42" s="71" t="s">
        <v>494</v>
      </c>
      <c r="R42" s="71"/>
      <c r="S42" s="71"/>
      <c r="T42" s="71"/>
      <c r="U42" s="71"/>
      <c r="V42" s="196"/>
      <c r="W42" s="197"/>
    </row>
    <row r="43" spans="1:37" s="34" customFormat="1" ht="14.25" hidden="1" customHeight="1" x14ac:dyDescent="0.2">
      <c r="A43" s="68" t="s">
        <v>208</v>
      </c>
      <c r="B43" s="68"/>
      <c r="C43" s="68"/>
      <c r="D43" s="68"/>
      <c r="E43" s="68"/>
      <c r="F43" s="68"/>
      <c r="G43" s="68"/>
      <c r="H43" s="79"/>
      <c r="I43" s="68" t="s">
        <v>208</v>
      </c>
      <c r="J43" s="68"/>
      <c r="K43" s="68"/>
      <c r="L43" s="68"/>
      <c r="M43" s="68"/>
      <c r="N43" s="68"/>
      <c r="O43" s="68"/>
      <c r="Q43" s="68" t="s">
        <v>495</v>
      </c>
      <c r="R43" s="68"/>
      <c r="S43" s="68"/>
      <c r="T43" s="68"/>
      <c r="U43" s="68"/>
      <c r="V43" s="68"/>
      <c r="W43" s="68"/>
    </row>
    <row r="44" spans="1:37" s="34" customFormat="1" ht="14.25" hidden="1" customHeight="1" x14ac:dyDescent="0.2">
      <c r="A44" s="68"/>
      <c r="B44" s="68"/>
      <c r="C44" s="68"/>
      <c r="D44" s="68"/>
      <c r="E44" s="68"/>
      <c r="F44" s="68"/>
      <c r="G44" s="68"/>
      <c r="H44" s="79"/>
      <c r="I44" s="68"/>
      <c r="J44" s="68"/>
      <c r="K44" s="68"/>
      <c r="L44" s="68"/>
      <c r="M44" s="68"/>
      <c r="N44" s="68"/>
      <c r="O44" s="68"/>
      <c r="Q44" s="68"/>
      <c r="R44" s="68"/>
      <c r="S44" s="68"/>
      <c r="T44" s="68"/>
      <c r="U44" s="68"/>
      <c r="V44" s="68"/>
      <c r="W44" s="68"/>
    </row>
    <row r="45" spans="1:37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Q45" s="71"/>
      <c r="R45" s="71"/>
      <c r="S45" s="71"/>
      <c r="T45" s="71"/>
      <c r="U45" s="71"/>
      <c r="V45" s="196"/>
      <c r="W45" s="197"/>
    </row>
    <row r="46" spans="1:37" s="34" customFormat="1" ht="27.75" customHeight="1" x14ac:dyDescent="0.2">
      <c r="A46" s="1174" t="s">
        <v>209</v>
      </c>
      <c r="B46" s="1174"/>
      <c r="C46" s="1174"/>
      <c r="D46" s="1174"/>
      <c r="E46" s="1174"/>
      <c r="F46" s="1174"/>
      <c r="G46" s="1174"/>
      <c r="H46" s="1174"/>
      <c r="I46" s="1174"/>
      <c r="J46" s="1174"/>
      <c r="K46" s="1174"/>
      <c r="L46" s="1174"/>
      <c r="M46" s="1174"/>
      <c r="N46" s="1174"/>
      <c r="O46" s="1174"/>
      <c r="P46" s="1174"/>
      <c r="Q46" s="1174"/>
      <c r="R46" s="1174"/>
      <c r="S46" s="1174"/>
      <c r="T46" s="1174"/>
      <c r="U46" s="1174"/>
      <c r="V46" s="1174"/>
      <c r="W46" s="1174"/>
      <c r="X46" s="1174"/>
      <c r="Y46" s="1174"/>
    </row>
    <row r="47" spans="1:37" s="34" customFormat="1" x14ac:dyDescent="0.2">
      <c r="A47" s="1173" t="s">
        <v>216</v>
      </c>
      <c r="B47" s="1173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593"/>
      <c r="AA47" s="593"/>
      <c r="AB47" s="593"/>
      <c r="AC47" s="593"/>
      <c r="AD47" s="593"/>
      <c r="AE47" s="593"/>
    </row>
    <row r="48" spans="1:37" s="34" customFormat="1" x14ac:dyDescent="0.2">
      <c r="A48" s="705" t="s">
        <v>211</v>
      </c>
      <c r="B48" s="1218" t="s">
        <v>223</v>
      </c>
      <c r="C48" s="1218"/>
      <c r="D48" s="1218"/>
      <c r="E48" s="1218"/>
      <c r="F48" s="705" t="s">
        <v>222</v>
      </c>
      <c r="G48" s="704" t="s">
        <v>107</v>
      </c>
      <c r="H48" s="627"/>
      <c r="I48" s="705" t="s">
        <v>211</v>
      </c>
      <c r="J48" s="1218" t="s">
        <v>223</v>
      </c>
      <c r="K48" s="1218"/>
      <c r="L48" s="1218"/>
      <c r="M48" s="1218"/>
      <c r="N48" s="705" t="s">
        <v>222</v>
      </c>
      <c r="O48" s="704" t="s">
        <v>107</v>
      </c>
      <c r="P48" s="628"/>
      <c r="Q48" s="705" t="s">
        <v>211</v>
      </c>
      <c r="R48" s="1218" t="s">
        <v>223</v>
      </c>
      <c r="S48" s="1218"/>
      <c r="T48" s="1218"/>
      <c r="U48" s="1218"/>
      <c r="V48" s="705" t="s">
        <v>222</v>
      </c>
      <c r="W48" s="704" t="s">
        <v>107</v>
      </c>
      <c r="X48" s="705" t="s">
        <v>222</v>
      </c>
      <c r="Y48" s="704" t="s">
        <v>107</v>
      </c>
      <c r="Z48" s="891" t="s">
        <v>222</v>
      </c>
      <c r="AA48" s="926" t="s">
        <v>107</v>
      </c>
      <c r="AB48" s="932" t="s">
        <v>222</v>
      </c>
      <c r="AC48" s="926" t="s">
        <v>107</v>
      </c>
      <c r="AD48" s="932" t="s">
        <v>222</v>
      </c>
      <c r="AE48" s="926" t="s">
        <v>107</v>
      </c>
      <c r="AF48" s="932" t="s">
        <v>222</v>
      </c>
      <c r="AG48" s="926" t="s">
        <v>107</v>
      </c>
      <c r="AH48" s="932" t="s">
        <v>222</v>
      </c>
      <c r="AI48" s="926" t="s">
        <v>107</v>
      </c>
      <c r="AJ48" s="970" t="s">
        <v>222</v>
      </c>
      <c r="AK48" s="966" t="s">
        <v>107</v>
      </c>
    </row>
    <row r="49" spans="1:37" s="34" customFormat="1" x14ac:dyDescent="0.2">
      <c r="A49" s="675" t="s">
        <v>1</v>
      </c>
      <c r="B49" s="137" t="str">
        <f>Dados!B76</f>
        <v xml:space="preserve">13º (décimo terceiro) salário  </v>
      </c>
      <c r="C49" s="138"/>
      <c r="D49" s="597"/>
      <c r="E49" s="598"/>
      <c r="F49" s="599">
        <f>Dados!G76</f>
        <v>9.0899999999999995E-2</v>
      </c>
      <c r="G49" s="600">
        <f>F49*$G$41</f>
        <v>287.48</v>
      </c>
      <c r="H49" s="79"/>
      <c r="I49" s="675" t="s">
        <v>1</v>
      </c>
      <c r="J49" s="137" t="str">
        <f>Dados!B76</f>
        <v xml:space="preserve">13º (décimo terceiro) salário  </v>
      </c>
      <c r="K49" s="138"/>
      <c r="L49" s="597"/>
      <c r="M49" s="598"/>
      <c r="N49" s="599">
        <f>Dados!G76</f>
        <v>9.0899999999999995E-2</v>
      </c>
      <c r="O49" s="600">
        <f>N49*$O$41</f>
        <v>296.10000000000002</v>
      </c>
      <c r="Q49" s="675" t="s">
        <v>1</v>
      </c>
      <c r="R49" s="137" t="s">
        <v>157</v>
      </c>
      <c r="S49" s="138"/>
      <c r="T49" s="597"/>
      <c r="U49" s="598"/>
      <c r="V49" s="599">
        <v>9.0899999999999995E-2</v>
      </c>
      <c r="W49" s="600">
        <v>296.10000000000002</v>
      </c>
      <c r="X49" s="599">
        <v>9.0899999999999995E-2</v>
      </c>
      <c r="Y49" s="600">
        <v>296.10000000000002</v>
      </c>
      <c r="Z49" s="599">
        <v>9.0899999999999995E-2</v>
      </c>
      <c r="AA49" s="600">
        <v>296.10000000000002</v>
      </c>
      <c r="AB49" s="599">
        <v>9.0899999999999995E-2</v>
      </c>
      <c r="AC49" s="600">
        <v>296.10000000000002</v>
      </c>
      <c r="AD49" s="599">
        <v>9.0899999999999995E-2</v>
      </c>
      <c r="AE49" s="787">
        <f>AD49*$AE$41</f>
        <v>321.27</v>
      </c>
      <c r="AF49" s="599">
        <v>9.0899999999999995E-2</v>
      </c>
      <c r="AG49" s="787">
        <f>AF49*$AE$41</f>
        <v>321.27</v>
      </c>
      <c r="AH49" s="599">
        <v>9.0899999999999995E-2</v>
      </c>
      <c r="AI49" s="787">
        <f>AH49*$AE$41</f>
        <v>321.27</v>
      </c>
      <c r="AJ49" s="599">
        <v>9.0899999999999995E-2</v>
      </c>
      <c r="AK49" s="787">
        <f>AJ49*$AK$41</f>
        <v>340.07</v>
      </c>
    </row>
    <row r="50" spans="1:37" s="34" customFormat="1" x14ac:dyDescent="0.2">
      <c r="A50" s="668" t="s">
        <v>2</v>
      </c>
      <c r="B50" s="1215" t="str">
        <f>Dados!B77</f>
        <v>Férias e Adicional de Férias</v>
      </c>
      <c r="C50" s="1215"/>
      <c r="D50" s="1215"/>
      <c r="E50" s="1215"/>
      <c r="F50" s="308">
        <f>Dados!G77</f>
        <v>0.1212</v>
      </c>
      <c r="G50" s="687">
        <f>F50*$G$41</f>
        <v>383.31</v>
      </c>
      <c r="H50" s="79"/>
      <c r="I50" s="668" t="s">
        <v>2</v>
      </c>
      <c r="J50" s="1215" t="str">
        <f>Dados!B77</f>
        <v>Férias e Adicional de Férias</v>
      </c>
      <c r="K50" s="1215"/>
      <c r="L50" s="1215"/>
      <c r="M50" s="1215"/>
      <c r="N50" s="308">
        <f>Dados!G77</f>
        <v>0.1212</v>
      </c>
      <c r="O50" s="687">
        <f>N50*$O$41</f>
        <v>394.81</v>
      </c>
      <c r="Q50" s="668" t="s">
        <v>2</v>
      </c>
      <c r="R50" s="1215" t="s">
        <v>224</v>
      </c>
      <c r="S50" s="1215"/>
      <c r="T50" s="1215"/>
      <c r="U50" s="1215"/>
      <c r="V50" s="308">
        <v>0.1212</v>
      </c>
      <c r="W50" s="687">
        <v>394.81</v>
      </c>
      <c r="X50" s="308">
        <v>0.1212</v>
      </c>
      <c r="Y50" s="687">
        <v>394.81</v>
      </c>
      <c r="Z50" s="308">
        <v>0.1212</v>
      </c>
      <c r="AA50" s="934">
        <v>394.81</v>
      </c>
      <c r="AB50" s="308">
        <v>0.1212</v>
      </c>
      <c r="AC50" s="934">
        <v>394.81</v>
      </c>
      <c r="AD50" s="308">
        <v>0.1212</v>
      </c>
      <c r="AE50" s="787">
        <f>AD50*$AE$41</f>
        <v>428.36</v>
      </c>
      <c r="AF50" s="308">
        <v>0.1212</v>
      </c>
      <c r="AG50" s="787">
        <f>AF50*$AE$41</f>
        <v>428.36</v>
      </c>
      <c r="AH50" s="308">
        <v>0.1212</v>
      </c>
      <c r="AI50" s="787">
        <f>AH50*$AE$41</f>
        <v>428.36</v>
      </c>
      <c r="AJ50" s="308">
        <v>0.1212</v>
      </c>
      <c r="AK50" s="787">
        <f>AJ50*$AK$41</f>
        <v>453.42</v>
      </c>
    </row>
    <row r="51" spans="1:37" s="34" customFormat="1" ht="18.75" customHeight="1" x14ac:dyDescent="0.2">
      <c r="A51" s="1172" t="s">
        <v>159</v>
      </c>
      <c r="B51" s="1172"/>
      <c r="C51" s="1172"/>
      <c r="D51" s="1172"/>
      <c r="E51" s="1172"/>
      <c r="F51" s="311">
        <f>SUM(F49:F50)</f>
        <v>0.21210000000000001</v>
      </c>
      <c r="G51" s="316">
        <f>SUM(G49:G50)</f>
        <v>670.79</v>
      </c>
      <c r="H51" s="79"/>
      <c r="I51" s="1172" t="s">
        <v>159</v>
      </c>
      <c r="J51" s="1172"/>
      <c r="K51" s="1172"/>
      <c r="L51" s="1172"/>
      <c r="M51" s="1172"/>
      <c r="N51" s="311">
        <f>SUM(N49:N50)</f>
        <v>0.21210000000000001</v>
      </c>
      <c r="O51" s="316">
        <f>SUM(O49:O50)</f>
        <v>690.91</v>
      </c>
      <c r="Q51" s="1172" t="s">
        <v>159</v>
      </c>
      <c r="R51" s="1172"/>
      <c r="S51" s="1172"/>
      <c r="T51" s="1172"/>
      <c r="U51" s="1172"/>
      <c r="V51" s="311">
        <f t="shared" ref="V51:AI51" si="2">SUM(V49:V50)</f>
        <v>0.21210000000000001</v>
      </c>
      <c r="W51" s="316">
        <f t="shared" si="2"/>
        <v>690.91</v>
      </c>
      <c r="X51" s="311">
        <f t="shared" si="2"/>
        <v>0.21210000000000001</v>
      </c>
      <c r="Y51" s="316">
        <f t="shared" si="2"/>
        <v>690.91</v>
      </c>
      <c r="Z51" s="311">
        <f t="shared" ref="Z51:AA51" si="3">SUM(Z49:Z50)</f>
        <v>0.21210000000000001</v>
      </c>
      <c r="AA51" s="935">
        <f t="shared" si="3"/>
        <v>690.91</v>
      </c>
      <c r="AB51" s="311">
        <f t="shared" si="2"/>
        <v>0.21210000000000001</v>
      </c>
      <c r="AC51" s="935">
        <f t="shared" si="2"/>
        <v>690.91</v>
      </c>
      <c r="AD51" s="311">
        <f t="shared" si="2"/>
        <v>0.21210000000000001</v>
      </c>
      <c r="AE51" s="935">
        <f t="shared" si="2"/>
        <v>749.63</v>
      </c>
      <c r="AF51" s="311">
        <f t="shared" si="2"/>
        <v>0.21210000000000001</v>
      </c>
      <c r="AG51" s="935">
        <f t="shared" si="2"/>
        <v>749.63</v>
      </c>
      <c r="AH51" s="311">
        <f t="shared" si="2"/>
        <v>0.21210000000000001</v>
      </c>
      <c r="AI51" s="935">
        <f t="shared" si="2"/>
        <v>749.63</v>
      </c>
      <c r="AJ51" s="311">
        <f t="shared" ref="AJ51:AK51" si="4">SUM(AJ49:AJ50)</f>
        <v>0.21210000000000001</v>
      </c>
      <c r="AK51" s="981">
        <f t="shared" si="4"/>
        <v>793.49</v>
      </c>
    </row>
    <row r="52" spans="1:37" s="34" customFormat="1" hidden="1" x14ac:dyDescent="0.2">
      <c r="A52" s="1185" t="s">
        <v>215</v>
      </c>
      <c r="B52" s="1185"/>
      <c r="C52" s="1185"/>
      <c r="D52" s="1185"/>
      <c r="E52" s="1185"/>
      <c r="F52" s="1185"/>
      <c r="G52" s="1185"/>
      <c r="H52" s="79"/>
      <c r="I52" s="1185"/>
      <c r="J52" s="1185"/>
      <c r="K52" s="1185"/>
      <c r="L52" s="1185"/>
      <c r="M52" s="1185"/>
      <c r="N52" s="1185"/>
      <c r="O52" s="1185"/>
      <c r="Q52" s="1185"/>
      <c r="R52" s="1185"/>
      <c r="S52" s="1185"/>
      <c r="T52" s="1185"/>
      <c r="U52" s="1185"/>
      <c r="V52" s="1185"/>
      <c r="W52" s="1185"/>
    </row>
    <row r="53" spans="1:37" s="34" customFormat="1" hidden="1" x14ac:dyDescent="0.2">
      <c r="A53" s="1185"/>
      <c r="B53" s="1185"/>
      <c r="C53" s="1185"/>
      <c r="D53" s="1185"/>
      <c r="E53" s="1185"/>
      <c r="F53" s="1185"/>
      <c r="G53" s="1185"/>
      <c r="H53" s="79"/>
      <c r="I53" s="1185"/>
      <c r="J53" s="1185"/>
      <c r="K53" s="1185"/>
      <c r="L53" s="1185"/>
      <c r="M53" s="1185"/>
      <c r="N53" s="1185"/>
      <c r="O53" s="1185"/>
      <c r="Q53" s="1185"/>
      <c r="R53" s="1185"/>
      <c r="S53" s="1185"/>
      <c r="T53" s="1185"/>
      <c r="U53" s="1185"/>
      <c r="V53" s="1185"/>
      <c r="W53" s="1185"/>
    </row>
    <row r="54" spans="1:37" s="34" customFormat="1" hidden="1" x14ac:dyDescent="0.2">
      <c r="A54" s="1295" t="s">
        <v>478</v>
      </c>
      <c r="B54" s="1185"/>
      <c r="C54" s="1185"/>
      <c r="D54" s="1185"/>
      <c r="E54" s="1185"/>
      <c r="F54" s="1185"/>
      <c r="G54" s="1185"/>
      <c r="H54" s="79"/>
      <c r="I54" s="1295"/>
      <c r="J54" s="1185"/>
      <c r="K54" s="1185"/>
      <c r="L54" s="1185"/>
      <c r="M54" s="1185"/>
      <c r="N54" s="1185"/>
      <c r="O54" s="1185"/>
      <c r="Q54" s="1295"/>
      <c r="R54" s="1185"/>
      <c r="S54" s="1185"/>
      <c r="T54" s="1185"/>
      <c r="U54" s="1185"/>
      <c r="V54" s="1185"/>
      <c r="W54" s="1185"/>
    </row>
    <row r="55" spans="1:37" s="34" customFormat="1" hidden="1" x14ac:dyDescent="0.2">
      <c r="A55" s="1185"/>
      <c r="B55" s="1185"/>
      <c r="C55" s="1185"/>
      <c r="D55" s="1185"/>
      <c r="E55" s="1185"/>
      <c r="F55" s="1185"/>
      <c r="G55" s="1185"/>
      <c r="H55" s="79"/>
      <c r="I55" s="1185"/>
      <c r="J55" s="1185"/>
      <c r="K55" s="1185"/>
      <c r="L55" s="1185"/>
      <c r="M55" s="1185"/>
      <c r="N55" s="1185"/>
      <c r="O55" s="1185"/>
      <c r="Q55" s="1185"/>
      <c r="R55" s="1185"/>
      <c r="S55" s="1185"/>
      <c r="T55" s="1185"/>
      <c r="U55" s="1185"/>
      <c r="V55" s="1185"/>
      <c r="W55" s="1185"/>
    </row>
    <row r="56" spans="1:37" s="34" customFormat="1" hidden="1" x14ac:dyDescent="0.2">
      <c r="A56" s="1185" t="s">
        <v>419</v>
      </c>
      <c r="B56" s="1185"/>
      <c r="C56" s="1185"/>
      <c r="D56" s="1185"/>
      <c r="E56" s="1185"/>
      <c r="F56" s="1185"/>
      <c r="G56" s="1185"/>
      <c r="H56" s="79"/>
      <c r="I56" s="1185"/>
      <c r="J56" s="1185"/>
      <c r="K56" s="1185"/>
      <c r="L56" s="1185"/>
      <c r="M56" s="1185"/>
      <c r="N56" s="1185"/>
      <c r="O56" s="1185"/>
      <c r="Q56" s="1185"/>
      <c r="R56" s="1185"/>
      <c r="S56" s="1185"/>
      <c r="T56" s="1185"/>
      <c r="U56" s="1185"/>
      <c r="V56" s="1185"/>
      <c r="W56" s="1185"/>
    </row>
    <row r="57" spans="1:37" s="34" customFormat="1" hidden="1" x14ac:dyDescent="0.2">
      <c r="A57" s="1185"/>
      <c r="B57" s="1185"/>
      <c r="C57" s="1185"/>
      <c r="D57" s="1185"/>
      <c r="E57" s="1185"/>
      <c r="F57" s="1185"/>
      <c r="G57" s="1185"/>
      <c r="H57" s="79"/>
      <c r="I57" s="1185"/>
      <c r="J57" s="1185"/>
      <c r="K57" s="1185"/>
      <c r="L57" s="1185"/>
      <c r="M57" s="1185"/>
      <c r="N57" s="1185"/>
      <c r="O57" s="1185"/>
      <c r="Q57" s="1185"/>
      <c r="R57" s="1185"/>
      <c r="S57" s="1185"/>
      <c r="T57" s="1185"/>
      <c r="U57" s="1185"/>
      <c r="V57" s="1185"/>
      <c r="W57" s="1185"/>
    </row>
    <row r="58" spans="1:37" s="34" customFormat="1" hidden="1" x14ac:dyDescent="0.2">
      <c r="A58" s="662"/>
      <c r="B58" s="662"/>
      <c r="C58" s="662"/>
      <c r="D58" s="662"/>
      <c r="E58" s="662"/>
      <c r="F58" s="662"/>
      <c r="G58" s="662"/>
      <c r="H58" s="79"/>
      <c r="I58" s="662"/>
      <c r="J58" s="662"/>
      <c r="K58" s="662"/>
      <c r="L58" s="662"/>
      <c r="M58" s="662"/>
      <c r="N58" s="662"/>
      <c r="O58" s="662"/>
      <c r="Q58" s="662"/>
      <c r="R58" s="662"/>
      <c r="S58" s="662"/>
      <c r="T58" s="662"/>
      <c r="U58" s="662"/>
      <c r="V58" s="662"/>
      <c r="W58" s="662"/>
    </row>
    <row r="59" spans="1:37" s="34" customFormat="1" ht="59.25" customHeight="1" x14ac:dyDescent="0.2">
      <c r="A59" s="1174" t="s">
        <v>420</v>
      </c>
      <c r="B59" s="1174"/>
      <c r="C59" s="1174"/>
      <c r="D59" s="1174"/>
      <c r="E59" s="1174"/>
      <c r="F59" s="1174"/>
      <c r="G59" s="707" t="s">
        <v>107</v>
      </c>
      <c r="H59" s="79"/>
      <c r="I59" s="1174" t="s">
        <v>420</v>
      </c>
      <c r="J59" s="1174"/>
      <c r="K59" s="1174"/>
      <c r="L59" s="1174"/>
      <c r="M59" s="1174"/>
      <c r="N59" s="1174"/>
      <c r="O59" s="707" t="s">
        <v>107</v>
      </c>
      <c r="Q59" s="1174" t="s">
        <v>420</v>
      </c>
      <c r="R59" s="1174"/>
      <c r="S59" s="1174"/>
      <c r="T59" s="1174"/>
      <c r="U59" s="1174"/>
      <c r="V59" s="1174"/>
      <c r="W59" s="707" t="s">
        <v>107</v>
      </c>
      <c r="X59" s="729" t="s">
        <v>420</v>
      </c>
      <c r="Y59" s="707" t="s">
        <v>107</v>
      </c>
      <c r="Z59" s="729" t="s">
        <v>420</v>
      </c>
      <c r="AA59" s="928" t="s">
        <v>107</v>
      </c>
      <c r="AB59" s="729" t="s">
        <v>420</v>
      </c>
      <c r="AC59" s="928" t="s">
        <v>107</v>
      </c>
      <c r="AD59" s="729" t="s">
        <v>420</v>
      </c>
      <c r="AE59" s="928" t="s">
        <v>107</v>
      </c>
      <c r="AF59" s="729" t="s">
        <v>420</v>
      </c>
      <c r="AG59" s="928" t="s">
        <v>107</v>
      </c>
      <c r="AH59" s="729" t="s">
        <v>420</v>
      </c>
      <c r="AI59" s="928" t="s">
        <v>107</v>
      </c>
      <c r="AJ59" s="729" t="s">
        <v>420</v>
      </c>
      <c r="AK59" s="963" t="s">
        <v>107</v>
      </c>
    </row>
    <row r="60" spans="1:37" s="34" customFormat="1" x14ac:dyDescent="0.2">
      <c r="A60" s="668">
        <v>1</v>
      </c>
      <c r="B60" s="313" t="str">
        <f>A33</f>
        <v>Módulo 1 - Composição da Remuneração</v>
      </c>
      <c r="C60" s="122"/>
      <c r="D60" s="315"/>
      <c r="E60" s="315"/>
      <c r="F60" s="692"/>
      <c r="G60" s="687">
        <f>G41</f>
        <v>3162.6</v>
      </c>
      <c r="H60" s="79"/>
      <c r="I60" s="668">
        <v>1</v>
      </c>
      <c r="J60" s="313">
        <f>I33</f>
        <v>0</v>
      </c>
      <c r="K60" s="122"/>
      <c r="L60" s="315"/>
      <c r="M60" s="315"/>
      <c r="N60" s="692"/>
      <c r="O60" s="687">
        <f>O41</f>
        <v>3257.47</v>
      </c>
      <c r="Q60" s="668">
        <v>1</v>
      </c>
      <c r="R60" s="313" t="s">
        <v>25</v>
      </c>
      <c r="S60" s="122"/>
      <c r="T60" s="315"/>
      <c r="U60" s="315"/>
      <c r="V60" s="692"/>
      <c r="W60" s="687">
        <v>3257.47</v>
      </c>
      <c r="X60" s="593"/>
      <c r="Y60" s="687">
        <v>3257.47</v>
      </c>
      <c r="Z60" s="593"/>
      <c r="AA60" s="934">
        <v>3257.47</v>
      </c>
      <c r="AB60" s="593"/>
      <c r="AC60" s="934">
        <v>3257.47</v>
      </c>
      <c r="AD60" s="593"/>
      <c r="AE60" s="934">
        <f>AE41</f>
        <v>3534.35</v>
      </c>
      <c r="AF60" s="593"/>
      <c r="AG60" s="934">
        <f>AG41</f>
        <v>3534.35</v>
      </c>
      <c r="AH60" s="593"/>
      <c r="AI60" s="934">
        <f>AI41</f>
        <v>3534.35</v>
      </c>
      <c r="AJ60" s="593"/>
      <c r="AK60" s="980">
        <f>AK41</f>
        <v>3741.09</v>
      </c>
    </row>
    <row r="61" spans="1:37" s="34" customFormat="1" x14ac:dyDescent="0.2">
      <c r="A61" s="682" t="s">
        <v>211</v>
      </c>
      <c r="B61" s="140" t="str">
        <f>A47</f>
        <v>Submódulo 2.1 - 13º (décimo terceiro) Salário, Férias e Adicional de Férias</v>
      </c>
      <c r="C61" s="141"/>
      <c r="D61" s="614"/>
      <c r="E61" s="614"/>
      <c r="F61" s="615"/>
      <c r="G61" s="328">
        <f>G51</f>
        <v>670.79</v>
      </c>
      <c r="H61" s="79"/>
      <c r="I61" s="682" t="s">
        <v>211</v>
      </c>
      <c r="J61" s="140">
        <f>I47</f>
        <v>0</v>
      </c>
      <c r="K61" s="141"/>
      <c r="L61" s="614"/>
      <c r="M61" s="614"/>
      <c r="N61" s="615"/>
      <c r="O61" s="328">
        <f>O51</f>
        <v>690.91</v>
      </c>
      <c r="Q61" s="682" t="s">
        <v>211</v>
      </c>
      <c r="R61" s="140" t="s">
        <v>216</v>
      </c>
      <c r="S61" s="141"/>
      <c r="T61" s="614"/>
      <c r="U61" s="614"/>
      <c r="V61" s="615"/>
      <c r="W61" s="328">
        <v>690.91</v>
      </c>
      <c r="X61" s="616"/>
      <c r="Y61" s="328">
        <v>690.91</v>
      </c>
      <c r="Z61" s="616"/>
      <c r="AA61" s="328">
        <v>690.91</v>
      </c>
      <c r="AB61" s="616"/>
      <c r="AC61" s="328">
        <v>690.91</v>
      </c>
      <c r="AD61" s="616"/>
      <c r="AE61" s="328">
        <f>AE51</f>
        <v>749.63</v>
      </c>
      <c r="AF61" s="616"/>
      <c r="AG61" s="328">
        <f>AG51</f>
        <v>749.63</v>
      </c>
      <c r="AH61" s="616"/>
      <c r="AI61" s="328">
        <f>AI51</f>
        <v>749.63</v>
      </c>
      <c r="AJ61" s="616"/>
      <c r="AK61" s="328">
        <f>AK51</f>
        <v>793.49</v>
      </c>
    </row>
    <row r="62" spans="1:37" s="34" customFormat="1" x14ac:dyDescent="0.2">
      <c r="A62" s="1202" t="s">
        <v>241</v>
      </c>
      <c r="B62" s="1202"/>
      <c r="C62" s="1202"/>
      <c r="D62" s="1202"/>
      <c r="E62" s="1202"/>
      <c r="F62" s="1202"/>
      <c r="G62" s="316">
        <f>SUM(G60:G61)</f>
        <v>3833.39</v>
      </c>
      <c r="H62" s="592"/>
      <c r="I62" s="1202" t="s">
        <v>241</v>
      </c>
      <c r="J62" s="1202"/>
      <c r="K62" s="1202"/>
      <c r="L62" s="1202"/>
      <c r="M62" s="1202"/>
      <c r="N62" s="1202"/>
      <c r="O62" s="316">
        <f>SUM(O60:O61)</f>
        <v>3948.38</v>
      </c>
      <c r="P62" s="593"/>
      <c r="Q62" s="1202" t="s">
        <v>241</v>
      </c>
      <c r="R62" s="1202"/>
      <c r="S62" s="1202"/>
      <c r="T62" s="1202"/>
      <c r="U62" s="1202"/>
      <c r="V62" s="1202"/>
      <c r="W62" s="316">
        <f>SUM(W60:W61)</f>
        <v>3948.38</v>
      </c>
      <c r="X62" s="593" t="s">
        <v>159</v>
      </c>
      <c r="Y62" s="316">
        <f>SUM(Y60:Y61)</f>
        <v>3948.38</v>
      </c>
      <c r="Z62" s="593" t="s">
        <v>159</v>
      </c>
      <c r="AA62" s="935">
        <f>SUM(AA60:AA61)</f>
        <v>3948.38</v>
      </c>
      <c r="AB62" s="593" t="s">
        <v>159</v>
      </c>
      <c r="AC62" s="935">
        <f>SUM(AC60:AC61)</f>
        <v>3948.38</v>
      </c>
      <c r="AD62" s="593" t="s">
        <v>159</v>
      </c>
      <c r="AE62" s="935">
        <f>SUM(AE60:AE61)</f>
        <v>4283.9799999999996</v>
      </c>
      <c r="AF62" s="593" t="s">
        <v>159</v>
      </c>
      <c r="AG62" s="935">
        <f>SUM(AG60:AG61)</f>
        <v>4283.9799999999996</v>
      </c>
      <c r="AH62" s="593" t="s">
        <v>159</v>
      </c>
      <c r="AI62" s="935">
        <f>SUM(AI60:AI61)</f>
        <v>4283.9799999999996</v>
      </c>
      <c r="AJ62" s="593" t="s">
        <v>159</v>
      </c>
      <c r="AK62" s="981">
        <f>SUM(AK60:AK61)</f>
        <v>4534.58</v>
      </c>
    </row>
    <row r="63" spans="1:37" s="34" customFormat="1" hidden="1" x14ac:dyDescent="0.2">
      <c r="A63" s="629"/>
      <c r="B63" s="629"/>
      <c r="C63" s="629"/>
      <c r="D63" s="629"/>
      <c r="E63" s="629"/>
      <c r="F63" s="629"/>
      <c r="G63" s="629"/>
      <c r="H63" s="630"/>
      <c r="I63" s="629"/>
      <c r="J63" s="629"/>
      <c r="K63" s="629"/>
      <c r="L63" s="629"/>
      <c r="M63" s="629"/>
      <c r="N63" s="629"/>
      <c r="O63" s="629"/>
      <c r="P63" s="616"/>
      <c r="Q63" s="629"/>
      <c r="R63" s="629"/>
      <c r="S63" s="629"/>
      <c r="T63" s="629"/>
      <c r="U63" s="629"/>
      <c r="V63" s="629"/>
      <c r="W63" s="629"/>
      <c r="X63" s="616"/>
    </row>
    <row r="64" spans="1:37" x14ac:dyDescent="0.2">
      <c r="A64" s="1173" t="s">
        <v>217</v>
      </c>
      <c r="B64" s="1173"/>
      <c r="C64" s="1173"/>
      <c r="D64" s="1173"/>
      <c r="E64" s="1173"/>
      <c r="F64" s="1173"/>
      <c r="G64" s="1173"/>
      <c r="H64" s="1173"/>
      <c r="I64" s="1173"/>
      <c r="J64" s="1173"/>
      <c r="K64" s="1173"/>
      <c r="L64" s="1173"/>
      <c r="M64" s="1173"/>
      <c r="N64" s="1173"/>
      <c r="O64" s="1173"/>
      <c r="P64" s="1173"/>
      <c r="Q64" s="1173"/>
      <c r="R64" s="1173"/>
      <c r="S64" s="1173"/>
      <c r="T64" s="1173"/>
      <c r="U64" s="1173"/>
      <c r="V64" s="1173"/>
      <c r="W64" s="1173"/>
      <c r="X64" s="1173"/>
      <c r="Y64" s="1173"/>
    </row>
    <row r="65" spans="1:37" x14ac:dyDescent="0.2">
      <c r="A65" s="703" t="s">
        <v>210</v>
      </c>
      <c r="B65" s="1174" t="s">
        <v>221</v>
      </c>
      <c r="C65" s="1174"/>
      <c r="D65" s="1174"/>
      <c r="E65" s="1174"/>
      <c r="F65" s="703" t="s">
        <v>222</v>
      </c>
      <c r="G65" s="707" t="s">
        <v>107</v>
      </c>
      <c r="H65" s="592"/>
      <c r="I65" s="703" t="s">
        <v>210</v>
      </c>
      <c r="J65" s="1174" t="s">
        <v>221</v>
      </c>
      <c r="K65" s="1174"/>
      <c r="L65" s="1174"/>
      <c r="M65" s="1174"/>
      <c r="N65" s="703" t="s">
        <v>222</v>
      </c>
      <c r="O65" s="707" t="s">
        <v>107</v>
      </c>
      <c r="P65" s="593"/>
      <c r="Q65" s="703" t="s">
        <v>210</v>
      </c>
      <c r="R65" s="1174" t="s">
        <v>221</v>
      </c>
      <c r="S65" s="1174"/>
      <c r="T65" s="1174"/>
      <c r="U65" s="1174"/>
      <c r="V65" s="703" t="s">
        <v>222</v>
      </c>
      <c r="W65" s="707" t="s">
        <v>107</v>
      </c>
      <c r="X65" s="703" t="s">
        <v>222</v>
      </c>
      <c r="Y65" s="707" t="s">
        <v>107</v>
      </c>
      <c r="Z65" s="888" t="s">
        <v>222</v>
      </c>
      <c r="AA65" s="928" t="s">
        <v>107</v>
      </c>
      <c r="AB65" s="924" t="s">
        <v>222</v>
      </c>
      <c r="AC65" s="928" t="s">
        <v>107</v>
      </c>
      <c r="AD65" s="924" t="s">
        <v>222</v>
      </c>
      <c r="AE65" s="928" t="s">
        <v>107</v>
      </c>
      <c r="AF65" s="924" t="s">
        <v>222</v>
      </c>
      <c r="AG65" s="928" t="s">
        <v>107</v>
      </c>
      <c r="AH65" s="924" t="s">
        <v>222</v>
      </c>
      <c r="AI65" s="928" t="s">
        <v>107</v>
      </c>
      <c r="AJ65" s="962" t="s">
        <v>222</v>
      </c>
      <c r="AK65" s="963" t="s">
        <v>107</v>
      </c>
    </row>
    <row r="66" spans="1:37" x14ac:dyDescent="0.2">
      <c r="A66" s="675" t="s">
        <v>1</v>
      </c>
      <c r="B66" s="137" t="str">
        <f>Dados!B80</f>
        <v>INSS</v>
      </c>
      <c r="C66" s="138"/>
      <c r="D66" s="597"/>
      <c r="E66" s="598"/>
      <c r="F66" s="599">
        <f>Dados!G80</f>
        <v>0.2</v>
      </c>
      <c r="G66" s="600">
        <f>$G$62*F66</f>
        <v>766.68</v>
      </c>
      <c r="H66" s="79"/>
      <c r="I66" s="675" t="s">
        <v>1</v>
      </c>
      <c r="J66" s="137" t="str">
        <f>Dados!B80</f>
        <v>INSS</v>
      </c>
      <c r="K66" s="138"/>
      <c r="L66" s="597"/>
      <c r="M66" s="598"/>
      <c r="N66" s="599">
        <f>Dados!G80</f>
        <v>0.2</v>
      </c>
      <c r="O66" s="600">
        <f t="shared" ref="O66:O73" si="5">$O$62*N66</f>
        <v>789.68</v>
      </c>
      <c r="P66" s="34"/>
      <c r="Q66" s="675" t="s">
        <v>1</v>
      </c>
      <c r="R66" s="137" t="s">
        <v>12</v>
      </c>
      <c r="S66" s="138"/>
      <c r="T66" s="597"/>
      <c r="U66" s="598"/>
      <c r="V66" s="599">
        <v>0.2</v>
      </c>
      <c r="W66" s="600">
        <v>789.68</v>
      </c>
      <c r="X66" s="599">
        <v>0.2</v>
      </c>
      <c r="Y66" s="600">
        <v>789.68</v>
      </c>
      <c r="Z66" s="599">
        <v>0.2</v>
      </c>
      <c r="AA66" s="600">
        <v>789.68</v>
      </c>
      <c r="AB66" s="599">
        <v>0.2</v>
      </c>
      <c r="AC66" s="600">
        <v>789.68</v>
      </c>
      <c r="AD66" s="599">
        <v>0.2</v>
      </c>
      <c r="AE66" s="600">
        <f>$AE$62*AD66</f>
        <v>856.8</v>
      </c>
      <c r="AF66" s="599">
        <v>0.2</v>
      </c>
      <c r="AG66" s="600">
        <f>$AE$62*AF66</f>
        <v>856.8</v>
      </c>
      <c r="AH66" s="599">
        <v>0.2</v>
      </c>
      <c r="AI66" s="600">
        <f>$AE$62*AH66</f>
        <v>856.8</v>
      </c>
      <c r="AJ66" s="599">
        <v>0.2</v>
      </c>
      <c r="AK66" s="600">
        <f t="shared" ref="AK66:AK73" si="6">$AK$62*AJ66</f>
        <v>906.92</v>
      </c>
    </row>
    <row r="67" spans="1:37" x14ac:dyDescent="0.2">
      <c r="A67" s="668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687">
        <f t="shared" ref="G67:G73" si="7">$G$62*F67</f>
        <v>95.83</v>
      </c>
      <c r="H67" s="79"/>
      <c r="I67" s="668" t="s">
        <v>2</v>
      </c>
      <c r="J67" s="313" t="str">
        <f>Dados!B81</f>
        <v>Salário Educação</v>
      </c>
      <c r="K67" s="122"/>
      <c r="L67" s="315"/>
      <c r="M67" s="304"/>
      <c r="N67" s="308">
        <f>Dados!G81</f>
        <v>2.5000000000000001E-2</v>
      </c>
      <c r="O67" s="687">
        <f t="shared" si="5"/>
        <v>98.71</v>
      </c>
      <c r="P67" s="34"/>
      <c r="Q67" s="668" t="s">
        <v>2</v>
      </c>
      <c r="R67" s="313" t="s">
        <v>154</v>
      </c>
      <c r="S67" s="122"/>
      <c r="T67" s="315"/>
      <c r="U67" s="304"/>
      <c r="V67" s="308">
        <v>2.5000000000000001E-2</v>
      </c>
      <c r="W67" s="687">
        <v>98.71</v>
      </c>
      <c r="X67" s="308">
        <v>2.5000000000000001E-2</v>
      </c>
      <c r="Y67" s="687">
        <v>98.71</v>
      </c>
      <c r="Z67" s="308">
        <v>2.5000000000000001E-2</v>
      </c>
      <c r="AA67" s="934">
        <v>98.71</v>
      </c>
      <c r="AB67" s="308">
        <v>2.5000000000000001E-2</v>
      </c>
      <c r="AC67" s="934">
        <v>98.71</v>
      </c>
      <c r="AD67" s="308">
        <v>2.5000000000000001E-2</v>
      </c>
      <c r="AE67" s="600">
        <f t="shared" ref="AE67:AG73" si="8">$AE$62*AD67</f>
        <v>107.1</v>
      </c>
      <c r="AF67" s="308">
        <v>2.5000000000000001E-2</v>
      </c>
      <c r="AG67" s="600">
        <f t="shared" si="8"/>
        <v>107.1</v>
      </c>
      <c r="AH67" s="308">
        <v>2.5000000000000001E-2</v>
      </c>
      <c r="AI67" s="600">
        <f t="shared" ref="AI67" si="9">$AE$62*AH67</f>
        <v>107.1</v>
      </c>
      <c r="AJ67" s="308">
        <v>2.5000000000000001E-2</v>
      </c>
      <c r="AK67" s="600">
        <f t="shared" si="6"/>
        <v>113.36</v>
      </c>
    </row>
    <row r="68" spans="1:37" x14ac:dyDescent="0.2">
      <c r="A68" s="668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f>Dados!G82</f>
        <v>2.4899999999999999E-2</v>
      </c>
      <c r="G68" s="687">
        <f t="shared" si="7"/>
        <v>95.45</v>
      </c>
      <c r="H68" s="79"/>
      <c r="I68" s="668" t="s">
        <v>4</v>
      </c>
      <c r="J68" s="313" t="str">
        <f>Dados!B82</f>
        <v>Seguro Acidente do Trabalho - SAT = RAT x FAP</v>
      </c>
      <c r="K68" s="122"/>
      <c r="L68" s="315"/>
      <c r="M68" s="304"/>
      <c r="N68" s="308">
        <v>2.5700000000000001E-2</v>
      </c>
      <c r="O68" s="687">
        <f t="shared" si="5"/>
        <v>101.47</v>
      </c>
      <c r="P68" s="34"/>
      <c r="Q68" s="668" t="s">
        <v>4</v>
      </c>
      <c r="R68" s="313" t="s">
        <v>200</v>
      </c>
      <c r="S68" s="122"/>
      <c r="T68" s="315"/>
      <c r="U68" s="304"/>
      <c r="V68" s="308">
        <v>2.5700000000000001E-2</v>
      </c>
      <c r="W68" s="687">
        <v>101.47</v>
      </c>
      <c r="X68" s="308">
        <v>2.5700000000000001E-2</v>
      </c>
      <c r="Y68" s="687">
        <v>101.47</v>
      </c>
      <c r="Z68" s="308">
        <v>2.5700000000000001E-2</v>
      </c>
      <c r="AA68" s="934">
        <v>101.47</v>
      </c>
      <c r="AB68" s="308">
        <v>2.5700000000000001E-2</v>
      </c>
      <c r="AC68" s="934">
        <v>101.47</v>
      </c>
      <c r="AD68" s="308">
        <f>Mem.Encargos!U20</f>
        <v>2.7400000000000001E-2</v>
      </c>
      <c r="AE68" s="600">
        <f t="shared" si="8"/>
        <v>117.38</v>
      </c>
      <c r="AF68" s="308">
        <v>2.7400000000000001E-2</v>
      </c>
      <c r="AG68" s="600">
        <f t="shared" si="8"/>
        <v>117.38</v>
      </c>
      <c r="AH68" s="308">
        <v>2.7400000000000001E-2</v>
      </c>
      <c r="AI68" s="600">
        <f t="shared" ref="AI68" si="10">$AE$62*AH68</f>
        <v>117.38</v>
      </c>
      <c r="AJ68" s="308">
        <v>3.4000000000000002E-2</v>
      </c>
      <c r="AK68" s="600">
        <f t="shared" si="6"/>
        <v>154.18</v>
      </c>
    </row>
    <row r="69" spans="1:37" x14ac:dyDescent="0.2">
      <c r="A69" s="668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687">
        <f t="shared" si="7"/>
        <v>57.5</v>
      </c>
      <c r="H69" s="79"/>
      <c r="I69" s="668" t="s">
        <v>5</v>
      </c>
      <c r="J69" s="313" t="str">
        <f>Dados!B83</f>
        <v>SESI ou SESC</v>
      </c>
      <c r="K69" s="122"/>
      <c r="L69" s="315"/>
      <c r="M69" s="304"/>
      <c r="N69" s="308">
        <f>Dados!G83</f>
        <v>1.4999999999999999E-2</v>
      </c>
      <c r="O69" s="687">
        <f t="shared" si="5"/>
        <v>59.23</v>
      </c>
      <c r="P69" s="34"/>
      <c r="Q69" s="668" t="s">
        <v>5</v>
      </c>
      <c r="R69" s="313" t="s">
        <v>13</v>
      </c>
      <c r="S69" s="122"/>
      <c r="T69" s="315"/>
      <c r="U69" s="304"/>
      <c r="V69" s="308">
        <v>1.4999999999999999E-2</v>
      </c>
      <c r="W69" s="687">
        <v>59.23</v>
      </c>
      <c r="X69" s="308">
        <v>1.4999999999999999E-2</v>
      </c>
      <c r="Y69" s="687">
        <v>59.23</v>
      </c>
      <c r="Z69" s="308">
        <v>1.4999999999999999E-2</v>
      </c>
      <c r="AA69" s="934">
        <v>59.23</v>
      </c>
      <c r="AB69" s="308">
        <v>1.4999999999999999E-2</v>
      </c>
      <c r="AC69" s="934">
        <v>59.23</v>
      </c>
      <c r="AD69" s="308">
        <v>1.4999999999999999E-2</v>
      </c>
      <c r="AE69" s="600">
        <f t="shared" si="8"/>
        <v>64.260000000000005</v>
      </c>
      <c r="AF69" s="308">
        <v>1.4999999999999999E-2</v>
      </c>
      <c r="AG69" s="600">
        <f t="shared" si="8"/>
        <v>64.260000000000005</v>
      </c>
      <c r="AH69" s="308">
        <v>1.4999999999999999E-2</v>
      </c>
      <c r="AI69" s="600">
        <f t="shared" ref="AI69" si="11">$AE$62*AH69</f>
        <v>64.260000000000005</v>
      </c>
      <c r="AJ69" s="308">
        <v>1.4999999999999999E-2</v>
      </c>
      <c r="AK69" s="600">
        <f t="shared" si="6"/>
        <v>68.02</v>
      </c>
    </row>
    <row r="70" spans="1:37" x14ac:dyDescent="0.2">
      <c r="A70" s="668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687">
        <f t="shared" si="7"/>
        <v>38.33</v>
      </c>
      <c r="H70" s="79"/>
      <c r="I70" s="668" t="s">
        <v>6</v>
      </c>
      <c r="J70" s="313" t="str">
        <f>Dados!B84</f>
        <v>SENAI ou SENAC</v>
      </c>
      <c r="K70" s="122"/>
      <c r="L70" s="315"/>
      <c r="M70" s="304"/>
      <c r="N70" s="308">
        <f>Dados!G84</f>
        <v>0.01</v>
      </c>
      <c r="O70" s="687">
        <f t="shared" si="5"/>
        <v>39.479999999999997</v>
      </c>
      <c r="P70" s="34"/>
      <c r="Q70" s="668" t="s">
        <v>6</v>
      </c>
      <c r="R70" s="313" t="s">
        <v>14</v>
      </c>
      <c r="S70" s="122"/>
      <c r="T70" s="315"/>
      <c r="U70" s="304"/>
      <c r="V70" s="308">
        <v>0.01</v>
      </c>
      <c r="W70" s="687">
        <v>39.479999999999997</v>
      </c>
      <c r="X70" s="308">
        <v>0.01</v>
      </c>
      <c r="Y70" s="687">
        <v>39.479999999999997</v>
      </c>
      <c r="Z70" s="308">
        <v>0.01</v>
      </c>
      <c r="AA70" s="934">
        <v>39.479999999999997</v>
      </c>
      <c r="AB70" s="308">
        <v>0.01</v>
      </c>
      <c r="AC70" s="934">
        <v>39.479999999999997</v>
      </c>
      <c r="AD70" s="308">
        <v>0.01</v>
      </c>
      <c r="AE70" s="600">
        <f t="shared" si="8"/>
        <v>42.84</v>
      </c>
      <c r="AF70" s="308">
        <v>0.01</v>
      </c>
      <c r="AG70" s="600">
        <f t="shared" si="8"/>
        <v>42.84</v>
      </c>
      <c r="AH70" s="308">
        <v>0.01</v>
      </c>
      <c r="AI70" s="600">
        <f t="shared" ref="AI70" si="12">$AE$62*AH70</f>
        <v>42.84</v>
      </c>
      <c r="AJ70" s="308">
        <v>0.01</v>
      </c>
      <c r="AK70" s="600">
        <f t="shared" si="6"/>
        <v>45.35</v>
      </c>
    </row>
    <row r="71" spans="1:37" x14ac:dyDescent="0.2">
      <c r="A71" s="668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687">
        <f t="shared" si="7"/>
        <v>23</v>
      </c>
      <c r="H71" s="79"/>
      <c r="I71" s="668" t="s">
        <v>7</v>
      </c>
      <c r="J71" s="313" t="str">
        <f>Dados!B85</f>
        <v>SEBRAE</v>
      </c>
      <c r="K71" s="122"/>
      <c r="L71" s="315"/>
      <c r="M71" s="304"/>
      <c r="N71" s="308">
        <f>Dados!G85</f>
        <v>6.0000000000000001E-3</v>
      </c>
      <c r="O71" s="687">
        <f t="shared" si="5"/>
        <v>23.69</v>
      </c>
      <c r="P71" s="34"/>
      <c r="Q71" s="668" t="s">
        <v>7</v>
      </c>
      <c r="R71" s="313" t="s">
        <v>17</v>
      </c>
      <c r="S71" s="122"/>
      <c r="T71" s="315"/>
      <c r="U71" s="304"/>
      <c r="V71" s="308">
        <v>6.0000000000000001E-3</v>
      </c>
      <c r="W71" s="687">
        <v>23.69</v>
      </c>
      <c r="X71" s="308">
        <v>6.0000000000000001E-3</v>
      </c>
      <c r="Y71" s="687">
        <v>23.69</v>
      </c>
      <c r="Z71" s="308">
        <v>6.0000000000000001E-3</v>
      </c>
      <c r="AA71" s="934">
        <v>23.69</v>
      </c>
      <c r="AB71" s="308">
        <v>6.0000000000000001E-3</v>
      </c>
      <c r="AC71" s="934">
        <v>23.69</v>
      </c>
      <c r="AD71" s="308">
        <v>6.0000000000000001E-3</v>
      </c>
      <c r="AE71" s="600">
        <f t="shared" si="8"/>
        <v>25.7</v>
      </c>
      <c r="AF71" s="308">
        <v>6.0000000000000001E-3</v>
      </c>
      <c r="AG71" s="600">
        <f t="shared" si="8"/>
        <v>25.7</v>
      </c>
      <c r="AH71" s="308">
        <v>6.0000000000000001E-3</v>
      </c>
      <c r="AI71" s="600">
        <f t="shared" ref="AI71" si="13">$AE$62*AH71</f>
        <v>25.7</v>
      </c>
      <c r="AJ71" s="308">
        <v>6.0000000000000001E-3</v>
      </c>
      <c r="AK71" s="600">
        <f t="shared" si="6"/>
        <v>27.21</v>
      </c>
    </row>
    <row r="72" spans="1:37" x14ac:dyDescent="0.2">
      <c r="A72" s="668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687">
        <f t="shared" si="7"/>
        <v>7.67</v>
      </c>
      <c r="H72" s="79"/>
      <c r="I72" s="668" t="s">
        <v>8</v>
      </c>
      <c r="J72" s="313" t="str">
        <f>Dados!B86</f>
        <v>INCRA</v>
      </c>
      <c r="K72" s="122"/>
      <c r="L72" s="315"/>
      <c r="M72" s="304"/>
      <c r="N72" s="308">
        <f>Dados!G86</f>
        <v>2E-3</v>
      </c>
      <c r="O72" s="687">
        <f t="shared" si="5"/>
        <v>7.9</v>
      </c>
      <c r="P72" s="34"/>
      <c r="Q72" s="668" t="s">
        <v>8</v>
      </c>
      <c r="R72" s="313" t="s">
        <v>15</v>
      </c>
      <c r="S72" s="122"/>
      <c r="T72" s="315"/>
      <c r="U72" s="304"/>
      <c r="V72" s="308">
        <v>2E-3</v>
      </c>
      <c r="W72" s="687">
        <v>7.9</v>
      </c>
      <c r="X72" s="308">
        <v>2E-3</v>
      </c>
      <c r="Y72" s="687">
        <v>7.9</v>
      </c>
      <c r="Z72" s="308">
        <v>2E-3</v>
      </c>
      <c r="AA72" s="934">
        <v>7.9</v>
      </c>
      <c r="AB72" s="308">
        <v>2E-3</v>
      </c>
      <c r="AC72" s="934">
        <v>7.9</v>
      </c>
      <c r="AD72" s="308">
        <v>2E-3</v>
      </c>
      <c r="AE72" s="600">
        <f t="shared" si="8"/>
        <v>8.57</v>
      </c>
      <c r="AF72" s="308">
        <v>2E-3</v>
      </c>
      <c r="AG72" s="600">
        <f t="shared" si="8"/>
        <v>8.57</v>
      </c>
      <c r="AH72" s="308">
        <v>2E-3</v>
      </c>
      <c r="AI72" s="600">
        <f t="shared" ref="AI72" si="14">$AE$62*AH72</f>
        <v>8.57</v>
      </c>
      <c r="AJ72" s="308">
        <v>2E-3</v>
      </c>
      <c r="AK72" s="600">
        <f t="shared" si="6"/>
        <v>9.07</v>
      </c>
    </row>
    <row r="73" spans="1:37" x14ac:dyDescent="0.2">
      <c r="A73" s="682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7"/>
        <v>306.67</v>
      </c>
      <c r="H73" s="79"/>
      <c r="I73" s="682" t="s">
        <v>9</v>
      </c>
      <c r="J73" s="140" t="str">
        <f>Dados!B87</f>
        <v>FGTS</v>
      </c>
      <c r="K73" s="122"/>
      <c r="L73" s="315"/>
      <c r="M73" s="331"/>
      <c r="N73" s="327">
        <f>Dados!G87</f>
        <v>0.08</v>
      </c>
      <c r="O73" s="328">
        <f t="shared" si="5"/>
        <v>315.87</v>
      </c>
      <c r="P73" s="34"/>
      <c r="Q73" s="682" t="s">
        <v>9</v>
      </c>
      <c r="R73" s="140" t="s">
        <v>16</v>
      </c>
      <c r="S73" s="122"/>
      <c r="T73" s="315"/>
      <c r="U73" s="331"/>
      <c r="V73" s="327">
        <v>0.08</v>
      </c>
      <c r="W73" s="328">
        <v>315.87</v>
      </c>
      <c r="X73" s="327">
        <v>0.08</v>
      </c>
      <c r="Y73" s="328">
        <v>315.87</v>
      </c>
      <c r="Z73" s="327">
        <v>0.08</v>
      </c>
      <c r="AA73" s="328">
        <v>315.87</v>
      </c>
      <c r="AB73" s="327">
        <v>0.08</v>
      </c>
      <c r="AC73" s="328">
        <v>315.87</v>
      </c>
      <c r="AD73" s="327">
        <v>0.08</v>
      </c>
      <c r="AE73" s="600">
        <f t="shared" si="8"/>
        <v>342.72</v>
      </c>
      <c r="AF73" s="327">
        <v>0.08</v>
      </c>
      <c r="AG73" s="600">
        <f t="shared" si="8"/>
        <v>342.72</v>
      </c>
      <c r="AH73" s="327">
        <v>0.08</v>
      </c>
      <c r="AI73" s="600">
        <f t="shared" ref="AI73" si="15">$AE$62*AH73</f>
        <v>342.72</v>
      </c>
      <c r="AJ73" s="327">
        <v>0.08</v>
      </c>
      <c r="AK73" s="600">
        <f t="shared" si="6"/>
        <v>362.77</v>
      </c>
    </row>
    <row r="74" spans="1:37" ht="15.75" customHeight="1" x14ac:dyDescent="0.2">
      <c r="A74" s="1172" t="s">
        <v>159</v>
      </c>
      <c r="B74" s="1172"/>
      <c r="C74" s="1172"/>
      <c r="D74" s="1172"/>
      <c r="E74" s="1172"/>
      <c r="F74" s="311">
        <f>SUM(F66:F73)</f>
        <v>0.3629</v>
      </c>
      <c r="G74" s="316">
        <f>SUM(G66:G73)</f>
        <v>1391.13</v>
      </c>
      <c r="H74" s="79"/>
      <c r="I74" s="1172" t="s">
        <v>159</v>
      </c>
      <c r="J74" s="1172"/>
      <c r="K74" s="1172"/>
      <c r="L74" s="1172"/>
      <c r="M74" s="1172"/>
      <c r="N74" s="311">
        <f>SUM(N66:N73)</f>
        <v>0.36370000000000002</v>
      </c>
      <c r="O74" s="316">
        <f>SUM(O66:O73)</f>
        <v>1436.03</v>
      </c>
      <c r="P74" s="34"/>
      <c r="Q74" s="1172" t="s">
        <v>159</v>
      </c>
      <c r="R74" s="1172"/>
      <c r="S74" s="1172"/>
      <c r="T74" s="1172"/>
      <c r="U74" s="1172"/>
      <c r="V74" s="311">
        <f t="shared" ref="V74:AI74" si="16">SUM(V66:V73)</f>
        <v>0.36370000000000002</v>
      </c>
      <c r="W74" s="316">
        <f t="shared" si="16"/>
        <v>1436.03</v>
      </c>
      <c r="X74" s="311">
        <f t="shared" si="16"/>
        <v>0.36370000000000002</v>
      </c>
      <c r="Y74" s="316">
        <f t="shared" si="16"/>
        <v>1436.03</v>
      </c>
      <c r="Z74" s="311">
        <f t="shared" ref="Z74:AA74" si="17">SUM(Z66:Z73)</f>
        <v>0.36370000000000002</v>
      </c>
      <c r="AA74" s="935">
        <f t="shared" si="17"/>
        <v>1436.03</v>
      </c>
      <c r="AB74" s="311">
        <f t="shared" si="16"/>
        <v>0.36370000000000002</v>
      </c>
      <c r="AC74" s="935">
        <f t="shared" si="16"/>
        <v>1436.03</v>
      </c>
      <c r="AD74" s="311">
        <f t="shared" si="16"/>
        <v>0.3654</v>
      </c>
      <c r="AE74" s="935">
        <f t="shared" si="16"/>
        <v>1565.37</v>
      </c>
      <c r="AF74" s="311">
        <f t="shared" si="16"/>
        <v>0.3654</v>
      </c>
      <c r="AG74" s="935">
        <f t="shared" si="16"/>
        <v>1565.37</v>
      </c>
      <c r="AH74" s="311">
        <f t="shared" si="16"/>
        <v>0.3654</v>
      </c>
      <c r="AI74" s="935">
        <f t="shared" si="16"/>
        <v>1565.37</v>
      </c>
      <c r="AJ74" s="311">
        <f t="shared" ref="AJ74:AK74" si="18">SUM(AJ66:AJ73)</f>
        <v>0.372</v>
      </c>
      <c r="AK74" s="981">
        <f t="shared" si="18"/>
        <v>1686.88</v>
      </c>
    </row>
    <row r="75" spans="1:37" hidden="1" x14ac:dyDescent="0.2">
      <c r="A75" s="1185" t="s">
        <v>432</v>
      </c>
      <c r="B75" s="1185"/>
      <c r="C75" s="1185"/>
      <c r="D75" s="1185"/>
      <c r="E75" s="1185"/>
      <c r="F75" s="1185"/>
      <c r="G75" s="1185"/>
      <c r="H75" s="79"/>
      <c r="I75" s="1185"/>
      <c r="J75" s="1185"/>
      <c r="K75" s="1185"/>
      <c r="L75" s="1185"/>
      <c r="M75" s="1185"/>
      <c r="N75" s="1185"/>
      <c r="O75" s="1185"/>
      <c r="P75" s="34"/>
      <c r="Q75" s="1185"/>
      <c r="R75" s="1185"/>
      <c r="S75" s="1185"/>
      <c r="T75" s="1185"/>
      <c r="U75" s="1185"/>
      <c r="V75" s="1185"/>
      <c r="W75" s="1185"/>
      <c r="X75" s="34"/>
      <c r="Y75" s="34"/>
    </row>
    <row r="76" spans="1:37" hidden="1" x14ac:dyDescent="0.2">
      <c r="A76" s="1185" t="s">
        <v>430</v>
      </c>
      <c r="B76" s="1185"/>
      <c r="C76" s="1185"/>
      <c r="D76" s="1185"/>
      <c r="E76" s="1185"/>
      <c r="F76" s="1185"/>
      <c r="G76" s="1185"/>
      <c r="H76" s="79"/>
      <c r="I76" s="1185"/>
      <c r="J76" s="1185"/>
      <c r="K76" s="1185"/>
      <c r="L76" s="1185"/>
      <c r="M76" s="1185"/>
      <c r="N76" s="1185"/>
      <c r="O76" s="1185"/>
      <c r="P76" s="34"/>
      <c r="Q76" s="1185"/>
      <c r="R76" s="1185"/>
      <c r="S76" s="1185"/>
      <c r="T76" s="1185"/>
      <c r="U76" s="1185"/>
      <c r="V76" s="1185"/>
      <c r="W76" s="1185"/>
      <c r="X76" s="34"/>
      <c r="Y76" s="34"/>
    </row>
    <row r="77" spans="1:37" ht="30.75" hidden="1" customHeight="1" x14ac:dyDescent="0.2">
      <c r="A77" s="1295" t="s">
        <v>480</v>
      </c>
      <c r="B77" s="1185"/>
      <c r="C77" s="1185"/>
      <c r="D77" s="1185"/>
      <c r="E77" s="1185"/>
      <c r="F77" s="1185"/>
      <c r="G77" s="1185"/>
      <c r="H77" s="79"/>
      <c r="I77" s="1295"/>
      <c r="J77" s="1185"/>
      <c r="K77" s="1185"/>
      <c r="L77" s="1185"/>
      <c r="M77" s="1185"/>
      <c r="N77" s="1185"/>
      <c r="O77" s="1185"/>
      <c r="P77" s="34"/>
      <c r="Q77" s="1295"/>
      <c r="R77" s="1185"/>
      <c r="S77" s="1185"/>
      <c r="T77" s="1185"/>
      <c r="U77" s="1185"/>
      <c r="V77" s="1185"/>
      <c r="W77" s="1185"/>
      <c r="X77" s="34"/>
      <c r="Y77" s="34"/>
    </row>
    <row r="78" spans="1:37" hidden="1" x14ac:dyDescent="0.2">
      <c r="A78" s="730" t="s">
        <v>552</v>
      </c>
      <c r="B78" s="261"/>
      <c r="C78" s="261"/>
      <c r="D78" s="261"/>
      <c r="E78" s="261"/>
      <c r="F78" s="261"/>
      <c r="G78" s="261"/>
      <c r="H78" s="79"/>
      <c r="I78" s="730" t="s">
        <v>552</v>
      </c>
      <c r="J78" s="261"/>
      <c r="K78" s="261"/>
      <c r="L78" s="261"/>
      <c r="M78" s="261"/>
      <c r="N78" s="261"/>
      <c r="O78" s="261"/>
      <c r="P78" s="34"/>
      <c r="Q78" s="730" t="s">
        <v>496</v>
      </c>
      <c r="R78" s="261"/>
      <c r="S78" s="261"/>
      <c r="T78" s="261"/>
      <c r="U78" s="261"/>
      <c r="V78" s="261"/>
      <c r="W78" s="261"/>
      <c r="X78" s="34"/>
      <c r="Y78" s="34"/>
    </row>
    <row r="79" spans="1:37" hidden="1" x14ac:dyDescent="0.2">
      <c r="A79" s="71" t="s">
        <v>431</v>
      </c>
      <c r="B79" s="261"/>
      <c r="C79" s="261"/>
      <c r="D79" s="261"/>
      <c r="E79" s="261"/>
      <c r="F79" s="261"/>
      <c r="G79" s="261"/>
      <c r="H79" s="79"/>
      <c r="I79" s="71" t="s">
        <v>431</v>
      </c>
      <c r="J79" s="261"/>
      <c r="K79" s="261"/>
      <c r="L79" s="261"/>
      <c r="M79" s="261"/>
      <c r="N79" s="261"/>
      <c r="O79" s="261"/>
      <c r="P79" s="34"/>
      <c r="Q79" s="71" t="s">
        <v>497</v>
      </c>
      <c r="R79" s="261"/>
      <c r="S79" s="261"/>
      <c r="T79" s="261"/>
      <c r="U79" s="261"/>
      <c r="V79" s="261"/>
      <c r="W79" s="261"/>
      <c r="X79" s="34"/>
      <c r="Y79" s="34"/>
    </row>
    <row r="80" spans="1:37" hidden="1" x14ac:dyDescent="0.2">
      <c r="A80" s="195" t="s">
        <v>551</v>
      </c>
      <c r="B80" s="261"/>
      <c r="C80" s="261"/>
      <c r="D80" s="261"/>
      <c r="E80" s="261"/>
      <c r="F80" s="261"/>
      <c r="G80" s="261"/>
      <c r="H80" s="79"/>
      <c r="I80" s="195" t="s">
        <v>551</v>
      </c>
      <c r="J80" s="261"/>
      <c r="K80" s="261"/>
      <c r="L80" s="261"/>
      <c r="M80" s="261"/>
      <c r="N80" s="261"/>
      <c r="O80" s="261"/>
      <c r="P80" s="34"/>
      <c r="Q80" s="195" t="s">
        <v>498</v>
      </c>
      <c r="R80" s="261"/>
      <c r="S80" s="261"/>
      <c r="T80" s="261"/>
      <c r="U80" s="261"/>
      <c r="V80" s="261"/>
      <c r="W80" s="261"/>
      <c r="X80" s="34"/>
      <c r="Y80" s="34"/>
    </row>
    <row r="81" spans="1:37" ht="15" hidden="1" x14ac:dyDescent="0.2">
      <c r="A81" s="715"/>
      <c r="B81" s="261"/>
      <c r="C81" s="261"/>
      <c r="D81" s="261"/>
      <c r="E81" s="261"/>
      <c r="F81" s="261"/>
      <c r="G81" s="261"/>
      <c r="H81" s="79"/>
      <c r="I81" s="715"/>
      <c r="J81" s="261"/>
      <c r="K81" s="261"/>
      <c r="L81" s="261"/>
      <c r="M81" s="261"/>
      <c r="N81" s="261"/>
      <c r="O81" s="261"/>
      <c r="P81" s="34"/>
      <c r="Q81" s="715"/>
      <c r="R81" s="261"/>
      <c r="S81" s="261"/>
      <c r="T81" s="261"/>
      <c r="U81" s="261"/>
      <c r="V81" s="261"/>
      <c r="W81" s="261"/>
      <c r="X81" s="34"/>
      <c r="Y81" s="34"/>
    </row>
    <row r="82" spans="1:37" x14ac:dyDescent="0.2">
      <c r="A82" s="1296" t="s">
        <v>218</v>
      </c>
      <c r="B82" s="1297"/>
      <c r="C82" s="1297"/>
      <c r="D82" s="1297"/>
      <c r="E82" s="1297"/>
      <c r="F82" s="1297"/>
      <c r="G82" s="1297"/>
      <c r="H82" s="1297"/>
      <c r="I82" s="1297"/>
      <c r="J82" s="1297"/>
      <c r="K82" s="1297"/>
      <c r="L82" s="1297"/>
      <c r="M82" s="1297"/>
      <c r="N82" s="1297"/>
      <c r="O82" s="1297"/>
      <c r="P82" s="1297"/>
      <c r="Q82" s="1297"/>
      <c r="R82" s="1297"/>
      <c r="S82" s="1297"/>
      <c r="T82" s="1297"/>
      <c r="U82" s="1297"/>
      <c r="V82" s="1297"/>
      <c r="W82" s="1297"/>
      <c r="X82" s="1297"/>
      <c r="Y82" s="1297"/>
    </row>
    <row r="83" spans="1:37" ht="28.5" customHeight="1" x14ac:dyDescent="0.2">
      <c r="A83" s="703" t="s">
        <v>219</v>
      </c>
      <c r="B83" s="1174" t="s">
        <v>22</v>
      </c>
      <c r="C83" s="1174"/>
      <c r="D83" s="1174"/>
      <c r="E83" s="1174"/>
      <c r="F83" s="703" t="s">
        <v>222</v>
      </c>
      <c r="G83" s="707" t="s">
        <v>107</v>
      </c>
      <c r="H83" s="592"/>
      <c r="I83" s="703" t="s">
        <v>219</v>
      </c>
      <c r="J83" s="1174" t="s">
        <v>22</v>
      </c>
      <c r="K83" s="1174"/>
      <c r="L83" s="1174"/>
      <c r="M83" s="1174"/>
      <c r="N83" s="703" t="s">
        <v>222</v>
      </c>
      <c r="O83" s="707" t="s">
        <v>107</v>
      </c>
      <c r="P83" s="593"/>
      <c r="Q83" s="703" t="s">
        <v>219</v>
      </c>
      <c r="R83" s="1174" t="s">
        <v>22</v>
      </c>
      <c r="S83" s="1174"/>
      <c r="T83" s="1174"/>
      <c r="U83" s="1174"/>
      <c r="V83" s="703" t="s">
        <v>222</v>
      </c>
      <c r="W83" s="707" t="s">
        <v>107</v>
      </c>
      <c r="X83" s="638" t="s">
        <v>222</v>
      </c>
      <c r="Y83" s="707" t="s">
        <v>107</v>
      </c>
      <c r="Z83" s="638" t="s">
        <v>222</v>
      </c>
      <c r="AA83" s="928" t="s">
        <v>107</v>
      </c>
      <c r="AB83" s="638" t="s">
        <v>222</v>
      </c>
      <c r="AC83" s="928" t="s">
        <v>107</v>
      </c>
      <c r="AD83" s="638" t="s">
        <v>222</v>
      </c>
      <c r="AE83" s="928" t="s">
        <v>107</v>
      </c>
      <c r="AF83" s="638" t="s">
        <v>222</v>
      </c>
      <c r="AG83" s="928" t="s">
        <v>107</v>
      </c>
      <c r="AH83" s="638" t="s">
        <v>222</v>
      </c>
      <c r="AI83" s="928" t="s">
        <v>107</v>
      </c>
      <c r="AJ83" s="638" t="s">
        <v>222</v>
      </c>
      <c r="AK83" s="963" t="s">
        <v>107</v>
      </c>
    </row>
    <row r="84" spans="1:37" x14ac:dyDescent="0.2">
      <c r="A84" s="1216" t="s">
        <v>1</v>
      </c>
      <c r="B84" s="588" t="s">
        <v>529</v>
      </c>
      <c r="C84" s="601"/>
      <c r="D84" s="602"/>
      <c r="E84" s="716">
        <f>INDEX(Dados!$J$27:$M$32,MATCH($C$23,Dados!$J$27:$J$32,0),4)</f>
        <v>15</v>
      </c>
      <c r="F84" s="606">
        <f>Dados!J45</f>
        <v>11</v>
      </c>
      <c r="G84" s="591">
        <f>$E$84*F84*$F$13</f>
        <v>165</v>
      </c>
      <c r="H84" s="79"/>
      <c r="I84" s="1216" t="s">
        <v>1</v>
      </c>
      <c r="J84" s="588" t="e">
        <f>HLOOKUP($F$29,#REF!,4,FALSE)</f>
        <v>#REF!</v>
      </c>
      <c r="K84" s="601"/>
      <c r="L84" s="602"/>
      <c r="M84" s="716">
        <f>INDEX(Dados!$J$27:$M$32,MATCH($C$23,Dados!$J$27:$J$32,0),4)</f>
        <v>15</v>
      </c>
      <c r="N84" s="606">
        <f>Dados!R45</f>
        <v>0</v>
      </c>
      <c r="O84" s="591">
        <f>$E$84*F84*$F$13</f>
        <v>165</v>
      </c>
      <c r="P84" s="34"/>
      <c r="Q84" s="1216" t="s">
        <v>1</v>
      </c>
      <c r="R84" s="588" t="s">
        <v>292</v>
      </c>
      <c r="S84" s="601"/>
      <c r="T84" s="602"/>
      <c r="U84" s="716">
        <v>15</v>
      </c>
      <c r="V84" s="606">
        <v>0</v>
      </c>
      <c r="W84" s="591">
        <v>165</v>
      </c>
      <c r="X84" s="593"/>
      <c r="Y84" s="591">
        <v>165</v>
      </c>
      <c r="Z84" s="593"/>
      <c r="AA84" s="591">
        <v>165</v>
      </c>
      <c r="AB84" s="593"/>
      <c r="AC84" s="591">
        <v>165</v>
      </c>
      <c r="AD84" s="593">
        <v>11</v>
      </c>
      <c r="AE84" s="793">
        <f>$E$84*AD84*$F$13</f>
        <v>165</v>
      </c>
      <c r="AF84" s="593">
        <v>11</v>
      </c>
      <c r="AG84" s="793">
        <f>$E$84*AF84*$F$13</f>
        <v>165</v>
      </c>
      <c r="AH84" s="593">
        <v>11</v>
      </c>
      <c r="AI84" s="793">
        <f>$E$84*AH84*$F$13</f>
        <v>165</v>
      </c>
      <c r="AJ84" s="606">
        <v>11</v>
      </c>
      <c r="AK84" s="793">
        <f>$E$84*AJ84*$F$13</f>
        <v>165</v>
      </c>
    </row>
    <row r="85" spans="1:37" x14ac:dyDescent="0.2">
      <c r="A85" s="1193"/>
      <c r="B85" s="664" t="str">
        <f>Dados!A46</f>
        <v>Desconto Legal sobre o salário</v>
      </c>
      <c r="C85" s="665"/>
      <c r="D85" s="677"/>
      <c r="E85" s="678"/>
      <c r="F85" s="300">
        <f>Dados!J46</f>
        <v>0.06</v>
      </c>
      <c r="G85" s="686">
        <f>-MIN(G84,(F85*G35))</f>
        <v>-131.56</v>
      </c>
      <c r="H85" s="79"/>
      <c r="I85" s="1193"/>
      <c r="J85" s="664" t="str">
        <f>Dados!A46</f>
        <v>Desconto Legal sobre o salário</v>
      </c>
      <c r="K85" s="665"/>
      <c r="L85" s="677"/>
      <c r="M85" s="678"/>
      <c r="N85" s="300">
        <f>Dados!J46</f>
        <v>0.06</v>
      </c>
      <c r="O85" s="686">
        <f>-MIN(O84,(N85*O35))</f>
        <v>-135.51</v>
      </c>
      <c r="P85" s="34"/>
      <c r="Q85" s="1193"/>
      <c r="R85" s="664" t="s">
        <v>177</v>
      </c>
      <c r="S85" s="665"/>
      <c r="T85" s="677"/>
      <c r="U85" s="678"/>
      <c r="V85" s="300">
        <v>0.06</v>
      </c>
      <c r="W85" s="686">
        <v>-135.51</v>
      </c>
      <c r="X85" s="300">
        <v>0.06</v>
      </c>
      <c r="Y85" s="686">
        <v>-135.51</v>
      </c>
      <c r="Z85" s="300">
        <v>0.06</v>
      </c>
      <c r="AA85" s="937">
        <v>-135.51</v>
      </c>
      <c r="AB85" s="300">
        <v>0.06</v>
      </c>
      <c r="AC85" s="937">
        <v>-135.51</v>
      </c>
      <c r="AD85" s="300">
        <v>0.06</v>
      </c>
      <c r="AE85" s="937">
        <f>-MIN(AE84,(AD85*AE35))</f>
        <v>-147.02000000000001</v>
      </c>
      <c r="AF85" s="300">
        <v>0.06</v>
      </c>
      <c r="AG85" s="937">
        <f>-MIN(AG84,(AF85*AG35))</f>
        <v>-147.02000000000001</v>
      </c>
      <c r="AH85" s="300">
        <v>0.06</v>
      </c>
      <c r="AI85" s="937">
        <f>-MIN(AI84,(AH85*AI35))</f>
        <v>-147.02000000000001</v>
      </c>
      <c r="AJ85" s="300">
        <v>0.06</v>
      </c>
      <c r="AK85" s="983">
        <f>-MIN(AK84,(AJ85*AK35))</f>
        <v>-155.62</v>
      </c>
    </row>
    <row r="86" spans="1:37" x14ac:dyDescent="0.2">
      <c r="A86" s="1193" t="s">
        <v>2</v>
      </c>
      <c r="B86" s="664" t="s">
        <v>530</v>
      </c>
      <c r="C86" s="665"/>
      <c r="D86" s="677"/>
      <c r="E86" s="672">
        <f>INDEX(Dados!$J$27:$M$32,MATCH($C$23,Dados!$J$27:$J$32,0),4)</f>
        <v>15</v>
      </c>
      <c r="F86" s="686">
        <f>Dados!J48</f>
        <v>37.5</v>
      </c>
      <c r="G86" s="684">
        <f>(E86*F86)*$F$13</f>
        <v>562.5</v>
      </c>
      <c r="H86" s="79"/>
      <c r="I86" s="1193" t="s">
        <v>2</v>
      </c>
      <c r="J86" s="664" t="e">
        <f>HLOOKUP($F$29,#REF!,2,FALSE)</f>
        <v>#REF!</v>
      </c>
      <c r="K86" s="665"/>
      <c r="L86" s="677"/>
      <c r="M86" s="672">
        <f>INDEX(Dados!$J$27:$M$32,MATCH($C$23,Dados!$J$27:$J$32,0),4)</f>
        <v>15</v>
      </c>
      <c r="N86" s="686">
        <f>Dados!R48</f>
        <v>0</v>
      </c>
      <c r="O86" s="684">
        <v>589.35</v>
      </c>
      <c r="P86" s="34"/>
      <c r="Q86" s="1193" t="s">
        <v>2</v>
      </c>
      <c r="R86" s="664" t="s">
        <v>290</v>
      </c>
      <c r="S86" s="665"/>
      <c r="T86" s="677"/>
      <c r="U86" s="672">
        <v>15</v>
      </c>
      <c r="V86" s="686">
        <v>0</v>
      </c>
      <c r="W86" s="684">
        <v>589.35</v>
      </c>
      <c r="X86" s="593"/>
      <c r="Y86" s="684">
        <v>589.35</v>
      </c>
      <c r="Z86" s="593"/>
      <c r="AA86" s="936">
        <v>589.35</v>
      </c>
      <c r="AB86" s="593"/>
      <c r="AC86" s="936">
        <v>589.35</v>
      </c>
      <c r="AD86" s="593"/>
      <c r="AE86" s="845">
        <f>'Mem.Submódulo 2.3'!AE46</f>
        <v>639.45000000000005</v>
      </c>
      <c r="AF86" s="593"/>
      <c r="AG86" s="845">
        <f>AE86</f>
        <v>639.45000000000005</v>
      </c>
      <c r="AH86" s="593"/>
      <c r="AI86" s="845">
        <f>AG86</f>
        <v>639.45000000000005</v>
      </c>
      <c r="AJ86" s="593"/>
      <c r="AK86" s="845">
        <f>'Mem.Submódulo 2.3'!AN46</f>
        <v>676.8</v>
      </c>
    </row>
    <row r="87" spans="1:37" x14ac:dyDescent="0.2">
      <c r="A87" s="1193"/>
      <c r="B87" s="664" t="s">
        <v>528</v>
      </c>
      <c r="C87" s="306"/>
      <c r="D87" s="307"/>
      <c r="E87" s="304"/>
      <c r="F87" s="686">
        <f>Dados!J49</f>
        <v>0.75</v>
      </c>
      <c r="G87" s="685">
        <f>-F87*E86</f>
        <v>-11.25</v>
      </c>
      <c r="H87" s="79"/>
      <c r="I87" s="1193"/>
      <c r="J87" s="664" t="e">
        <f>HLOOKUP($F$29,#REF!,3,FALSE)</f>
        <v>#REF!</v>
      </c>
      <c r="K87" s="306"/>
      <c r="L87" s="307"/>
      <c r="M87" s="304"/>
      <c r="N87" s="686">
        <f>Dados!R49</f>
        <v>0</v>
      </c>
      <c r="O87" s="685">
        <v>-11.85</v>
      </c>
      <c r="P87" s="34"/>
      <c r="Q87" s="1193"/>
      <c r="R87" s="664" t="s">
        <v>291</v>
      </c>
      <c r="S87" s="306"/>
      <c r="T87" s="307"/>
      <c r="U87" s="304"/>
      <c r="V87" s="686">
        <v>0</v>
      </c>
      <c r="W87" s="685">
        <v>-11.85</v>
      </c>
      <c r="X87" s="593"/>
      <c r="Y87" s="685">
        <v>-11.85</v>
      </c>
      <c r="Z87" s="593"/>
      <c r="AA87" s="938">
        <v>-11.85</v>
      </c>
      <c r="AB87" s="593"/>
      <c r="AC87" s="938">
        <v>-11.85</v>
      </c>
      <c r="AD87" s="593"/>
      <c r="AE87" s="794">
        <f>'Mem.Submódulo 2.3'!AE51</f>
        <v>-12.75</v>
      </c>
      <c r="AF87" s="593"/>
      <c r="AG87" s="794">
        <f>AE87</f>
        <v>-12.75</v>
      </c>
      <c r="AH87" s="593"/>
      <c r="AI87" s="794">
        <f>AG87</f>
        <v>-12.75</v>
      </c>
      <c r="AJ87" s="593"/>
      <c r="AK87" s="794">
        <f>'Mem.Submódulo 2.3'!AN51</f>
        <v>-13.5</v>
      </c>
    </row>
    <row r="88" spans="1:37" x14ac:dyDescent="0.2">
      <c r="A88" s="668" t="s">
        <v>4</v>
      </c>
      <c r="B88" s="664" t="s">
        <v>531</v>
      </c>
      <c r="C88" s="306"/>
      <c r="D88" s="307"/>
      <c r="E88" s="304"/>
      <c r="F88" s="686">
        <f>Dados!J50</f>
        <v>140</v>
      </c>
      <c r="G88" s="685">
        <f t="shared" ref="G88:G94" si="19">F88*$F$13</f>
        <v>140</v>
      </c>
      <c r="H88" s="79"/>
      <c r="I88" s="668" t="s">
        <v>4</v>
      </c>
      <c r="J88" s="664" t="e">
        <f>HLOOKUP($F$29,#REF!,5,FALSE) &amp; " " &amp; "(Pago por ressarcimento)"</f>
        <v>#REF!</v>
      </c>
      <c r="K88" s="306"/>
      <c r="L88" s="307"/>
      <c r="M88" s="304"/>
      <c r="N88" s="686">
        <f>Dados!R50</f>
        <v>0</v>
      </c>
      <c r="O88" s="685">
        <v>140</v>
      </c>
      <c r="P88" s="34"/>
      <c r="Q88" s="668" t="s">
        <v>4</v>
      </c>
      <c r="R88" s="664" t="s">
        <v>499</v>
      </c>
      <c r="S88" s="306"/>
      <c r="T88" s="307"/>
      <c r="U88" s="304"/>
      <c r="V88" s="686">
        <v>0</v>
      </c>
      <c r="W88" s="685">
        <v>140</v>
      </c>
      <c r="X88" s="593"/>
      <c r="Y88" s="685">
        <v>140</v>
      </c>
      <c r="Z88" s="593"/>
      <c r="AA88" s="938">
        <v>140</v>
      </c>
      <c r="AB88" s="593"/>
      <c r="AC88" s="938">
        <v>140</v>
      </c>
      <c r="AD88" s="593"/>
      <c r="AE88" s="794">
        <f>'[3]Mem.Submódulo 2.3'!AD57</f>
        <v>151.9</v>
      </c>
      <c r="AF88" s="593"/>
      <c r="AG88" s="794">
        <v>151.9</v>
      </c>
      <c r="AH88" s="593"/>
      <c r="AI88" s="794">
        <v>151.9</v>
      </c>
      <c r="AJ88" s="593"/>
      <c r="AK88" s="794">
        <v>151.9</v>
      </c>
    </row>
    <row r="89" spans="1:37" x14ac:dyDescent="0.2">
      <c r="A89" s="668" t="s">
        <v>5</v>
      </c>
      <c r="B89" s="664" t="s">
        <v>532</v>
      </c>
      <c r="C89" s="306"/>
      <c r="D89" s="307"/>
      <c r="E89" s="304"/>
      <c r="F89" s="686">
        <f>Dados!J51</f>
        <v>14</v>
      </c>
      <c r="G89" s="685">
        <f t="shared" si="19"/>
        <v>14</v>
      </c>
      <c r="H89" s="79"/>
      <c r="I89" s="668" t="s">
        <v>5</v>
      </c>
      <c r="J89" s="664" t="e">
        <f>HLOOKUP($F$29,#REF!,6,FALSE)</f>
        <v>#REF!</v>
      </c>
      <c r="K89" s="306"/>
      <c r="L89" s="307"/>
      <c r="M89" s="304"/>
      <c r="N89" s="686">
        <f>Dados!R51</f>
        <v>0</v>
      </c>
      <c r="O89" s="685">
        <v>14</v>
      </c>
      <c r="P89" s="34"/>
      <c r="Q89" s="668" t="s">
        <v>5</v>
      </c>
      <c r="R89" s="664" t="s">
        <v>295</v>
      </c>
      <c r="S89" s="306"/>
      <c r="T89" s="307"/>
      <c r="U89" s="304"/>
      <c r="V89" s="686">
        <v>0</v>
      </c>
      <c r="W89" s="685">
        <v>14</v>
      </c>
      <c r="X89" s="593"/>
      <c r="Y89" s="685">
        <v>14</v>
      </c>
      <c r="Z89" s="593"/>
      <c r="AA89" s="938">
        <v>14</v>
      </c>
      <c r="AB89" s="593"/>
      <c r="AC89" s="938">
        <v>14</v>
      </c>
      <c r="AD89" s="593"/>
      <c r="AE89" s="794">
        <f>'[3]Mem.Submódulo 2.3'!AD58</f>
        <v>15.19</v>
      </c>
      <c r="AF89" s="593"/>
      <c r="AG89" s="794">
        <v>15.19</v>
      </c>
      <c r="AH89" s="593"/>
      <c r="AI89" s="794">
        <v>15.19</v>
      </c>
      <c r="AJ89" s="593"/>
      <c r="AK89" s="794">
        <v>16.07</v>
      </c>
    </row>
    <row r="90" spans="1:37" x14ac:dyDescent="0.2">
      <c r="A90" s="668" t="s">
        <v>6</v>
      </c>
      <c r="B90" s="664" t="s">
        <v>533</v>
      </c>
      <c r="C90" s="306"/>
      <c r="D90" s="307"/>
      <c r="E90" s="304"/>
      <c r="F90" s="686">
        <f>Dados!J52</f>
        <v>6.4</v>
      </c>
      <c r="G90" s="685">
        <f t="shared" si="19"/>
        <v>6.4</v>
      </c>
      <c r="H90" s="79"/>
      <c r="I90" s="668" t="s">
        <v>6</v>
      </c>
      <c r="J90" s="664" t="e">
        <f>HLOOKUP($F$29,#REF!,7,FALSE)</f>
        <v>#REF!</v>
      </c>
      <c r="K90" s="306"/>
      <c r="L90" s="307"/>
      <c r="M90" s="304"/>
      <c r="N90" s="686">
        <f>Dados!R52</f>
        <v>0</v>
      </c>
      <c r="O90" s="685">
        <v>6.6</v>
      </c>
      <c r="P90" s="34"/>
      <c r="Q90" s="668" t="s">
        <v>6</v>
      </c>
      <c r="R90" s="664" t="s">
        <v>294</v>
      </c>
      <c r="S90" s="306"/>
      <c r="T90" s="307"/>
      <c r="U90" s="304"/>
      <c r="V90" s="686">
        <v>0</v>
      </c>
      <c r="W90" s="685">
        <v>6.6</v>
      </c>
      <c r="X90" s="593"/>
      <c r="Y90" s="685">
        <v>6.6</v>
      </c>
      <c r="Z90" s="593"/>
      <c r="AA90" s="938">
        <v>6.6</v>
      </c>
      <c r="AB90" s="593"/>
      <c r="AC90" s="938">
        <v>6.6</v>
      </c>
      <c r="AD90" s="593"/>
      <c r="AE90" s="794">
        <f>'Mem.Submódulo 2.3'!AC59</f>
        <v>7.87</v>
      </c>
      <c r="AF90" s="593"/>
      <c r="AG90" s="794">
        <v>7.87</v>
      </c>
      <c r="AH90" s="593"/>
      <c r="AI90" s="794">
        <v>7.87</v>
      </c>
      <c r="AJ90" s="593"/>
      <c r="AK90" s="794">
        <v>8.34</v>
      </c>
    </row>
    <row r="91" spans="1:37" x14ac:dyDescent="0.2">
      <c r="A91" s="668" t="s">
        <v>7</v>
      </c>
      <c r="B91" s="664" t="s">
        <v>534</v>
      </c>
      <c r="C91" s="306"/>
      <c r="D91" s="307"/>
      <c r="E91" s="304"/>
      <c r="F91" s="686">
        <f>Dados!J53</f>
        <v>9</v>
      </c>
      <c r="G91" s="685">
        <f t="shared" si="19"/>
        <v>9</v>
      </c>
      <c r="H91" s="79"/>
      <c r="I91" s="668" t="s">
        <v>7</v>
      </c>
      <c r="J91" s="664" t="e">
        <f>HLOOKUP($F$29,#REF!,8,FALSE)</f>
        <v>#REF!</v>
      </c>
      <c r="K91" s="306"/>
      <c r="L91" s="307"/>
      <c r="M91" s="304"/>
      <c r="N91" s="686">
        <f>Dados!R53</f>
        <v>0</v>
      </c>
      <c r="O91" s="685">
        <v>9</v>
      </c>
      <c r="P91" s="34"/>
      <c r="Q91" s="668" t="s">
        <v>7</v>
      </c>
      <c r="R91" s="664" t="s">
        <v>293</v>
      </c>
      <c r="S91" s="306"/>
      <c r="T91" s="307"/>
      <c r="U91" s="304"/>
      <c r="V91" s="686">
        <v>0</v>
      </c>
      <c r="W91" s="685">
        <v>9</v>
      </c>
      <c r="X91" s="593"/>
      <c r="Y91" s="685">
        <v>9</v>
      </c>
      <c r="Z91" s="593"/>
      <c r="AA91" s="938">
        <v>9</v>
      </c>
      <c r="AB91" s="593"/>
      <c r="AC91" s="938">
        <v>9</v>
      </c>
      <c r="AD91" s="593"/>
      <c r="AE91" s="794">
        <f>'Mem.Submódulo 2.3'!AC60</f>
        <v>9.76</v>
      </c>
      <c r="AF91" s="593"/>
      <c r="AG91" s="794">
        <v>9.76</v>
      </c>
      <c r="AH91" s="593"/>
      <c r="AI91" s="794">
        <v>9.76</v>
      </c>
      <c r="AJ91" s="593"/>
      <c r="AK91" s="794">
        <v>10.33</v>
      </c>
    </row>
    <row r="92" spans="1:37" ht="14.25" hidden="1" customHeight="1" x14ac:dyDescent="0.2">
      <c r="A92" s="668" t="s">
        <v>9</v>
      </c>
      <c r="B92" s="664" t="e">
        <f>HLOOKUP($F$29,#REF!,9,FALSE)</f>
        <v>#REF!</v>
      </c>
      <c r="C92" s="306"/>
      <c r="D92" s="307"/>
      <c r="E92" s="304"/>
      <c r="F92" s="686">
        <f>Dados!J54</f>
        <v>0</v>
      </c>
      <c r="G92" s="685">
        <f t="shared" si="19"/>
        <v>0</v>
      </c>
      <c r="H92" s="79"/>
      <c r="I92" s="668" t="s">
        <v>9</v>
      </c>
      <c r="J92" s="664" t="e">
        <f>HLOOKUP($F$29,#REF!,9,FALSE)</f>
        <v>#REF!</v>
      </c>
      <c r="K92" s="306"/>
      <c r="L92" s="307"/>
      <c r="M92" s="304"/>
      <c r="N92" s="686">
        <f>Dados!R54</f>
        <v>0</v>
      </c>
      <c r="O92" s="685">
        <f t="shared" ref="O92:O94" si="20">N92*$F$13</f>
        <v>0</v>
      </c>
      <c r="P92" s="34"/>
      <c r="Q92" s="668" t="s">
        <v>9</v>
      </c>
      <c r="R92" s="664" t="s">
        <v>283</v>
      </c>
      <c r="S92" s="306"/>
      <c r="T92" s="307"/>
      <c r="U92" s="304"/>
      <c r="V92" s="686">
        <v>0</v>
      </c>
      <c r="W92" s="685">
        <v>0</v>
      </c>
      <c r="X92" s="593"/>
      <c r="Y92" s="685">
        <v>0</v>
      </c>
      <c r="Z92" s="593"/>
      <c r="AA92" s="938">
        <v>0</v>
      </c>
      <c r="AB92" s="593"/>
      <c r="AC92" s="938">
        <v>0</v>
      </c>
      <c r="AD92" s="593"/>
      <c r="AE92" s="938">
        <v>0</v>
      </c>
      <c r="AF92" s="593"/>
      <c r="AG92" s="938">
        <v>0</v>
      </c>
      <c r="AH92" s="593"/>
      <c r="AI92" s="938">
        <v>0</v>
      </c>
      <c r="AJ92" s="593"/>
      <c r="AK92" s="984">
        <v>0</v>
      </c>
    </row>
    <row r="93" spans="1:37" ht="14.25" hidden="1" customHeight="1" x14ac:dyDescent="0.2">
      <c r="A93" s="668" t="s">
        <v>127</v>
      </c>
      <c r="B93" s="664" t="e">
        <f>HLOOKUP($F$29,#REF!,10,FALSE)</f>
        <v>#REF!</v>
      </c>
      <c r="C93" s="306"/>
      <c r="D93" s="307"/>
      <c r="E93" s="304"/>
      <c r="F93" s="686">
        <f>Dados!J55</f>
        <v>0</v>
      </c>
      <c r="G93" s="685">
        <f t="shared" si="19"/>
        <v>0</v>
      </c>
      <c r="H93" s="79"/>
      <c r="I93" s="668" t="s">
        <v>127</v>
      </c>
      <c r="J93" s="664" t="e">
        <f>HLOOKUP($F$29,#REF!,10,FALSE)</f>
        <v>#REF!</v>
      </c>
      <c r="K93" s="306"/>
      <c r="L93" s="307"/>
      <c r="M93" s="304"/>
      <c r="N93" s="686">
        <f>Dados!R55</f>
        <v>0</v>
      </c>
      <c r="O93" s="685">
        <f t="shared" si="20"/>
        <v>0</v>
      </c>
      <c r="P93" s="34"/>
      <c r="Q93" s="668" t="s">
        <v>127</v>
      </c>
      <c r="R93" s="664" t="s">
        <v>296</v>
      </c>
      <c r="S93" s="306"/>
      <c r="T93" s="307"/>
      <c r="U93" s="304"/>
      <c r="V93" s="686">
        <v>0</v>
      </c>
      <c r="W93" s="685">
        <v>0</v>
      </c>
      <c r="X93" s="593"/>
      <c r="Y93" s="685">
        <v>0</v>
      </c>
      <c r="Z93" s="593"/>
      <c r="AA93" s="938">
        <v>0</v>
      </c>
      <c r="AB93" s="593"/>
      <c r="AC93" s="938">
        <v>0</v>
      </c>
      <c r="AD93" s="593"/>
      <c r="AE93" s="938">
        <v>0</v>
      </c>
      <c r="AF93" s="593"/>
      <c r="AG93" s="938">
        <v>0</v>
      </c>
      <c r="AH93" s="593"/>
      <c r="AI93" s="938">
        <v>0</v>
      </c>
      <c r="AJ93" s="593"/>
      <c r="AK93" s="984">
        <v>0</v>
      </c>
    </row>
    <row r="94" spans="1:37" ht="14.25" hidden="1" customHeight="1" x14ac:dyDescent="0.2">
      <c r="A94" s="668" t="s">
        <v>282</v>
      </c>
      <c r="B94" s="664" t="e">
        <f>HLOOKUP($F$29,#REF!,11,FALSE)</f>
        <v>#REF!</v>
      </c>
      <c r="C94" s="306"/>
      <c r="D94" s="307"/>
      <c r="E94" s="304"/>
      <c r="F94" s="686">
        <f>Dados!J56</f>
        <v>0</v>
      </c>
      <c r="G94" s="685">
        <f t="shared" si="19"/>
        <v>0</v>
      </c>
      <c r="H94" s="79"/>
      <c r="I94" s="668" t="s">
        <v>282</v>
      </c>
      <c r="J94" s="664" t="e">
        <f>HLOOKUP($F$29,#REF!,11,FALSE)</f>
        <v>#REF!</v>
      </c>
      <c r="K94" s="306"/>
      <c r="L94" s="307"/>
      <c r="M94" s="304"/>
      <c r="N94" s="686">
        <f>Dados!R56</f>
        <v>0</v>
      </c>
      <c r="O94" s="685">
        <f t="shared" si="20"/>
        <v>0</v>
      </c>
      <c r="P94" s="34"/>
      <c r="Q94" s="668" t="s">
        <v>282</v>
      </c>
      <c r="R94" s="664" t="s">
        <v>297</v>
      </c>
      <c r="S94" s="306"/>
      <c r="T94" s="307"/>
      <c r="U94" s="304"/>
      <c r="V94" s="686">
        <v>0</v>
      </c>
      <c r="W94" s="685">
        <v>0</v>
      </c>
      <c r="X94" s="593"/>
      <c r="Y94" s="685">
        <v>0</v>
      </c>
      <c r="Z94" s="593"/>
      <c r="AA94" s="938">
        <v>0</v>
      </c>
      <c r="AB94" s="593"/>
      <c r="AC94" s="938">
        <v>0</v>
      </c>
      <c r="AD94" s="593"/>
      <c r="AE94" s="938">
        <v>0</v>
      </c>
      <c r="AF94" s="593"/>
      <c r="AG94" s="938">
        <v>0</v>
      </c>
      <c r="AH94" s="593"/>
      <c r="AI94" s="938">
        <v>0</v>
      </c>
      <c r="AJ94" s="593"/>
      <c r="AK94" s="984">
        <v>0</v>
      </c>
    </row>
    <row r="95" spans="1:37" x14ac:dyDescent="0.2">
      <c r="A95" s="668" t="s">
        <v>8</v>
      </c>
      <c r="B95" s="303" t="s">
        <v>51</v>
      </c>
      <c r="C95" s="306"/>
      <c r="D95" s="307"/>
      <c r="E95" s="304"/>
      <c r="F95" s="686"/>
      <c r="G95" s="687"/>
      <c r="H95" s="79"/>
      <c r="I95" s="668" t="s">
        <v>8</v>
      </c>
      <c r="J95" s="303" t="s">
        <v>51</v>
      </c>
      <c r="K95" s="306"/>
      <c r="L95" s="307"/>
      <c r="M95" s="304"/>
      <c r="N95" s="686"/>
      <c r="O95" s="687"/>
      <c r="P95" s="34"/>
      <c r="Q95" s="668" t="s">
        <v>8</v>
      </c>
      <c r="R95" s="303" t="s">
        <v>51</v>
      </c>
      <c r="S95" s="306"/>
      <c r="T95" s="307"/>
      <c r="U95" s="304"/>
      <c r="V95" s="686"/>
      <c r="W95" s="687"/>
      <c r="X95" s="593"/>
      <c r="Y95" s="687"/>
      <c r="Z95" s="593"/>
      <c r="AA95" s="934"/>
      <c r="AB95" s="593"/>
      <c r="AC95" s="934"/>
      <c r="AD95" s="593"/>
      <c r="AE95" s="934"/>
      <c r="AF95" s="593"/>
      <c r="AG95" s="934"/>
      <c r="AH95" s="593"/>
      <c r="AI95" s="934"/>
      <c r="AJ95" s="593"/>
      <c r="AK95" s="980"/>
    </row>
    <row r="96" spans="1:37" ht="18" customHeight="1" x14ac:dyDescent="0.2">
      <c r="A96" s="1202" t="s">
        <v>159</v>
      </c>
      <c r="B96" s="1202"/>
      <c r="C96" s="1202"/>
      <c r="D96" s="1202"/>
      <c r="E96" s="1202"/>
      <c r="F96" s="1202"/>
      <c r="G96" s="302">
        <f>SUM(G84:G95)</f>
        <v>754.09</v>
      </c>
      <c r="H96" s="79"/>
      <c r="I96" s="1202" t="s">
        <v>159</v>
      </c>
      <c r="J96" s="1202"/>
      <c r="K96" s="1202"/>
      <c r="L96" s="1202"/>
      <c r="M96" s="1202"/>
      <c r="N96" s="1202"/>
      <c r="O96" s="302">
        <f>SUM(O84:O95)</f>
        <v>776.59</v>
      </c>
      <c r="P96" s="34"/>
      <c r="Q96" s="1202" t="s">
        <v>159</v>
      </c>
      <c r="R96" s="1202"/>
      <c r="S96" s="1202"/>
      <c r="T96" s="1202"/>
      <c r="U96" s="1202"/>
      <c r="V96" s="1202"/>
      <c r="W96" s="302">
        <f>SUM(W84:W95)</f>
        <v>776.59</v>
      </c>
      <c r="X96" s="638" t="s">
        <v>159</v>
      </c>
      <c r="Y96" s="302">
        <f>SUM(Y84:Y95)</f>
        <v>776.59</v>
      </c>
      <c r="Z96" s="638" t="s">
        <v>159</v>
      </c>
      <c r="AA96" s="939">
        <f>SUM(AA84:AA95)</f>
        <v>776.59</v>
      </c>
      <c r="AB96" s="638" t="s">
        <v>159</v>
      </c>
      <c r="AC96" s="939">
        <f>SUM(AC84:AC95)</f>
        <v>776.59</v>
      </c>
      <c r="AD96" s="638" t="s">
        <v>159</v>
      </c>
      <c r="AE96" s="939">
        <f>SUM(AE84:AE95)</f>
        <v>829.4</v>
      </c>
      <c r="AF96" s="638" t="s">
        <v>159</v>
      </c>
      <c r="AG96" s="939">
        <f>SUM(AG84:AG95)</f>
        <v>829.4</v>
      </c>
      <c r="AH96" s="638" t="s">
        <v>159</v>
      </c>
      <c r="AI96" s="939">
        <f>SUM(AI84:AI95)</f>
        <v>829.4</v>
      </c>
      <c r="AJ96" s="638" t="s">
        <v>159</v>
      </c>
      <c r="AK96" s="987">
        <f>SUM(AK84:AK95)</f>
        <v>859.32</v>
      </c>
    </row>
    <row r="97" spans="1:37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Q97" s="71" t="s">
        <v>500</v>
      </c>
      <c r="R97" s="68"/>
      <c r="S97" s="68"/>
      <c r="T97" s="68"/>
      <c r="U97" s="68"/>
      <c r="V97" s="77"/>
      <c r="W97" s="78"/>
    </row>
    <row r="98" spans="1:37" s="34" customFormat="1" hidden="1" x14ac:dyDescent="0.2">
      <c r="A98" s="1295" t="s">
        <v>482</v>
      </c>
      <c r="B98" s="1185"/>
      <c r="C98" s="1185"/>
      <c r="D98" s="1185"/>
      <c r="E98" s="1185"/>
      <c r="F98" s="1185"/>
      <c r="G98" s="1185"/>
      <c r="H98" s="79"/>
      <c r="I98" s="1295"/>
      <c r="J98" s="1185"/>
      <c r="K98" s="1185"/>
      <c r="L98" s="1185"/>
      <c r="M98" s="1185"/>
      <c r="N98" s="1185"/>
      <c r="O98" s="1185"/>
      <c r="Q98" s="1295"/>
      <c r="R98" s="1185"/>
      <c r="S98" s="1185"/>
      <c r="T98" s="1185"/>
      <c r="U98" s="1185"/>
      <c r="V98" s="1185"/>
      <c r="W98" s="1185"/>
    </row>
    <row r="99" spans="1:37" s="34" customFormat="1" hidden="1" x14ac:dyDescent="0.2">
      <c r="A99" s="681"/>
      <c r="B99" s="68"/>
      <c r="C99" s="68"/>
      <c r="D99" s="68"/>
      <c r="E99" s="68"/>
      <c r="F99" s="77"/>
      <c r="G99" s="78"/>
      <c r="H99" s="79"/>
      <c r="I99" s="681"/>
      <c r="J99" s="68"/>
      <c r="K99" s="68"/>
      <c r="L99" s="68"/>
      <c r="M99" s="68"/>
      <c r="N99" s="77"/>
      <c r="O99" s="78"/>
      <c r="Q99" s="681"/>
      <c r="R99" s="68"/>
      <c r="S99" s="68"/>
      <c r="T99" s="68"/>
      <c r="U99" s="68"/>
      <c r="V99" s="77"/>
      <c r="W99" s="78"/>
    </row>
    <row r="100" spans="1:37" s="34" customFormat="1" ht="18" customHeight="1" x14ac:dyDescent="0.2">
      <c r="A100" s="1296" t="s">
        <v>225</v>
      </c>
      <c r="B100" s="1297"/>
      <c r="C100" s="1297"/>
      <c r="D100" s="1297"/>
      <c r="E100" s="1297"/>
      <c r="F100" s="1297"/>
      <c r="G100" s="1297"/>
      <c r="H100" s="1297"/>
      <c r="I100" s="1297"/>
      <c r="J100" s="1297"/>
      <c r="K100" s="1297"/>
      <c r="L100" s="1297"/>
      <c r="M100" s="1297"/>
      <c r="N100" s="1297"/>
      <c r="O100" s="1297"/>
      <c r="P100" s="1297"/>
      <c r="Q100" s="1297"/>
      <c r="R100" s="1297"/>
      <c r="S100" s="1297"/>
      <c r="T100" s="1297"/>
      <c r="U100" s="1297"/>
      <c r="V100" s="1297"/>
      <c r="W100" s="1297"/>
      <c r="X100" s="1297"/>
      <c r="Y100" s="1297"/>
    </row>
    <row r="101" spans="1:37" s="34" customFormat="1" ht="40.5" customHeight="1" x14ac:dyDescent="0.2">
      <c r="A101" s="707">
        <v>2</v>
      </c>
      <c r="B101" s="1173" t="s">
        <v>226</v>
      </c>
      <c r="C101" s="1173"/>
      <c r="D101" s="1173"/>
      <c r="E101" s="1173"/>
      <c r="F101" s="1173"/>
      <c r="G101" s="707" t="s">
        <v>107</v>
      </c>
      <c r="H101" s="592"/>
      <c r="I101" s="707">
        <v>2</v>
      </c>
      <c r="J101" s="1174" t="s">
        <v>226</v>
      </c>
      <c r="K101" s="1174"/>
      <c r="L101" s="1174"/>
      <c r="M101" s="1174"/>
      <c r="N101" s="1174"/>
      <c r="O101" s="707" t="s">
        <v>107</v>
      </c>
      <c r="P101" s="593"/>
      <c r="Q101" s="707">
        <v>2</v>
      </c>
      <c r="R101" s="1174" t="s">
        <v>226</v>
      </c>
      <c r="S101" s="1174"/>
      <c r="T101" s="1174"/>
      <c r="U101" s="1174"/>
      <c r="V101" s="1174"/>
      <c r="W101" s="707" t="s">
        <v>107</v>
      </c>
      <c r="X101" s="729" t="s">
        <v>226</v>
      </c>
      <c r="Y101" s="707" t="s">
        <v>107</v>
      </c>
      <c r="Z101" s="729" t="s">
        <v>226</v>
      </c>
      <c r="AA101" s="928" t="s">
        <v>107</v>
      </c>
      <c r="AB101" s="729" t="s">
        <v>226</v>
      </c>
      <c r="AC101" s="928" t="s">
        <v>107</v>
      </c>
      <c r="AD101" s="729" t="s">
        <v>226</v>
      </c>
      <c r="AE101" s="928" t="s">
        <v>107</v>
      </c>
      <c r="AF101" s="729" t="s">
        <v>226</v>
      </c>
      <c r="AG101" s="928" t="s">
        <v>107</v>
      </c>
      <c r="AH101" s="729" t="s">
        <v>226</v>
      </c>
      <c r="AI101" s="928" t="s">
        <v>107</v>
      </c>
      <c r="AJ101" s="729" t="s">
        <v>226</v>
      </c>
      <c r="AK101" s="963" t="s">
        <v>107</v>
      </c>
    </row>
    <row r="102" spans="1:37" s="34" customFormat="1" ht="14.25" customHeight="1" x14ac:dyDescent="0.2">
      <c r="A102" s="587" t="s">
        <v>211</v>
      </c>
      <c r="B102" s="588" t="str">
        <f>B48</f>
        <v>13º (décimo terceiro) Salário, Férias e Adicional de Férias</v>
      </c>
      <c r="C102" s="589"/>
      <c r="D102" s="589"/>
      <c r="E102" s="589"/>
      <c r="F102" s="590"/>
      <c r="G102" s="591">
        <f>G51</f>
        <v>670.79</v>
      </c>
      <c r="H102" s="79"/>
      <c r="I102" s="587" t="s">
        <v>211</v>
      </c>
      <c r="J102" s="588" t="str">
        <f>J48</f>
        <v>13º (décimo terceiro) Salário, Férias e Adicional de Férias</v>
      </c>
      <c r="K102" s="589"/>
      <c r="L102" s="589"/>
      <c r="M102" s="589"/>
      <c r="N102" s="590"/>
      <c r="O102" s="591">
        <f>O51</f>
        <v>690.91</v>
      </c>
      <c r="Q102" s="587" t="s">
        <v>211</v>
      </c>
      <c r="R102" s="588" t="s">
        <v>223</v>
      </c>
      <c r="S102" s="589"/>
      <c r="T102" s="589"/>
      <c r="U102" s="589"/>
      <c r="V102" s="590"/>
      <c r="W102" s="591">
        <v>690.91</v>
      </c>
      <c r="X102" s="593"/>
      <c r="Y102" s="591">
        <v>690.91</v>
      </c>
      <c r="Z102" s="593"/>
      <c r="AA102" s="591">
        <v>690.91</v>
      </c>
      <c r="AB102" s="593"/>
      <c r="AC102" s="591">
        <v>690.91</v>
      </c>
      <c r="AD102" s="593"/>
      <c r="AE102" s="591">
        <f>AE51</f>
        <v>749.63</v>
      </c>
      <c r="AF102" s="593"/>
      <c r="AG102" s="591">
        <f>AG51</f>
        <v>749.63</v>
      </c>
      <c r="AH102" s="593"/>
      <c r="AI102" s="591">
        <f>AI51</f>
        <v>749.63</v>
      </c>
      <c r="AJ102" s="593"/>
      <c r="AK102" s="591">
        <f>AK51</f>
        <v>793.49</v>
      </c>
    </row>
    <row r="103" spans="1:37" s="34" customFormat="1" x14ac:dyDescent="0.2">
      <c r="A103" s="295" t="s">
        <v>210</v>
      </c>
      <c r="B103" s="664" t="str">
        <f>B65</f>
        <v>GPS, FGTS e outras contribuições</v>
      </c>
      <c r="C103" s="336"/>
      <c r="D103" s="336"/>
      <c r="E103" s="336"/>
      <c r="F103" s="691"/>
      <c r="G103" s="684">
        <f>G74</f>
        <v>1391.13</v>
      </c>
      <c r="H103" s="79"/>
      <c r="I103" s="295" t="s">
        <v>210</v>
      </c>
      <c r="J103" s="664" t="str">
        <f>J65</f>
        <v>GPS, FGTS e outras contribuições</v>
      </c>
      <c r="K103" s="336"/>
      <c r="L103" s="336"/>
      <c r="M103" s="336"/>
      <c r="N103" s="691"/>
      <c r="O103" s="684">
        <f>O74</f>
        <v>1436.03</v>
      </c>
      <c r="Q103" s="295" t="s">
        <v>210</v>
      </c>
      <c r="R103" s="664" t="s">
        <v>221</v>
      </c>
      <c r="S103" s="336"/>
      <c r="T103" s="336"/>
      <c r="U103" s="336"/>
      <c r="V103" s="691"/>
      <c r="W103" s="684">
        <v>1436.03</v>
      </c>
      <c r="X103" s="593"/>
      <c r="Y103" s="684">
        <v>1436.03</v>
      </c>
      <c r="Z103" s="593"/>
      <c r="AA103" s="936">
        <v>1436.03</v>
      </c>
      <c r="AB103" s="593"/>
      <c r="AC103" s="936">
        <v>1436.03</v>
      </c>
      <c r="AD103" s="593"/>
      <c r="AE103" s="936">
        <f>AE74</f>
        <v>1565.37</v>
      </c>
      <c r="AF103" s="593"/>
      <c r="AG103" s="936">
        <f>AG74</f>
        <v>1565.37</v>
      </c>
      <c r="AH103" s="593"/>
      <c r="AI103" s="936">
        <f>AI74</f>
        <v>1565.37</v>
      </c>
      <c r="AJ103" s="593"/>
      <c r="AK103" s="982">
        <f>AK74</f>
        <v>1686.88</v>
      </c>
    </row>
    <row r="104" spans="1:37" s="34" customFormat="1" x14ac:dyDescent="0.2">
      <c r="A104" s="295" t="s">
        <v>219</v>
      </c>
      <c r="B104" s="664" t="str">
        <f>B83</f>
        <v>Benefícios Mensais e Diários</v>
      </c>
      <c r="C104" s="336"/>
      <c r="D104" s="336"/>
      <c r="E104" s="336"/>
      <c r="F104" s="691"/>
      <c r="G104" s="684">
        <f>G96</f>
        <v>754.09</v>
      </c>
      <c r="H104" s="79"/>
      <c r="I104" s="295" t="s">
        <v>219</v>
      </c>
      <c r="J104" s="664" t="str">
        <f>J83</f>
        <v>Benefícios Mensais e Diários</v>
      </c>
      <c r="K104" s="336"/>
      <c r="L104" s="336"/>
      <c r="M104" s="336"/>
      <c r="N104" s="691"/>
      <c r="O104" s="684">
        <f>O96</f>
        <v>776.59</v>
      </c>
      <c r="Q104" s="295" t="s">
        <v>219</v>
      </c>
      <c r="R104" s="664" t="s">
        <v>22</v>
      </c>
      <c r="S104" s="336"/>
      <c r="T104" s="336"/>
      <c r="U104" s="336"/>
      <c r="V104" s="691"/>
      <c r="W104" s="684">
        <v>776.59</v>
      </c>
      <c r="X104" s="593"/>
      <c r="Y104" s="684">
        <v>776.59</v>
      </c>
      <c r="Z104" s="593"/>
      <c r="AA104" s="936">
        <v>776.59</v>
      </c>
      <c r="AB104" s="593"/>
      <c r="AC104" s="936">
        <v>776.59</v>
      </c>
      <c r="AD104" s="593"/>
      <c r="AE104" s="936">
        <f>AE96</f>
        <v>829.4</v>
      </c>
      <c r="AF104" s="593"/>
      <c r="AG104" s="936">
        <f>AG96</f>
        <v>829.4</v>
      </c>
      <c r="AH104" s="593"/>
      <c r="AI104" s="936">
        <f>AI96</f>
        <v>829.4</v>
      </c>
      <c r="AJ104" s="593"/>
      <c r="AK104" s="982">
        <f>AK96</f>
        <v>859.32</v>
      </c>
    </row>
    <row r="105" spans="1:37" s="34" customFormat="1" ht="14.25" customHeight="1" x14ac:dyDescent="0.2">
      <c r="A105" s="729" t="s">
        <v>159</v>
      </c>
      <c r="B105" s="729"/>
      <c r="C105" s="729"/>
      <c r="D105" s="729"/>
      <c r="E105" s="729"/>
      <c r="F105" s="729"/>
      <c r="G105" s="316">
        <f>SUM(G102:G104)</f>
        <v>2816.01</v>
      </c>
      <c r="H105" s="79"/>
      <c r="I105" s="729" t="s">
        <v>159</v>
      </c>
      <c r="J105" s="729"/>
      <c r="K105" s="729"/>
      <c r="L105" s="729"/>
      <c r="M105" s="729"/>
      <c r="N105" s="729"/>
      <c r="O105" s="316">
        <f>SUM(O102:O104)</f>
        <v>2903.53</v>
      </c>
      <c r="Q105" s="729" t="s">
        <v>159</v>
      </c>
      <c r="R105" s="729"/>
      <c r="S105" s="729"/>
      <c r="T105" s="729"/>
      <c r="U105" s="729"/>
      <c r="V105" s="729"/>
      <c r="W105" s="316">
        <f>SUM(W102:W104)</f>
        <v>2903.53</v>
      </c>
      <c r="X105" s="638" t="s">
        <v>159</v>
      </c>
      <c r="Y105" s="316">
        <f>SUM(Y102:Y104)</f>
        <v>2903.53</v>
      </c>
      <c r="Z105" s="638" t="s">
        <v>159</v>
      </c>
      <c r="AA105" s="935">
        <f>SUM(AA102:AA104)</f>
        <v>2903.53</v>
      </c>
      <c r="AB105" s="638" t="s">
        <v>159</v>
      </c>
      <c r="AC105" s="935">
        <f>SUM(AC102:AC104)</f>
        <v>2903.53</v>
      </c>
      <c r="AD105" s="638" t="s">
        <v>159</v>
      </c>
      <c r="AE105" s="935">
        <f>SUM(AE102:AE104)</f>
        <v>3144.4</v>
      </c>
      <c r="AF105" s="638" t="s">
        <v>159</v>
      </c>
      <c r="AG105" s="935">
        <f>SUM(AG102:AG104)</f>
        <v>3144.4</v>
      </c>
      <c r="AH105" s="638" t="s">
        <v>159</v>
      </c>
      <c r="AI105" s="935">
        <f>SUM(AI102:AI104)</f>
        <v>3144.4</v>
      </c>
      <c r="AJ105" s="638" t="s">
        <v>159</v>
      </c>
      <c r="AK105" s="981">
        <f>SUM(AK102:AK104)</f>
        <v>3339.69</v>
      </c>
    </row>
    <row r="106" spans="1:37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Q106" s="71"/>
      <c r="R106" s="71"/>
      <c r="S106" s="71"/>
      <c r="T106" s="71"/>
      <c r="U106" s="71"/>
      <c r="V106" s="196"/>
      <c r="W106" s="197"/>
    </row>
    <row r="107" spans="1:37" s="34" customFormat="1" ht="15" customHeight="1" x14ac:dyDescent="0.2">
      <c r="A107" s="1296" t="s">
        <v>227</v>
      </c>
      <c r="B107" s="1297"/>
      <c r="C107" s="1297"/>
      <c r="D107" s="1297"/>
      <c r="E107" s="1297"/>
      <c r="F107" s="1297"/>
      <c r="G107" s="1297"/>
      <c r="H107" s="1297"/>
      <c r="I107" s="1297"/>
      <c r="J107" s="1297"/>
      <c r="K107" s="1297"/>
      <c r="L107" s="1297"/>
      <c r="M107" s="1297"/>
      <c r="N107" s="1297"/>
      <c r="O107" s="1297"/>
      <c r="P107" s="1297"/>
      <c r="Q107" s="1297"/>
      <c r="R107" s="1297"/>
      <c r="S107" s="1297"/>
      <c r="T107" s="1297"/>
      <c r="U107" s="1297"/>
      <c r="V107" s="1297"/>
      <c r="W107" s="1297"/>
      <c r="X107" s="1297"/>
      <c r="Y107" s="1297"/>
    </row>
    <row r="108" spans="1:37" s="34" customFormat="1" x14ac:dyDescent="0.2">
      <c r="A108" s="703">
        <v>3</v>
      </c>
      <c r="B108" s="1174" t="s">
        <v>84</v>
      </c>
      <c r="C108" s="1174"/>
      <c r="D108" s="1174"/>
      <c r="E108" s="1174"/>
      <c r="F108" s="703" t="s">
        <v>222</v>
      </c>
      <c r="G108" s="707" t="s">
        <v>107</v>
      </c>
      <c r="H108" s="592"/>
      <c r="I108" s="703">
        <v>3</v>
      </c>
      <c r="J108" s="1174" t="s">
        <v>84</v>
      </c>
      <c r="K108" s="1174"/>
      <c r="L108" s="1174"/>
      <c r="M108" s="1174"/>
      <c r="N108" s="703" t="s">
        <v>222</v>
      </c>
      <c r="O108" s="707" t="s">
        <v>107</v>
      </c>
      <c r="P108" s="593"/>
      <c r="Q108" s="703">
        <v>3</v>
      </c>
      <c r="R108" s="1174" t="s">
        <v>84</v>
      </c>
      <c r="S108" s="1174"/>
      <c r="T108" s="1174"/>
      <c r="U108" s="1174"/>
      <c r="V108" s="703" t="s">
        <v>222</v>
      </c>
      <c r="W108" s="707" t="s">
        <v>107</v>
      </c>
      <c r="X108" s="703" t="s">
        <v>222</v>
      </c>
      <c r="Y108" s="707" t="s">
        <v>107</v>
      </c>
      <c r="Z108" s="888" t="s">
        <v>222</v>
      </c>
      <c r="AA108" s="928" t="s">
        <v>107</v>
      </c>
      <c r="AB108" s="924" t="s">
        <v>222</v>
      </c>
      <c r="AC108" s="928" t="s">
        <v>107</v>
      </c>
      <c r="AD108" s="924" t="s">
        <v>222</v>
      </c>
      <c r="AE108" s="928" t="s">
        <v>107</v>
      </c>
      <c r="AF108" s="924" t="s">
        <v>222</v>
      </c>
      <c r="AG108" s="928" t="s">
        <v>107</v>
      </c>
      <c r="AH108" s="924" t="s">
        <v>222</v>
      </c>
      <c r="AI108" s="928" t="s">
        <v>107</v>
      </c>
      <c r="AJ108" s="962" t="s">
        <v>222</v>
      </c>
      <c r="AK108" s="963" t="s">
        <v>107</v>
      </c>
    </row>
    <row r="109" spans="1:37" s="34" customFormat="1" x14ac:dyDescent="0.2">
      <c r="A109" s="675" t="s">
        <v>1</v>
      </c>
      <c r="B109" s="137" t="str">
        <f>Dados!B90</f>
        <v>Aviso Prévio Indenizado </v>
      </c>
      <c r="C109" s="138"/>
      <c r="D109" s="597"/>
      <c r="E109" s="598"/>
      <c r="F109" s="599">
        <f>Dados!G90</f>
        <v>2.5000000000000001E-3</v>
      </c>
      <c r="G109" s="600">
        <f>F109*$G$62</f>
        <v>9.58</v>
      </c>
      <c r="H109" s="79"/>
      <c r="I109" s="675" t="s">
        <v>1</v>
      </c>
      <c r="J109" s="137" t="str">
        <f>Dados!B90</f>
        <v>Aviso Prévio Indenizado </v>
      </c>
      <c r="K109" s="138"/>
      <c r="L109" s="597"/>
      <c r="M109" s="598"/>
      <c r="N109" s="599">
        <f>Dados!G90</f>
        <v>2.5000000000000001E-3</v>
      </c>
      <c r="O109" s="600">
        <f>N109*$O$62</f>
        <v>9.8699999999999992</v>
      </c>
      <c r="Q109" s="675" t="s">
        <v>1</v>
      </c>
      <c r="R109" s="137" t="s">
        <v>50</v>
      </c>
      <c r="S109" s="138"/>
      <c r="T109" s="597"/>
      <c r="U109" s="598"/>
      <c r="V109" s="599">
        <v>2.5000000000000001E-3</v>
      </c>
      <c r="W109" s="600">
        <v>9.8699999999999992</v>
      </c>
      <c r="X109" s="599">
        <v>2.5000000000000001E-3</v>
      </c>
      <c r="Y109" s="600">
        <v>9.8699999999999992</v>
      </c>
      <c r="Z109" s="599">
        <v>2.5000000000000001E-3</v>
      </c>
      <c r="AA109" s="600">
        <v>9.8699999999999992</v>
      </c>
      <c r="AB109" s="599">
        <v>2.5000000000000001E-3</v>
      </c>
      <c r="AC109" s="600">
        <v>9.8699999999999992</v>
      </c>
      <c r="AD109" s="599">
        <v>2.5000000000000001E-3</v>
      </c>
      <c r="AE109" s="600">
        <f>AD109*AE62</f>
        <v>10.71</v>
      </c>
      <c r="AF109" s="599">
        <v>2.5000000000000001E-3</v>
      </c>
      <c r="AG109" s="600">
        <f>AE109</f>
        <v>10.71</v>
      </c>
      <c r="AH109" s="599">
        <v>2.5000000000000001E-3</v>
      </c>
      <c r="AI109" s="600">
        <f>AG109</f>
        <v>10.71</v>
      </c>
      <c r="AJ109" s="599">
        <v>2.5000000000000001E-3</v>
      </c>
      <c r="AK109" s="600">
        <f>AJ109*AK62</f>
        <v>11.34</v>
      </c>
    </row>
    <row r="110" spans="1:37" s="34" customFormat="1" x14ac:dyDescent="0.2">
      <c r="A110" s="668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687">
        <f t="shared" ref="G110:G115" si="21">F110*$G$62</f>
        <v>0.77</v>
      </c>
      <c r="H110" s="79"/>
      <c r="I110" s="668" t="s">
        <v>2</v>
      </c>
      <c r="J110" s="313" t="str">
        <f>Dados!B91</f>
        <v>Incidência do FGTS sobre aviso prévio indenizado</v>
      </c>
      <c r="K110" s="122"/>
      <c r="L110" s="315"/>
      <c r="M110" s="304"/>
      <c r="N110" s="308">
        <f>Dados!G91</f>
        <v>2.0000000000000001E-4</v>
      </c>
      <c r="O110" s="687">
        <f>N110*$O$62</f>
        <v>0.79</v>
      </c>
      <c r="Q110" s="668" t="s">
        <v>2</v>
      </c>
      <c r="R110" s="313" t="s">
        <v>110</v>
      </c>
      <c r="S110" s="122"/>
      <c r="T110" s="315"/>
      <c r="U110" s="304"/>
      <c r="V110" s="308">
        <v>2.0000000000000001E-4</v>
      </c>
      <c r="W110" s="687">
        <v>0.79</v>
      </c>
      <c r="X110" s="308">
        <v>2.0000000000000001E-4</v>
      </c>
      <c r="Y110" s="687">
        <v>0.79</v>
      </c>
      <c r="Z110" s="308">
        <v>2.0000000000000001E-4</v>
      </c>
      <c r="AA110" s="934">
        <v>0.79</v>
      </c>
      <c r="AB110" s="308">
        <v>2.0000000000000001E-4</v>
      </c>
      <c r="AC110" s="934">
        <v>0.79</v>
      </c>
      <c r="AD110" s="308">
        <v>2.0000000000000001E-4</v>
      </c>
      <c r="AE110" s="600">
        <f>AD110*AE62</f>
        <v>0.86</v>
      </c>
      <c r="AF110" s="308">
        <v>2.0000000000000001E-4</v>
      </c>
      <c r="AG110" s="600">
        <f t="shared" ref="AG110:AG115" si="22">AE110</f>
        <v>0.86</v>
      </c>
      <c r="AH110" s="308">
        <v>2.0000000000000001E-4</v>
      </c>
      <c r="AI110" s="600">
        <f t="shared" ref="AI110:AI115" si="23">AG110</f>
        <v>0.86</v>
      </c>
      <c r="AJ110" s="308">
        <v>2.0000000000000001E-4</v>
      </c>
      <c r="AK110" s="600">
        <f>AJ110*AK62</f>
        <v>0.91</v>
      </c>
    </row>
    <row r="111" spans="1:37" s="34" customFormat="1" x14ac:dyDescent="0.2">
      <c r="A111" s="668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687">
        <f t="shared" si="21"/>
        <v>0</v>
      </c>
      <c r="H111" s="79"/>
      <c r="I111" s="668" t="s">
        <v>4</v>
      </c>
      <c r="J111" s="313" t="str">
        <f>Dados!B92</f>
        <v xml:space="preserve">Multa sobre FGTS sobre o aviso prévio indenizado </v>
      </c>
      <c r="K111" s="122"/>
      <c r="L111" s="315"/>
      <c r="M111" s="304"/>
      <c r="N111" s="354">
        <f>Dados!G92</f>
        <v>9.9999999999999995E-7</v>
      </c>
      <c r="O111" s="687">
        <f t="shared" ref="O111" si="24">N111*$G$62</f>
        <v>0</v>
      </c>
      <c r="Q111" s="668" t="s">
        <v>4</v>
      </c>
      <c r="R111" s="313" t="s">
        <v>298</v>
      </c>
      <c r="S111" s="122"/>
      <c r="T111" s="315"/>
      <c r="U111" s="304"/>
      <c r="V111" s="354">
        <v>9.9999999999999995E-7</v>
      </c>
      <c r="W111" s="687">
        <v>0</v>
      </c>
      <c r="X111" s="354">
        <v>9.9999999999999995E-7</v>
      </c>
      <c r="Y111" s="687">
        <v>0</v>
      </c>
      <c r="Z111" s="354">
        <v>9.9999999999999995E-7</v>
      </c>
      <c r="AA111" s="934">
        <v>0</v>
      </c>
      <c r="AB111" s="354">
        <v>9.9999999999999995E-7</v>
      </c>
      <c r="AC111" s="934">
        <v>0</v>
      </c>
      <c r="AD111" s="354">
        <v>9.9999999999999995E-7</v>
      </c>
      <c r="AE111" s="600">
        <f>AD111*AE62</f>
        <v>0</v>
      </c>
      <c r="AF111" s="354">
        <v>9.9999999999999995E-7</v>
      </c>
      <c r="AG111" s="600">
        <f t="shared" si="22"/>
        <v>0</v>
      </c>
      <c r="AH111" s="354">
        <v>9.9999999999999995E-7</v>
      </c>
      <c r="AI111" s="600">
        <f t="shared" si="23"/>
        <v>0</v>
      </c>
      <c r="AJ111" s="354">
        <v>9.9999999999999995E-7</v>
      </c>
      <c r="AK111" s="600">
        <f t="shared" ref="AK111" si="25">AI111</f>
        <v>0</v>
      </c>
    </row>
    <row r="112" spans="1:37" s="34" customFormat="1" x14ac:dyDescent="0.2">
      <c r="A112" s="668" t="s">
        <v>5</v>
      </c>
      <c r="B112" s="313" t="str">
        <f>Dados!B93</f>
        <v>Aviso Prévio Trabalhado</v>
      </c>
      <c r="C112" s="122"/>
      <c r="D112" s="315"/>
      <c r="E112" s="304"/>
      <c r="F112" s="308">
        <f>Dados!G93</f>
        <v>1.9400000000000001E-2</v>
      </c>
      <c r="G112" s="687">
        <f t="shared" si="21"/>
        <v>74.37</v>
      </c>
      <c r="H112" s="79"/>
      <c r="I112" s="668" t="s">
        <v>5</v>
      </c>
      <c r="J112" s="313" t="str">
        <f>Dados!B93</f>
        <v>Aviso Prévio Trabalhado</v>
      </c>
      <c r="K112" s="122"/>
      <c r="L112" s="315"/>
      <c r="M112" s="304"/>
      <c r="N112" s="308">
        <f>Dados!G93</f>
        <v>1.9400000000000001E-2</v>
      </c>
      <c r="O112" s="687">
        <f>N112*$O$62</f>
        <v>76.599999999999994</v>
      </c>
      <c r="Q112" s="668" t="s">
        <v>5</v>
      </c>
      <c r="R112" s="313" t="s">
        <v>158</v>
      </c>
      <c r="S112" s="122"/>
      <c r="T112" s="315"/>
      <c r="U112" s="304"/>
      <c r="V112" s="577">
        <v>1.9400000000000001E-3</v>
      </c>
      <c r="W112" s="687">
        <f>V112*$W$62</f>
        <v>7.66</v>
      </c>
      <c r="X112" s="577">
        <v>1.9400000000000001E-3</v>
      </c>
      <c r="Y112" s="687">
        <f>X112*$Y$62</f>
        <v>7.66</v>
      </c>
      <c r="Z112" s="577">
        <v>1.9400000000000001E-3</v>
      </c>
      <c r="AA112" s="934">
        <f>Z112*$W$62</f>
        <v>7.66</v>
      </c>
      <c r="AB112" s="577">
        <v>1.9400000000000001E-3</v>
      </c>
      <c r="AC112" s="934">
        <f>AB112*$W$62</f>
        <v>7.66</v>
      </c>
      <c r="AD112" s="577">
        <v>1.9400000000000001E-3</v>
      </c>
      <c r="AE112" s="600">
        <f>AD112*AE62</f>
        <v>8.31</v>
      </c>
      <c r="AF112" s="577">
        <v>1.9400000000000001E-3</v>
      </c>
      <c r="AG112" s="600">
        <f t="shared" si="22"/>
        <v>8.31</v>
      </c>
      <c r="AH112" s="577">
        <v>1.9400000000000001E-3</v>
      </c>
      <c r="AI112" s="600">
        <f t="shared" si="23"/>
        <v>8.31</v>
      </c>
      <c r="AJ112" s="577">
        <v>1.9400000000000001E-3</v>
      </c>
      <c r="AK112" s="600">
        <f>AJ112*AK62</f>
        <v>8.8000000000000007</v>
      </c>
    </row>
    <row r="113" spans="1:37" s="34" customFormat="1" x14ac:dyDescent="0.2">
      <c r="A113" s="668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f>Dados!G94</f>
        <v>7.0000000000000001E-3</v>
      </c>
      <c r="G113" s="687">
        <f t="shared" si="21"/>
        <v>26.83</v>
      </c>
      <c r="H113" s="79"/>
      <c r="I113" s="668" t="s">
        <v>6</v>
      </c>
      <c r="J113" s="313" t="str">
        <f>Dados!B94</f>
        <v>Incidência de GPS, FGTS e outras contribuições sobre o aviso prévio trabalhado</v>
      </c>
      <c r="K113" s="122"/>
      <c r="L113" s="315"/>
      <c r="M113" s="304"/>
      <c r="N113" s="308">
        <v>7.1000000000000004E-3</v>
      </c>
      <c r="O113" s="687">
        <f>N113*$O$62</f>
        <v>28.03</v>
      </c>
      <c r="Q113" s="668" t="s">
        <v>6</v>
      </c>
      <c r="R113" s="313" t="s">
        <v>257</v>
      </c>
      <c r="S113" s="122"/>
      <c r="T113" s="315"/>
      <c r="U113" s="304"/>
      <c r="V113" s="308">
        <v>6.9999999999999999E-4</v>
      </c>
      <c r="W113" s="687">
        <f>V113*$W$62</f>
        <v>2.76</v>
      </c>
      <c r="X113" s="308">
        <v>6.9999999999999999E-4</v>
      </c>
      <c r="Y113" s="687">
        <f>X113*$W$62</f>
        <v>2.76</v>
      </c>
      <c r="Z113" s="308">
        <v>6.9999999999999999E-4</v>
      </c>
      <c r="AA113" s="934">
        <f>Z113*$W$62</f>
        <v>2.76</v>
      </c>
      <c r="AB113" s="308">
        <v>6.9999999999999999E-4</v>
      </c>
      <c r="AC113" s="934">
        <f>AB113*$W$62</f>
        <v>2.76</v>
      </c>
      <c r="AD113" s="308">
        <v>6.9999999999999999E-4</v>
      </c>
      <c r="AE113" s="600">
        <f>AD113*AE62</f>
        <v>3</v>
      </c>
      <c r="AF113" s="308">
        <v>6.9999999999999999E-4</v>
      </c>
      <c r="AG113" s="600">
        <f t="shared" si="22"/>
        <v>3</v>
      </c>
      <c r="AH113" s="308">
        <v>6.9999999999999999E-4</v>
      </c>
      <c r="AI113" s="600">
        <f t="shared" si="23"/>
        <v>3</v>
      </c>
      <c r="AJ113" s="308">
        <v>6.9999999999999999E-4</v>
      </c>
      <c r="AK113" s="600">
        <f>AJ113*AK62</f>
        <v>3.17</v>
      </c>
    </row>
    <row r="114" spans="1:37" s="34" customFormat="1" x14ac:dyDescent="0.2">
      <c r="A114" s="668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08">
        <f>Dados!G95</f>
        <v>1E-4</v>
      </c>
      <c r="G114" s="687">
        <f t="shared" si="21"/>
        <v>0.38</v>
      </c>
      <c r="H114" s="79"/>
      <c r="I114" s="668" t="s">
        <v>7</v>
      </c>
      <c r="J114" s="313" t="str">
        <f>Dados!B95</f>
        <v xml:space="preserve">Multa sobre FGTS sobre o aviso prévio trabalhado </v>
      </c>
      <c r="K114" s="122"/>
      <c r="L114" s="315"/>
      <c r="M114" s="304"/>
      <c r="N114" s="308">
        <f>Dados!G95</f>
        <v>1E-4</v>
      </c>
      <c r="O114" s="687">
        <f>N114*$O$62</f>
        <v>0.39</v>
      </c>
      <c r="Q114" s="668" t="s">
        <v>7</v>
      </c>
      <c r="R114" s="313" t="s">
        <v>299</v>
      </c>
      <c r="S114" s="122"/>
      <c r="T114" s="315"/>
      <c r="U114" s="304"/>
      <c r="V114" s="354">
        <v>7.9999999999999996E-6</v>
      </c>
      <c r="W114" s="687">
        <f>V114*$W$62</f>
        <v>0.03</v>
      </c>
      <c r="X114" s="354">
        <v>7.9999999999999996E-6</v>
      </c>
      <c r="Y114" s="687">
        <f>X114*$W$62</f>
        <v>0.03</v>
      </c>
      <c r="Z114" s="354">
        <v>7.9999999999999996E-6</v>
      </c>
      <c r="AA114" s="934">
        <f>Z114*$W$62</f>
        <v>0.03</v>
      </c>
      <c r="AB114" s="354">
        <v>7.9999999999999996E-6</v>
      </c>
      <c r="AC114" s="934">
        <f>AB114*$W$62</f>
        <v>0.03</v>
      </c>
      <c r="AD114" s="354">
        <v>7.9999999999999996E-6</v>
      </c>
      <c r="AE114" s="600">
        <f>AD114*AE62</f>
        <v>0.03</v>
      </c>
      <c r="AF114" s="354">
        <v>7.9999999999999996E-6</v>
      </c>
      <c r="AG114" s="600">
        <f t="shared" si="22"/>
        <v>0.03</v>
      </c>
      <c r="AH114" s="354">
        <v>7.9999999999999996E-6</v>
      </c>
      <c r="AI114" s="600">
        <f t="shared" si="23"/>
        <v>0.03</v>
      </c>
      <c r="AJ114" s="354">
        <v>7.9999999999999996E-6</v>
      </c>
      <c r="AK114" s="600">
        <f>AJ114*AK62</f>
        <v>0.04</v>
      </c>
    </row>
    <row r="115" spans="1:37" s="34" customFormat="1" x14ac:dyDescent="0.2">
      <c r="A115" s="668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687">
        <f t="shared" si="21"/>
        <v>133.79</v>
      </c>
      <c r="H115" s="79"/>
      <c r="I115" s="668" t="s">
        <v>7</v>
      </c>
      <c r="J115" s="313" t="str">
        <f>Dados!B96</f>
        <v>Multa FGTS - rescisão sem justa causa</v>
      </c>
      <c r="K115" s="122"/>
      <c r="L115" s="315"/>
      <c r="M115" s="304"/>
      <c r="N115" s="308">
        <f>Dados!G96</f>
        <v>3.49E-2</v>
      </c>
      <c r="O115" s="687">
        <f>N115*$O$62</f>
        <v>137.80000000000001</v>
      </c>
      <c r="Q115" s="668" t="s">
        <v>7</v>
      </c>
      <c r="R115" s="313" t="s">
        <v>483</v>
      </c>
      <c r="S115" s="122"/>
      <c r="T115" s="315"/>
      <c r="U115" s="304"/>
      <c r="V115" s="308">
        <v>3.49E-2</v>
      </c>
      <c r="W115" s="687">
        <v>137.80000000000001</v>
      </c>
      <c r="X115" s="308">
        <v>3.49E-2</v>
      </c>
      <c r="Y115" s="687">
        <v>137.80000000000001</v>
      </c>
      <c r="Z115" s="308">
        <v>3.49E-2</v>
      </c>
      <c r="AA115" s="934">
        <v>137.80000000000001</v>
      </c>
      <c r="AB115" s="308">
        <v>3.49E-2</v>
      </c>
      <c r="AC115" s="934">
        <v>137.80000000000001</v>
      </c>
      <c r="AD115" s="308">
        <v>3.49E-2</v>
      </c>
      <c r="AE115" s="600">
        <f>AD115*AE62</f>
        <v>149.51</v>
      </c>
      <c r="AF115" s="308">
        <v>3.49E-2</v>
      </c>
      <c r="AG115" s="600">
        <f t="shared" si="22"/>
        <v>149.51</v>
      </c>
      <c r="AH115" s="308">
        <v>3.49E-2</v>
      </c>
      <c r="AI115" s="600">
        <f t="shared" si="23"/>
        <v>149.51</v>
      </c>
      <c r="AJ115" s="308">
        <v>3.49E-2</v>
      </c>
      <c r="AK115" s="600">
        <f>AJ115*AK62</f>
        <v>158.26</v>
      </c>
    </row>
    <row r="116" spans="1:37" s="34" customFormat="1" x14ac:dyDescent="0.2">
      <c r="A116" s="1172" t="s">
        <v>159</v>
      </c>
      <c r="B116" s="1172"/>
      <c r="C116" s="1172"/>
      <c r="D116" s="1172"/>
      <c r="E116" s="1172"/>
      <c r="F116" s="311">
        <f>SUM(F109:F115)</f>
        <v>6.4100000000000004E-2</v>
      </c>
      <c r="G116" s="316">
        <f>SUM(G109:G115)</f>
        <v>245.72</v>
      </c>
      <c r="H116" s="79"/>
      <c r="I116" s="1172" t="s">
        <v>159</v>
      </c>
      <c r="J116" s="1172"/>
      <c r="K116" s="1172"/>
      <c r="L116" s="1172"/>
      <c r="M116" s="1172"/>
      <c r="N116" s="311">
        <f>SUM(N109:N115)</f>
        <v>6.4199999999999993E-2</v>
      </c>
      <c r="O116" s="316">
        <f>SUM(O109:O115)</f>
        <v>253.48</v>
      </c>
      <c r="Q116" s="1172" t="s">
        <v>159</v>
      </c>
      <c r="R116" s="1172"/>
      <c r="S116" s="1172"/>
      <c r="T116" s="1172"/>
      <c r="U116" s="1172"/>
      <c r="V116" s="311">
        <f t="shared" ref="V116:AI116" si="26">SUM(V109:V115)</f>
        <v>4.02E-2</v>
      </c>
      <c r="W116" s="316">
        <f t="shared" si="26"/>
        <v>158.91</v>
      </c>
      <c r="X116" s="311">
        <f t="shared" si="26"/>
        <v>4.02E-2</v>
      </c>
      <c r="Y116" s="316">
        <f t="shared" si="26"/>
        <v>158.91</v>
      </c>
      <c r="Z116" s="311">
        <f t="shared" ref="Z116:AA116" si="27">SUM(Z109:Z115)</f>
        <v>4.02E-2</v>
      </c>
      <c r="AA116" s="935">
        <f t="shared" si="27"/>
        <v>158.91</v>
      </c>
      <c r="AB116" s="311">
        <f t="shared" si="26"/>
        <v>4.02E-2</v>
      </c>
      <c r="AC116" s="935">
        <f t="shared" si="26"/>
        <v>158.91</v>
      </c>
      <c r="AD116" s="311">
        <f t="shared" si="26"/>
        <v>4.02E-2</v>
      </c>
      <c r="AE116" s="935">
        <f t="shared" si="26"/>
        <v>172.42</v>
      </c>
      <c r="AF116" s="311">
        <f t="shared" si="26"/>
        <v>4.02E-2</v>
      </c>
      <c r="AG116" s="935">
        <f t="shared" si="26"/>
        <v>172.42</v>
      </c>
      <c r="AH116" s="311">
        <f t="shared" si="26"/>
        <v>4.02E-2</v>
      </c>
      <c r="AI116" s="935">
        <f t="shared" si="26"/>
        <v>172.42</v>
      </c>
      <c r="AJ116" s="311">
        <f t="shared" ref="AJ116:AK116" si="28">SUM(AJ109:AJ115)</f>
        <v>4.02E-2</v>
      </c>
      <c r="AK116" s="981">
        <f t="shared" si="28"/>
        <v>182.52</v>
      </c>
    </row>
    <row r="117" spans="1:37" s="34" customFormat="1" ht="14.25" hidden="1" customHeight="1" x14ac:dyDescent="0.2">
      <c r="A117" s="71" t="s">
        <v>422</v>
      </c>
      <c r="B117" s="71"/>
      <c r="C117" s="71"/>
      <c r="D117" s="71"/>
      <c r="E117" s="335"/>
      <c r="F117" s="329"/>
      <c r="G117" s="330"/>
      <c r="H117" s="79"/>
      <c r="I117" s="71" t="s">
        <v>422</v>
      </c>
      <c r="J117" s="71"/>
      <c r="K117" s="71"/>
      <c r="L117" s="71"/>
      <c r="M117" s="335"/>
      <c r="N117" s="329"/>
      <c r="O117" s="330"/>
      <c r="Q117" s="71" t="s">
        <v>501</v>
      </c>
      <c r="R117" s="71"/>
      <c r="S117" s="71"/>
      <c r="T117" s="71"/>
      <c r="U117" s="335"/>
      <c r="V117" s="329"/>
      <c r="W117" s="330"/>
    </row>
    <row r="118" spans="1:37" s="34" customFormat="1" ht="14.25" hidden="1" customHeight="1" x14ac:dyDescent="0.2">
      <c r="A118" s="71" t="s">
        <v>423</v>
      </c>
      <c r="B118" s="71"/>
      <c r="C118" s="71"/>
      <c r="D118" s="71"/>
      <c r="E118" s="335"/>
      <c r="F118" s="329"/>
      <c r="G118" s="330"/>
      <c r="H118" s="79"/>
      <c r="I118" s="71" t="s">
        <v>423</v>
      </c>
      <c r="J118" s="71"/>
      <c r="K118" s="71"/>
      <c r="L118" s="71"/>
      <c r="M118" s="335"/>
      <c r="N118" s="329"/>
      <c r="O118" s="330"/>
      <c r="Q118" s="71" t="s">
        <v>502</v>
      </c>
      <c r="R118" s="71"/>
      <c r="S118" s="71"/>
      <c r="T118" s="71"/>
      <c r="U118" s="335"/>
      <c r="V118" s="329"/>
      <c r="W118" s="330"/>
    </row>
    <row r="119" spans="1:37" s="34" customFormat="1" hidden="1" x14ac:dyDescent="0.2">
      <c r="A119" s="195" t="s">
        <v>551</v>
      </c>
      <c r="B119" s="335"/>
      <c r="C119" s="335"/>
      <c r="D119" s="335"/>
      <c r="E119" s="335"/>
      <c r="F119" s="329"/>
      <c r="G119" s="330"/>
      <c r="H119" s="79"/>
      <c r="I119" s="195" t="s">
        <v>551</v>
      </c>
      <c r="J119" s="335"/>
      <c r="K119" s="335"/>
      <c r="L119" s="335"/>
      <c r="M119" s="335"/>
      <c r="N119" s="329"/>
      <c r="O119" s="330"/>
      <c r="Q119" s="195" t="s">
        <v>498</v>
      </c>
      <c r="R119" s="335"/>
      <c r="S119" s="335"/>
      <c r="T119" s="335"/>
      <c r="U119" s="335"/>
      <c r="V119" s="329"/>
      <c r="W119" s="330"/>
    </row>
    <row r="120" spans="1:37" s="34" customFormat="1" hidden="1" x14ac:dyDescent="0.2">
      <c r="A120" s="694"/>
      <c r="B120" s="694"/>
      <c r="C120" s="694"/>
      <c r="D120" s="694"/>
      <c r="E120" s="694"/>
      <c r="F120" s="77"/>
      <c r="G120" s="81"/>
      <c r="H120" s="79"/>
      <c r="I120" s="694"/>
      <c r="J120" s="694"/>
      <c r="K120" s="694"/>
      <c r="L120" s="694"/>
      <c r="M120" s="694"/>
      <c r="N120" s="77"/>
      <c r="O120" s="81"/>
      <c r="Q120" s="694"/>
      <c r="R120" s="694"/>
      <c r="S120" s="694"/>
      <c r="T120" s="694"/>
      <c r="U120" s="694"/>
      <c r="V120" s="77"/>
      <c r="W120" s="81"/>
    </row>
    <row r="121" spans="1:37" s="34" customFormat="1" ht="14.25" customHeight="1" x14ac:dyDescent="0.2">
      <c r="A121" s="1221" t="s">
        <v>228</v>
      </c>
      <c r="B121" s="1222"/>
      <c r="C121" s="1222"/>
      <c r="D121" s="1222"/>
      <c r="E121" s="1222"/>
      <c r="F121" s="1222"/>
      <c r="G121" s="1222"/>
      <c r="H121" s="1222"/>
      <c r="I121" s="1222"/>
      <c r="J121" s="1222"/>
      <c r="K121" s="1222"/>
      <c r="L121" s="1222"/>
      <c r="M121" s="1222"/>
      <c r="N121" s="1222"/>
      <c r="O121" s="1222"/>
      <c r="P121" s="1222"/>
      <c r="Q121" s="1222"/>
      <c r="R121" s="1222"/>
      <c r="S121" s="1222"/>
      <c r="T121" s="1222"/>
      <c r="U121" s="1222"/>
      <c r="V121" s="1222"/>
      <c r="W121" s="1222"/>
      <c r="X121" s="1222"/>
      <c r="Y121" s="12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314"/>
      <c r="AJ121" s="122"/>
      <c r="AK121" s="314"/>
    </row>
    <row r="122" spans="1:37" s="34" customFormat="1" hidden="1" x14ac:dyDescent="0.2">
      <c r="A122" s="1293" t="s">
        <v>258</v>
      </c>
      <c r="B122" s="1293"/>
      <c r="C122" s="1293"/>
      <c r="D122" s="1293"/>
      <c r="E122" s="1293"/>
      <c r="F122" s="1293"/>
      <c r="G122" s="1293"/>
      <c r="H122" s="627"/>
      <c r="I122" s="1293"/>
      <c r="J122" s="1293"/>
      <c r="K122" s="1293"/>
      <c r="L122" s="1293"/>
      <c r="M122" s="1293"/>
      <c r="N122" s="1293"/>
      <c r="O122" s="1293"/>
      <c r="P122" s="628"/>
      <c r="Q122" s="1293"/>
      <c r="R122" s="1293"/>
      <c r="S122" s="1293"/>
      <c r="T122" s="1293"/>
      <c r="U122" s="1293"/>
      <c r="V122" s="1293"/>
      <c r="W122" s="1293"/>
      <c r="X122" s="628"/>
    </row>
    <row r="123" spans="1:37" s="34" customFormat="1" hidden="1" x14ac:dyDescent="0.2">
      <c r="A123" s="1294"/>
      <c r="B123" s="1294"/>
      <c r="C123" s="1294"/>
      <c r="D123" s="1294"/>
      <c r="E123" s="1294"/>
      <c r="F123" s="1294"/>
      <c r="G123" s="1294"/>
      <c r="H123" s="630"/>
      <c r="I123" s="1294"/>
      <c r="J123" s="1294"/>
      <c r="K123" s="1294"/>
      <c r="L123" s="1294"/>
      <c r="M123" s="1294"/>
      <c r="N123" s="1294"/>
      <c r="O123" s="1294"/>
      <c r="P123" s="616"/>
      <c r="Q123" s="1294"/>
      <c r="R123" s="1294"/>
      <c r="S123" s="1294"/>
      <c r="T123" s="1294"/>
      <c r="U123" s="1294"/>
      <c r="V123" s="1294"/>
      <c r="W123" s="1294"/>
      <c r="X123" s="616"/>
    </row>
    <row r="124" spans="1:37" s="34" customFormat="1" x14ac:dyDescent="0.2">
      <c r="A124" s="1221" t="s">
        <v>259</v>
      </c>
      <c r="B124" s="1222"/>
      <c r="C124" s="1222"/>
      <c r="D124" s="1222"/>
      <c r="E124" s="1222"/>
      <c r="F124" s="1222"/>
      <c r="G124" s="1222"/>
      <c r="H124" s="1222"/>
      <c r="I124" s="1222"/>
      <c r="J124" s="1222"/>
      <c r="K124" s="1222"/>
      <c r="L124" s="1222"/>
      <c r="M124" s="1222"/>
      <c r="N124" s="1222"/>
      <c r="O124" s="1222"/>
      <c r="P124" s="1222"/>
      <c r="Q124" s="1222"/>
      <c r="R124" s="1222"/>
      <c r="S124" s="1222"/>
      <c r="T124" s="1222"/>
      <c r="U124" s="1222"/>
      <c r="V124" s="1222"/>
      <c r="W124" s="1222"/>
      <c r="X124" s="1222"/>
      <c r="Y124" s="12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314"/>
      <c r="AJ124" s="122"/>
      <c r="AK124" s="314"/>
    </row>
    <row r="125" spans="1:37" s="34" customFormat="1" ht="15.75" customHeight="1" x14ac:dyDescent="0.2">
      <c r="A125" s="703" t="s">
        <v>42</v>
      </c>
      <c r="B125" s="1174" t="s">
        <v>269</v>
      </c>
      <c r="C125" s="1174"/>
      <c r="D125" s="1174"/>
      <c r="E125" s="1174"/>
      <c r="F125" s="703" t="s">
        <v>254</v>
      </c>
      <c r="G125" s="707" t="s">
        <v>107</v>
      </c>
      <c r="H125" s="703"/>
      <c r="I125" s="703" t="s">
        <v>42</v>
      </c>
      <c r="J125" s="1174" t="s">
        <v>269</v>
      </c>
      <c r="K125" s="1174"/>
      <c r="L125" s="1174"/>
      <c r="M125" s="1174"/>
      <c r="N125" s="703" t="s">
        <v>254</v>
      </c>
      <c r="O125" s="707" t="s">
        <v>107</v>
      </c>
      <c r="P125" s="593"/>
      <c r="Q125" s="703" t="s">
        <v>42</v>
      </c>
      <c r="R125" s="1174" t="s">
        <v>269</v>
      </c>
      <c r="S125" s="1174"/>
      <c r="T125" s="1174"/>
      <c r="U125" s="1174"/>
      <c r="V125" s="703" t="s">
        <v>254</v>
      </c>
      <c r="W125" s="707" t="s">
        <v>107</v>
      </c>
      <c r="X125" s="703" t="s">
        <v>254</v>
      </c>
      <c r="Y125" s="707" t="s">
        <v>107</v>
      </c>
      <c r="Z125" s="888" t="s">
        <v>254</v>
      </c>
      <c r="AA125" s="928" t="s">
        <v>107</v>
      </c>
      <c r="AB125" s="924" t="s">
        <v>254</v>
      </c>
      <c r="AC125" s="928" t="s">
        <v>107</v>
      </c>
      <c r="AD125" s="924" t="s">
        <v>254</v>
      </c>
      <c r="AE125" s="928" t="s">
        <v>107</v>
      </c>
      <c r="AF125" s="924" t="s">
        <v>254</v>
      </c>
      <c r="AG125" s="928" t="s">
        <v>107</v>
      </c>
      <c r="AH125" s="924" t="s">
        <v>254</v>
      </c>
      <c r="AI125" s="928" t="s">
        <v>107</v>
      </c>
      <c r="AJ125" s="962" t="s">
        <v>254</v>
      </c>
      <c r="AK125" s="963" t="s">
        <v>107</v>
      </c>
    </row>
    <row r="126" spans="1:37" s="34" customFormat="1" x14ac:dyDescent="0.2">
      <c r="A126" s="675" t="s">
        <v>1</v>
      </c>
      <c r="B126" s="137" t="str">
        <f>Dados!B99</f>
        <v>Substituto na cobertura de Férias</v>
      </c>
      <c r="C126" s="138"/>
      <c r="D126" s="597"/>
      <c r="E126" s="603"/>
      <c r="F126" s="599">
        <f>Dados!G99</f>
        <v>6.8999999999999999E-3</v>
      </c>
      <c r="G126" s="600">
        <f>$G$62*F126</f>
        <v>26.45</v>
      </c>
      <c r="H126" s="717"/>
      <c r="I126" s="675" t="s">
        <v>1</v>
      </c>
      <c r="J126" s="137" t="str">
        <f>Dados!B99</f>
        <v>Substituto na cobertura de Férias</v>
      </c>
      <c r="K126" s="138"/>
      <c r="L126" s="597"/>
      <c r="M126" s="603"/>
      <c r="N126" s="599">
        <f>Dados!G99</f>
        <v>6.8999999999999999E-3</v>
      </c>
      <c r="O126" s="600">
        <f>$O$62*N126</f>
        <v>27.24</v>
      </c>
      <c r="Q126" s="675" t="s">
        <v>1</v>
      </c>
      <c r="R126" s="137" t="s">
        <v>260</v>
      </c>
      <c r="S126" s="138"/>
      <c r="T126" s="597"/>
      <c r="U126" s="603"/>
      <c r="V126" s="599">
        <v>6.8999999999999999E-3</v>
      </c>
      <c r="W126" s="600">
        <v>27.24</v>
      </c>
      <c r="X126" s="599">
        <v>6.8999999999999999E-3</v>
      </c>
      <c r="Y126" s="600">
        <v>27.24</v>
      </c>
      <c r="Z126" s="599">
        <v>6.8999999999999999E-3</v>
      </c>
      <c r="AA126" s="600">
        <v>27.24</v>
      </c>
      <c r="AB126" s="599">
        <v>6.8999999999999999E-3</v>
      </c>
      <c r="AC126" s="600">
        <v>27.24</v>
      </c>
      <c r="AD126" s="599">
        <v>6.8999999999999999E-3</v>
      </c>
      <c r="AE126" s="785">
        <f>$AE$62*AD126</f>
        <v>29.56</v>
      </c>
      <c r="AF126" s="599">
        <v>6.8999999999999999E-3</v>
      </c>
      <c r="AG126" s="785">
        <f>$AG$62*AF126</f>
        <v>29.56</v>
      </c>
      <c r="AH126" s="599">
        <v>6.8999999999999999E-3</v>
      </c>
      <c r="AI126" s="785">
        <f>$AG$62*AH126</f>
        <v>29.56</v>
      </c>
      <c r="AJ126" s="599">
        <v>6.8999999999999999E-3</v>
      </c>
      <c r="AK126" s="785">
        <f>$AK$62*AJ126</f>
        <v>31.29</v>
      </c>
    </row>
    <row r="127" spans="1:37" s="34" customFormat="1" x14ac:dyDescent="0.2">
      <c r="A127" s="668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687">
        <f t="shared" ref="G127:G131" si="29">$G$62*F127</f>
        <v>0.38</v>
      </c>
      <c r="H127" s="718"/>
      <c r="I127" s="668" t="s">
        <v>2</v>
      </c>
      <c r="J127" s="313" t="str">
        <f>Dados!B100</f>
        <v>Substituto na cobertura de Ausências Legais</v>
      </c>
      <c r="K127" s="122"/>
      <c r="L127" s="315"/>
      <c r="M127" s="314"/>
      <c r="N127" s="308">
        <f>Dados!G100</f>
        <v>1E-4</v>
      </c>
      <c r="O127" s="687">
        <f>$O$62*N127</f>
        <v>0.39</v>
      </c>
      <c r="Q127" s="668" t="s">
        <v>2</v>
      </c>
      <c r="R127" s="313" t="s">
        <v>262</v>
      </c>
      <c r="S127" s="122"/>
      <c r="T127" s="315"/>
      <c r="U127" s="314"/>
      <c r="V127" s="308">
        <v>1E-4</v>
      </c>
      <c r="W127" s="687">
        <v>0.39</v>
      </c>
      <c r="X127" s="308">
        <v>1E-4</v>
      </c>
      <c r="Y127" s="687">
        <v>0.39</v>
      </c>
      <c r="Z127" s="308">
        <v>1E-4</v>
      </c>
      <c r="AA127" s="934">
        <v>0.39</v>
      </c>
      <c r="AB127" s="308">
        <v>1E-4</v>
      </c>
      <c r="AC127" s="934">
        <v>0.39</v>
      </c>
      <c r="AD127" s="308">
        <v>1E-4</v>
      </c>
      <c r="AE127" s="785">
        <f t="shared" ref="AE127:AE131" si="30">$AE$62*AD127</f>
        <v>0.43</v>
      </c>
      <c r="AF127" s="308">
        <v>1E-4</v>
      </c>
      <c r="AG127" s="785">
        <f t="shared" ref="AG127:AI131" si="31">$AG$62*AF127</f>
        <v>0.43</v>
      </c>
      <c r="AH127" s="308">
        <v>1E-4</v>
      </c>
      <c r="AI127" s="785">
        <f t="shared" si="31"/>
        <v>0.43</v>
      </c>
      <c r="AJ127" s="308">
        <v>1E-4</v>
      </c>
      <c r="AK127" s="785">
        <f>$AK$62*AJ127</f>
        <v>0.45</v>
      </c>
    </row>
    <row r="128" spans="1:37" s="34" customFormat="1" x14ac:dyDescent="0.2">
      <c r="A128" s="668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687">
        <f t="shared" si="29"/>
        <v>0.38</v>
      </c>
      <c r="H128" s="717"/>
      <c r="I128" s="668" t="s">
        <v>4</v>
      </c>
      <c r="J128" s="313" t="str">
        <f>Dados!B101</f>
        <v>Substituto na cobertura de Licença-Paternidade</v>
      </c>
      <c r="K128" s="122"/>
      <c r="L128" s="315"/>
      <c r="M128" s="314"/>
      <c r="N128" s="308">
        <f>Dados!G101</f>
        <v>1E-4</v>
      </c>
      <c r="O128" s="687">
        <f>$O$62*N128</f>
        <v>0.39</v>
      </c>
      <c r="Q128" s="668" t="s">
        <v>4</v>
      </c>
      <c r="R128" s="313" t="s">
        <v>263</v>
      </c>
      <c r="S128" s="122"/>
      <c r="T128" s="315"/>
      <c r="U128" s="314"/>
      <c r="V128" s="308">
        <v>1E-4</v>
      </c>
      <c r="W128" s="687">
        <v>0.39</v>
      </c>
      <c r="X128" s="308">
        <v>1E-4</v>
      </c>
      <c r="Y128" s="687">
        <v>0.39</v>
      </c>
      <c r="Z128" s="308">
        <v>1E-4</v>
      </c>
      <c r="AA128" s="934">
        <v>0.39</v>
      </c>
      <c r="AB128" s="308">
        <v>1E-4</v>
      </c>
      <c r="AC128" s="934">
        <v>0.39</v>
      </c>
      <c r="AD128" s="308">
        <v>1E-4</v>
      </c>
      <c r="AE128" s="785">
        <f t="shared" si="30"/>
        <v>0.43</v>
      </c>
      <c r="AF128" s="308">
        <v>1E-4</v>
      </c>
      <c r="AG128" s="785">
        <f t="shared" si="31"/>
        <v>0.43</v>
      </c>
      <c r="AH128" s="308">
        <v>1E-4</v>
      </c>
      <c r="AI128" s="785">
        <f t="shared" si="31"/>
        <v>0.43</v>
      </c>
      <c r="AJ128" s="308">
        <v>1E-4</v>
      </c>
      <c r="AK128" s="785">
        <f>$AK$62*AJ128</f>
        <v>0.45</v>
      </c>
    </row>
    <row r="129" spans="1:37" s="34" customFormat="1" x14ac:dyDescent="0.2">
      <c r="A129" s="668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687">
        <f t="shared" si="29"/>
        <v>0.38</v>
      </c>
      <c r="H129" s="717"/>
      <c r="I129" s="668" t="s">
        <v>5</v>
      </c>
      <c r="J129" s="313" t="str">
        <f>Dados!B102</f>
        <v>Substituto na cobertura de Ausência por acidente de trabalho</v>
      </c>
      <c r="K129" s="122"/>
      <c r="L129" s="315"/>
      <c r="M129" s="314"/>
      <c r="N129" s="308">
        <f>Dados!G102</f>
        <v>1E-4</v>
      </c>
      <c r="O129" s="687">
        <f>$O$62*N129</f>
        <v>0.39</v>
      </c>
      <c r="Q129" s="668" t="s">
        <v>5</v>
      </c>
      <c r="R129" s="313" t="s">
        <v>264</v>
      </c>
      <c r="S129" s="122"/>
      <c r="T129" s="315"/>
      <c r="U129" s="314"/>
      <c r="V129" s="308">
        <v>1E-4</v>
      </c>
      <c r="W129" s="687">
        <v>0.39</v>
      </c>
      <c r="X129" s="308">
        <v>1E-4</v>
      </c>
      <c r="Y129" s="687">
        <v>0.39</v>
      </c>
      <c r="Z129" s="308">
        <v>1E-4</v>
      </c>
      <c r="AA129" s="934">
        <v>0.39</v>
      </c>
      <c r="AB129" s="308">
        <v>1E-4</v>
      </c>
      <c r="AC129" s="934">
        <v>0.39</v>
      </c>
      <c r="AD129" s="308">
        <v>1E-4</v>
      </c>
      <c r="AE129" s="785">
        <f t="shared" si="30"/>
        <v>0.43</v>
      </c>
      <c r="AF129" s="308">
        <v>1E-4</v>
      </c>
      <c r="AG129" s="785">
        <f t="shared" si="31"/>
        <v>0.43</v>
      </c>
      <c r="AH129" s="308">
        <v>1E-4</v>
      </c>
      <c r="AI129" s="785">
        <f t="shared" si="31"/>
        <v>0.43</v>
      </c>
      <c r="AJ129" s="308">
        <v>1E-4</v>
      </c>
      <c r="AK129" s="785">
        <f>$AK$62*AJ129</f>
        <v>0.45</v>
      </c>
    </row>
    <row r="130" spans="1:37" s="34" customFormat="1" x14ac:dyDescent="0.2">
      <c r="A130" s="668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687">
        <f t="shared" si="29"/>
        <v>0.38</v>
      </c>
      <c r="H130" s="717"/>
      <c r="I130" s="668" t="s">
        <v>6</v>
      </c>
      <c r="J130" s="313" t="str">
        <f>Dados!B103</f>
        <v>Substituto na cobertura de Afastamento Maternidade</v>
      </c>
      <c r="K130" s="122"/>
      <c r="L130" s="315"/>
      <c r="M130" s="314"/>
      <c r="N130" s="308">
        <f>Dados!G103</f>
        <v>1E-4</v>
      </c>
      <c r="O130" s="687">
        <f>$O$62*N130</f>
        <v>0.39</v>
      </c>
      <c r="Q130" s="668" t="s">
        <v>6</v>
      </c>
      <c r="R130" s="313" t="s">
        <v>265</v>
      </c>
      <c r="S130" s="122"/>
      <c r="T130" s="315"/>
      <c r="U130" s="314"/>
      <c r="V130" s="308">
        <v>1E-4</v>
      </c>
      <c r="W130" s="687">
        <v>0.39</v>
      </c>
      <c r="X130" s="308">
        <v>1E-4</v>
      </c>
      <c r="Y130" s="687">
        <v>0.39</v>
      </c>
      <c r="Z130" s="308">
        <v>1E-4</v>
      </c>
      <c r="AA130" s="934">
        <v>0.39</v>
      </c>
      <c r="AB130" s="308">
        <v>1E-4</v>
      </c>
      <c r="AC130" s="934">
        <v>0.39</v>
      </c>
      <c r="AD130" s="308">
        <v>1E-4</v>
      </c>
      <c r="AE130" s="785">
        <f t="shared" si="30"/>
        <v>0.43</v>
      </c>
      <c r="AF130" s="308">
        <v>1E-4</v>
      </c>
      <c r="AG130" s="785">
        <f t="shared" si="31"/>
        <v>0.43</v>
      </c>
      <c r="AH130" s="308">
        <v>1E-4</v>
      </c>
      <c r="AI130" s="785">
        <f t="shared" si="31"/>
        <v>0.43</v>
      </c>
      <c r="AJ130" s="308">
        <v>1E-4</v>
      </c>
      <c r="AK130" s="785">
        <f>$AK$62*AJ130</f>
        <v>0.45</v>
      </c>
    </row>
    <row r="131" spans="1:37" s="34" customFormat="1" x14ac:dyDescent="0.2">
      <c r="A131" s="682" t="s">
        <v>7</v>
      </c>
      <c r="B131" s="140" t="str">
        <f>Dados!B104</f>
        <v>Substituto na cobertura de Outras ausências (especificar)</v>
      </c>
      <c r="C131" s="141"/>
      <c r="D131" s="614"/>
      <c r="E131" s="617"/>
      <c r="F131" s="327">
        <f>Dados!G104</f>
        <v>0</v>
      </c>
      <c r="G131" s="328">
        <f t="shared" si="29"/>
        <v>0</v>
      </c>
      <c r="H131" s="717"/>
      <c r="I131" s="682" t="s">
        <v>7</v>
      </c>
      <c r="J131" s="140" t="str">
        <f>Dados!B104</f>
        <v>Substituto na cobertura de Outras ausências (especificar)</v>
      </c>
      <c r="K131" s="141"/>
      <c r="L131" s="614"/>
      <c r="M131" s="617"/>
      <c r="N131" s="327">
        <f>Dados!G104</f>
        <v>0</v>
      </c>
      <c r="O131" s="328">
        <f t="shared" ref="O131" si="32">$G$62*N131</f>
        <v>0</v>
      </c>
      <c r="Q131" s="682" t="s">
        <v>7</v>
      </c>
      <c r="R131" s="140" t="s">
        <v>266</v>
      </c>
      <c r="S131" s="141"/>
      <c r="T131" s="614"/>
      <c r="U131" s="617"/>
      <c r="V131" s="327">
        <v>0</v>
      </c>
      <c r="W131" s="328">
        <v>0</v>
      </c>
      <c r="X131" s="327">
        <v>0</v>
      </c>
      <c r="Y131" s="328">
        <v>0</v>
      </c>
      <c r="Z131" s="327">
        <v>0</v>
      </c>
      <c r="AA131" s="328">
        <v>0</v>
      </c>
      <c r="AB131" s="327">
        <v>0</v>
      </c>
      <c r="AC131" s="328">
        <v>0</v>
      </c>
      <c r="AD131" s="327">
        <v>0</v>
      </c>
      <c r="AE131" s="785">
        <f t="shared" si="30"/>
        <v>0</v>
      </c>
      <c r="AF131" s="327">
        <v>0</v>
      </c>
      <c r="AG131" s="785">
        <f t="shared" si="31"/>
        <v>0</v>
      </c>
      <c r="AH131" s="327">
        <v>0</v>
      </c>
      <c r="AI131" s="785">
        <f t="shared" si="31"/>
        <v>0</v>
      </c>
      <c r="AJ131" s="327">
        <v>0</v>
      </c>
      <c r="AK131" s="785">
        <f t="shared" ref="AK131" si="33">$AG$62*AJ131</f>
        <v>0</v>
      </c>
    </row>
    <row r="132" spans="1:37" s="34" customFormat="1" ht="14.25" customHeight="1" x14ac:dyDescent="0.2">
      <c r="A132" s="1172" t="s">
        <v>159</v>
      </c>
      <c r="B132" s="1172"/>
      <c r="C132" s="1172"/>
      <c r="D132" s="1172"/>
      <c r="E132" s="1172"/>
      <c r="F132" s="311">
        <f>SUM(F126:F131)</f>
        <v>7.3000000000000001E-3</v>
      </c>
      <c r="G132" s="316">
        <f>SUM(G126:G131)</f>
        <v>27.97</v>
      </c>
      <c r="H132" s="592"/>
      <c r="I132" s="1172" t="s">
        <v>159</v>
      </c>
      <c r="J132" s="1172"/>
      <c r="K132" s="1172"/>
      <c r="L132" s="1172"/>
      <c r="M132" s="1172"/>
      <c r="N132" s="311">
        <f>SUM(N126:N131)</f>
        <v>7.3000000000000001E-3</v>
      </c>
      <c r="O132" s="316">
        <f>SUM(O126:O131)</f>
        <v>28.8</v>
      </c>
      <c r="P132" s="593"/>
      <c r="Q132" s="1172" t="s">
        <v>159</v>
      </c>
      <c r="R132" s="1172"/>
      <c r="S132" s="1172"/>
      <c r="T132" s="1172"/>
      <c r="U132" s="1172"/>
      <c r="V132" s="311">
        <f t="shared" ref="V132:AI132" si="34">SUM(V126:V131)</f>
        <v>7.3000000000000001E-3</v>
      </c>
      <c r="W132" s="316">
        <f t="shared" si="34"/>
        <v>28.8</v>
      </c>
      <c r="X132" s="311">
        <f t="shared" si="34"/>
        <v>7.3000000000000001E-3</v>
      </c>
      <c r="Y132" s="316">
        <f t="shared" si="34"/>
        <v>28.8</v>
      </c>
      <c r="Z132" s="311">
        <f t="shared" ref="Z132:AA132" si="35">SUM(Z126:Z131)</f>
        <v>7.3000000000000001E-3</v>
      </c>
      <c r="AA132" s="935">
        <f t="shared" si="35"/>
        <v>28.8</v>
      </c>
      <c r="AB132" s="311">
        <f t="shared" si="34"/>
        <v>7.3000000000000001E-3</v>
      </c>
      <c r="AC132" s="935">
        <f t="shared" si="34"/>
        <v>28.8</v>
      </c>
      <c r="AD132" s="311">
        <f t="shared" si="34"/>
        <v>7.3000000000000001E-3</v>
      </c>
      <c r="AE132" s="935">
        <f t="shared" si="34"/>
        <v>31.28</v>
      </c>
      <c r="AF132" s="311">
        <f t="shared" si="34"/>
        <v>7.3000000000000001E-3</v>
      </c>
      <c r="AG132" s="935">
        <f t="shared" si="34"/>
        <v>31.28</v>
      </c>
      <c r="AH132" s="311">
        <f t="shared" si="34"/>
        <v>7.3000000000000001E-3</v>
      </c>
      <c r="AI132" s="935">
        <f t="shared" si="34"/>
        <v>31.28</v>
      </c>
      <c r="AJ132" s="311">
        <f t="shared" ref="AJ132:AK132" si="36">SUM(AJ126:AJ131)</f>
        <v>7.3000000000000001E-3</v>
      </c>
      <c r="AK132" s="981">
        <f t="shared" si="36"/>
        <v>33.090000000000003</v>
      </c>
    </row>
    <row r="133" spans="1:37" s="34" customFormat="1" ht="14.25" hidden="1" customHeight="1" x14ac:dyDescent="0.2">
      <c r="A133" s="683" t="s">
        <v>424</v>
      </c>
      <c r="B133" s="683"/>
      <c r="C133" s="683"/>
      <c r="D133" s="683"/>
      <c r="E133" s="674"/>
      <c r="F133" s="674"/>
      <c r="G133" s="674"/>
      <c r="H133" s="592"/>
      <c r="I133" s="683" t="s">
        <v>424</v>
      </c>
      <c r="J133" s="683"/>
      <c r="K133" s="683"/>
      <c r="L133" s="683"/>
      <c r="M133" s="674"/>
      <c r="N133" s="674"/>
      <c r="O133" s="674"/>
      <c r="P133" s="593"/>
      <c r="Q133" s="683" t="s">
        <v>503</v>
      </c>
      <c r="R133" s="683"/>
      <c r="S133" s="683"/>
      <c r="T133" s="683"/>
      <c r="U133" s="674"/>
      <c r="V133" s="674"/>
      <c r="W133" s="674"/>
      <c r="X133" s="593"/>
    </row>
    <row r="134" spans="1:37" s="34" customFormat="1" hidden="1" x14ac:dyDescent="0.2">
      <c r="A134" s="683" t="s">
        <v>551</v>
      </c>
      <c r="B134" s="674"/>
      <c r="C134" s="674"/>
      <c r="D134" s="674"/>
      <c r="E134" s="674"/>
      <c r="F134" s="674"/>
      <c r="G134" s="674"/>
      <c r="H134" s="592"/>
      <c r="I134" s="683" t="s">
        <v>551</v>
      </c>
      <c r="J134" s="674"/>
      <c r="K134" s="674"/>
      <c r="L134" s="674"/>
      <c r="M134" s="674"/>
      <c r="N134" s="674"/>
      <c r="O134" s="674"/>
      <c r="P134" s="593"/>
      <c r="Q134" s="683" t="s">
        <v>498</v>
      </c>
      <c r="R134" s="674"/>
      <c r="S134" s="674"/>
      <c r="T134" s="674"/>
      <c r="U134" s="674"/>
      <c r="V134" s="674"/>
      <c r="W134" s="674"/>
      <c r="X134" s="593"/>
    </row>
    <row r="135" spans="1:37" s="34" customFormat="1" hidden="1" x14ac:dyDescent="0.2">
      <c r="A135" s="674"/>
      <c r="B135" s="674"/>
      <c r="C135" s="674"/>
      <c r="D135" s="674"/>
      <c r="E135" s="674"/>
      <c r="F135" s="674"/>
      <c r="G135" s="674"/>
      <c r="H135" s="592"/>
      <c r="I135" s="674"/>
      <c r="J135" s="674"/>
      <c r="K135" s="674"/>
      <c r="L135" s="674"/>
      <c r="M135" s="674"/>
      <c r="N135" s="674"/>
      <c r="O135" s="674"/>
      <c r="P135" s="593"/>
      <c r="Q135" s="674"/>
      <c r="R135" s="674"/>
      <c r="S135" s="674"/>
      <c r="T135" s="674"/>
      <c r="U135" s="674"/>
      <c r="V135" s="674"/>
      <c r="W135" s="674"/>
      <c r="X135" s="593"/>
    </row>
    <row r="136" spans="1:37" s="34" customFormat="1" hidden="1" x14ac:dyDescent="0.2">
      <c r="A136" s="1173" t="s">
        <v>267</v>
      </c>
      <c r="B136" s="1173"/>
      <c r="C136" s="1173"/>
      <c r="D136" s="1173"/>
      <c r="E136" s="1173"/>
      <c r="F136" s="1173"/>
      <c r="G136" s="1173"/>
      <c r="H136" s="592"/>
      <c r="I136" s="1173" t="s">
        <v>267</v>
      </c>
      <c r="J136" s="1173"/>
      <c r="K136" s="1173"/>
      <c r="L136" s="1173"/>
      <c r="M136" s="1173"/>
      <c r="N136" s="1173"/>
      <c r="O136" s="1173"/>
      <c r="P136" s="593"/>
      <c r="Q136" s="1173" t="s">
        <v>267</v>
      </c>
      <c r="R136" s="1173"/>
      <c r="S136" s="1173"/>
      <c r="T136" s="1173"/>
      <c r="U136" s="1173"/>
      <c r="V136" s="1173"/>
      <c r="W136" s="1173"/>
      <c r="X136" s="593"/>
    </row>
    <row r="137" spans="1:37" s="34" customFormat="1" hidden="1" x14ac:dyDescent="0.2">
      <c r="A137" s="703" t="s">
        <v>47</v>
      </c>
      <c r="B137" s="1174" t="s">
        <v>425</v>
      </c>
      <c r="C137" s="1174"/>
      <c r="D137" s="1174"/>
      <c r="E137" s="1174"/>
      <c r="F137" s="1174"/>
      <c r="G137" s="707" t="s">
        <v>107</v>
      </c>
      <c r="H137" s="592"/>
      <c r="I137" s="703" t="s">
        <v>47</v>
      </c>
      <c r="J137" s="1174" t="s">
        <v>425</v>
      </c>
      <c r="K137" s="1174"/>
      <c r="L137" s="1174"/>
      <c r="M137" s="1174"/>
      <c r="N137" s="1174"/>
      <c r="O137" s="707" t="s">
        <v>107</v>
      </c>
      <c r="P137" s="593"/>
      <c r="Q137" s="703" t="s">
        <v>47</v>
      </c>
      <c r="R137" s="1174" t="s">
        <v>425</v>
      </c>
      <c r="S137" s="1174"/>
      <c r="T137" s="1174"/>
      <c r="U137" s="1174"/>
      <c r="V137" s="1174"/>
      <c r="W137" s="707" t="s">
        <v>107</v>
      </c>
      <c r="X137" s="593"/>
    </row>
    <row r="138" spans="1:37" s="34" customFormat="1" hidden="1" x14ac:dyDescent="0.2">
      <c r="A138" s="668" t="s">
        <v>1</v>
      </c>
      <c r="B138" s="1220" t="s">
        <v>268</v>
      </c>
      <c r="C138" s="1220"/>
      <c r="D138" s="1220"/>
      <c r="E138" s="1220"/>
      <c r="F138" s="1220"/>
      <c r="G138" s="687">
        <f>ROUND(IF(G40=0,H138,0),2)</f>
        <v>0</v>
      </c>
      <c r="H138" s="592"/>
      <c r="I138" s="668" t="s">
        <v>1</v>
      </c>
      <c r="J138" s="1220" t="s">
        <v>268</v>
      </c>
      <c r="K138" s="1220"/>
      <c r="L138" s="1220"/>
      <c r="M138" s="1220"/>
      <c r="N138" s="1220"/>
      <c r="O138" s="687">
        <f>ROUND(IF(O40=0,P138,0),2)</f>
        <v>0</v>
      </c>
      <c r="P138" s="593"/>
      <c r="Q138" s="668" t="s">
        <v>1</v>
      </c>
      <c r="R138" s="1220" t="s">
        <v>268</v>
      </c>
      <c r="S138" s="1220"/>
      <c r="T138" s="1220"/>
      <c r="U138" s="1220"/>
      <c r="V138" s="1220"/>
      <c r="W138" s="687">
        <v>0</v>
      </c>
      <c r="X138" s="593"/>
    </row>
    <row r="139" spans="1:37" s="34" customFormat="1" ht="15.75" hidden="1" customHeight="1" x14ac:dyDescent="0.2">
      <c r="A139" s="1172" t="s">
        <v>159</v>
      </c>
      <c r="B139" s="1172"/>
      <c r="C139" s="1172"/>
      <c r="D139" s="1172"/>
      <c r="E139" s="1172"/>
      <c r="F139" s="1172"/>
      <c r="G139" s="302">
        <f>SUM(G133:G138)</f>
        <v>0</v>
      </c>
      <c r="H139" s="592"/>
      <c r="I139" s="1172" t="s">
        <v>159</v>
      </c>
      <c r="J139" s="1172"/>
      <c r="K139" s="1172"/>
      <c r="L139" s="1172"/>
      <c r="M139" s="1172"/>
      <c r="N139" s="1172"/>
      <c r="O139" s="302">
        <f>SUM(O133:O138)</f>
        <v>0</v>
      </c>
      <c r="P139" s="593"/>
      <c r="Q139" s="1172" t="s">
        <v>159</v>
      </c>
      <c r="R139" s="1172"/>
      <c r="S139" s="1172"/>
      <c r="T139" s="1172"/>
      <c r="U139" s="1172"/>
      <c r="V139" s="1172"/>
      <c r="W139" s="302">
        <v>0</v>
      </c>
      <c r="X139" s="593"/>
    </row>
    <row r="140" spans="1:37" s="34" customFormat="1" hidden="1" x14ac:dyDescent="0.2">
      <c r="A140" s="1215" t="s">
        <v>229</v>
      </c>
      <c r="B140" s="1215"/>
      <c r="C140" s="1215"/>
      <c r="D140" s="1215"/>
      <c r="E140" s="1215"/>
      <c r="F140" s="1215"/>
      <c r="G140" s="1215"/>
      <c r="H140" s="592"/>
      <c r="I140" s="1215" t="s">
        <v>229</v>
      </c>
      <c r="J140" s="1215"/>
      <c r="K140" s="1215"/>
      <c r="L140" s="1215"/>
      <c r="M140" s="1215"/>
      <c r="N140" s="1215"/>
      <c r="O140" s="1215"/>
      <c r="P140" s="593"/>
      <c r="Q140" s="1215" t="s">
        <v>504</v>
      </c>
      <c r="R140" s="1215"/>
      <c r="S140" s="1215"/>
      <c r="T140" s="1215"/>
      <c r="U140" s="1215"/>
      <c r="V140" s="1215"/>
      <c r="W140" s="1215"/>
      <c r="X140" s="593"/>
    </row>
    <row r="141" spans="1:37" s="34" customFormat="1" hidden="1" x14ac:dyDescent="0.2">
      <c r="A141" s="1215"/>
      <c r="B141" s="1215"/>
      <c r="C141" s="1215"/>
      <c r="D141" s="1215"/>
      <c r="E141" s="1215"/>
      <c r="F141" s="1215"/>
      <c r="G141" s="1215"/>
      <c r="H141" s="592"/>
      <c r="I141" s="1215"/>
      <c r="J141" s="1215"/>
      <c r="K141" s="1215"/>
      <c r="L141" s="1215"/>
      <c r="M141" s="1215"/>
      <c r="N141" s="1215"/>
      <c r="O141" s="1215"/>
      <c r="P141" s="593"/>
      <c r="Q141" s="1215"/>
      <c r="R141" s="1215"/>
      <c r="S141" s="1215"/>
      <c r="T141" s="1215"/>
      <c r="U141" s="1215"/>
      <c r="V141" s="1215"/>
      <c r="W141" s="1215"/>
      <c r="X141" s="593"/>
    </row>
    <row r="142" spans="1:37" s="34" customFormat="1" hidden="1" x14ac:dyDescent="0.2">
      <c r="A142" s="683"/>
      <c r="B142" s="683"/>
      <c r="C142" s="683"/>
      <c r="D142" s="683"/>
      <c r="E142" s="683"/>
      <c r="F142" s="618"/>
      <c r="G142" s="619"/>
      <c r="H142" s="592"/>
      <c r="I142" s="683"/>
      <c r="J142" s="683"/>
      <c r="K142" s="683"/>
      <c r="L142" s="683"/>
      <c r="M142" s="683"/>
      <c r="N142" s="618"/>
      <c r="O142" s="619"/>
      <c r="P142" s="593"/>
      <c r="Q142" s="683"/>
      <c r="R142" s="683"/>
      <c r="S142" s="683"/>
      <c r="T142" s="683"/>
      <c r="U142" s="683"/>
      <c r="V142" s="618"/>
      <c r="W142" s="619"/>
      <c r="X142" s="593"/>
    </row>
    <row r="143" spans="1:37" s="34" customFormat="1" x14ac:dyDescent="0.2">
      <c r="A143" s="1206" t="s">
        <v>231</v>
      </c>
      <c r="B143" s="1207"/>
      <c r="C143" s="1207"/>
      <c r="D143" s="1207"/>
      <c r="E143" s="1207"/>
      <c r="F143" s="1207"/>
      <c r="G143" s="1207"/>
      <c r="H143" s="1207"/>
      <c r="I143" s="1207"/>
      <c r="J143" s="1207"/>
      <c r="K143" s="1207"/>
      <c r="L143" s="1207"/>
      <c r="M143" s="1207"/>
      <c r="N143" s="1207"/>
      <c r="O143" s="1207"/>
      <c r="P143" s="1207"/>
      <c r="Q143" s="1207"/>
      <c r="R143" s="1207"/>
      <c r="S143" s="1207"/>
      <c r="T143" s="1207"/>
      <c r="U143" s="1207"/>
      <c r="V143" s="1207"/>
      <c r="W143" s="1207"/>
      <c r="X143" s="1207"/>
      <c r="Y143" s="1207"/>
    </row>
    <row r="144" spans="1:37" s="34" customFormat="1" ht="60.75" customHeight="1" x14ac:dyDescent="0.2">
      <c r="A144" s="703">
        <v>4</v>
      </c>
      <c r="B144" s="1174" t="s">
        <v>230</v>
      </c>
      <c r="C144" s="1174"/>
      <c r="D144" s="1174"/>
      <c r="E144" s="1174"/>
      <c r="F144" s="1174"/>
      <c r="G144" s="707" t="s">
        <v>107</v>
      </c>
      <c r="H144" s="592"/>
      <c r="I144" s="703">
        <v>4</v>
      </c>
      <c r="J144" s="1174" t="s">
        <v>230</v>
      </c>
      <c r="K144" s="1174"/>
      <c r="L144" s="1174"/>
      <c r="M144" s="1174"/>
      <c r="N144" s="1174"/>
      <c r="O144" s="707" t="s">
        <v>107</v>
      </c>
      <c r="P144" s="593"/>
      <c r="Q144" s="703">
        <v>4</v>
      </c>
      <c r="R144" s="1174" t="s">
        <v>230</v>
      </c>
      <c r="S144" s="1174"/>
      <c r="T144" s="1174"/>
      <c r="U144" s="1174"/>
      <c r="V144" s="1174"/>
      <c r="W144" s="731" t="s">
        <v>107</v>
      </c>
      <c r="X144" s="729" t="s">
        <v>230</v>
      </c>
      <c r="Y144" s="731" t="s">
        <v>107</v>
      </c>
      <c r="Z144" s="729" t="s">
        <v>230</v>
      </c>
      <c r="AA144" s="930" t="s">
        <v>107</v>
      </c>
      <c r="AB144" s="729" t="s">
        <v>230</v>
      </c>
      <c r="AC144" s="930" t="s">
        <v>107</v>
      </c>
      <c r="AD144" s="729" t="s">
        <v>230</v>
      </c>
      <c r="AE144" s="930" t="s">
        <v>107</v>
      </c>
      <c r="AF144" s="729" t="s">
        <v>230</v>
      </c>
      <c r="AG144" s="930" t="s">
        <v>107</v>
      </c>
      <c r="AH144" s="729" t="s">
        <v>230</v>
      </c>
      <c r="AI144" s="930" t="s">
        <v>107</v>
      </c>
      <c r="AJ144" s="729" t="s">
        <v>230</v>
      </c>
      <c r="AK144" s="965" t="s">
        <v>107</v>
      </c>
    </row>
    <row r="145" spans="1:37" s="34" customFormat="1" x14ac:dyDescent="0.2">
      <c r="A145" s="587" t="s">
        <v>42</v>
      </c>
      <c r="B145" s="588" t="str">
        <f>B125</f>
        <v>Substituto nas Ausências Legais</v>
      </c>
      <c r="C145" s="589"/>
      <c r="D145" s="589"/>
      <c r="E145" s="589"/>
      <c r="F145" s="590"/>
      <c r="G145" s="591">
        <f>G132</f>
        <v>27.97</v>
      </c>
      <c r="H145" s="79"/>
      <c r="I145" s="587" t="s">
        <v>42</v>
      </c>
      <c r="J145" s="588" t="str">
        <f>J125</f>
        <v>Substituto nas Ausências Legais</v>
      </c>
      <c r="K145" s="589"/>
      <c r="L145" s="589"/>
      <c r="M145" s="589"/>
      <c r="N145" s="590"/>
      <c r="O145" s="591">
        <f>O132</f>
        <v>28.8</v>
      </c>
      <c r="Q145" s="587" t="s">
        <v>42</v>
      </c>
      <c r="R145" s="588" t="s">
        <v>269</v>
      </c>
      <c r="S145" s="589"/>
      <c r="T145" s="589"/>
      <c r="U145" s="589"/>
      <c r="V145" s="590"/>
      <c r="W145" s="620">
        <v>28.8</v>
      </c>
      <c r="X145" s="593"/>
      <c r="Y145" s="620">
        <v>28.8</v>
      </c>
      <c r="Z145" s="593"/>
      <c r="AA145" s="620">
        <v>28.8</v>
      </c>
      <c r="AB145" s="593"/>
      <c r="AC145" s="620">
        <v>28.8</v>
      </c>
      <c r="AD145" s="593"/>
      <c r="AE145" s="620">
        <f>AE132</f>
        <v>31.28</v>
      </c>
      <c r="AF145" s="593"/>
      <c r="AG145" s="620">
        <f>AE145</f>
        <v>31.28</v>
      </c>
      <c r="AH145" s="593"/>
      <c r="AI145" s="620">
        <f>AG145</f>
        <v>31.28</v>
      </c>
      <c r="AJ145" s="593"/>
      <c r="AK145" s="620">
        <f>AK132</f>
        <v>33.090000000000003</v>
      </c>
    </row>
    <row r="146" spans="1:37" s="34" customFormat="1" ht="14.25" hidden="1" customHeight="1" x14ac:dyDescent="0.2">
      <c r="A146" s="621" t="s">
        <v>47</v>
      </c>
      <c r="B146" s="622" t="str">
        <f>B137</f>
        <v>Substituto na Intrajornada</v>
      </c>
      <c r="C146" s="623"/>
      <c r="D146" s="623"/>
      <c r="E146" s="623"/>
      <c r="F146" s="624"/>
      <c r="G146" s="625">
        <f>G139</f>
        <v>0</v>
      </c>
      <c r="H146" s="79"/>
      <c r="I146" s="621" t="s">
        <v>47</v>
      </c>
      <c r="J146" s="622" t="str">
        <f>J137</f>
        <v>Substituto na Intrajornada</v>
      </c>
      <c r="K146" s="623"/>
      <c r="L146" s="623"/>
      <c r="M146" s="623"/>
      <c r="N146" s="624"/>
      <c r="O146" s="625">
        <f>O139</f>
        <v>0</v>
      </c>
      <c r="Q146" s="621" t="s">
        <v>47</v>
      </c>
      <c r="R146" s="622" t="s">
        <v>425</v>
      </c>
      <c r="S146" s="623"/>
      <c r="T146" s="623"/>
      <c r="U146" s="623"/>
      <c r="V146" s="624"/>
      <c r="W146" s="626">
        <v>0</v>
      </c>
      <c r="X146" s="616"/>
      <c r="Y146" s="626">
        <v>0</v>
      </c>
      <c r="Z146" s="616"/>
      <c r="AA146" s="626">
        <v>0</v>
      </c>
      <c r="AB146" s="616"/>
      <c r="AC146" s="626">
        <v>0</v>
      </c>
      <c r="AD146" s="616"/>
      <c r="AE146" s="626">
        <v>0</v>
      </c>
      <c r="AF146" s="616"/>
      <c r="AG146" s="626">
        <v>0</v>
      </c>
      <c r="AH146" s="616"/>
      <c r="AI146" s="626">
        <v>0</v>
      </c>
      <c r="AJ146" s="616"/>
      <c r="AK146" s="626">
        <v>0</v>
      </c>
    </row>
    <row r="147" spans="1:37" s="34" customFormat="1" x14ac:dyDescent="0.2">
      <c r="A147" s="1172" t="s">
        <v>159</v>
      </c>
      <c r="B147" s="1172"/>
      <c r="C147" s="1172"/>
      <c r="D147" s="1172"/>
      <c r="E147" s="1172"/>
      <c r="F147" s="1172"/>
      <c r="G147" s="316">
        <f>SUM(G145:G146)</f>
        <v>27.97</v>
      </c>
      <c r="H147" s="592"/>
      <c r="I147" s="1172" t="s">
        <v>159</v>
      </c>
      <c r="J147" s="1172"/>
      <c r="K147" s="1172"/>
      <c r="L147" s="1172"/>
      <c r="M147" s="1172"/>
      <c r="N147" s="1172"/>
      <c r="O147" s="316">
        <f>SUM(O145:O146)</f>
        <v>28.8</v>
      </c>
      <c r="P147" s="593"/>
      <c r="Q147" s="1172" t="s">
        <v>159</v>
      </c>
      <c r="R147" s="1172"/>
      <c r="S147" s="1172"/>
      <c r="T147" s="1172"/>
      <c r="U147" s="1172"/>
      <c r="V147" s="1172"/>
      <c r="W147" s="316">
        <f>SUM(W145:W146)</f>
        <v>28.8</v>
      </c>
      <c r="X147" s="638" t="s">
        <v>159</v>
      </c>
      <c r="Y147" s="316">
        <f>SUM(Y145:Y146)</f>
        <v>28.8</v>
      </c>
      <c r="Z147" s="638" t="s">
        <v>159</v>
      </c>
      <c r="AA147" s="935">
        <f>SUM(AA145:AA146)</f>
        <v>28.8</v>
      </c>
      <c r="AB147" s="638" t="s">
        <v>159</v>
      </c>
      <c r="AC147" s="935">
        <f>SUM(AC145:AC146)</f>
        <v>28.8</v>
      </c>
      <c r="AD147" s="638" t="s">
        <v>159</v>
      </c>
      <c r="AE147" s="935">
        <f>SUM(AE145:AE146)</f>
        <v>31.28</v>
      </c>
      <c r="AF147" s="638" t="s">
        <v>159</v>
      </c>
      <c r="AG147" s="935">
        <f>SUM(AG145:AG146)</f>
        <v>31.28</v>
      </c>
      <c r="AH147" s="638" t="s">
        <v>159</v>
      </c>
      <c r="AI147" s="935">
        <f>SUM(AI145:AI146)</f>
        <v>31.28</v>
      </c>
      <c r="AJ147" s="638" t="s">
        <v>159</v>
      </c>
      <c r="AK147" s="981">
        <f>SUM(AK145:AK146)</f>
        <v>33.090000000000003</v>
      </c>
    </row>
    <row r="148" spans="1:37" s="34" customFormat="1" hidden="1" x14ac:dyDescent="0.2">
      <c r="A148" s="683"/>
      <c r="B148" s="683"/>
      <c r="C148" s="683"/>
      <c r="D148" s="683"/>
      <c r="E148" s="683"/>
      <c r="F148" s="618"/>
      <c r="G148" s="619"/>
      <c r="H148" s="592"/>
      <c r="I148" s="683"/>
      <c r="J148" s="683"/>
      <c r="K148" s="683"/>
      <c r="L148" s="683"/>
      <c r="M148" s="683"/>
      <c r="N148" s="618"/>
      <c r="O148" s="619"/>
      <c r="P148" s="593"/>
      <c r="Q148" s="683"/>
      <c r="R148" s="683"/>
      <c r="S148" s="683"/>
      <c r="T148" s="683"/>
      <c r="U148" s="683"/>
      <c r="V148" s="618"/>
      <c r="W148" s="619"/>
      <c r="X148" s="593"/>
    </row>
    <row r="149" spans="1:37" ht="15" customHeight="1" x14ac:dyDescent="0.2">
      <c r="A149" s="1296" t="s">
        <v>233</v>
      </c>
      <c r="B149" s="1297"/>
      <c r="C149" s="1297"/>
      <c r="D149" s="1297"/>
      <c r="E149" s="1297"/>
      <c r="F149" s="1297"/>
      <c r="G149" s="1297"/>
      <c r="H149" s="1297"/>
      <c r="I149" s="1297"/>
      <c r="J149" s="1297"/>
      <c r="K149" s="1297"/>
      <c r="L149" s="1297"/>
      <c r="M149" s="1297"/>
      <c r="N149" s="1297"/>
      <c r="O149" s="1297"/>
      <c r="P149" s="1297"/>
      <c r="Q149" s="1297"/>
      <c r="R149" s="1297"/>
      <c r="S149" s="1297"/>
      <c r="T149" s="1297"/>
      <c r="U149" s="1297"/>
      <c r="V149" s="1297"/>
      <c r="W149" s="1297"/>
      <c r="X149" s="1297"/>
      <c r="Y149" s="1297"/>
    </row>
    <row r="150" spans="1:37" ht="14.25" customHeight="1" x14ac:dyDescent="0.2">
      <c r="A150" s="703">
        <v>5</v>
      </c>
      <c r="B150" s="1174" t="s">
        <v>79</v>
      </c>
      <c r="C150" s="1174"/>
      <c r="D150" s="1174"/>
      <c r="E150" s="1174"/>
      <c r="F150" s="1174"/>
      <c r="G150" s="707" t="s">
        <v>107</v>
      </c>
      <c r="H150" s="592"/>
      <c r="I150" s="703">
        <v>5</v>
      </c>
      <c r="J150" s="1174" t="s">
        <v>79</v>
      </c>
      <c r="K150" s="1174"/>
      <c r="L150" s="1174"/>
      <c r="M150" s="1174"/>
      <c r="N150" s="1174"/>
      <c r="O150" s="707" t="s">
        <v>107</v>
      </c>
      <c r="P150" s="593"/>
      <c r="Q150" s="703">
        <v>5</v>
      </c>
      <c r="R150" s="1174" t="s">
        <v>79</v>
      </c>
      <c r="S150" s="1174"/>
      <c r="T150" s="1174"/>
      <c r="U150" s="1174"/>
      <c r="V150" s="1174"/>
      <c r="W150" s="707" t="s">
        <v>107</v>
      </c>
      <c r="X150" s="638" t="s">
        <v>79</v>
      </c>
      <c r="Y150" s="707" t="s">
        <v>107</v>
      </c>
      <c r="Z150" s="638" t="s">
        <v>79</v>
      </c>
      <c r="AA150" s="928" t="s">
        <v>107</v>
      </c>
      <c r="AB150" s="638" t="s">
        <v>79</v>
      </c>
      <c r="AC150" s="928" t="s">
        <v>107</v>
      </c>
      <c r="AD150" s="638" t="s">
        <v>79</v>
      </c>
      <c r="AE150" s="928" t="s">
        <v>107</v>
      </c>
      <c r="AF150" s="638" t="s">
        <v>79</v>
      </c>
      <c r="AG150" s="928" t="s">
        <v>107</v>
      </c>
      <c r="AH150" s="638" t="s">
        <v>79</v>
      </c>
      <c r="AI150" s="928" t="s">
        <v>107</v>
      </c>
      <c r="AJ150" s="638" t="s">
        <v>79</v>
      </c>
      <c r="AK150" s="963" t="s">
        <v>107</v>
      </c>
    </row>
    <row r="151" spans="1:37" x14ac:dyDescent="0.2">
      <c r="A151" s="587" t="s">
        <v>1</v>
      </c>
      <c r="B151" s="604" t="str">
        <f>Dados!A60</f>
        <v>Uniformes</v>
      </c>
      <c r="C151" s="589"/>
      <c r="D151" s="589"/>
      <c r="E151" s="589"/>
      <c r="F151" s="719">
        <f>Dados!J60</f>
        <v>42.33</v>
      </c>
      <c r="G151" s="591">
        <f>F151*$F$13</f>
        <v>42.33</v>
      </c>
      <c r="H151" s="79"/>
      <c r="I151" s="587" t="s">
        <v>1</v>
      </c>
      <c r="J151" s="604" t="str">
        <f>Dados!A60</f>
        <v>Uniformes</v>
      </c>
      <c r="K151" s="589"/>
      <c r="L151" s="589"/>
      <c r="M151" s="589"/>
      <c r="N151" s="719">
        <f>Dados!R60</f>
        <v>0</v>
      </c>
      <c r="O151" s="591">
        <f>F151*$F$13</f>
        <v>42.33</v>
      </c>
      <c r="P151" s="34"/>
      <c r="Q151" s="587" t="s">
        <v>1</v>
      </c>
      <c r="R151" s="604" t="s">
        <v>87</v>
      </c>
      <c r="S151" s="589"/>
      <c r="T151" s="589"/>
      <c r="U151" s="589"/>
      <c r="V151" s="719">
        <v>0</v>
      </c>
      <c r="W151" s="591">
        <v>42.33</v>
      </c>
      <c r="X151" s="593"/>
      <c r="Y151" s="591">
        <v>50.8</v>
      </c>
      <c r="Z151" s="593"/>
      <c r="AA151" s="591">
        <f>'Uniformes III TA'!H25</f>
        <v>42.33</v>
      </c>
      <c r="AB151" s="593"/>
      <c r="AC151" s="591">
        <f>'Uniformes III TA'!R25</f>
        <v>46.43</v>
      </c>
      <c r="AD151" s="593"/>
      <c r="AE151" s="591">
        <f>AC151</f>
        <v>46.43</v>
      </c>
      <c r="AF151" s="593"/>
      <c r="AG151" s="591">
        <f>'Uniformes III TA'!Z25</f>
        <v>46.43</v>
      </c>
      <c r="AH151" s="593"/>
      <c r="AI151" s="591">
        <f>'Uniformes III TA'!AI25</f>
        <v>51.1</v>
      </c>
      <c r="AJ151" s="593"/>
      <c r="AK151" s="591">
        <f>'Uniformes III TA'!AI25</f>
        <v>51.1</v>
      </c>
    </row>
    <row r="152" spans="1:37" x14ac:dyDescent="0.2">
      <c r="A152" s="295" t="s">
        <v>2</v>
      </c>
      <c r="B152" s="337" t="str">
        <f>Dados!A62</f>
        <v>Materiais e Equipamentos</v>
      </c>
      <c r="C152" s="336"/>
      <c r="D152" s="336"/>
      <c r="E152" s="336"/>
      <c r="F152" s="720">
        <f>Dados!J62+Dados!J63</f>
        <v>43.27</v>
      </c>
      <c r="G152" s="684">
        <f t="shared" ref="G152" si="37">F152*$F$13</f>
        <v>43.27</v>
      </c>
      <c r="H152" s="79"/>
      <c r="I152" s="295" t="s">
        <v>2</v>
      </c>
      <c r="J152" s="337" t="str">
        <f>Dados!A62</f>
        <v>Materiais e Equipamentos</v>
      </c>
      <c r="K152" s="336"/>
      <c r="L152" s="336"/>
      <c r="M152" s="336"/>
      <c r="N152" s="720">
        <f>Dados!R62+Dados!R63</f>
        <v>0</v>
      </c>
      <c r="O152" s="684">
        <f>F152*$F$13</f>
        <v>43.27</v>
      </c>
      <c r="P152" s="34"/>
      <c r="Q152" s="295" t="s">
        <v>2</v>
      </c>
      <c r="R152" s="337" t="s">
        <v>381</v>
      </c>
      <c r="S152" s="336"/>
      <c r="T152" s="336"/>
      <c r="U152" s="336"/>
      <c r="V152" s="720">
        <v>266504.8</v>
      </c>
      <c r="W152" s="684">
        <v>43.27</v>
      </c>
      <c r="X152" s="593"/>
      <c r="Y152" s="684">
        <f>'Mat. e Equip. II TA'!I24+'Mat. e Equip. II TA'!I30</f>
        <v>47.23</v>
      </c>
      <c r="Z152" s="593"/>
      <c r="AA152" s="936">
        <f>'Mat. e Equip. II TA'!I24+'Mat. e Equip. II TA'!I30</f>
        <v>47.23</v>
      </c>
      <c r="AB152" s="593"/>
      <c r="AC152" s="936">
        <f>'Mat. e Equip. II TA'!S24+'Mat. e Equip. II TA'!S30</f>
        <v>47.45</v>
      </c>
      <c r="AD152" s="593"/>
      <c r="AE152" s="936">
        <f>AC152</f>
        <v>47.45</v>
      </c>
      <c r="AF152" s="593"/>
      <c r="AG152" s="936">
        <f>'Mat. e Equip. II TA'!AC24+'Mat. e Equip. II TA'!AC30</f>
        <v>51.79</v>
      </c>
      <c r="AH152" s="593"/>
      <c r="AI152" s="936">
        <f>'Mat. e Equip. II TA'!AM24+'Mat. e Equip. II TA'!AM30</f>
        <v>57.01</v>
      </c>
      <c r="AJ152" s="593"/>
      <c r="AK152" s="982">
        <f>'Mat. e Equip. II TA'!AM24+'Mat. e Equip. II TA'!AM30</f>
        <v>57.01</v>
      </c>
    </row>
    <row r="153" spans="1:37" x14ac:dyDescent="0.2">
      <c r="A153" s="295" t="s">
        <v>4</v>
      </c>
      <c r="B153" s="664" t="str">
        <f>Dados!A64</f>
        <v>Depreciação e manutenção dos equipamentos</v>
      </c>
      <c r="C153" s="336"/>
      <c r="D153" s="336"/>
      <c r="E153" s="336"/>
      <c r="F153" s="691">
        <f>Dados!I64</f>
        <v>0.1</v>
      </c>
      <c r="G153" s="684">
        <f>G152*F153</f>
        <v>4.33</v>
      </c>
      <c r="H153" s="79"/>
      <c r="I153" s="295" t="s">
        <v>4</v>
      </c>
      <c r="J153" s="664" t="str">
        <f>Dados!A64</f>
        <v>Depreciação e manutenção dos equipamentos</v>
      </c>
      <c r="K153" s="336"/>
      <c r="L153" s="336"/>
      <c r="M153" s="336"/>
      <c r="N153" s="691">
        <f>Dados!Q64</f>
        <v>0</v>
      </c>
      <c r="O153" s="684">
        <f>G152*F153</f>
        <v>4.33</v>
      </c>
      <c r="P153" s="34"/>
      <c r="Q153" s="295" t="s">
        <v>4</v>
      </c>
      <c r="R153" s="664" t="s">
        <v>83</v>
      </c>
      <c r="S153" s="336"/>
      <c r="T153" s="336"/>
      <c r="U153" s="336"/>
      <c r="V153" s="691">
        <v>10</v>
      </c>
      <c r="W153" s="684">
        <v>4.33</v>
      </c>
      <c r="X153" s="593"/>
      <c r="Y153" s="684">
        <f>Y152*10%</f>
        <v>4.72</v>
      </c>
      <c r="Z153" s="593"/>
      <c r="AA153" s="936">
        <f>AA152*10%</f>
        <v>4.72</v>
      </c>
      <c r="AB153" s="593"/>
      <c r="AC153" s="936">
        <f>AC152*10%</f>
        <v>4.75</v>
      </c>
      <c r="AD153" s="593"/>
      <c r="AE153" s="936">
        <f>AE152*10%</f>
        <v>4.75</v>
      </c>
      <c r="AF153" s="593"/>
      <c r="AG153" s="936">
        <f>AG152*10%</f>
        <v>5.18</v>
      </c>
      <c r="AH153" s="593"/>
      <c r="AI153" s="936">
        <f>AI152*10%</f>
        <v>5.7</v>
      </c>
      <c r="AJ153" s="593"/>
      <c r="AK153" s="982">
        <f>AK152*10%</f>
        <v>5.7</v>
      </c>
    </row>
    <row r="154" spans="1:37" x14ac:dyDescent="0.2">
      <c r="A154" s="295" t="s">
        <v>5</v>
      </c>
      <c r="B154" s="303" t="s">
        <v>51</v>
      </c>
      <c r="C154" s="306"/>
      <c r="D154" s="306"/>
      <c r="E154" s="122"/>
      <c r="F154" s="691"/>
      <c r="G154" s="685"/>
      <c r="H154" s="79"/>
      <c r="I154" s="295" t="s">
        <v>5</v>
      </c>
      <c r="J154" s="303" t="s">
        <v>51</v>
      </c>
      <c r="K154" s="306"/>
      <c r="L154" s="306"/>
      <c r="M154" s="122"/>
      <c r="N154" s="691"/>
      <c r="O154" s="685"/>
      <c r="P154" s="34"/>
      <c r="Q154" s="295" t="s">
        <v>5</v>
      </c>
      <c r="R154" s="303" t="s">
        <v>51</v>
      </c>
      <c r="S154" s="306"/>
      <c r="T154" s="306"/>
      <c r="U154" s="122"/>
      <c r="V154" s="691"/>
      <c r="W154" s="685"/>
      <c r="X154" s="593"/>
      <c r="Y154" s="685"/>
      <c r="Z154" s="593"/>
      <c r="AA154" s="938"/>
      <c r="AB154" s="593"/>
      <c r="AC154" s="938"/>
      <c r="AD154" s="593"/>
      <c r="AE154" s="938"/>
      <c r="AF154" s="593"/>
      <c r="AG154" s="938"/>
      <c r="AH154" s="593"/>
      <c r="AI154" s="938"/>
      <c r="AJ154" s="593"/>
      <c r="AK154" s="984"/>
    </row>
    <row r="155" spans="1:37" x14ac:dyDescent="0.2">
      <c r="A155" s="1172" t="s">
        <v>159</v>
      </c>
      <c r="B155" s="1172"/>
      <c r="C155" s="1172"/>
      <c r="D155" s="1172"/>
      <c r="E155" s="1172"/>
      <c r="F155" s="1172"/>
      <c r="G155" s="316">
        <f>SUM(G151:G154)</f>
        <v>89.93</v>
      </c>
      <c r="H155" s="79"/>
      <c r="I155" s="1172" t="s">
        <v>159</v>
      </c>
      <c r="J155" s="1172"/>
      <c r="K155" s="1172"/>
      <c r="L155" s="1172"/>
      <c r="M155" s="1172"/>
      <c r="N155" s="1172"/>
      <c r="O155" s="316">
        <f>SUM(O151:O154)</f>
        <v>89.93</v>
      </c>
      <c r="P155" s="34"/>
      <c r="Q155" s="1172" t="s">
        <v>159</v>
      </c>
      <c r="R155" s="1172"/>
      <c r="S155" s="1172"/>
      <c r="T155" s="1172"/>
      <c r="U155" s="1172"/>
      <c r="V155" s="1172"/>
      <c r="W155" s="316">
        <f>SUM(W151:W154)</f>
        <v>89.93</v>
      </c>
      <c r="X155" s="638" t="s">
        <v>159</v>
      </c>
      <c r="Y155" s="316">
        <f>SUM(Y151:Y154)</f>
        <v>102.75</v>
      </c>
      <c r="Z155" s="638" t="s">
        <v>159</v>
      </c>
      <c r="AA155" s="935">
        <f>SUM(AA151:AA154)</f>
        <v>94.28</v>
      </c>
      <c r="AB155" s="638" t="s">
        <v>159</v>
      </c>
      <c r="AC155" s="935">
        <f>SUM(AC151:AC154)</f>
        <v>98.63</v>
      </c>
      <c r="AD155" s="638" t="s">
        <v>159</v>
      </c>
      <c r="AE155" s="935">
        <f>SUM(AE151:AE154)</f>
        <v>98.63</v>
      </c>
      <c r="AF155" s="638" t="s">
        <v>159</v>
      </c>
      <c r="AG155" s="935">
        <f>SUM(AG151:AG154)</f>
        <v>103.4</v>
      </c>
      <c r="AH155" s="638" t="s">
        <v>159</v>
      </c>
      <c r="AI155" s="935">
        <f>SUM(AI151:AI154)</f>
        <v>113.81</v>
      </c>
      <c r="AJ155" s="638" t="s">
        <v>159</v>
      </c>
      <c r="AK155" s="981">
        <f>SUM(AK151:AK154)</f>
        <v>113.81</v>
      </c>
    </row>
    <row r="156" spans="1:37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Q156" s="71" t="s">
        <v>505</v>
      </c>
      <c r="R156" s="68"/>
      <c r="S156" s="68"/>
      <c r="T156" s="68"/>
      <c r="U156" s="68"/>
      <c r="V156" s="77"/>
      <c r="W156" s="78" t="s">
        <v>0</v>
      </c>
    </row>
    <row r="157" spans="1:37" s="34" customFormat="1" hidden="1" x14ac:dyDescent="0.2">
      <c r="A157" s="681"/>
      <c r="B157" s="68"/>
      <c r="C157" s="68"/>
      <c r="D157" s="68"/>
      <c r="E157" s="68"/>
      <c r="F157" s="77"/>
      <c r="G157" s="78"/>
      <c r="H157" s="79"/>
      <c r="I157" s="681"/>
      <c r="J157" s="68"/>
      <c r="K157" s="68"/>
      <c r="L157" s="68"/>
      <c r="M157" s="68"/>
      <c r="N157" s="77"/>
      <c r="O157" s="78"/>
      <c r="Q157" s="681"/>
      <c r="R157" s="68"/>
      <c r="S157" s="68"/>
      <c r="T157" s="68"/>
      <c r="U157" s="68"/>
      <c r="V157" s="77"/>
      <c r="W157" s="78"/>
    </row>
    <row r="158" spans="1:37" ht="15" customHeight="1" x14ac:dyDescent="0.2">
      <c r="A158" s="1173" t="s">
        <v>237</v>
      </c>
      <c r="B158" s="1173"/>
      <c r="C158" s="1173"/>
      <c r="D158" s="1173"/>
      <c r="E158" s="1173"/>
      <c r="F158" s="1173"/>
      <c r="G158" s="1173"/>
      <c r="H158" s="1173"/>
      <c r="I158" s="1173"/>
      <c r="J158" s="1173"/>
      <c r="K158" s="1173"/>
      <c r="L158" s="1173"/>
      <c r="M158" s="1173"/>
      <c r="N158" s="1173"/>
      <c r="O158" s="1173"/>
      <c r="P158" s="1173"/>
      <c r="Q158" s="1173"/>
      <c r="R158" s="1173"/>
      <c r="S158" s="1173"/>
      <c r="T158" s="1173"/>
      <c r="U158" s="1173"/>
      <c r="V158" s="1173"/>
      <c r="W158" s="1173"/>
      <c r="X158" s="1173"/>
      <c r="Y158" s="1173"/>
    </row>
    <row r="159" spans="1:37" ht="15.75" customHeight="1" x14ac:dyDescent="0.2">
      <c r="A159" s="703">
        <v>6</v>
      </c>
      <c r="B159" s="1174" t="s">
        <v>23</v>
      </c>
      <c r="C159" s="1174"/>
      <c r="D159" s="1174"/>
      <c r="E159" s="1174"/>
      <c r="F159" s="703" t="s">
        <v>222</v>
      </c>
      <c r="G159" s="707" t="s">
        <v>107</v>
      </c>
      <c r="H159" s="592"/>
      <c r="I159" s="703">
        <v>6</v>
      </c>
      <c r="J159" s="1174" t="s">
        <v>23</v>
      </c>
      <c r="K159" s="1174"/>
      <c r="L159" s="1174"/>
      <c r="M159" s="1174"/>
      <c r="N159" s="703" t="s">
        <v>222</v>
      </c>
      <c r="O159" s="707" t="s">
        <v>107</v>
      </c>
      <c r="P159" s="593"/>
      <c r="Q159" s="703">
        <v>6</v>
      </c>
      <c r="R159" s="1174" t="s">
        <v>23</v>
      </c>
      <c r="S159" s="1174"/>
      <c r="T159" s="1174"/>
      <c r="U159" s="1174"/>
      <c r="V159" s="703" t="s">
        <v>222</v>
      </c>
      <c r="W159" s="707" t="s">
        <v>107</v>
      </c>
      <c r="X159" s="703" t="s">
        <v>222</v>
      </c>
      <c r="Y159" s="707" t="s">
        <v>107</v>
      </c>
      <c r="Z159" s="888" t="s">
        <v>222</v>
      </c>
      <c r="AA159" s="928" t="s">
        <v>107</v>
      </c>
      <c r="AB159" s="924" t="s">
        <v>222</v>
      </c>
      <c r="AC159" s="928" t="s">
        <v>107</v>
      </c>
      <c r="AD159" s="924" t="s">
        <v>222</v>
      </c>
      <c r="AE159" s="928" t="s">
        <v>107</v>
      </c>
      <c r="AF159" s="924" t="s">
        <v>222</v>
      </c>
      <c r="AG159" s="928" t="s">
        <v>107</v>
      </c>
      <c r="AH159" s="924" t="s">
        <v>222</v>
      </c>
      <c r="AI159" s="928" t="s">
        <v>107</v>
      </c>
      <c r="AJ159" s="962" t="s">
        <v>222</v>
      </c>
      <c r="AK159" s="963" t="s">
        <v>107</v>
      </c>
    </row>
    <row r="160" spans="1:37" ht="14.25" customHeight="1" x14ac:dyDescent="0.2">
      <c r="A160" s="675" t="s">
        <v>1</v>
      </c>
      <c r="B160" s="605" t="s">
        <v>24</v>
      </c>
      <c r="C160" s="597"/>
      <c r="D160" s="597"/>
      <c r="E160" s="598"/>
      <c r="F160" s="599">
        <f>Dados!J67</f>
        <v>0.01</v>
      </c>
      <c r="G160" s="606">
        <f>$G$180*F160</f>
        <v>63.42</v>
      </c>
      <c r="H160" s="79"/>
      <c r="I160" s="675" t="s">
        <v>1</v>
      </c>
      <c r="J160" s="605" t="s">
        <v>24</v>
      </c>
      <c r="K160" s="597"/>
      <c r="L160" s="597"/>
      <c r="M160" s="598"/>
      <c r="N160" s="599">
        <f>Dados!J67</f>
        <v>0.01</v>
      </c>
      <c r="O160" s="606">
        <f>$O$180*N160</f>
        <v>65.33</v>
      </c>
      <c r="P160" s="34"/>
      <c r="Q160" s="675" t="s">
        <v>1</v>
      </c>
      <c r="R160" s="605" t="s">
        <v>24</v>
      </c>
      <c r="S160" s="597"/>
      <c r="T160" s="597"/>
      <c r="U160" s="598"/>
      <c r="V160" s="599">
        <v>0.01</v>
      </c>
      <c r="W160" s="606">
        <f>$W$180*V160</f>
        <v>64.39</v>
      </c>
      <c r="X160" s="599">
        <v>0.01</v>
      </c>
      <c r="Y160" s="606">
        <f>$Y$180*X160</f>
        <v>64.510000000000005</v>
      </c>
      <c r="Z160" s="599">
        <v>0.01</v>
      </c>
      <c r="AA160" s="606">
        <f>$AA$180*Z160</f>
        <v>64.430000000000007</v>
      </c>
      <c r="AB160" s="599">
        <v>0.01</v>
      </c>
      <c r="AC160" s="606">
        <f>$AC$180*AB160</f>
        <v>64.47</v>
      </c>
      <c r="AD160" s="599">
        <v>0.01</v>
      </c>
      <c r="AE160" s="606">
        <f>$AE$180*AD160</f>
        <v>69.81</v>
      </c>
      <c r="AF160" s="599">
        <v>0.01</v>
      </c>
      <c r="AG160" s="606">
        <f>$AG$180*AF160</f>
        <v>69.86</v>
      </c>
      <c r="AH160" s="599">
        <v>0.01</v>
      </c>
      <c r="AI160" s="606">
        <f>$AI$180*AH160</f>
        <v>69.959999999999994</v>
      </c>
      <c r="AJ160" s="599">
        <v>0.01</v>
      </c>
      <c r="AK160" s="606">
        <f>$AK$180*AJ160</f>
        <v>74.099999999999994</v>
      </c>
    </row>
    <row r="161" spans="1:37" ht="14.25" customHeight="1" x14ac:dyDescent="0.2">
      <c r="A161" s="668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686">
        <f>($G$180+$G$160)*F161</f>
        <v>64.06</v>
      </c>
      <c r="H161" s="79"/>
      <c r="I161" s="668" t="s">
        <v>2</v>
      </c>
      <c r="J161" s="312" t="s">
        <v>18</v>
      </c>
      <c r="K161" s="315"/>
      <c r="L161" s="315"/>
      <c r="M161" s="304"/>
      <c r="N161" s="308">
        <f>Dados!J68</f>
        <v>0.01</v>
      </c>
      <c r="O161" s="686">
        <f>($O$180+$O$160)*N161</f>
        <v>65.989999999999995</v>
      </c>
      <c r="P161" s="34"/>
      <c r="Q161" s="668" t="s">
        <v>2</v>
      </c>
      <c r="R161" s="312" t="s">
        <v>18</v>
      </c>
      <c r="S161" s="315"/>
      <c r="T161" s="315"/>
      <c r="U161" s="304"/>
      <c r="V161" s="308">
        <v>0.01</v>
      </c>
      <c r="W161" s="686">
        <f>($W$180+$W$160)*V161</f>
        <v>65.03</v>
      </c>
      <c r="X161" s="308">
        <v>0.01</v>
      </c>
      <c r="Y161" s="686">
        <f>($Y$180+$Y$160)*X161</f>
        <v>65.16</v>
      </c>
      <c r="Z161" s="308">
        <v>0.01</v>
      </c>
      <c r="AA161" s="937">
        <f>($AA$180+$AA$160)*Z161</f>
        <v>65.069999999999993</v>
      </c>
      <c r="AB161" s="308">
        <v>0.01</v>
      </c>
      <c r="AC161" s="937">
        <f>($AC$180+$AC$160)*AB161</f>
        <v>65.12</v>
      </c>
      <c r="AD161" s="308">
        <v>0.01</v>
      </c>
      <c r="AE161" s="937">
        <f>($AE$180+$AE$160)*AD161</f>
        <v>70.510000000000005</v>
      </c>
      <c r="AF161" s="308">
        <v>0.01</v>
      </c>
      <c r="AG161" s="937">
        <f>($AG$180+$AG$160)*AF161</f>
        <v>70.56</v>
      </c>
      <c r="AH161" s="308">
        <v>0.01</v>
      </c>
      <c r="AI161" s="937">
        <f>($AI$180+$AI$160)*AH161</f>
        <v>70.66</v>
      </c>
      <c r="AJ161" s="308">
        <v>0.01</v>
      </c>
      <c r="AK161" s="983">
        <f>($AK$180+$AK$160)*AJ161</f>
        <v>74.84</v>
      </c>
    </row>
    <row r="162" spans="1:37" ht="14.25" customHeight="1" x14ac:dyDescent="0.2">
      <c r="A162" s="668" t="s">
        <v>4</v>
      </c>
      <c r="B162" s="312" t="s">
        <v>426</v>
      </c>
      <c r="C162" s="315"/>
      <c r="D162" s="315"/>
      <c r="E162" s="304"/>
      <c r="F162" s="308"/>
      <c r="G162" s="686">
        <f>SUM(G160:G161)</f>
        <v>127.48</v>
      </c>
      <c r="H162" s="79"/>
      <c r="I162" s="668" t="s">
        <v>4</v>
      </c>
      <c r="J162" s="312" t="s">
        <v>426</v>
      </c>
      <c r="K162" s="315"/>
      <c r="L162" s="315"/>
      <c r="M162" s="304"/>
      <c r="N162" s="308"/>
      <c r="O162" s="686">
        <f>SUM(O160:O161)</f>
        <v>131.32</v>
      </c>
      <c r="P162" s="34"/>
      <c r="Q162" s="668" t="s">
        <v>4</v>
      </c>
      <c r="R162" s="312" t="s">
        <v>426</v>
      </c>
      <c r="S162" s="315"/>
      <c r="T162" s="315"/>
      <c r="U162" s="304"/>
      <c r="V162" s="308"/>
      <c r="W162" s="686"/>
      <c r="X162" s="308"/>
      <c r="Y162" s="686"/>
      <c r="Z162" s="308"/>
      <c r="AA162" s="937"/>
      <c r="AB162" s="308"/>
      <c r="AC162" s="937"/>
      <c r="AD162" s="308"/>
      <c r="AE162" s="937"/>
      <c r="AF162" s="308"/>
      <c r="AG162" s="937"/>
      <c r="AH162" s="308"/>
      <c r="AI162" s="937"/>
      <c r="AJ162" s="308"/>
      <c r="AK162" s="983"/>
    </row>
    <row r="163" spans="1:37" ht="14.25" customHeight="1" x14ac:dyDescent="0.2">
      <c r="A163" s="668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46.04</v>
      </c>
      <c r="H163" s="79"/>
      <c r="I163" s="668" t="s">
        <v>271</v>
      </c>
      <c r="J163" s="313" t="s">
        <v>427</v>
      </c>
      <c r="K163" s="122"/>
      <c r="L163" s="315"/>
      <c r="M163" s="314"/>
      <c r="N163" s="309">
        <f>Dados!F72</f>
        <v>6.4999999999999997E-3</v>
      </c>
      <c r="O163" s="310">
        <f>(($O$180+$O$160+$O$161)/Dados!$H$72)*N163</f>
        <v>47.42</v>
      </c>
      <c r="P163" s="34"/>
      <c r="Q163" s="668" t="s">
        <v>271</v>
      </c>
      <c r="R163" s="313" t="s">
        <v>427</v>
      </c>
      <c r="S163" s="122"/>
      <c r="T163" s="315"/>
      <c r="U163" s="314"/>
      <c r="V163" s="309">
        <v>6.4999999999999997E-3</v>
      </c>
      <c r="W163" s="310">
        <f>(($W$180+$W$160+$W$161)/Dados!$H$72)*V163</f>
        <v>46.73</v>
      </c>
      <c r="X163" s="309">
        <v>6.4999999999999997E-3</v>
      </c>
      <c r="Y163" s="310">
        <f>(($Y$180+$Y$160+$Y$161)/Dados!$H$72)*X163</f>
        <v>46.83</v>
      </c>
      <c r="Z163" s="309">
        <v>6.4999999999999997E-3</v>
      </c>
      <c r="AA163" s="310">
        <f>(($AA$180+$AA$160+$AA$161)/Dados!$H$72)*Z163</f>
        <v>46.77</v>
      </c>
      <c r="AB163" s="309">
        <v>6.4999999999999997E-3</v>
      </c>
      <c r="AC163" s="310">
        <f>(($AC$180+$AC$160+$AC$161)/Dados!$H$72)*AB163</f>
        <v>46.8</v>
      </c>
      <c r="AD163" s="309">
        <v>6.4999999999999997E-3</v>
      </c>
      <c r="AE163" s="310">
        <f>(($AE$180+$AE$160+$AE$161)/Dados!$H$72)*AD163</f>
        <v>50.67</v>
      </c>
      <c r="AF163" s="309">
        <v>6.4999999999999997E-3</v>
      </c>
      <c r="AG163" s="310">
        <f>(($AG$180+$AG$160+$AG$161)/Dados!$H$72)*AF163</f>
        <v>50.71</v>
      </c>
      <c r="AH163" s="309">
        <v>6.4999999999999997E-3</v>
      </c>
      <c r="AI163" s="310">
        <f>(($AI$180+$AI$160+$AI$161)/Dados!$H$72)*AH163</f>
        <v>50.78</v>
      </c>
      <c r="AJ163" s="309">
        <v>6.4999999999999997E-3</v>
      </c>
      <c r="AK163" s="310">
        <f>(($AK$180+$AK$160+$AK$161)/Dados!$H$72)*AJ163</f>
        <v>53.79</v>
      </c>
    </row>
    <row r="164" spans="1:37" ht="14.25" customHeight="1" x14ac:dyDescent="0.2">
      <c r="A164" s="668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212.47</v>
      </c>
      <c r="H164" s="79"/>
      <c r="I164" s="668" t="s">
        <v>272</v>
      </c>
      <c r="J164" s="313" t="s">
        <v>484</v>
      </c>
      <c r="K164" s="122"/>
      <c r="L164" s="315"/>
      <c r="M164" s="304"/>
      <c r="N164" s="309">
        <f>Dados!E72</f>
        <v>0.03</v>
      </c>
      <c r="O164" s="310">
        <f>(($O$180+$O$160+$O$161)/Dados!$H$72)*N164</f>
        <v>218.87</v>
      </c>
      <c r="P164" s="34"/>
      <c r="Q164" s="668" t="s">
        <v>272</v>
      </c>
      <c r="R164" s="313" t="s">
        <v>484</v>
      </c>
      <c r="S164" s="122"/>
      <c r="T164" s="315"/>
      <c r="U164" s="304"/>
      <c r="V164" s="309">
        <v>0.03</v>
      </c>
      <c r="W164" s="310">
        <f>(($W$180+$W$160+$W$161)/Dados!$H$72)*V164</f>
        <v>215.7</v>
      </c>
      <c r="X164" s="309">
        <v>0.03</v>
      </c>
      <c r="Y164" s="310">
        <f>(($Y$180+$Y$160+$Y$161)/Dados!$H$72)*X164</f>
        <v>216.13</v>
      </c>
      <c r="Z164" s="309">
        <v>0.03</v>
      </c>
      <c r="AA164" s="310">
        <f>(($AA$180+$AA$160+$AA$161)/Dados!$H$72)*Z164</f>
        <v>215.85</v>
      </c>
      <c r="AB164" s="309">
        <v>0.03</v>
      </c>
      <c r="AC164" s="310">
        <f>(($AC$180+$AC$160+$AC$161)/Dados!$H$72)*AB164</f>
        <v>215.99</v>
      </c>
      <c r="AD164" s="309">
        <v>0.03</v>
      </c>
      <c r="AE164" s="310">
        <f>(($AE$180+$AE$160+$AE$161)/Dados!$H$72)*AD164</f>
        <v>233.87</v>
      </c>
      <c r="AF164" s="309">
        <v>0.03</v>
      </c>
      <c r="AG164" s="310">
        <f>(($AG$180+$AG$160+$AG$161)/Dados!$H$72)*AF164</f>
        <v>234.03</v>
      </c>
      <c r="AH164" s="309">
        <v>0.03</v>
      </c>
      <c r="AI164" s="310">
        <f>(($AI$180+$AI$160+$AI$161)/Dados!$H$72)*AH164</f>
        <v>234.38</v>
      </c>
      <c r="AJ164" s="309">
        <v>0.03</v>
      </c>
      <c r="AK164" s="310">
        <f>(($AK$180+$AK$160+$AK$161)/Dados!$H$72)*AJ164</f>
        <v>248.25</v>
      </c>
    </row>
    <row r="165" spans="1:37" ht="14.25" customHeight="1" x14ac:dyDescent="0.2">
      <c r="A165" s="668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354.12</v>
      </c>
      <c r="H165" s="79"/>
      <c r="I165" s="668" t="s">
        <v>428</v>
      </c>
      <c r="J165" s="313" t="s">
        <v>486</v>
      </c>
      <c r="K165" s="122"/>
      <c r="L165" s="315"/>
      <c r="M165" s="304"/>
      <c r="N165" s="309">
        <f>Dados!C72</f>
        <v>0.05</v>
      </c>
      <c r="O165" s="310">
        <f>(($O$180+$O$160+$O$161)/Dados!$H$72)*N165</f>
        <v>364.78</v>
      </c>
      <c r="P165" s="34"/>
      <c r="Q165" s="668" t="s">
        <v>428</v>
      </c>
      <c r="R165" s="313" t="s">
        <v>486</v>
      </c>
      <c r="S165" s="122"/>
      <c r="T165" s="315"/>
      <c r="U165" s="304"/>
      <c r="V165" s="309">
        <v>0.05</v>
      </c>
      <c r="W165" s="310">
        <f>(($W$180+$W$160+$W$161)/Dados!$H$72)*V165</f>
        <v>359.5</v>
      </c>
      <c r="X165" s="309">
        <v>0.05</v>
      </c>
      <c r="Y165" s="310">
        <f>(($Y$180+$Y$160+$Y$161)/Dados!$H$72)*X165</f>
        <v>360.22</v>
      </c>
      <c r="Z165" s="309">
        <v>0.05</v>
      </c>
      <c r="AA165" s="310">
        <f>(($AA$180+$AA$160+$AA$161)/Dados!$H$72)*Z165</f>
        <v>359.74</v>
      </c>
      <c r="AB165" s="309">
        <v>0.05</v>
      </c>
      <c r="AC165" s="310">
        <f>(($AC$180+$AC$160+$AC$161)/Dados!$H$72)*AB165</f>
        <v>359.99</v>
      </c>
      <c r="AD165" s="309">
        <v>0.05</v>
      </c>
      <c r="AE165" s="310">
        <f>(($AE$180+$AE$160+$AE$161)/Dados!$H$72)*AD165</f>
        <v>389.79</v>
      </c>
      <c r="AF165" s="309">
        <v>0.05</v>
      </c>
      <c r="AG165" s="310">
        <f>(($AG$180+$AG$160+$AG$161)/Dados!$H$72)*AF165</f>
        <v>390.05</v>
      </c>
      <c r="AH165" s="309">
        <v>0.05</v>
      </c>
      <c r="AI165" s="310">
        <f>(($AI$180+$AI$160+$AI$161)/Dados!$H$72)*AH165</f>
        <v>390.63</v>
      </c>
      <c r="AJ165" s="309">
        <v>0.05</v>
      </c>
      <c r="AK165" s="310">
        <f>(($AK$180+$AK$160+$AK$161)/Dados!$H$72)*AJ165</f>
        <v>413.75</v>
      </c>
    </row>
    <row r="166" spans="1:37" ht="14.25" customHeight="1" x14ac:dyDescent="0.2">
      <c r="A166" s="668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79"/>
      <c r="I166" s="668" t="s">
        <v>5</v>
      </c>
      <c r="J166" s="313" t="s">
        <v>429</v>
      </c>
      <c r="K166" s="122"/>
      <c r="L166" s="315"/>
      <c r="M166" s="304"/>
      <c r="N166" s="309">
        <v>0</v>
      </c>
      <c r="O166" s="310">
        <v>0</v>
      </c>
      <c r="P166" s="34"/>
      <c r="Q166" s="668" t="s">
        <v>5</v>
      </c>
      <c r="R166" s="313" t="s">
        <v>429</v>
      </c>
      <c r="S166" s="122"/>
      <c r="T166" s="315"/>
      <c r="U166" s="304"/>
      <c r="V166" s="309">
        <v>0</v>
      </c>
      <c r="W166" s="310">
        <v>0</v>
      </c>
      <c r="X166" s="309">
        <v>0</v>
      </c>
      <c r="Y166" s="310">
        <v>0</v>
      </c>
      <c r="Z166" s="309">
        <v>0</v>
      </c>
      <c r="AA166" s="310">
        <v>0</v>
      </c>
      <c r="AB166" s="309">
        <v>0</v>
      </c>
      <c r="AC166" s="310">
        <v>0</v>
      </c>
      <c r="AD166" s="309">
        <v>0</v>
      </c>
      <c r="AE166" s="310">
        <v>0</v>
      </c>
      <c r="AF166" s="309">
        <v>0</v>
      </c>
      <c r="AG166" s="310">
        <v>0</v>
      </c>
      <c r="AH166" s="309">
        <v>0</v>
      </c>
      <c r="AI166" s="310">
        <v>0</v>
      </c>
      <c r="AJ166" s="309">
        <v>0</v>
      </c>
      <c r="AK166" s="310">
        <v>0</v>
      </c>
    </row>
    <row r="167" spans="1:37" ht="18" customHeight="1" x14ac:dyDescent="0.2">
      <c r="A167" s="1172" t="s">
        <v>159</v>
      </c>
      <c r="B167" s="1172"/>
      <c r="C167" s="1172"/>
      <c r="D167" s="1172"/>
      <c r="E167" s="1172"/>
      <c r="F167" s="311">
        <f>SUM(F160:F165)</f>
        <v>0.1065</v>
      </c>
      <c r="G167" s="688">
        <f>G160+G163+G164+G165+G161</f>
        <v>740.11</v>
      </c>
      <c r="H167" s="79"/>
      <c r="I167" s="1172" t="s">
        <v>159</v>
      </c>
      <c r="J167" s="1172"/>
      <c r="K167" s="1172"/>
      <c r="L167" s="1172"/>
      <c r="M167" s="1172"/>
      <c r="N167" s="311">
        <f>SUM(N160:N165)</f>
        <v>0.1065</v>
      </c>
      <c r="O167" s="688">
        <f>O160+O163+O164+O165+O161</f>
        <v>762.39</v>
      </c>
      <c r="P167" s="34"/>
      <c r="Q167" s="1172" t="s">
        <v>159</v>
      </c>
      <c r="R167" s="1172"/>
      <c r="S167" s="1172"/>
      <c r="T167" s="1172"/>
      <c r="U167" s="1172"/>
      <c r="V167" s="311">
        <v>0.1065</v>
      </c>
      <c r="W167" s="688">
        <f>W160+W163+W164+W165+W161</f>
        <v>751.35</v>
      </c>
      <c r="X167" s="311">
        <v>0.1065</v>
      </c>
      <c r="Y167" s="688">
        <f>Y160+Y163+Y164+Y165+Y161</f>
        <v>752.85</v>
      </c>
      <c r="Z167" s="311">
        <v>0.1065</v>
      </c>
      <c r="AA167" s="941">
        <f>AA160+AA163+AA164+AA165+AA161</f>
        <v>751.86</v>
      </c>
      <c r="AB167" s="311">
        <v>0.1065</v>
      </c>
      <c r="AC167" s="941">
        <f>AC160+AC163+AC164+AC165+AC161</f>
        <v>752.37</v>
      </c>
      <c r="AD167" s="311">
        <v>0.1065</v>
      </c>
      <c r="AE167" s="941">
        <f>AE160+AE163+AE164+AE165+AE161</f>
        <v>814.65</v>
      </c>
      <c r="AF167" s="311">
        <v>0.1065</v>
      </c>
      <c r="AG167" s="941">
        <f>AG160+AG163+AG164+AG165+AG161</f>
        <v>815.21</v>
      </c>
      <c r="AH167" s="311">
        <v>0.1065</v>
      </c>
      <c r="AI167" s="941">
        <f>AI160+AI163+AI164+AI165+AI161</f>
        <v>816.41</v>
      </c>
      <c r="AJ167" s="311">
        <v>0.1065</v>
      </c>
      <c r="AK167" s="988">
        <f>AK160+AK163+AK164+AK165+AK161</f>
        <v>864.73</v>
      </c>
    </row>
    <row r="168" spans="1:37" hidden="1" x14ac:dyDescent="0.2">
      <c r="A168" s="195" t="s">
        <v>236</v>
      </c>
      <c r="B168" s="667"/>
      <c r="C168" s="667"/>
      <c r="D168" s="667"/>
      <c r="E168" s="667"/>
      <c r="F168" s="667"/>
      <c r="G168" s="82"/>
      <c r="H168" s="79"/>
      <c r="I168" s="195" t="s">
        <v>236</v>
      </c>
      <c r="J168" s="667"/>
      <c r="K168" s="667"/>
      <c r="L168" s="667"/>
      <c r="M168" s="667"/>
      <c r="N168" s="667"/>
      <c r="O168" s="82"/>
      <c r="P168" s="34"/>
      <c r="Q168" s="195" t="s">
        <v>506</v>
      </c>
      <c r="R168" s="667"/>
      <c r="S168" s="667"/>
      <c r="T168" s="667"/>
      <c r="U168" s="667"/>
      <c r="V168" s="667"/>
      <c r="W168" s="82"/>
      <c r="X168" s="34"/>
      <c r="Y168" s="34"/>
    </row>
    <row r="169" spans="1:37" hidden="1" x14ac:dyDescent="0.2">
      <c r="A169" s="195" t="s">
        <v>235</v>
      </c>
      <c r="B169" s="667"/>
      <c r="C169" s="667"/>
      <c r="D169" s="667"/>
      <c r="E169" s="667"/>
      <c r="F169" s="667"/>
      <c r="G169" s="82"/>
      <c r="H169" s="79"/>
      <c r="I169" s="195" t="s">
        <v>235</v>
      </c>
      <c r="J169" s="667"/>
      <c r="K169" s="667"/>
      <c r="L169" s="667"/>
      <c r="M169" s="667"/>
      <c r="N169" s="667"/>
      <c r="O169" s="82"/>
      <c r="P169" s="34"/>
      <c r="Q169" s="195" t="s">
        <v>507</v>
      </c>
      <c r="R169" s="667"/>
      <c r="S169" s="667"/>
      <c r="T169" s="667"/>
      <c r="U169" s="667"/>
      <c r="V169" s="667"/>
      <c r="W169" s="82"/>
      <c r="X169" s="34"/>
      <c r="Y169" s="34"/>
    </row>
    <row r="170" spans="1:37" hidden="1" x14ac:dyDescent="0.2">
      <c r="A170" s="1186" t="s">
        <v>433</v>
      </c>
      <c r="B170" s="1186"/>
      <c r="C170" s="1186"/>
      <c r="D170" s="1186"/>
      <c r="E170" s="1186"/>
      <c r="F170" s="1186"/>
      <c r="G170" s="1186"/>
      <c r="H170" s="79"/>
      <c r="I170" s="1186"/>
      <c r="J170" s="1186"/>
      <c r="K170" s="1186"/>
      <c r="L170" s="1186"/>
      <c r="M170" s="1186"/>
      <c r="N170" s="1186"/>
      <c r="O170" s="1186"/>
      <c r="P170" s="34"/>
      <c r="Q170" s="1186"/>
      <c r="R170" s="1186"/>
      <c r="S170" s="1186"/>
      <c r="T170" s="1186"/>
      <c r="U170" s="1186"/>
      <c r="V170" s="1186"/>
      <c r="W170" s="1186"/>
      <c r="X170" s="34"/>
      <c r="Y170" s="34"/>
    </row>
    <row r="171" spans="1:37" hidden="1" x14ac:dyDescent="0.2">
      <c r="A171" s="1186"/>
      <c r="B171" s="1186"/>
      <c r="C171" s="1186"/>
      <c r="D171" s="1186"/>
      <c r="E171" s="1186"/>
      <c r="F171" s="1186"/>
      <c r="G171" s="1186"/>
      <c r="H171" s="79"/>
      <c r="I171" s="1186"/>
      <c r="J171" s="1186"/>
      <c r="K171" s="1186"/>
      <c r="L171" s="1186"/>
      <c r="M171" s="1186"/>
      <c r="N171" s="1186"/>
      <c r="O171" s="1186"/>
      <c r="P171" s="34"/>
      <c r="Q171" s="1186"/>
      <c r="R171" s="1186"/>
      <c r="S171" s="1186"/>
      <c r="T171" s="1186"/>
      <c r="U171" s="1186"/>
      <c r="V171" s="1186"/>
      <c r="W171" s="1186"/>
      <c r="X171" s="34"/>
      <c r="Y171" s="34"/>
    </row>
    <row r="172" spans="1:37" hidden="1" x14ac:dyDescent="0.2">
      <c r="A172" s="195"/>
      <c r="B172" s="667"/>
      <c r="C172" s="667"/>
      <c r="D172" s="667"/>
      <c r="E172" s="667"/>
      <c r="F172" s="667"/>
      <c r="G172" s="82"/>
      <c r="H172" s="79"/>
      <c r="I172" s="195"/>
      <c r="J172" s="667"/>
      <c r="K172" s="667"/>
      <c r="L172" s="667"/>
      <c r="M172" s="667"/>
      <c r="N172" s="667"/>
      <c r="O172" s="82"/>
      <c r="P172" s="34"/>
      <c r="Q172" s="195"/>
      <c r="R172" s="667"/>
      <c r="S172" s="667"/>
      <c r="T172" s="667"/>
      <c r="U172" s="667"/>
      <c r="V172" s="667"/>
      <c r="W172" s="82"/>
      <c r="X172" s="34"/>
      <c r="Y172" s="34"/>
    </row>
    <row r="173" spans="1:37" x14ac:dyDescent="0.2">
      <c r="A173" s="1296" t="s">
        <v>434</v>
      </c>
      <c r="B173" s="1297"/>
      <c r="C173" s="1297"/>
      <c r="D173" s="1297"/>
      <c r="E173" s="1297"/>
      <c r="F173" s="1297"/>
      <c r="G173" s="1297"/>
      <c r="H173" s="1297"/>
      <c r="I173" s="1297"/>
      <c r="J173" s="1297"/>
      <c r="K173" s="1297"/>
      <c r="L173" s="1297"/>
      <c r="M173" s="1297"/>
      <c r="N173" s="1297"/>
      <c r="O173" s="1297"/>
      <c r="P173" s="1297"/>
      <c r="Q173" s="1297"/>
      <c r="R173" s="1297"/>
      <c r="S173" s="1297"/>
      <c r="T173" s="1297"/>
      <c r="U173" s="1297"/>
      <c r="V173" s="1297"/>
      <c r="W173" s="1297"/>
      <c r="X173" s="1297"/>
      <c r="Y173" s="1297"/>
    </row>
    <row r="174" spans="1:37" ht="69.75" customHeight="1" x14ac:dyDescent="0.2">
      <c r="A174" s="1173" t="s">
        <v>201</v>
      </c>
      <c r="B174" s="1173"/>
      <c r="C174" s="1173"/>
      <c r="D174" s="1173"/>
      <c r="E174" s="1173"/>
      <c r="F174" s="1173"/>
      <c r="G174" s="707" t="s">
        <v>521</v>
      </c>
      <c r="H174" s="592"/>
      <c r="I174" s="1174" t="s">
        <v>201</v>
      </c>
      <c r="J174" s="1174"/>
      <c r="K174" s="1174"/>
      <c r="L174" s="1174"/>
      <c r="M174" s="1174"/>
      <c r="N174" s="1174"/>
      <c r="O174" s="703" t="s">
        <v>519</v>
      </c>
      <c r="P174" s="593"/>
      <c r="Q174" s="1174" t="s">
        <v>201</v>
      </c>
      <c r="R174" s="1174"/>
      <c r="S174" s="1174"/>
      <c r="T174" s="1174"/>
      <c r="U174" s="1174"/>
      <c r="V174" s="1174"/>
      <c r="W174" s="703" t="s">
        <v>520</v>
      </c>
      <c r="X174" s="729" t="s">
        <v>201</v>
      </c>
      <c r="Y174" s="703" t="s">
        <v>539</v>
      </c>
      <c r="Z174" s="729" t="s">
        <v>201</v>
      </c>
      <c r="AA174" s="783" t="s">
        <v>591</v>
      </c>
      <c r="AB174" s="729" t="s">
        <v>201</v>
      </c>
      <c r="AC174" s="924" t="s">
        <v>539</v>
      </c>
      <c r="AD174" s="729" t="s">
        <v>201</v>
      </c>
      <c r="AE174" s="924" t="s">
        <v>539</v>
      </c>
      <c r="AF174" s="729" t="s">
        <v>201</v>
      </c>
      <c r="AG174" s="924" t="s">
        <v>539</v>
      </c>
      <c r="AH174" s="729" t="s">
        <v>201</v>
      </c>
      <c r="AI174" s="783" t="s">
        <v>603</v>
      </c>
      <c r="AJ174" s="729" t="s">
        <v>201</v>
      </c>
      <c r="AK174" s="783" t="s">
        <v>600</v>
      </c>
    </row>
    <row r="175" spans="1:37" ht="14.25" customHeight="1" x14ac:dyDescent="0.2">
      <c r="A175" s="675" t="s">
        <v>1</v>
      </c>
      <c r="B175" s="588" t="str">
        <f>A33</f>
        <v>Módulo 1 - Composição da Remuneração</v>
      </c>
      <c r="C175" s="601"/>
      <c r="D175" s="602"/>
      <c r="E175" s="602"/>
      <c r="F175" s="607"/>
      <c r="G175" s="608">
        <f>G41</f>
        <v>3162.6</v>
      </c>
      <c r="H175" s="79"/>
      <c r="I175" s="675" t="s">
        <v>1</v>
      </c>
      <c r="J175" s="588">
        <f>I33</f>
        <v>0</v>
      </c>
      <c r="K175" s="601"/>
      <c r="L175" s="602"/>
      <c r="M175" s="602"/>
      <c r="N175" s="607"/>
      <c r="O175" s="608">
        <f>O41</f>
        <v>3257.47</v>
      </c>
      <c r="P175" s="34"/>
      <c r="Q175" s="675" t="s">
        <v>1</v>
      </c>
      <c r="R175" s="588" t="s">
        <v>25</v>
      </c>
      <c r="S175" s="601"/>
      <c r="T175" s="602"/>
      <c r="U175" s="602"/>
      <c r="V175" s="607"/>
      <c r="W175" s="608">
        <f>W41</f>
        <v>3257.47</v>
      </c>
      <c r="X175" s="593"/>
      <c r="Y175" s="608">
        <f>Y41</f>
        <v>3257.47</v>
      </c>
      <c r="Z175" s="593"/>
      <c r="AA175" s="608">
        <f>AA41</f>
        <v>3257.47</v>
      </c>
      <c r="AB175" s="593"/>
      <c r="AC175" s="608">
        <f>AC41</f>
        <v>3257.47</v>
      </c>
      <c r="AD175" s="593"/>
      <c r="AE175" s="608">
        <f>AE41</f>
        <v>3534.35</v>
      </c>
      <c r="AF175" s="593"/>
      <c r="AG175" s="608">
        <f>AG41</f>
        <v>3534.35</v>
      </c>
      <c r="AH175" s="593"/>
      <c r="AI175" s="608">
        <f>AI41</f>
        <v>3534.35</v>
      </c>
      <c r="AJ175" s="593"/>
      <c r="AK175" s="608">
        <f>AK41</f>
        <v>3741.09</v>
      </c>
    </row>
    <row r="176" spans="1:37" ht="14.25" customHeight="1" x14ac:dyDescent="0.2">
      <c r="A176" s="668" t="s">
        <v>2</v>
      </c>
      <c r="B176" s="664" t="str">
        <f>A46</f>
        <v>Módulo 2 - Encargos e Benefícios Anuais, Mensais e Diários</v>
      </c>
      <c r="C176" s="665"/>
      <c r="D176" s="677"/>
      <c r="E176" s="677"/>
      <c r="F176" s="317"/>
      <c r="G176" s="685">
        <f>G105</f>
        <v>2816.01</v>
      </c>
      <c r="H176" s="79"/>
      <c r="I176" s="668" t="s">
        <v>2</v>
      </c>
      <c r="J176" s="664">
        <f>I46</f>
        <v>0</v>
      </c>
      <c r="K176" s="665"/>
      <c r="L176" s="677"/>
      <c r="M176" s="677"/>
      <c r="N176" s="317"/>
      <c r="O176" s="685">
        <f>O105</f>
        <v>2903.53</v>
      </c>
      <c r="P176" s="34"/>
      <c r="Q176" s="668" t="s">
        <v>2</v>
      </c>
      <c r="R176" s="664" t="s">
        <v>209</v>
      </c>
      <c r="S176" s="665"/>
      <c r="T176" s="677"/>
      <c r="U176" s="677"/>
      <c r="V176" s="317"/>
      <c r="W176" s="685">
        <f>W105</f>
        <v>2903.53</v>
      </c>
      <c r="X176" s="593"/>
      <c r="Y176" s="685">
        <f>Y105</f>
        <v>2903.53</v>
      </c>
      <c r="Z176" s="593"/>
      <c r="AA176" s="938">
        <f>AA105</f>
        <v>2903.53</v>
      </c>
      <c r="AB176" s="593"/>
      <c r="AC176" s="938">
        <f>AC105</f>
        <v>2903.53</v>
      </c>
      <c r="AD176" s="593"/>
      <c r="AE176" s="938">
        <f>AE105</f>
        <v>3144.4</v>
      </c>
      <c r="AF176" s="593"/>
      <c r="AG176" s="938">
        <f>AG105</f>
        <v>3144.4</v>
      </c>
      <c r="AH176" s="593"/>
      <c r="AI176" s="938">
        <f>AI105</f>
        <v>3144.4</v>
      </c>
      <c r="AJ176" s="593"/>
      <c r="AK176" s="984">
        <f>AK105</f>
        <v>3339.69</v>
      </c>
    </row>
    <row r="177" spans="1:37" ht="14.25" customHeight="1" x14ac:dyDescent="0.2">
      <c r="A177" s="668" t="s">
        <v>4</v>
      </c>
      <c r="B177" s="664" t="str">
        <f>A107</f>
        <v>Módulo 3 - Provisão para Rescisão</v>
      </c>
      <c r="C177" s="665"/>
      <c r="D177" s="677"/>
      <c r="E177" s="677"/>
      <c r="F177" s="317"/>
      <c r="G177" s="685">
        <f>G116</f>
        <v>245.72</v>
      </c>
      <c r="H177" s="79"/>
      <c r="I177" s="668" t="s">
        <v>4</v>
      </c>
      <c r="J177" s="664">
        <f>I107</f>
        <v>0</v>
      </c>
      <c r="K177" s="665"/>
      <c r="L177" s="677"/>
      <c r="M177" s="677"/>
      <c r="N177" s="317"/>
      <c r="O177" s="685">
        <f>O116</f>
        <v>253.48</v>
      </c>
      <c r="P177" s="34"/>
      <c r="Q177" s="668" t="s">
        <v>4</v>
      </c>
      <c r="R177" s="664" t="s">
        <v>227</v>
      </c>
      <c r="S177" s="665"/>
      <c r="T177" s="677"/>
      <c r="U177" s="677"/>
      <c r="V177" s="317"/>
      <c r="W177" s="685">
        <f>W116</f>
        <v>158.91</v>
      </c>
      <c r="X177" s="593"/>
      <c r="Y177" s="685">
        <f>Y116</f>
        <v>158.91</v>
      </c>
      <c r="Z177" s="593"/>
      <c r="AA177" s="938">
        <f>AA116</f>
        <v>158.91</v>
      </c>
      <c r="AB177" s="593"/>
      <c r="AC177" s="938">
        <f>AC116</f>
        <v>158.91</v>
      </c>
      <c r="AD177" s="593"/>
      <c r="AE177" s="938">
        <f>AE116</f>
        <v>172.42</v>
      </c>
      <c r="AF177" s="593"/>
      <c r="AG177" s="938">
        <f>AG116</f>
        <v>172.42</v>
      </c>
      <c r="AH177" s="593"/>
      <c r="AI177" s="938">
        <f>AI116</f>
        <v>172.42</v>
      </c>
      <c r="AJ177" s="593"/>
      <c r="AK177" s="984">
        <f>AK116</f>
        <v>182.52</v>
      </c>
    </row>
    <row r="178" spans="1:37" ht="14.25" customHeight="1" x14ac:dyDescent="0.2">
      <c r="A178" s="668" t="s">
        <v>5</v>
      </c>
      <c r="B178" s="664" t="str">
        <f>A121</f>
        <v>Módulo 4 - Custo de Reposição do Profissional</v>
      </c>
      <c r="C178" s="665"/>
      <c r="D178" s="677"/>
      <c r="E178" s="677"/>
      <c r="F178" s="317"/>
      <c r="G178" s="685">
        <f>G147</f>
        <v>27.97</v>
      </c>
      <c r="H178" s="79"/>
      <c r="I178" s="668" t="s">
        <v>5</v>
      </c>
      <c r="J178" s="664">
        <f>I121</f>
        <v>0</v>
      </c>
      <c r="K178" s="665"/>
      <c r="L178" s="677"/>
      <c r="M178" s="677"/>
      <c r="N178" s="317"/>
      <c r="O178" s="685">
        <f>O147</f>
        <v>28.8</v>
      </c>
      <c r="P178" s="34"/>
      <c r="Q178" s="668" t="s">
        <v>5</v>
      </c>
      <c r="R178" s="664" t="s">
        <v>228</v>
      </c>
      <c r="S178" s="665"/>
      <c r="T178" s="677"/>
      <c r="U178" s="677"/>
      <c r="V178" s="317"/>
      <c r="W178" s="685">
        <f>W147</f>
        <v>28.8</v>
      </c>
      <c r="X178" s="593"/>
      <c r="Y178" s="685">
        <f>Y147</f>
        <v>28.8</v>
      </c>
      <c r="Z178" s="593"/>
      <c r="AA178" s="938">
        <f>AA147</f>
        <v>28.8</v>
      </c>
      <c r="AB178" s="593"/>
      <c r="AC178" s="938">
        <f>AC147</f>
        <v>28.8</v>
      </c>
      <c r="AD178" s="593"/>
      <c r="AE178" s="938">
        <f>AE147</f>
        <v>31.28</v>
      </c>
      <c r="AF178" s="593"/>
      <c r="AG178" s="938">
        <f>AG147</f>
        <v>31.28</v>
      </c>
      <c r="AH178" s="593"/>
      <c r="AI178" s="938">
        <f>AI147</f>
        <v>31.28</v>
      </c>
      <c r="AJ178" s="593"/>
      <c r="AK178" s="984">
        <f>AK147</f>
        <v>33.090000000000003</v>
      </c>
    </row>
    <row r="179" spans="1:37" x14ac:dyDescent="0.2">
      <c r="A179" s="295" t="s">
        <v>6</v>
      </c>
      <c r="B179" s="664" t="str">
        <f>A149</f>
        <v>Módulo 5 - Insumos Diversos</v>
      </c>
      <c r="C179" s="319"/>
      <c r="D179" s="319"/>
      <c r="E179" s="319"/>
      <c r="F179" s="318"/>
      <c r="G179" s="711">
        <f>G155</f>
        <v>89.93</v>
      </c>
      <c r="H179" s="34"/>
      <c r="I179" s="295" t="s">
        <v>6</v>
      </c>
      <c r="J179" s="664">
        <f>I149</f>
        <v>0</v>
      </c>
      <c r="K179" s="319"/>
      <c r="L179" s="319"/>
      <c r="M179" s="319"/>
      <c r="N179" s="318"/>
      <c r="O179" s="711">
        <f>O155</f>
        <v>89.93</v>
      </c>
      <c r="P179" s="34"/>
      <c r="Q179" s="295" t="s">
        <v>6</v>
      </c>
      <c r="R179" s="664" t="s">
        <v>233</v>
      </c>
      <c r="S179" s="319"/>
      <c r="T179" s="319"/>
      <c r="U179" s="319"/>
      <c r="V179" s="318"/>
      <c r="W179" s="711">
        <f>W155</f>
        <v>89.93</v>
      </c>
      <c r="X179" s="593"/>
      <c r="Y179" s="711">
        <f>Y155</f>
        <v>102.75</v>
      </c>
      <c r="Z179" s="593"/>
      <c r="AA179" s="711">
        <f>AA155</f>
        <v>94.28</v>
      </c>
      <c r="AB179" s="593"/>
      <c r="AC179" s="711">
        <f>AC155</f>
        <v>98.63</v>
      </c>
      <c r="AD179" s="593"/>
      <c r="AE179" s="711">
        <f>AE155</f>
        <v>98.63</v>
      </c>
      <c r="AF179" s="593"/>
      <c r="AG179" s="711">
        <f>AG155</f>
        <v>103.4</v>
      </c>
      <c r="AH179" s="593"/>
      <c r="AI179" s="711">
        <f>AI155</f>
        <v>113.81</v>
      </c>
      <c r="AJ179" s="593"/>
      <c r="AK179" s="711">
        <f>AK155</f>
        <v>113.81</v>
      </c>
    </row>
    <row r="180" spans="1:37" ht="14.25" customHeight="1" x14ac:dyDescent="0.2">
      <c r="A180" s="1172" t="s">
        <v>238</v>
      </c>
      <c r="B180" s="1172"/>
      <c r="C180" s="1172"/>
      <c r="D180" s="1172"/>
      <c r="E180" s="1172"/>
      <c r="F180" s="1172"/>
      <c r="G180" s="316">
        <f>SUM(G175:G179)</f>
        <v>6342.23</v>
      </c>
      <c r="H180" s="34"/>
      <c r="I180" s="1172" t="s">
        <v>238</v>
      </c>
      <c r="J180" s="1172"/>
      <c r="K180" s="1172"/>
      <c r="L180" s="1172"/>
      <c r="M180" s="1172"/>
      <c r="N180" s="1172"/>
      <c r="O180" s="316">
        <f>SUM(O175:O179)</f>
        <v>6533.21</v>
      </c>
      <c r="P180" s="34"/>
      <c r="Q180" s="1172" t="s">
        <v>238</v>
      </c>
      <c r="R180" s="1172"/>
      <c r="S180" s="1172"/>
      <c r="T180" s="1172"/>
      <c r="U180" s="1172"/>
      <c r="V180" s="1172"/>
      <c r="W180" s="316">
        <f>SUM(W175:W179)</f>
        <v>6438.64</v>
      </c>
      <c r="X180" s="729" t="s">
        <v>238</v>
      </c>
      <c r="Y180" s="316">
        <f>SUM(Y175:Y179)</f>
        <v>6451.46</v>
      </c>
      <c r="Z180" s="729" t="s">
        <v>238</v>
      </c>
      <c r="AA180" s="935">
        <f>SUM(AA175:AA179)</f>
        <v>6442.99</v>
      </c>
      <c r="AB180" s="729" t="s">
        <v>238</v>
      </c>
      <c r="AC180" s="935">
        <f>SUM(AC175:AC179)</f>
        <v>6447.34</v>
      </c>
      <c r="AD180" s="729" t="s">
        <v>238</v>
      </c>
      <c r="AE180" s="935">
        <f>SUM(AE175:AE179)</f>
        <v>6981.08</v>
      </c>
      <c r="AF180" s="729" t="s">
        <v>238</v>
      </c>
      <c r="AG180" s="935">
        <f>SUM(AG175:AG179)</f>
        <v>6985.85</v>
      </c>
      <c r="AH180" s="729" t="s">
        <v>238</v>
      </c>
      <c r="AI180" s="935">
        <f>SUM(AI175:AI179)</f>
        <v>6996.26</v>
      </c>
      <c r="AJ180" s="729" t="s">
        <v>238</v>
      </c>
      <c r="AK180" s="981">
        <f>SUM(AK175:AK179)</f>
        <v>7410.2</v>
      </c>
    </row>
    <row r="181" spans="1:37" ht="14.25" customHeight="1" x14ac:dyDescent="0.2">
      <c r="A181" s="668" t="s">
        <v>7</v>
      </c>
      <c r="B181" s="664" t="str">
        <f>A158</f>
        <v>Módulo 6 - Custos Indiretos, Tributos e Lucro</v>
      </c>
      <c r="C181" s="665"/>
      <c r="D181" s="677"/>
      <c r="E181" s="677"/>
      <c r="F181" s="317"/>
      <c r="G181" s="685">
        <f>G167</f>
        <v>740.11</v>
      </c>
      <c r="H181" s="34"/>
      <c r="I181" s="668" t="s">
        <v>7</v>
      </c>
      <c r="J181" s="664">
        <f>I158</f>
        <v>0</v>
      </c>
      <c r="K181" s="665"/>
      <c r="L181" s="677"/>
      <c r="M181" s="677"/>
      <c r="N181" s="317"/>
      <c r="O181" s="685">
        <f>O167</f>
        <v>762.39</v>
      </c>
      <c r="P181" s="34"/>
      <c r="Q181" s="668" t="s">
        <v>7</v>
      </c>
      <c r="R181" s="664" t="s">
        <v>237</v>
      </c>
      <c r="S181" s="665"/>
      <c r="T181" s="677"/>
      <c r="U181" s="677"/>
      <c r="V181" s="317"/>
      <c r="W181" s="685">
        <f>W167</f>
        <v>751.35</v>
      </c>
      <c r="X181" s="593"/>
      <c r="Y181" s="685">
        <f>Y167</f>
        <v>752.85</v>
      </c>
      <c r="Z181" s="593"/>
      <c r="AA181" s="938">
        <f>AA167</f>
        <v>751.86</v>
      </c>
      <c r="AB181" s="593"/>
      <c r="AC181" s="938">
        <f>AC167</f>
        <v>752.37</v>
      </c>
      <c r="AD181" s="593"/>
      <c r="AE181" s="938">
        <f>AE167</f>
        <v>814.65</v>
      </c>
      <c r="AF181" s="593"/>
      <c r="AG181" s="938">
        <f>AG167</f>
        <v>815.21</v>
      </c>
      <c r="AH181" s="593"/>
      <c r="AI181" s="938">
        <f>AI167</f>
        <v>816.41</v>
      </c>
      <c r="AJ181" s="593"/>
      <c r="AK181" s="984">
        <f>AK167</f>
        <v>864.73</v>
      </c>
    </row>
    <row r="182" spans="1:37" ht="34.5" customHeight="1" x14ac:dyDescent="0.2">
      <c r="A182" s="1172" t="s">
        <v>179</v>
      </c>
      <c r="B182" s="1172"/>
      <c r="C182" s="1172"/>
      <c r="D182" s="1172"/>
      <c r="E182" s="1172"/>
      <c r="F182" s="1172"/>
      <c r="G182" s="316">
        <f>SUM(G180:G181)</f>
        <v>7082.34</v>
      </c>
      <c r="H182" s="34"/>
      <c r="I182" s="1172" t="s">
        <v>179</v>
      </c>
      <c r="J182" s="1172"/>
      <c r="K182" s="1172"/>
      <c r="L182" s="1172"/>
      <c r="M182" s="1172"/>
      <c r="N182" s="1172"/>
      <c r="O182" s="316">
        <f>SUM(O180:O181)</f>
        <v>7295.6</v>
      </c>
      <c r="P182" s="34"/>
      <c r="Q182" s="1172" t="s">
        <v>179</v>
      </c>
      <c r="R182" s="1172"/>
      <c r="S182" s="1172"/>
      <c r="T182" s="1172"/>
      <c r="U182" s="1172"/>
      <c r="V182" s="1172"/>
      <c r="W182" s="316">
        <f>SUM(W180:W181)</f>
        <v>7189.99</v>
      </c>
      <c r="X182" s="729" t="s">
        <v>179</v>
      </c>
      <c r="Y182" s="316">
        <f>SUM(Y180:Y181)</f>
        <v>7204.31</v>
      </c>
      <c r="Z182" s="729" t="s">
        <v>179</v>
      </c>
      <c r="AA182" s="935">
        <f>SUM(AA180:AA181)</f>
        <v>7194.85</v>
      </c>
      <c r="AB182" s="729" t="s">
        <v>179</v>
      </c>
      <c r="AC182" s="935">
        <f>SUM(AC180:AC181)</f>
        <v>7199.71</v>
      </c>
      <c r="AD182" s="729" t="s">
        <v>179</v>
      </c>
      <c r="AE182" s="935">
        <f>SUM(AE180:AE181)</f>
        <v>7795.73</v>
      </c>
      <c r="AF182" s="729" t="s">
        <v>179</v>
      </c>
      <c r="AG182" s="935">
        <f>SUM(AG180:AG181)</f>
        <v>7801.06</v>
      </c>
      <c r="AH182" s="729" t="s">
        <v>179</v>
      </c>
      <c r="AI182" s="935">
        <f>SUM(AI180:AI181)</f>
        <v>7812.67</v>
      </c>
      <c r="AJ182" s="729" t="s">
        <v>179</v>
      </c>
      <c r="AK182" s="981">
        <f>SUM(AK180:AK181)</f>
        <v>8274.93</v>
      </c>
    </row>
    <row r="183" spans="1:37" hidden="1" x14ac:dyDescent="0.2">
      <c r="A183" s="1171" t="s">
        <v>436</v>
      </c>
      <c r="B183" s="1171"/>
      <c r="C183" s="1171"/>
      <c r="D183" s="1171"/>
      <c r="E183" s="1171"/>
      <c r="F183" s="1171"/>
      <c r="G183" s="326"/>
    </row>
    <row r="184" spans="1:37" hidden="1" x14ac:dyDescent="0.2">
      <c r="A184" s="1171" t="s">
        <v>179</v>
      </c>
      <c r="B184" s="1171"/>
      <c r="C184" s="1171"/>
      <c r="D184" s="1171"/>
      <c r="E184" s="1171"/>
      <c r="F184" s="1171"/>
      <c r="G184" s="326">
        <f>SUM(G182:G183)</f>
        <v>7082.34</v>
      </c>
    </row>
    <row r="188" spans="1:37" x14ac:dyDescent="0.2">
      <c r="AI188" s="847"/>
    </row>
    <row r="189" spans="1:37" x14ac:dyDescent="0.2">
      <c r="AI189" s="847"/>
    </row>
  </sheetData>
  <mergeCells count="228">
    <mergeCell ref="AJ26:AK26"/>
    <mergeCell ref="AJ27:AK27"/>
    <mergeCell ref="AJ28:AK28"/>
    <mergeCell ref="AJ29:AK29"/>
    <mergeCell ref="AJ30:AK30"/>
    <mergeCell ref="AJ31:AK31"/>
    <mergeCell ref="AD26:AE26"/>
    <mergeCell ref="AD27:AE27"/>
    <mergeCell ref="AD30:AE30"/>
    <mergeCell ref="AD28:AE28"/>
    <mergeCell ref="AD31:AE31"/>
    <mergeCell ref="AD29:AE29"/>
    <mergeCell ref="R159:U159"/>
    <mergeCell ref="Q167:U167"/>
    <mergeCell ref="Q170:W171"/>
    <mergeCell ref="Q54:W55"/>
    <mergeCell ref="Q56:W57"/>
    <mergeCell ref="V29:W29"/>
    <mergeCell ref="V30:W30"/>
    <mergeCell ref="R48:U48"/>
    <mergeCell ref="R50:U50"/>
    <mergeCell ref="Q51:U51"/>
    <mergeCell ref="Q52:W53"/>
    <mergeCell ref="R34:U34"/>
    <mergeCell ref="A124:Y124"/>
    <mergeCell ref="A143:Y143"/>
    <mergeCell ref="A149:Y149"/>
    <mergeCell ref="A158:Y158"/>
    <mergeCell ref="I84:I85"/>
    <mergeCell ref="I86:I87"/>
    <mergeCell ref="A74:E74"/>
    <mergeCell ref="B65:E65"/>
    <mergeCell ref="A54:G55"/>
    <mergeCell ref="A56:G57"/>
    <mergeCell ref="A59:F59"/>
    <mergeCell ref="A52:G53"/>
    <mergeCell ref="Q174:V174"/>
    <mergeCell ref="I182:N182"/>
    <mergeCell ref="I174:N174"/>
    <mergeCell ref="I180:N180"/>
    <mergeCell ref="V17:W17"/>
    <mergeCell ref="V18:W18"/>
    <mergeCell ref="V19:W19"/>
    <mergeCell ref="N19:O19"/>
    <mergeCell ref="J30:M30"/>
    <mergeCell ref="J31:M31"/>
    <mergeCell ref="J26:M26"/>
    <mergeCell ref="J27:M27"/>
    <mergeCell ref="J28:M28"/>
    <mergeCell ref="I22:J22"/>
    <mergeCell ref="I23:J23"/>
    <mergeCell ref="N30:O30"/>
    <mergeCell ref="N31:O31"/>
    <mergeCell ref="Q23:R23"/>
    <mergeCell ref="I21:O21"/>
    <mergeCell ref="Q74:U74"/>
    <mergeCell ref="Q75:W75"/>
    <mergeCell ref="J34:M34"/>
    <mergeCell ref="Q21:W21"/>
    <mergeCell ref="Q22:R22"/>
    <mergeCell ref="K10:M10"/>
    <mergeCell ref="R144:V144"/>
    <mergeCell ref="Q147:V147"/>
    <mergeCell ref="B125:E125"/>
    <mergeCell ref="A132:E132"/>
    <mergeCell ref="A136:G136"/>
    <mergeCell ref="R137:V137"/>
    <mergeCell ref="R138:V138"/>
    <mergeCell ref="Q139:V139"/>
    <mergeCell ref="Q140:W141"/>
    <mergeCell ref="B137:F137"/>
    <mergeCell ref="I147:N147"/>
    <mergeCell ref="J125:M125"/>
    <mergeCell ref="I132:M132"/>
    <mergeCell ref="Q12:R12"/>
    <mergeCell ref="S12:T12"/>
    <mergeCell ref="Q13:R13"/>
    <mergeCell ref="S13:T13"/>
    <mergeCell ref="Q16:W16"/>
    <mergeCell ref="F26:G26"/>
    <mergeCell ref="F19:G19"/>
    <mergeCell ref="A16:G16"/>
    <mergeCell ref="F17:G17"/>
    <mergeCell ref="F18:G18"/>
    <mergeCell ref="I7:O7"/>
    <mergeCell ref="I8:O8"/>
    <mergeCell ref="I9:O9"/>
    <mergeCell ref="I12:J12"/>
    <mergeCell ref="K12:L12"/>
    <mergeCell ref="J159:M159"/>
    <mergeCell ref="I139:N139"/>
    <mergeCell ref="I140:O141"/>
    <mergeCell ref="J144:N144"/>
    <mergeCell ref="A25:Y25"/>
    <mergeCell ref="N26:O26"/>
    <mergeCell ref="Q7:W7"/>
    <mergeCell ref="Q8:W8"/>
    <mergeCell ref="Q9:W9"/>
    <mergeCell ref="S10:U10"/>
    <mergeCell ref="A21:G21"/>
    <mergeCell ref="A22:B22"/>
    <mergeCell ref="A23:B23"/>
    <mergeCell ref="A62:F62"/>
    <mergeCell ref="I13:J13"/>
    <mergeCell ref="K13:L13"/>
    <mergeCell ref="I16:O16"/>
    <mergeCell ref="N17:O17"/>
    <mergeCell ref="N18:O18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A173:Y173"/>
    <mergeCell ref="I167:M167"/>
    <mergeCell ref="I170:O171"/>
    <mergeCell ref="J150:N150"/>
    <mergeCell ref="I155:N155"/>
    <mergeCell ref="Q180:V180"/>
    <mergeCell ref="Q182:V182"/>
    <mergeCell ref="R150:V150"/>
    <mergeCell ref="Q155:V155"/>
    <mergeCell ref="N27:O27"/>
    <mergeCell ref="N28:O28"/>
    <mergeCell ref="N29:O29"/>
    <mergeCell ref="Q59:V59"/>
    <mergeCell ref="Q62:V62"/>
    <mergeCell ref="R65:U65"/>
    <mergeCell ref="J65:M65"/>
    <mergeCell ref="I74:M74"/>
    <mergeCell ref="I75:O75"/>
    <mergeCell ref="I59:N59"/>
    <mergeCell ref="I62:N62"/>
    <mergeCell ref="J48:M48"/>
    <mergeCell ref="J50:M50"/>
    <mergeCell ref="I51:M51"/>
    <mergeCell ref="I52:O53"/>
    <mergeCell ref="I136:O136"/>
    <mergeCell ref="J137:N137"/>
    <mergeCell ref="J138:N138"/>
    <mergeCell ref="J108:M108"/>
    <mergeCell ref="I116:M116"/>
    <mergeCell ref="Q76:W76"/>
    <mergeCell ref="Q77:W77"/>
    <mergeCell ref="J83:M83"/>
    <mergeCell ref="A64:Y64"/>
    <mergeCell ref="A82:Y82"/>
    <mergeCell ref="A100:Y100"/>
    <mergeCell ref="A107:Y107"/>
    <mergeCell ref="A121:Y121"/>
    <mergeCell ref="R83:U83"/>
    <mergeCell ref="I76:O76"/>
    <mergeCell ref="I77:O77"/>
    <mergeCell ref="A84:A85"/>
    <mergeCell ref="A86:A87"/>
    <mergeCell ref="A96:F96"/>
    <mergeCell ref="A98:G98"/>
    <mergeCell ref="B83:E83"/>
    <mergeCell ref="B108:E108"/>
    <mergeCell ref="A76:G76"/>
    <mergeCell ref="A77:G77"/>
    <mergeCell ref="F29:G29"/>
    <mergeCell ref="B30:E30"/>
    <mergeCell ref="F30:G30"/>
    <mergeCell ref="I96:N96"/>
    <mergeCell ref="A116:E116"/>
    <mergeCell ref="A122:G123"/>
    <mergeCell ref="Q84:Q85"/>
    <mergeCell ref="Q86:Q87"/>
    <mergeCell ref="Q96:V96"/>
    <mergeCell ref="Q98:W98"/>
    <mergeCell ref="R101:V101"/>
    <mergeCell ref="R108:U108"/>
    <mergeCell ref="Q116:U116"/>
    <mergeCell ref="Q122:W123"/>
    <mergeCell ref="B101:F101"/>
    <mergeCell ref="I122:O123"/>
    <mergeCell ref="I98:O98"/>
    <mergeCell ref="J101:N101"/>
    <mergeCell ref="A75:G75"/>
    <mergeCell ref="B48:E48"/>
    <mergeCell ref="B50:E50"/>
    <mergeCell ref="A51:E51"/>
    <mergeCell ref="I54:O55"/>
    <mergeCell ref="I56:O57"/>
    <mergeCell ref="B31:E31"/>
    <mergeCell ref="F31:G31"/>
    <mergeCell ref="B26:E26"/>
    <mergeCell ref="R125:U125"/>
    <mergeCell ref="Q132:U132"/>
    <mergeCell ref="Q136:W136"/>
    <mergeCell ref="X26:Y26"/>
    <mergeCell ref="X27:Y27"/>
    <mergeCell ref="X28:Y28"/>
    <mergeCell ref="X30:Y30"/>
    <mergeCell ref="X31:Y31"/>
    <mergeCell ref="X29:Y29"/>
    <mergeCell ref="A33:Y33"/>
    <mergeCell ref="A47:Y47"/>
    <mergeCell ref="A46:Y46"/>
    <mergeCell ref="V31:W31"/>
    <mergeCell ref="V26:W26"/>
    <mergeCell ref="V27:W27"/>
    <mergeCell ref="V28:W28"/>
    <mergeCell ref="B34:E34"/>
    <mergeCell ref="B27:E27"/>
    <mergeCell ref="F27:G27"/>
    <mergeCell ref="B28:E28"/>
    <mergeCell ref="F28:G28"/>
  </mergeCells>
  <dataValidations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4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4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8" man="1"/>
    <brk id="134" max="28" man="1"/>
  </rowBreaks>
  <ignoredErrors>
    <ignoredError sqref="A32:G32 G28 A28:E28 G27 A27:E27 G26 A26:E26 A30:E30 G23 B23:D23 A24:G24 A17:G22 A12:G16 A23 E23:F23 A39:G40 A38 C38:G38 G84:G87 A102:G106 A145:G148 G89:G91 A166:G167 A164 C164:G164 A165 C165:G165 A161:G163 A160:F160 A34:G37 A108:G115 A107 A150:G157 A149 A159:G159 A158 A29:E29 G29 G30 A31:E31 G31 A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4"/>
  <sheetViews>
    <sheetView showGridLines="0" topLeftCell="A160" zoomScaleNormal="100" zoomScaleSheetLayoutView="100" workbookViewId="0">
      <selection activeCell="R35" sqref="R35"/>
    </sheetView>
  </sheetViews>
  <sheetFormatPr defaultColWidth="9.140625" defaultRowHeight="14.25" x14ac:dyDescent="0.2"/>
  <cols>
    <col min="1" max="1" width="5.85546875" style="34" customWidth="1"/>
    <col min="2" max="2" width="61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26.28515625" style="66" customWidth="1"/>
    <col min="8" max="8" width="22.140625" style="35" hidden="1" customWidth="1"/>
    <col min="9" max="9" width="23.7109375" style="35" hidden="1" customWidth="1"/>
    <col min="10" max="10" width="22.140625" style="35" hidden="1" customWidth="1"/>
    <col min="11" max="11" width="23.7109375" style="35" hidden="1" customWidth="1"/>
    <col min="12" max="12" width="20" style="35" hidden="1" customWidth="1"/>
    <col min="13" max="13" width="20.7109375" style="35" hidden="1" customWidth="1"/>
    <col min="14" max="14" width="17.85546875" style="35" customWidth="1"/>
    <col min="15" max="15" width="21.5703125" style="35" customWidth="1"/>
    <col min="16" max="16384" width="9.140625" style="35"/>
  </cols>
  <sheetData>
    <row r="1" spans="1:7" x14ac:dyDescent="0.2">
      <c r="A1" s="65" t="str">
        <f>Proposta!C55</f>
        <v>Razão Social: BRASFORT EMPRESA DE SEGURANÇA LTDA</v>
      </c>
    </row>
    <row r="2" spans="1:7" x14ac:dyDescent="0.2">
      <c r="A2" s="65" t="str">
        <f>Proposta!C56</f>
        <v>CNPJ: 03.497.401/0001-97</v>
      </c>
    </row>
    <row r="3" spans="1:7" x14ac:dyDescent="0.2">
      <c r="A3" s="66"/>
    </row>
    <row r="4" spans="1:7" x14ac:dyDescent="0.2">
      <c r="A4" s="66"/>
    </row>
    <row r="5" spans="1:7" hidden="1" x14ac:dyDescent="0.2">
      <c r="A5" s="1298" t="str">
        <f>Dados!H2</f>
        <v xml:space="preserve">REPACTUAÇÃO CONTRATUAL 20___ - </v>
      </c>
      <c r="B5" s="1298"/>
      <c r="C5" s="1298"/>
      <c r="D5" s="1298"/>
      <c r="E5" s="1298"/>
      <c r="F5" s="1298"/>
      <c r="G5" s="1298"/>
    </row>
    <row r="6" spans="1:7" hidden="1" x14ac:dyDescent="0.2">
      <c r="A6" s="1298" t="str">
        <f>Dados!A10</f>
        <v>CONTRATO Nº __________/201__ - CONTRATANTE - PRESTAÇÃO DE SERVIÇOS --------</v>
      </c>
      <c r="B6" s="1298"/>
      <c r="C6" s="1298"/>
      <c r="D6" s="1298"/>
      <c r="E6" s="1298"/>
      <c r="F6" s="1298"/>
      <c r="G6" s="1298"/>
    </row>
    <row r="7" spans="1:7" x14ac:dyDescent="0.2">
      <c r="A7" s="1196" t="s">
        <v>475</v>
      </c>
      <c r="B7" s="1196"/>
      <c r="C7" s="1196"/>
      <c r="D7" s="1196"/>
      <c r="E7" s="1196"/>
      <c r="F7" s="1196"/>
      <c r="G7" s="1196"/>
    </row>
    <row r="8" spans="1:7" x14ac:dyDescent="0.2">
      <c r="A8" s="1196" t="str">
        <f>Dados!A11</f>
        <v>PLANILHA DE CUSTOS E FORMAÇÃO DE PREÇOS - CJF</v>
      </c>
      <c r="B8" s="1196"/>
      <c r="C8" s="1196"/>
      <c r="D8" s="1196"/>
      <c r="E8" s="1196"/>
      <c r="F8" s="1196"/>
      <c r="G8" s="1196"/>
    </row>
    <row r="9" spans="1:7" hidden="1" x14ac:dyDescent="0.2">
      <c r="A9" s="1196" t="s">
        <v>256</v>
      </c>
      <c r="B9" s="1196"/>
      <c r="C9" s="1196"/>
      <c r="D9" s="1196"/>
      <c r="E9" s="1196"/>
      <c r="F9" s="1196"/>
      <c r="G9" s="1196"/>
    </row>
    <row r="10" spans="1:7" ht="15" customHeight="1" x14ac:dyDescent="0.2">
      <c r="A10" s="574"/>
      <c r="B10" s="574"/>
      <c r="C10" s="574"/>
      <c r="D10" s="574"/>
      <c r="E10" s="574"/>
      <c r="F10" s="574"/>
      <c r="G10" s="574"/>
    </row>
    <row r="11" spans="1:7" ht="9.75" customHeight="1" x14ac:dyDescent="0.2">
      <c r="A11" s="68"/>
      <c r="B11" s="68"/>
      <c r="C11" s="68"/>
      <c r="D11" s="68"/>
      <c r="E11" s="68"/>
      <c r="F11" s="68"/>
      <c r="G11" s="68"/>
    </row>
    <row r="12" spans="1:7" ht="15.75" customHeight="1" x14ac:dyDescent="0.2">
      <c r="A12" s="1193" t="s">
        <v>104</v>
      </c>
      <c r="B12" s="1193"/>
      <c r="C12" s="1197" t="str">
        <f>Dados!G14</f>
        <v>0000793-29.2020.4.90.8000</v>
      </c>
      <c r="D12" s="1197"/>
      <c r="E12" s="72"/>
      <c r="F12" s="80"/>
      <c r="G12" s="69"/>
    </row>
    <row r="13" spans="1:7" ht="15.75" customHeight="1" x14ac:dyDescent="0.2">
      <c r="A13" s="1193" t="s">
        <v>103</v>
      </c>
      <c r="B13" s="1193"/>
      <c r="C13" s="1198" t="str">
        <f>"Pregão Eletrônico nº:" &amp; " " &amp; Dados!G22</f>
        <v>Pregão Eletrônico nº: 09/2020</v>
      </c>
      <c r="D13" s="1198"/>
      <c r="E13" s="72"/>
      <c r="F13" s="151">
        <v>1</v>
      </c>
      <c r="G13" s="69"/>
    </row>
    <row r="14" spans="1:7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</row>
    <row r="15" spans="1:7" ht="8.25" customHeight="1" x14ac:dyDescent="0.2">
      <c r="A15" s="71"/>
      <c r="B15" s="71"/>
      <c r="C15" s="71"/>
      <c r="D15" s="68"/>
      <c r="E15" s="72"/>
      <c r="F15" s="575"/>
      <c r="G15" s="74"/>
    </row>
    <row r="16" spans="1:7" ht="18" customHeight="1" x14ac:dyDescent="0.2">
      <c r="A16" s="1191" t="s">
        <v>205</v>
      </c>
      <c r="B16" s="1191"/>
      <c r="C16" s="1191"/>
      <c r="D16" s="1191"/>
      <c r="E16" s="1191"/>
      <c r="F16" s="1191"/>
      <c r="G16" s="1191"/>
    </row>
    <row r="17" spans="1:15" ht="16.5" customHeight="1" x14ac:dyDescent="0.2">
      <c r="A17" s="576" t="s">
        <v>1</v>
      </c>
      <c r="B17" s="570" t="s">
        <v>105</v>
      </c>
      <c r="C17" s="571"/>
      <c r="D17" s="573"/>
      <c r="E17" s="321"/>
      <c r="F17" s="1168">
        <f>Dados!G16</f>
        <v>44012</v>
      </c>
      <c r="G17" s="1167"/>
    </row>
    <row r="18" spans="1:15" ht="16.5" customHeight="1" x14ac:dyDescent="0.2">
      <c r="A18" s="576" t="s">
        <v>2</v>
      </c>
      <c r="B18" s="572" t="s">
        <v>3</v>
      </c>
      <c r="C18" s="573"/>
      <c r="D18" s="573"/>
      <c r="E18" s="322"/>
      <c r="F18" s="1168" t="str">
        <f>Dados!G19</f>
        <v>Brasília - DF</v>
      </c>
      <c r="G18" s="1167"/>
    </row>
    <row r="19" spans="1:15" ht="16.5" customHeight="1" x14ac:dyDescent="0.2">
      <c r="A19" s="576" t="s">
        <v>4</v>
      </c>
      <c r="B19" s="570" t="s">
        <v>106</v>
      </c>
      <c r="C19" s="571"/>
      <c r="D19" s="573"/>
      <c r="E19" s="322"/>
      <c r="F19" s="1167">
        <f>Dados!G26</f>
        <v>20</v>
      </c>
      <c r="G19" s="1167"/>
    </row>
    <row r="20" spans="1:15" ht="9" customHeight="1" x14ac:dyDescent="0.2">
      <c r="A20" s="574"/>
      <c r="B20" s="68"/>
      <c r="C20" s="68"/>
      <c r="D20" s="68"/>
      <c r="E20" s="68"/>
      <c r="F20" s="75"/>
      <c r="G20" s="76"/>
    </row>
    <row r="21" spans="1:15" ht="16.5" customHeight="1" x14ac:dyDescent="0.2">
      <c r="A21" s="1191" t="s">
        <v>204</v>
      </c>
      <c r="B21" s="1191"/>
      <c r="C21" s="1191"/>
      <c r="D21" s="1191"/>
      <c r="E21" s="1191"/>
      <c r="F21" s="1191"/>
      <c r="G21" s="1191"/>
    </row>
    <row r="22" spans="1:15" ht="51" customHeight="1" x14ac:dyDescent="0.2">
      <c r="A22" s="1174" t="s">
        <v>76</v>
      </c>
      <c r="B22" s="1174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</row>
    <row r="23" spans="1:15" ht="33.75" customHeight="1" x14ac:dyDescent="0.2">
      <c r="A23" s="1193" t="s">
        <v>535</v>
      </c>
      <c r="B23" s="1193"/>
      <c r="C23" s="668" t="str">
        <f>Dados!J31</f>
        <v>44 horas semanais - 5x2</v>
      </c>
      <c r="D23" s="668" t="str">
        <f>Dados!G25</f>
        <v>Postos de Serviços</v>
      </c>
      <c r="E23" s="325">
        <v>1</v>
      </c>
      <c r="F23" s="325">
        <v>1</v>
      </c>
      <c r="G23" s="325">
        <f>E23*F23</f>
        <v>1</v>
      </c>
    </row>
    <row r="24" spans="1:15" ht="14.25" customHeight="1" x14ac:dyDescent="0.2">
      <c r="A24" s="71"/>
      <c r="B24" s="71"/>
      <c r="C24" s="71"/>
      <c r="D24" s="71"/>
      <c r="E24" s="71"/>
      <c r="F24" s="195"/>
      <c r="G24" s="195"/>
    </row>
    <row r="25" spans="1:15" ht="64.5" customHeight="1" x14ac:dyDescent="0.2">
      <c r="A25" s="1213" t="s">
        <v>415</v>
      </c>
      <c r="B25" s="1201"/>
      <c r="C25" s="1201"/>
      <c r="D25" s="1201"/>
      <c r="E25" s="1201"/>
      <c r="F25" s="1201"/>
      <c r="G25" s="1201"/>
      <c r="H25" s="1201"/>
      <c r="I25" s="1201"/>
      <c r="J25" s="1201"/>
      <c r="K25" s="1201"/>
    </row>
    <row r="26" spans="1:15" ht="63" customHeight="1" x14ac:dyDescent="0.2">
      <c r="A26" s="972">
        <v>1</v>
      </c>
      <c r="B26" s="1161" t="s">
        <v>76</v>
      </c>
      <c r="C26" s="1161"/>
      <c r="D26" s="1161"/>
      <c r="E26" s="1161"/>
      <c r="F26" s="1167" t="s">
        <v>535</v>
      </c>
      <c r="G26" s="1167"/>
      <c r="H26" s="1167" t="s">
        <v>535</v>
      </c>
      <c r="I26" s="1167"/>
      <c r="J26" s="1167" t="s">
        <v>535</v>
      </c>
      <c r="K26" s="1167"/>
      <c r="N26" s="1167" t="s">
        <v>535</v>
      </c>
      <c r="O26" s="1167"/>
    </row>
    <row r="27" spans="1:15" ht="14.25" customHeight="1" x14ac:dyDescent="0.2">
      <c r="A27" s="972">
        <v>2</v>
      </c>
      <c r="B27" s="1161" t="s">
        <v>202</v>
      </c>
      <c r="C27" s="1161"/>
      <c r="D27" s="1161"/>
      <c r="E27" s="1161"/>
      <c r="F27" s="1193" t="str">
        <f>Dados!O74</f>
        <v>5173-30</v>
      </c>
      <c r="G27" s="1193"/>
      <c r="H27" s="1193" t="str">
        <f>F27</f>
        <v>5173-30</v>
      </c>
      <c r="I27" s="1193"/>
      <c r="J27" s="1193" t="str">
        <f>F27</f>
        <v>5173-30</v>
      </c>
      <c r="K27" s="1193"/>
      <c r="N27" s="1193" t="str">
        <f>J27</f>
        <v>5173-30</v>
      </c>
      <c r="O27" s="1193"/>
    </row>
    <row r="28" spans="1:15" ht="15.75" customHeight="1" x14ac:dyDescent="0.2">
      <c r="A28" s="972">
        <v>3</v>
      </c>
      <c r="B28" s="1161" t="s">
        <v>416</v>
      </c>
      <c r="C28" s="1161"/>
      <c r="D28" s="1161"/>
      <c r="E28" s="1161"/>
      <c r="F28" s="1162">
        <v>2708.92</v>
      </c>
      <c r="G28" s="1162"/>
      <c r="H28" s="1162">
        <f>F28</f>
        <v>2708.92</v>
      </c>
      <c r="I28" s="1162"/>
      <c r="J28" s="1162">
        <v>2939.18</v>
      </c>
      <c r="K28" s="1162"/>
      <c r="N28" s="1162">
        <v>3111.12</v>
      </c>
      <c r="O28" s="1162"/>
    </row>
    <row r="29" spans="1:15" ht="15.75" customHeight="1" x14ac:dyDescent="0.2">
      <c r="A29" s="972" t="s">
        <v>4</v>
      </c>
      <c r="B29" s="967" t="s">
        <v>417</v>
      </c>
      <c r="C29" s="324"/>
      <c r="D29" s="324"/>
      <c r="E29" s="323"/>
      <c r="F29" s="1167" t="str">
        <f>Dados!N82</f>
        <v>SINDESV/SINDESP-DF</v>
      </c>
      <c r="G29" s="1167"/>
      <c r="H29" s="1167" t="str">
        <f>F29</f>
        <v>SINDESV/SINDESP-DF</v>
      </c>
      <c r="I29" s="1167"/>
      <c r="J29" s="1167" t="str">
        <f>F29</f>
        <v>SINDESV/SINDESP-DF</v>
      </c>
      <c r="K29" s="1167"/>
      <c r="N29" s="1167" t="str">
        <f>J29</f>
        <v>SINDESV/SINDESP-DF</v>
      </c>
      <c r="O29" s="1167"/>
    </row>
    <row r="30" spans="1:15" ht="14.25" customHeight="1" x14ac:dyDescent="0.2">
      <c r="A30" s="972">
        <v>4</v>
      </c>
      <c r="B30" s="1161" t="s">
        <v>10</v>
      </c>
      <c r="C30" s="1161"/>
      <c r="D30" s="1161"/>
      <c r="E30" s="1161"/>
      <c r="F30" s="1168">
        <v>44197</v>
      </c>
      <c r="G30" s="1168"/>
      <c r="H30" s="1168">
        <f>F30</f>
        <v>44197</v>
      </c>
      <c r="I30" s="1168"/>
      <c r="J30" s="1168">
        <v>44562</v>
      </c>
      <c r="K30" s="1168"/>
      <c r="N30" s="1168">
        <v>44927</v>
      </c>
      <c r="O30" s="1168"/>
    </row>
    <row r="31" spans="1:15" ht="14.25" customHeight="1" x14ac:dyDescent="0.2">
      <c r="A31" s="972">
        <v>5</v>
      </c>
      <c r="B31" s="1161" t="s">
        <v>418</v>
      </c>
      <c r="C31" s="1161"/>
      <c r="D31" s="1161"/>
      <c r="E31" s="1161"/>
      <c r="F31" s="1168" t="str">
        <f>Dados!L82</f>
        <v>DF000040/2020</v>
      </c>
      <c r="G31" s="1168"/>
      <c r="H31" s="1168"/>
      <c r="I31" s="1168"/>
      <c r="J31" s="1168" t="s">
        <v>572</v>
      </c>
      <c r="K31" s="1168"/>
      <c r="N31" s="1316" t="s">
        <v>596</v>
      </c>
      <c r="O31" s="1316"/>
    </row>
    <row r="32" spans="1:15" ht="14.25" customHeight="1" x14ac:dyDescent="0.2">
      <c r="A32" s="978"/>
      <c r="B32" s="992"/>
      <c r="C32" s="992"/>
      <c r="D32" s="992"/>
      <c r="E32" s="992"/>
      <c r="F32" s="974"/>
      <c r="G32" s="974"/>
      <c r="N32" s="974"/>
      <c r="O32" s="974"/>
    </row>
    <row r="33" spans="1:15" s="198" customFormat="1" x14ac:dyDescent="0.2">
      <c r="A33" s="1173" t="s">
        <v>25</v>
      </c>
      <c r="B33" s="1173"/>
      <c r="C33" s="1173"/>
      <c r="D33" s="1173"/>
      <c r="E33" s="1173"/>
      <c r="F33" s="1173"/>
      <c r="G33" s="1173"/>
    </row>
    <row r="34" spans="1:15" ht="56.25" customHeight="1" x14ac:dyDescent="0.2">
      <c r="A34" s="966">
        <v>1</v>
      </c>
      <c r="B34" s="1212" t="s">
        <v>77</v>
      </c>
      <c r="C34" s="1212"/>
      <c r="D34" s="1212"/>
      <c r="E34" s="1212"/>
      <c r="F34" s="970" t="s">
        <v>222</v>
      </c>
      <c r="G34" s="970" t="s">
        <v>577</v>
      </c>
      <c r="H34" s="962" t="s">
        <v>222</v>
      </c>
      <c r="I34" s="783" t="s">
        <v>606</v>
      </c>
      <c r="J34" s="962" t="s">
        <v>222</v>
      </c>
      <c r="K34" s="783" t="s">
        <v>607</v>
      </c>
      <c r="L34" s="962" t="s">
        <v>222</v>
      </c>
      <c r="M34" s="783" t="s">
        <v>603</v>
      </c>
      <c r="N34" s="962" t="s">
        <v>222</v>
      </c>
      <c r="O34" s="783" t="s">
        <v>600</v>
      </c>
    </row>
    <row r="35" spans="1:15" x14ac:dyDescent="0.2">
      <c r="A35" s="986" t="s">
        <v>1</v>
      </c>
      <c r="B35" s="967" t="s">
        <v>178</v>
      </c>
      <c r="C35" s="968"/>
      <c r="D35" s="968"/>
      <c r="E35" s="969"/>
      <c r="F35" s="296"/>
      <c r="G35" s="297">
        <v>2708.92</v>
      </c>
      <c r="H35" s="296"/>
      <c r="I35" s="779">
        <f>G35</f>
        <v>2708.92</v>
      </c>
      <c r="J35" s="296"/>
      <c r="K35" s="779">
        <f>ROUND(G35*1.085,2)</f>
        <v>2939.18</v>
      </c>
      <c r="L35" s="296"/>
      <c r="M35" s="779">
        <f>K35</f>
        <v>2939.18</v>
      </c>
      <c r="N35" s="296"/>
      <c r="O35" s="779">
        <v>3111.12</v>
      </c>
    </row>
    <row r="36" spans="1:15" x14ac:dyDescent="0.2">
      <c r="A36" s="986" t="s">
        <v>2</v>
      </c>
      <c r="B36" s="967" t="str">
        <f>Dados!A36 &amp; " " &amp; "- Salário base x 30%"</f>
        <v>Adicional de Periculosidade  - Salário base x 30%</v>
      </c>
      <c r="C36" s="968"/>
      <c r="D36" s="968"/>
      <c r="E36" s="969"/>
      <c r="F36" s="296">
        <f>Dados!G36</f>
        <v>0.3</v>
      </c>
      <c r="G36" s="298">
        <f>G35*F36</f>
        <v>812.68</v>
      </c>
      <c r="H36" s="296">
        <v>0.3</v>
      </c>
      <c r="I36" s="298">
        <f>G36</f>
        <v>812.68</v>
      </c>
      <c r="J36" s="296">
        <v>0.3</v>
      </c>
      <c r="K36" s="298">
        <f>K35*J36</f>
        <v>881.75</v>
      </c>
      <c r="L36" s="296">
        <v>0.3</v>
      </c>
      <c r="M36" s="298">
        <f>M35*L36</f>
        <v>881.75</v>
      </c>
      <c r="N36" s="296">
        <v>0.3</v>
      </c>
      <c r="O36" s="298">
        <f>O35*N36</f>
        <v>933.34</v>
      </c>
    </row>
    <row r="37" spans="1:15" x14ac:dyDescent="0.2">
      <c r="A37" s="986" t="s">
        <v>4</v>
      </c>
      <c r="B37" s="967" t="s">
        <v>255</v>
      </c>
      <c r="C37" s="968"/>
      <c r="D37" s="968"/>
      <c r="E37" s="969"/>
      <c r="F37" s="296"/>
      <c r="G37" s="298"/>
      <c r="H37" s="296"/>
      <c r="I37" s="298"/>
      <c r="J37" s="296"/>
      <c r="K37" s="298"/>
      <c r="L37" s="296"/>
      <c r="M37" s="298"/>
      <c r="N37" s="296"/>
      <c r="O37" s="298"/>
    </row>
    <row r="38" spans="1:15" ht="15" x14ac:dyDescent="0.2">
      <c r="A38" s="986" t="s">
        <v>5</v>
      </c>
      <c r="B38" s="967" t="s">
        <v>437</v>
      </c>
      <c r="C38" s="968"/>
      <c r="D38" s="968"/>
      <c r="E38" s="969"/>
      <c r="F38" s="296">
        <f>Dados!G39</f>
        <v>0.2</v>
      </c>
      <c r="G38" s="298"/>
      <c r="H38" s="296"/>
      <c r="I38" s="298"/>
      <c r="J38" s="296"/>
      <c r="K38" s="298"/>
      <c r="L38" s="296"/>
      <c r="M38" s="298"/>
      <c r="N38" s="296"/>
      <c r="O38" s="298"/>
    </row>
    <row r="39" spans="1:15" x14ac:dyDescent="0.2">
      <c r="A39" s="986" t="s">
        <v>6</v>
      </c>
      <c r="B39" s="967" t="s">
        <v>206</v>
      </c>
      <c r="C39" s="968"/>
      <c r="D39" s="968"/>
      <c r="E39" s="969"/>
      <c r="F39" s="296"/>
      <c r="G39" s="298"/>
      <c r="H39" s="296"/>
      <c r="I39" s="298"/>
      <c r="J39" s="296"/>
      <c r="K39" s="298"/>
      <c r="L39" s="296"/>
      <c r="M39" s="298"/>
      <c r="N39" s="296"/>
      <c r="O39" s="298"/>
    </row>
    <row r="40" spans="1:15" x14ac:dyDescent="0.2">
      <c r="A40" s="986" t="s">
        <v>7</v>
      </c>
      <c r="B40" s="967" t="s">
        <v>51</v>
      </c>
      <c r="C40" s="968"/>
      <c r="D40" s="968"/>
      <c r="E40" s="969"/>
      <c r="F40" s="296"/>
      <c r="G40" s="298"/>
      <c r="H40" s="296"/>
      <c r="I40" s="298"/>
      <c r="J40" s="296"/>
      <c r="K40" s="298"/>
      <c r="L40" s="296"/>
      <c r="M40" s="298"/>
      <c r="N40" s="296"/>
      <c r="O40" s="298"/>
    </row>
    <row r="41" spans="1:15" ht="16.5" customHeight="1" x14ac:dyDescent="0.2">
      <c r="A41" s="1172" t="s">
        <v>159</v>
      </c>
      <c r="B41" s="1172"/>
      <c r="C41" s="1172"/>
      <c r="D41" s="1172"/>
      <c r="E41" s="1172"/>
      <c r="F41" s="1172"/>
      <c r="G41" s="706">
        <f>SUM(G35:G40)</f>
        <v>3521.6</v>
      </c>
      <c r="H41" s="881" t="s">
        <v>159</v>
      </c>
      <c r="I41" s="706">
        <f>SUM(I35:I40)</f>
        <v>3521.6</v>
      </c>
      <c r="J41" s="881" t="s">
        <v>159</v>
      </c>
      <c r="K41" s="706">
        <f>SUM(K35:K40)</f>
        <v>3820.93</v>
      </c>
      <c r="L41" s="881" t="s">
        <v>159</v>
      </c>
      <c r="M41" s="706">
        <f>SUM(M35:M40)</f>
        <v>3820.93</v>
      </c>
      <c r="N41" s="881" t="s">
        <v>159</v>
      </c>
      <c r="O41" s="706">
        <f>SUM(O35:O40)</f>
        <v>4044.46</v>
      </c>
    </row>
    <row r="42" spans="1:15" s="34" customFormat="1" x14ac:dyDescent="0.2">
      <c r="A42" s="71" t="s">
        <v>207</v>
      </c>
      <c r="B42" s="71"/>
      <c r="C42" s="71"/>
      <c r="D42" s="71"/>
      <c r="E42" s="71"/>
      <c r="F42" s="196"/>
      <c r="G42" s="197"/>
    </row>
    <row r="43" spans="1:15" s="34" customFormat="1" ht="14.25" hidden="1" customHeight="1" x14ac:dyDescent="0.2">
      <c r="A43" s="1185" t="s">
        <v>208</v>
      </c>
      <c r="B43" s="1185"/>
      <c r="C43" s="1185"/>
      <c r="D43" s="1185"/>
      <c r="E43" s="1185"/>
      <c r="F43" s="1185"/>
      <c r="G43" s="1185"/>
    </row>
    <row r="44" spans="1:15" s="34" customFormat="1" hidden="1" x14ac:dyDescent="0.2">
      <c r="A44" s="1185"/>
      <c r="B44" s="1185"/>
      <c r="C44" s="1185"/>
      <c r="D44" s="1185"/>
      <c r="E44" s="1185"/>
      <c r="F44" s="1185"/>
      <c r="G44" s="1185"/>
    </row>
    <row r="45" spans="1:15" s="34" customFormat="1" x14ac:dyDescent="0.2">
      <c r="A45" s="71"/>
      <c r="B45" s="71"/>
      <c r="C45" s="71"/>
      <c r="D45" s="71"/>
      <c r="E45" s="71"/>
      <c r="F45" s="196"/>
      <c r="G45" s="197"/>
    </row>
    <row r="46" spans="1:15" s="34" customFormat="1" ht="14.25" customHeight="1" x14ac:dyDescent="0.2">
      <c r="A46" s="1178" t="s">
        <v>209</v>
      </c>
      <c r="B46" s="1179"/>
      <c r="C46" s="1179"/>
      <c r="D46" s="1179"/>
      <c r="E46" s="1179"/>
      <c r="F46" s="1179"/>
      <c r="G46" s="1179"/>
      <c r="H46" s="1179"/>
      <c r="I46" s="1179"/>
      <c r="J46" s="1179"/>
      <c r="K46" s="1180"/>
    </row>
    <row r="47" spans="1:15" s="34" customFormat="1" x14ac:dyDescent="0.2">
      <c r="A47" s="1221" t="s">
        <v>216</v>
      </c>
      <c r="B47" s="1222"/>
      <c r="C47" s="1222"/>
      <c r="D47" s="1222"/>
      <c r="E47" s="1222"/>
      <c r="F47" s="1222"/>
      <c r="G47" s="1222"/>
      <c r="H47" s="1222"/>
      <c r="I47" s="1222"/>
      <c r="J47" s="1222"/>
      <c r="K47" s="1223"/>
    </row>
    <row r="48" spans="1:15" s="34" customFormat="1" ht="13.9" customHeight="1" x14ac:dyDescent="0.2">
      <c r="A48" s="970" t="s">
        <v>211</v>
      </c>
      <c r="B48" s="1218" t="s">
        <v>223</v>
      </c>
      <c r="C48" s="1218"/>
      <c r="D48" s="1218"/>
      <c r="E48" s="1218"/>
      <c r="F48" s="970" t="s">
        <v>222</v>
      </c>
      <c r="G48" s="966" t="s">
        <v>107</v>
      </c>
      <c r="H48" s="970" t="s">
        <v>222</v>
      </c>
      <c r="I48" s="966" t="s">
        <v>107</v>
      </c>
      <c r="J48" s="970" t="s">
        <v>222</v>
      </c>
      <c r="K48" s="966" t="s">
        <v>107</v>
      </c>
      <c r="L48" s="962" t="s">
        <v>222</v>
      </c>
      <c r="M48" s="963" t="s">
        <v>107</v>
      </c>
      <c r="N48" s="962" t="s">
        <v>222</v>
      </c>
      <c r="O48" s="963" t="s">
        <v>107</v>
      </c>
    </row>
    <row r="49" spans="1:15" s="34" customFormat="1" x14ac:dyDescent="0.2">
      <c r="A49" s="972" t="s">
        <v>1</v>
      </c>
      <c r="B49" s="313" t="str">
        <f>Dados!B76</f>
        <v xml:space="preserve">13º (décimo terceiro) salário  </v>
      </c>
      <c r="C49" s="122"/>
      <c r="D49" s="315"/>
      <c r="E49" s="304"/>
      <c r="F49" s="308">
        <f>Dados!G76</f>
        <v>9.0899999999999995E-2</v>
      </c>
      <c r="G49" s="980">
        <f>F49*$G$41</f>
        <v>320.11</v>
      </c>
      <c r="H49" s="308">
        <v>9.0899999999999995E-2</v>
      </c>
      <c r="I49" s="980">
        <f>G49</f>
        <v>320.11</v>
      </c>
      <c r="J49" s="308">
        <v>9.0899999999999995E-2</v>
      </c>
      <c r="K49" s="980">
        <f>J49*$K$41</f>
        <v>347.32</v>
      </c>
      <c r="L49" s="308">
        <v>9.0899999999999995E-2</v>
      </c>
      <c r="M49" s="980">
        <f>L49*$K$41</f>
        <v>347.32</v>
      </c>
      <c r="N49" s="308">
        <v>9.0899999999999995E-2</v>
      </c>
      <c r="O49" s="980">
        <f>N49*$O$41</f>
        <v>367.64</v>
      </c>
    </row>
    <row r="50" spans="1:15" s="34" customFormat="1" x14ac:dyDescent="0.2">
      <c r="A50" s="972" t="s">
        <v>2</v>
      </c>
      <c r="B50" s="1215" t="str">
        <f>Dados!B77</f>
        <v>Férias e Adicional de Férias</v>
      </c>
      <c r="C50" s="1215"/>
      <c r="D50" s="1215"/>
      <c r="E50" s="1215"/>
      <c r="F50" s="308">
        <f>Dados!G77</f>
        <v>0.1212</v>
      </c>
      <c r="G50" s="980">
        <f>F50*$G$41</f>
        <v>426.82</v>
      </c>
      <c r="H50" s="308">
        <v>0.1212</v>
      </c>
      <c r="I50" s="980">
        <f>G50</f>
        <v>426.82</v>
      </c>
      <c r="J50" s="308">
        <v>0.1212</v>
      </c>
      <c r="K50" s="980">
        <f>J50*$K$41</f>
        <v>463.1</v>
      </c>
      <c r="L50" s="308">
        <v>0.1212</v>
      </c>
      <c r="M50" s="980">
        <f>L50*$K$41</f>
        <v>463.1</v>
      </c>
      <c r="N50" s="308">
        <v>0.1212</v>
      </c>
      <c r="O50" s="980">
        <f>N50*$O$41</f>
        <v>490.19</v>
      </c>
    </row>
    <row r="51" spans="1:15" s="34" customFormat="1" ht="18.75" customHeight="1" x14ac:dyDescent="0.2">
      <c r="A51" s="1172" t="s">
        <v>159</v>
      </c>
      <c r="B51" s="1172"/>
      <c r="C51" s="1172"/>
      <c r="D51" s="1172"/>
      <c r="E51" s="1172"/>
      <c r="F51" s="311">
        <f t="shared" ref="F51:M51" si="0">SUM(F49:F50)</f>
        <v>0.21210000000000001</v>
      </c>
      <c r="G51" s="981">
        <f t="shared" si="0"/>
        <v>746.93</v>
      </c>
      <c r="H51" s="311">
        <f t="shared" ref="H51:I51" si="1">SUM(H49:H50)</f>
        <v>0.21210000000000001</v>
      </c>
      <c r="I51" s="981">
        <f t="shared" si="1"/>
        <v>746.93</v>
      </c>
      <c r="J51" s="311">
        <f t="shared" si="0"/>
        <v>0.21210000000000001</v>
      </c>
      <c r="K51" s="981">
        <f t="shared" si="0"/>
        <v>810.42</v>
      </c>
      <c r="L51" s="311">
        <f t="shared" si="0"/>
        <v>0.21210000000000001</v>
      </c>
      <c r="M51" s="981">
        <f t="shared" si="0"/>
        <v>810.42</v>
      </c>
      <c r="N51" s="311">
        <f t="shared" ref="N51:O51" si="2">SUM(N49:N50)</f>
        <v>0.21210000000000001</v>
      </c>
      <c r="O51" s="981">
        <f t="shared" si="2"/>
        <v>857.83</v>
      </c>
    </row>
    <row r="52" spans="1:15" s="34" customFormat="1" x14ac:dyDescent="0.2">
      <c r="A52" s="1185" t="s">
        <v>215</v>
      </c>
      <c r="B52" s="1185"/>
      <c r="C52" s="1185"/>
      <c r="D52" s="1185"/>
      <c r="E52" s="1185"/>
      <c r="F52" s="1185"/>
      <c r="G52" s="1185"/>
    </row>
    <row r="53" spans="1:15" s="34" customFormat="1" x14ac:dyDescent="0.2">
      <c r="A53" s="1185"/>
      <c r="B53" s="1185"/>
      <c r="C53" s="1185"/>
      <c r="D53" s="1185"/>
      <c r="E53" s="1185"/>
      <c r="F53" s="1185"/>
      <c r="G53" s="1185"/>
    </row>
    <row r="54" spans="1:15" s="34" customFormat="1" x14ac:dyDescent="0.2">
      <c r="A54" s="1295" t="s">
        <v>478</v>
      </c>
      <c r="B54" s="1185"/>
      <c r="C54" s="1185"/>
      <c r="D54" s="1185"/>
      <c r="E54" s="1185"/>
      <c r="F54" s="1185"/>
      <c r="G54" s="1185"/>
    </row>
    <row r="55" spans="1:15" s="34" customFormat="1" x14ac:dyDescent="0.2">
      <c r="A55" s="1185"/>
      <c r="B55" s="1185"/>
      <c r="C55" s="1185"/>
      <c r="D55" s="1185"/>
      <c r="E55" s="1185"/>
      <c r="F55" s="1185"/>
      <c r="G55" s="1185"/>
    </row>
    <row r="56" spans="1:15" s="34" customFormat="1" x14ac:dyDescent="0.2">
      <c r="A56" s="1185" t="s">
        <v>419</v>
      </c>
      <c r="B56" s="1185"/>
      <c r="C56" s="1185"/>
      <c r="D56" s="1185"/>
      <c r="E56" s="1185"/>
      <c r="F56" s="1185"/>
      <c r="G56" s="1185"/>
    </row>
    <row r="57" spans="1:15" s="34" customFormat="1" x14ac:dyDescent="0.2">
      <c r="A57" s="1185"/>
      <c r="B57" s="1185"/>
      <c r="C57" s="1185"/>
      <c r="D57" s="1185"/>
      <c r="E57" s="1185"/>
      <c r="F57" s="1185"/>
      <c r="G57" s="1185"/>
    </row>
    <row r="58" spans="1:15" s="34" customFormat="1" x14ac:dyDescent="0.2">
      <c r="A58" s="964"/>
      <c r="B58" s="964"/>
      <c r="C58" s="964"/>
      <c r="D58" s="964"/>
      <c r="E58" s="964"/>
      <c r="F58" s="964"/>
      <c r="G58" s="964"/>
    </row>
    <row r="59" spans="1:15" s="34" customFormat="1" ht="59.45" customHeight="1" x14ac:dyDescent="0.2">
      <c r="A59" s="1174" t="s">
        <v>420</v>
      </c>
      <c r="B59" s="1174"/>
      <c r="C59" s="1174"/>
      <c r="D59" s="1174"/>
      <c r="E59" s="1174"/>
      <c r="F59" s="1174"/>
      <c r="G59" s="963" t="s">
        <v>107</v>
      </c>
      <c r="H59" s="729" t="s">
        <v>420</v>
      </c>
      <c r="I59" s="963" t="s">
        <v>107</v>
      </c>
      <c r="J59" s="729" t="s">
        <v>420</v>
      </c>
      <c r="K59" s="963" t="s">
        <v>107</v>
      </c>
      <c r="L59" s="729" t="s">
        <v>420</v>
      </c>
      <c r="M59" s="963" t="s">
        <v>107</v>
      </c>
      <c r="N59" s="729" t="s">
        <v>420</v>
      </c>
      <c r="O59" s="963" t="s">
        <v>107</v>
      </c>
    </row>
    <row r="60" spans="1:15" s="34" customFormat="1" x14ac:dyDescent="0.2">
      <c r="A60" s="972">
        <v>1</v>
      </c>
      <c r="B60" s="313" t="str">
        <f>A33</f>
        <v>Módulo 1 - Composição da Remuneração</v>
      </c>
      <c r="C60" s="122"/>
      <c r="D60" s="315"/>
      <c r="E60" s="315"/>
      <c r="F60" s="979"/>
      <c r="G60" s="980">
        <f>G41</f>
        <v>3521.6</v>
      </c>
      <c r="H60" s="616"/>
      <c r="I60" s="980">
        <f>I41</f>
        <v>3521.6</v>
      </c>
      <c r="J60" s="616"/>
      <c r="K60" s="980">
        <f>K41</f>
        <v>3820.93</v>
      </c>
      <c r="L60" s="616"/>
      <c r="M60" s="980">
        <f>M41</f>
        <v>3820.93</v>
      </c>
      <c r="N60" s="616"/>
      <c r="O60" s="980">
        <f>O41</f>
        <v>4044.46</v>
      </c>
    </row>
    <row r="61" spans="1:15" s="34" customFormat="1" x14ac:dyDescent="0.2">
      <c r="A61" s="972" t="s">
        <v>211</v>
      </c>
      <c r="B61" s="313" t="str">
        <f>A47</f>
        <v>Submódulo 2.1 - 13º (décimo terceiro) Salário, Férias e Adicional de Férias</v>
      </c>
      <c r="C61" s="122"/>
      <c r="D61" s="315"/>
      <c r="E61" s="315"/>
      <c r="F61" s="979"/>
      <c r="G61" s="980">
        <f>G51</f>
        <v>746.93</v>
      </c>
      <c r="H61" s="882"/>
      <c r="I61" s="980">
        <f>I51</f>
        <v>746.93</v>
      </c>
      <c r="J61" s="882"/>
      <c r="K61" s="980">
        <f>K51</f>
        <v>810.42</v>
      </c>
      <c r="L61" s="882"/>
      <c r="M61" s="980">
        <f>M51</f>
        <v>810.42</v>
      </c>
      <c r="N61" s="882"/>
      <c r="O61" s="980">
        <f>O51</f>
        <v>857.83</v>
      </c>
    </row>
    <row r="62" spans="1:15" s="34" customFormat="1" x14ac:dyDescent="0.2">
      <c r="A62" s="1202" t="s">
        <v>241</v>
      </c>
      <c r="B62" s="1202"/>
      <c r="C62" s="1202"/>
      <c r="D62" s="1202"/>
      <c r="E62" s="1202"/>
      <c r="F62" s="1202"/>
      <c r="G62" s="981">
        <f>SUM(G60:G61)</f>
        <v>4268.53</v>
      </c>
      <c r="H62" s="973" t="s">
        <v>159</v>
      </c>
      <c r="I62" s="981">
        <f>SUM(I60:I61)</f>
        <v>4268.53</v>
      </c>
      <c r="J62" s="973" t="s">
        <v>159</v>
      </c>
      <c r="K62" s="981">
        <f>SUM(K60:K61)</f>
        <v>4631.3500000000004</v>
      </c>
      <c r="L62" s="973" t="s">
        <v>159</v>
      </c>
      <c r="M62" s="981">
        <f>SUM(M60:M61)</f>
        <v>4631.3500000000004</v>
      </c>
      <c r="N62" s="973" t="s">
        <v>159</v>
      </c>
      <c r="O62" s="981">
        <f>SUM(O60:O61)</f>
        <v>4902.29</v>
      </c>
    </row>
    <row r="63" spans="1:15" s="34" customFormat="1" x14ac:dyDescent="0.2">
      <c r="A63" s="964"/>
      <c r="B63" s="964"/>
      <c r="C63" s="964"/>
      <c r="D63" s="964"/>
      <c r="E63" s="964"/>
      <c r="F63" s="964"/>
      <c r="G63" s="964"/>
    </row>
    <row r="64" spans="1:15" x14ac:dyDescent="0.2">
      <c r="A64" s="1221" t="s">
        <v>217</v>
      </c>
      <c r="B64" s="1222"/>
      <c r="C64" s="1222"/>
      <c r="D64" s="1222"/>
      <c r="E64" s="1222"/>
      <c r="F64" s="1222"/>
      <c r="G64" s="1222"/>
      <c r="H64" s="1222"/>
      <c r="I64" s="1222"/>
      <c r="J64" s="1222"/>
      <c r="K64" s="1223"/>
      <c r="L64" s="887"/>
      <c r="M64" s="886"/>
      <c r="N64" s="887"/>
      <c r="O64" s="886"/>
    </row>
    <row r="65" spans="1:15" x14ac:dyDescent="0.2">
      <c r="A65" s="970" t="s">
        <v>210</v>
      </c>
      <c r="B65" s="1218" t="s">
        <v>221</v>
      </c>
      <c r="C65" s="1218"/>
      <c r="D65" s="1218"/>
      <c r="E65" s="1218"/>
      <c r="F65" s="970" t="s">
        <v>222</v>
      </c>
      <c r="G65" s="966" t="s">
        <v>107</v>
      </c>
      <c r="H65" s="970" t="s">
        <v>222</v>
      </c>
      <c r="I65" s="966" t="s">
        <v>107</v>
      </c>
      <c r="J65" s="970" t="s">
        <v>222</v>
      </c>
      <c r="K65" s="966" t="s">
        <v>107</v>
      </c>
      <c r="L65" s="970" t="s">
        <v>222</v>
      </c>
      <c r="M65" s="966" t="s">
        <v>107</v>
      </c>
      <c r="N65" s="970" t="s">
        <v>222</v>
      </c>
      <c r="O65" s="966" t="s">
        <v>107</v>
      </c>
    </row>
    <row r="66" spans="1:15" x14ac:dyDescent="0.2">
      <c r="A66" s="972" t="s">
        <v>1</v>
      </c>
      <c r="B66" s="313" t="str">
        <f>Dados!B80</f>
        <v>INSS</v>
      </c>
      <c r="C66" s="122"/>
      <c r="D66" s="315"/>
      <c r="E66" s="304"/>
      <c r="F66" s="308">
        <f>Dados!G80</f>
        <v>0.2</v>
      </c>
      <c r="G66" s="980">
        <f>$G$62*F66</f>
        <v>853.71</v>
      </c>
      <c r="H66" s="308">
        <f>F66</f>
        <v>0.2</v>
      </c>
      <c r="I66" s="980">
        <f>$I$62*H66</f>
        <v>853.71</v>
      </c>
      <c r="J66" s="308">
        <f>Mem.Encargos!U18</f>
        <v>0.2</v>
      </c>
      <c r="K66" s="980">
        <f>$K$62*J66</f>
        <v>926.27</v>
      </c>
      <c r="L66" s="308">
        <f>J66</f>
        <v>0.2</v>
      </c>
      <c r="M66" s="980">
        <f>$K$62*L66</f>
        <v>926.27</v>
      </c>
      <c r="N66" s="308">
        <f>L66</f>
        <v>0.2</v>
      </c>
      <c r="O66" s="980">
        <f t="shared" ref="O66:O73" si="3">$O$62*N66</f>
        <v>980.46</v>
      </c>
    </row>
    <row r="67" spans="1:15" x14ac:dyDescent="0.2">
      <c r="A67" s="972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980">
        <f t="shared" ref="G67:G73" si="4">$G$62*F67</f>
        <v>106.71</v>
      </c>
      <c r="H67" s="308">
        <f t="shared" ref="H67:H73" si="5">F67</f>
        <v>2.5000000000000001E-2</v>
      </c>
      <c r="I67" s="980">
        <f t="shared" ref="I67:I73" si="6">$I$62*H67</f>
        <v>106.71</v>
      </c>
      <c r="J67" s="308">
        <f>Mem.Encargos!U19</f>
        <v>2.5000000000000001E-2</v>
      </c>
      <c r="K67" s="980">
        <f t="shared" ref="K67:M73" si="7">$K$62*J67</f>
        <v>115.78</v>
      </c>
      <c r="L67" s="308">
        <f t="shared" ref="L67:L73" si="8">J67</f>
        <v>2.5000000000000001E-2</v>
      </c>
      <c r="M67" s="980">
        <f t="shared" si="7"/>
        <v>115.78</v>
      </c>
      <c r="N67" s="308">
        <f t="shared" ref="N67:N73" si="9">L67</f>
        <v>2.5000000000000001E-2</v>
      </c>
      <c r="O67" s="980">
        <f t="shared" si="3"/>
        <v>122.56</v>
      </c>
    </row>
    <row r="68" spans="1:15" x14ac:dyDescent="0.2">
      <c r="A68" s="972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v>2.5700000000000001E-2</v>
      </c>
      <c r="G68" s="980">
        <f t="shared" si="4"/>
        <v>109.7</v>
      </c>
      <c r="H68" s="308">
        <f t="shared" si="5"/>
        <v>2.5700000000000001E-2</v>
      </c>
      <c r="I68" s="980">
        <f t="shared" si="6"/>
        <v>109.7</v>
      </c>
      <c r="J68" s="308">
        <f>Mem.Encargos!U20</f>
        <v>2.7400000000000001E-2</v>
      </c>
      <c r="K68" s="980">
        <f t="shared" si="7"/>
        <v>126.9</v>
      </c>
      <c r="L68" s="308">
        <f t="shared" si="8"/>
        <v>2.7400000000000001E-2</v>
      </c>
      <c r="M68" s="980">
        <f t="shared" si="7"/>
        <v>126.9</v>
      </c>
      <c r="N68" s="1010">
        <f>Mem.Encargos!AB20</f>
        <v>3.4000000000000002E-2</v>
      </c>
      <c r="O68" s="980">
        <f t="shared" si="3"/>
        <v>166.68</v>
      </c>
    </row>
    <row r="69" spans="1:15" x14ac:dyDescent="0.2">
      <c r="A69" s="972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980">
        <f t="shared" si="4"/>
        <v>64.03</v>
      </c>
      <c r="H69" s="308">
        <f t="shared" si="5"/>
        <v>1.4999999999999999E-2</v>
      </c>
      <c r="I69" s="980">
        <f t="shared" si="6"/>
        <v>64.03</v>
      </c>
      <c r="J69" s="308">
        <f t="shared" ref="J69:J73" si="10">F69</f>
        <v>1.4999999999999999E-2</v>
      </c>
      <c r="K69" s="980">
        <f t="shared" si="7"/>
        <v>69.47</v>
      </c>
      <c r="L69" s="308">
        <f t="shared" si="8"/>
        <v>1.4999999999999999E-2</v>
      </c>
      <c r="M69" s="980">
        <f t="shared" si="7"/>
        <v>69.47</v>
      </c>
      <c r="N69" s="308">
        <f t="shared" si="9"/>
        <v>1.4999999999999999E-2</v>
      </c>
      <c r="O69" s="980">
        <f t="shared" si="3"/>
        <v>73.53</v>
      </c>
    </row>
    <row r="70" spans="1:15" x14ac:dyDescent="0.2">
      <c r="A70" s="972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980">
        <f t="shared" si="4"/>
        <v>42.69</v>
      </c>
      <c r="H70" s="308">
        <f t="shared" si="5"/>
        <v>0.01</v>
      </c>
      <c r="I70" s="980">
        <f t="shared" si="6"/>
        <v>42.69</v>
      </c>
      <c r="J70" s="308">
        <f t="shared" si="10"/>
        <v>0.01</v>
      </c>
      <c r="K70" s="980">
        <f t="shared" si="7"/>
        <v>46.31</v>
      </c>
      <c r="L70" s="308">
        <f t="shared" si="8"/>
        <v>0.01</v>
      </c>
      <c r="M70" s="980">
        <f t="shared" si="7"/>
        <v>46.31</v>
      </c>
      <c r="N70" s="308">
        <f t="shared" si="9"/>
        <v>0.01</v>
      </c>
      <c r="O70" s="980">
        <f t="shared" si="3"/>
        <v>49.02</v>
      </c>
    </row>
    <row r="71" spans="1:15" x14ac:dyDescent="0.2">
      <c r="A71" s="972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980">
        <f t="shared" si="4"/>
        <v>25.61</v>
      </c>
      <c r="H71" s="308">
        <f t="shared" si="5"/>
        <v>6.0000000000000001E-3</v>
      </c>
      <c r="I71" s="980">
        <f t="shared" si="6"/>
        <v>25.61</v>
      </c>
      <c r="J71" s="308">
        <f t="shared" si="10"/>
        <v>6.0000000000000001E-3</v>
      </c>
      <c r="K71" s="980">
        <f t="shared" si="7"/>
        <v>27.79</v>
      </c>
      <c r="L71" s="308">
        <f t="shared" si="8"/>
        <v>6.0000000000000001E-3</v>
      </c>
      <c r="M71" s="980">
        <f t="shared" si="7"/>
        <v>27.79</v>
      </c>
      <c r="N71" s="308">
        <f t="shared" si="9"/>
        <v>6.0000000000000001E-3</v>
      </c>
      <c r="O71" s="980">
        <f t="shared" si="3"/>
        <v>29.41</v>
      </c>
    </row>
    <row r="72" spans="1:15" x14ac:dyDescent="0.2">
      <c r="A72" s="972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980">
        <f t="shared" si="4"/>
        <v>8.5399999999999991</v>
      </c>
      <c r="H72" s="308">
        <f t="shared" si="5"/>
        <v>2E-3</v>
      </c>
      <c r="I72" s="980">
        <f t="shared" si="6"/>
        <v>8.5399999999999991</v>
      </c>
      <c r="J72" s="308">
        <f t="shared" si="10"/>
        <v>2E-3</v>
      </c>
      <c r="K72" s="980">
        <f t="shared" si="7"/>
        <v>9.26</v>
      </c>
      <c r="L72" s="308">
        <f t="shared" si="8"/>
        <v>2E-3</v>
      </c>
      <c r="M72" s="980">
        <f t="shared" si="7"/>
        <v>9.26</v>
      </c>
      <c r="N72" s="308">
        <f t="shared" si="9"/>
        <v>2E-3</v>
      </c>
      <c r="O72" s="980">
        <f t="shared" si="3"/>
        <v>9.8000000000000007</v>
      </c>
    </row>
    <row r="73" spans="1:15" x14ac:dyDescent="0.2">
      <c r="A73" s="971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4"/>
        <v>341.48</v>
      </c>
      <c r="H73" s="308">
        <f t="shared" si="5"/>
        <v>0.08</v>
      </c>
      <c r="I73" s="980">
        <f t="shared" si="6"/>
        <v>341.48</v>
      </c>
      <c r="J73" s="308">
        <f t="shared" si="10"/>
        <v>0.08</v>
      </c>
      <c r="K73" s="980">
        <f t="shared" si="7"/>
        <v>370.51</v>
      </c>
      <c r="L73" s="308">
        <f t="shared" si="8"/>
        <v>0.08</v>
      </c>
      <c r="M73" s="980">
        <f t="shared" si="7"/>
        <v>370.51</v>
      </c>
      <c r="N73" s="308">
        <f t="shared" si="9"/>
        <v>0.08</v>
      </c>
      <c r="O73" s="980">
        <f t="shared" si="3"/>
        <v>392.18</v>
      </c>
    </row>
    <row r="74" spans="1:15" ht="15.75" customHeight="1" x14ac:dyDescent="0.2">
      <c r="A74" s="1172" t="s">
        <v>159</v>
      </c>
      <c r="B74" s="1172"/>
      <c r="C74" s="1172"/>
      <c r="D74" s="1172"/>
      <c r="E74" s="1172"/>
      <c r="F74" s="311">
        <f t="shared" ref="F74:M74" si="11">SUM(F66:F73)</f>
        <v>0.36370000000000002</v>
      </c>
      <c r="G74" s="981">
        <f t="shared" si="11"/>
        <v>1552.47</v>
      </c>
      <c r="H74" s="311">
        <f t="shared" ref="H74:I74" si="12">SUM(H66:H73)</f>
        <v>0.36370000000000002</v>
      </c>
      <c r="I74" s="981">
        <f t="shared" si="12"/>
        <v>1552.47</v>
      </c>
      <c r="J74" s="311">
        <f t="shared" si="11"/>
        <v>0.3654</v>
      </c>
      <c r="K74" s="981">
        <f t="shared" si="11"/>
        <v>1692.29</v>
      </c>
      <c r="L74" s="311">
        <f t="shared" si="11"/>
        <v>0.3654</v>
      </c>
      <c r="M74" s="981">
        <f t="shared" si="11"/>
        <v>1692.29</v>
      </c>
      <c r="N74" s="311">
        <f t="shared" ref="N74:O74" si="13">SUM(N66:N73)</f>
        <v>0.372</v>
      </c>
      <c r="O74" s="981">
        <f t="shared" si="13"/>
        <v>1823.64</v>
      </c>
    </row>
    <row r="75" spans="1:15" x14ac:dyDescent="0.2">
      <c r="A75" s="1185" t="s">
        <v>432</v>
      </c>
      <c r="B75" s="1185"/>
      <c r="C75" s="1185"/>
      <c r="D75" s="1185"/>
      <c r="E75" s="1185"/>
      <c r="F75" s="1185"/>
      <c r="G75" s="1185"/>
    </row>
    <row r="76" spans="1:15" x14ac:dyDescent="0.2">
      <c r="A76" s="1185" t="s">
        <v>430</v>
      </c>
      <c r="B76" s="1185"/>
      <c r="C76" s="1185"/>
      <c r="D76" s="1185"/>
      <c r="E76" s="1185"/>
      <c r="F76" s="1185"/>
      <c r="G76" s="1185"/>
    </row>
    <row r="77" spans="1:15" ht="30.75" customHeight="1" x14ac:dyDescent="0.2">
      <c r="A77" s="1295" t="s">
        <v>480</v>
      </c>
      <c r="B77" s="1185"/>
      <c r="C77" s="1185"/>
      <c r="D77" s="1185"/>
      <c r="E77" s="1185"/>
      <c r="F77" s="1185"/>
      <c r="G77" s="1185"/>
    </row>
    <row r="78" spans="1:15" x14ac:dyDescent="0.2">
      <c r="A78" s="730" t="s">
        <v>552</v>
      </c>
      <c r="B78" s="261"/>
      <c r="C78" s="261"/>
      <c r="D78" s="261"/>
      <c r="E78" s="261"/>
      <c r="F78" s="261"/>
      <c r="G78" s="261"/>
    </row>
    <row r="79" spans="1:15" x14ac:dyDescent="0.2">
      <c r="A79" s="71" t="s">
        <v>431</v>
      </c>
      <c r="B79" s="261"/>
      <c r="C79" s="261"/>
      <c r="D79" s="261"/>
      <c r="E79" s="261"/>
      <c r="F79" s="261"/>
      <c r="G79" s="261"/>
    </row>
    <row r="80" spans="1:15" x14ac:dyDescent="0.2">
      <c r="A80" s="195" t="s">
        <v>551</v>
      </c>
      <c r="B80" s="261"/>
      <c r="C80" s="261"/>
      <c r="D80" s="261"/>
      <c r="E80" s="261"/>
      <c r="F80" s="261"/>
      <c r="G80" s="261"/>
    </row>
    <row r="81" spans="1:15" ht="15" x14ac:dyDescent="0.2">
      <c r="A81" s="715"/>
      <c r="B81" s="261"/>
      <c r="C81" s="261"/>
      <c r="D81" s="261"/>
      <c r="E81" s="261"/>
      <c r="F81" s="261"/>
      <c r="G81" s="261"/>
    </row>
    <row r="82" spans="1:15" x14ac:dyDescent="0.2">
      <c r="A82" s="1206" t="s">
        <v>218</v>
      </c>
      <c r="B82" s="1207"/>
      <c r="C82" s="1207"/>
      <c r="D82" s="1207"/>
      <c r="E82" s="1207"/>
      <c r="F82" s="1207"/>
      <c r="G82" s="1207"/>
      <c r="H82" s="1207"/>
      <c r="I82" s="1207"/>
      <c r="J82" s="1207"/>
      <c r="K82" s="1207"/>
    </row>
    <row r="83" spans="1:15" x14ac:dyDescent="0.2">
      <c r="A83" s="970" t="s">
        <v>219</v>
      </c>
      <c r="B83" s="1218" t="s">
        <v>22</v>
      </c>
      <c r="C83" s="1218"/>
      <c r="D83" s="1218"/>
      <c r="E83" s="1218"/>
      <c r="F83" s="970" t="s">
        <v>222</v>
      </c>
      <c r="G83" s="966" t="s">
        <v>107</v>
      </c>
      <c r="H83" s="962" t="s">
        <v>222</v>
      </c>
      <c r="I83" s="963" t="s">
        <v>107</v>
      </c>
      <c r="J83" s="962" t="s">
        <v>222</v>
      </c>
      <c r="K83" s="963" t="s">
        <v>107</v>
      </c>
      <c r="L83" s="962" t="s">
        <v>222</v>
      </c>
      <c r="M83" s="963" t="s">
        <v>107</v>
      </c>
      <c r="N83" s="962" t="s">
        <v>222</v>
      </c>
      <c r="O83" s="963" t="s">
        <v>107</v>
      </c>
    </row>
    <row r="84" spans="1:15" x14ac:dyDescent="0.2">
      <c r="A84" s="1193" t="s">
        <v>1</v>
      </c>
      <c r="B84" s="967" t="s">
        <v>529</v>
      </c>
      <c r="C84" s="968"/>
      <c r="D84" s="976"/>
      <c r="E84" s="975">
        <f>INDEX(Dados!$J$27:$M$32,MATCH($C$23,Dados!$J$27:$J$32,0),4)</f>
        <v>22</v>
      </c>
      <c r="F84" s="983">
        <f>Dados!J45</f>
        <v>11</v>
      </c>
      <c r="G84" s="982">
        <f>$E$84*F84*$F$13</f>
        <v>242</v>
      </c>
      <c r="H84" s="983">
        <v>11</v>
      </c>
      <c r="I84" s="982">
        <f>$E$84*H84*$F$13</f>
        <v>242</v>
      </c>
      <c r="J84" s="983">
        <v>11</v>
      </c>
      <c r="K84" s="982">
        <f>$E$84*J84*$F$13</f>
        <v>242</v>
      </c>
      <c r="L84" s="983">
        <v>11</v>
      </c>
      <c r="M84" s="982">
        <f>$E$84*L84*$F$13</f>
        <v>242</v>
      </c>
      <c r="N84" s="983">
        <v>11</v>
      </c>
      <c r="O84" s="982">
        <f>$E$84*N84*$F$13</f>
        <v>242</v>
      </c>
    </row>
    <row r="85" spans="1:15" x14ac:dyDescent="0.2">
      <c r="A85" s="1193"/>
      <c r="B85" s="967" t="str">
        <f>Dados!A46</f>
        <v>Desconto Legal sobre o salário</v>
      </c>
      <c r="C85" s="968"/>
      <c r="D85" s="976"/>
      <c r="E85" s="977"/>
      <c r="F85" s="300">
        <f>Dados!J46</f>
        <v>0.06</v>
      </c>
      <c r="G85" s="983">
        <f>-MIN(G84,(F85*G35))</f>
        <v>-162.54</v>
      </c>
      <c r="H85" s="300">
        <v>0.06</v>
      </c>
      <c r="I85" s="983">
        <f>-MIN(I84,(H85*I35))</f>
        <v>-162.54</v>
      </c>
      <c r="J85" s="300">
        <v>0.06</v>
      </c>
      <c r="K85" s="983">
        <f>-MIN(K84,(J85*K35))</f>
        <v>-176.35</v>
      </c>
      <c r="L85" s="300">
        <v>0.06</v>
      </c>
      <c r="M85" s="983">
        <f>-MIN(M84,(L85*M35))</f>
        <v>-176.35</v>
      </c>
      <c r="N85" s="300">
        <v>0.06</v>
      </c>
      <c r="O85" s="983">
        <f>-MIN(O84,(N85*O35))</f>
        <v>-186.67</v>
      </c>
    </row>
    <row r="86" spans="1:15" x14ac:dyDescent="0.2">
      <c r="A86" s="1193" t="s">
        <v>2</v>
      </c>
      <c r="B86" s="967" t="s">
        <v>530</v>
      </c>
      <c r="C86" s="968"/>
      <c r="D86" s="976"/>
      <c r="E86" s="975">
        <f>INDEX(Dados!$J$27:$M$32,MATCH($C$23,Dados!$J$27:$J$32,0),4)</f>
        <v>22</v>
      </c>
      <c r="F86" s="983">
        <f>Dados!J48</f>
        <v>37.5</v>
      </c>
      <c r="G86" s="982">
        <v>864.38</v>
      </c>
      <c r="H86" s="983">
        <v>42.63</v>
      </c>
      <c r="I86" s="982">
        <f>G86</f>
        <v>864.38</v>
      </c>
      <c r="J86" s="983">
        <v>42.63</v>
      </c>
      <c r="K86" s="982">
        <f>'Mem.Submódulo 2.3'!AE47</f>
        <v>937.86</v>
      </c>
      <c r="L86" s="983">
        <v>42.63</v>
      </c>
      <c r="M86" s="982">
        <f>K86</f>
        <v>937.86</v>
      </c>
      <c r="N86" s="983">
        <v>42.63</v>
      </c>
      <c r="O86" s="982">
        <f>'Mem.Submódulo 2.3'!AN47</f>
        <v>992.64</v>
      </c>
    </row>
    <row r="87" spans="1:15" x14ac:dyDescent="0.2">
      <c r="A87" s="1193"/>
      <c r="B87" s="967" t="s">
        <v>528</v>
      </c>
      <c r="C87" s="306"/>
      <c r="D87" s="307"/>
      <c r="E87" s="304"/>
      <c r="F87" s="983">
        <f>Dados!J49</f>
        <v>0.75</v>
      </c>
      <c r="G87" s="984">
        <v>-17.38</v>
      </c>
      <c r="H87" s="883">
        <v>0.02</v>
      </c>
      <c r="I87" s="984">
        <f>G87</f>
        <v>-17.38</v>
      </c>
      <c r="J87" s="883">
        <v>0.02</v>
      </c>
      <c r="K87" s="984">
        <f>'Mem.Submódulo 2.3'!AE52</f>
        <v>-18.7</v>
      </c>
      <c r="L87" s="883">
        <v>0.02</v>
      </c>
      <c r="M87" s="984">
        <f>K87</f>
        <v>-18.7</v>
      </c>
      <c r="N87" s="883">
        <v>0.02</v>
      </c>
      <c r="O87" s="984">
        <f>'Mem.Submódulo 2.3'!AN52</f>
        <v>-19.8</v>
      </c>
    </row>
    <row r="88" spans="1:15" x14ac:dyDescent="0.2">
      <c r="A88" s="972" t="s">
        <v>4</v>
      </c>
      <c r="B88" s="967" t="s">
        <v>531</v>
      </c>
      <c r="C88" s="306"/>
      <c r="D88" s="307"/>
      <c r="E88" s="304"/>
      <c r="F88" s="983">
        <f>Dados!J50</f>
        <v>140</v>
      </c>
      <c r="G88" s="984">
        <v>140</v>
      </c>
      <c r="H88" s="983"/>
      <c r="I88" s="794">
        <f>G88</f>
        <v>140</v>
      </c>
      <c r="J88" s="983"/>
      <c r="K88" s="794">
        <v>151.9</v>
      </c>
      <c r="L88" s="983"/>
      <c r="M88" s="794">
        <v>151.9</v>
      </c>
      <c r="N88" s="983"/>
      <c r="O88" s="794">
        <v>151.9</v>
      </c>
    </row>
    <row r="89" spans="1:15" x14ac:dyDescent="0.2">
      <c r="A89" s="972" t="s">
        <v>5</v>
      </c>
      <c r="B89" s="967" t="s">
        <v>532</v>
      </c>
      <c r="C89" s="306"/>
      <c r="D89" s="307"/>
      <c r="E89" s="304"/>
      <c r="F89" s="983">
        <f>Dados!J51</f>
        <v>14</v>
      </c>
      <c r="G89" s="984">
        <f t="shared" ref="G89:G94" si="14">F89*$F$13</f>
        <v>14</v>
      </c>
      <c r="H89" s="983"/>
      <c r="I89" s="794">
        <f t="shared" ref="I89:I91" si="15">G89</f>
        <v>14</v>
      </c>
      <c r="J89" s="983"/>
      <c r="K89" s="794">
        <v>15.19</v>
      </c>
      <c r="L89" s="983"/>
      <c r="M89" s="794">
        <v>15.19</v>
      </c>
      <c r="N89" s="983"/>
      <c r="O89" s="794">
        <v>16.07</v>
      </c>
    </row>
    <row r="90" spans="1:15" x14ac:dyDescent="0.2">
      <c r="A90" s="972" t="s">
        <v>6</v>
      </c>
      <c r="B90" s="967" t="s">
        <v>533</v>
      </c>
      <c r="C90" s="306"/>
      <c r="D90" s="307"/>
      <c r="E90" s="304"/>
      <c r="F90" s="983">
        <f>Dados!J52</f>
        <v>6.4</v>
      </c>
      <c r="G90" s="984">
        <v>6.6</v>
      </c>
      <c r="H90" s="983"/>
      <c r="I90" s="794">
        <f t="shared" si="15"/>
        <v>6.6</v>
      </c>
      <c r="J90" s="983"/>
      <c r="K90" s="794">
        <f>'Mem.Submódulo 2.3'!AD59</f>
        <v>9.4499999999999993</v>
      </c>
      <c r="L90" s="983"/>
      <c r="M90" s="794">
        <v>9.4499999999999993</v>
      </c>
      <c r="N90" s="983"/>
      <c r="O90" s="794">
        <v>10</v>
      </c>
    </row>
    <row r="91" spans="1:15" x14ac:dyDescent="0.2">
      <c r="A91" s="972" t="s">
        <v>7</v>
      </c>
      <c r="B91" s="967" t="s">
        <v>534</v>
      </c>
      <c r="C91" s="306"/>
      <c r="D91" s="307"/>
      <c r="E91" s="304"/>
      <c r="F91" s="983">
        <f>Dados!J53</f>
        <v>9</v>
      </c>
      <c r="G91" s="984">
        <f>F91*$F$13</f>
        <v>9</v>
      </c>
      <c r="H91" s="983"/>
      <c r="I91" s="794">
        <f t="shared" si="15"/>
        <v>9</v>
      </c>
      <c r="J91" s="983"/>
      <c r="K91" s="794">
        <v>9.76</v>
      </c>
      <c r="L91" s="983"/>
      <c r="M91" s="794">
        <v>9.76</v>
      </c>
      <c r="N91" s="983"/>
      <c r="O91" s="794">
        <v>10.33</v>
      </c>
    </row>
    <row r="92" spans="1:15" hidden="1" x14ac:dyDescent="0.2">
      <c r="A92" s="972" t="s">
        <v>9</v>
      </c>
      <c r="B92" s="967" t="e">
        <f>HLOOKUP($F$29,#REF!,9,FALSE)</f>
        <v>#REF!</v>
      </c>
      <c r="C92" s="306"/>
      <c r="D92" s="307"/>
      <c r="E92" s="304"/>
      <c r="F92" s="983">
        <f>Dados!J54</f>
        <v>0</v>
      </c>
      <c r="G92" s="984">
        <f t="shared" si="14"/>
        <v>0</v>
      </c>
      <c r="H92" s="983"/>
      <c r="I92" s="984">
        <f t="shared" ref="I92:I94" si="16">H92*$F$13</f>
        <v>0</v>
      </c>
      <c r="J92" s="983"/>
      <c r="K92" s="984">
        <f t="shared" ref="K92:K94" si="17">J92*$F$13</f>
        <v>0</v>
      </c>
      <c r="L92" s="983"/>
      <c r="M92" s="984">
        <f t="shared" ref="M92:M94" si="18">L92*$F$13</f>
        <v>0</v>
      </c>
      <c r="N92" s="983"/>
      <c r="O92" s="984">
        <f t="shared" ref="O92:O94" si="19">N92*$F$13</f>
        <v>0</v>
      </c>
    </row>
    <row r="93" spans="1:15" hidden="1" x14ac:dyDescent="0.2">
      <c r="A93" s="972" t="s">
        <v>127</v>
      </c>
      <c r="B93" s="967" t="e">
        <f>HLOOKUP($F$29,#REF!,10,FALSE)</f>
        <v>#REF!</v>
      </c>
      <c r="C93" s="306"/>
      <c r="D93" s="307"/>
      <c r="E93" s="304"/>
      <c r="F93" s="983">
        <f>Dados!J55</f>
        <v>0</v>
      </c>
      <c r="G93" s="984">
        <f t="shared" si="14"/>
        <v>0</v>
      </c>
      <c r="H93" s="983"/>
      <c r="I93" s="984">
        <f t="shared" si="16"/>
        <v>0</v>
      </c>
      <c r="J93" s="983"/>
      <c r="K93" s="984">
        <f t="shared" si="17"/>
        <v>0</v>
      </c>
      <c r="L93" s="983"/>
      <c r="M93" s="984">
        <f t="shared" si="18"/>
        <v>0</v>
      </c>
      <c r="N93" s="983"/>
      <c r="O93" s="984">
        <f t="shared" si="19"/>
        <v>0</v>
      </c>
    </row>
    <row r="94" spans="1:15" hidden="1" x14ac:dyDescent="0.2">
      <c r="A94" s="972" t="s">
        <v>282</v>
      </c>
      <c r="B94" s="967" t="e">
        <f>HLOOKUP($F$29,#REF!,11,FALSE)</f>
        <v>#REF!</v>
      </c>
      <c r="C94" s="306"/>
      <c r="D94" s="307"/>
      <c r="E94" s="304"/>
      <c r="F94" s="983">
        <f>Dados!J56</f>
        <v>0</v>
      </c>
      <c r="G94" s="984">
        <f t="shared" si="14"/>
        <v>0</v>
      </c>
      <c r="H94" s="983"/>
      <c r="I94" s="984">
        <f t="shared" si="16"/>
        <v>0</v>
      </c>
      <c r="J94" s="983"/>
      <c r="K94" s="984">
        <f t="shared" si="17"/>
        <v>0</v>
      </c>
      <c r="L94" s="983"/>
      <c r="M94" s="984">
        <f t="shared" si="18"/>
        <v>0</v>
      </c>
      <c r="N94" s="983"/>
      <c r="O94" s="984">
        <f t="shared" si="19"/>
        <v>0</v>
      </c>
    </row>
    <row r="95" spans="1:15" x14ac:dyDescent="0.2">
      <c r="A95" s="972" t="s">
        <v>8</v>
      </c>
      <c r="B95" s="303" t="s">
        <v>51</v>
      </c>
      <c r="C95" s="306"/>
      <c r="D95" s="307"/>
      <c r="E95" s="304"/>
      <c r="F95" s="983" t="s">
        <v>571</v>
      </c>
      <c r="G95" s="980" t="s">
        <v>571</v>
      </c>
      <c r="H95" s="983"/>
      <c r="I95" s="980" t="s">
        <v>571</v>
      </c>
      <c r="J95" s="983"/>
      <c r="K95" s="980" t="s">
        <v>571</v>
      </c>
      <c r="L95" s="983"/>
      <c r="M95" s="980" t="s">
        <v>571</v>
      </c>
      <c r="N95" s="983"/>
      <c r="O95" s="980" t="s">
        <v>571</v>
      </c>
    </row>
    <row r="96" spans="1:15" ht="18" customHeight="1" x14ac:dyDescent="0.2">
      <c r="A96" s="1202" t="s">
        <v>159</v>
      </c>
      <c r="B96" s="1202"/>
      <c r="C96" s="1202"/>
      <c r="D96" s="1202"/>
      <c r="E96" s="1202"/>
      <c r="F96" s="1202"/>
      <c r="G96" s="987">
        <f>SUM(G84:G95)</f>
        <v>1096.06</v>
      </c>
      <c r="H96" s="973" t="s">
        <v>159</v>
      </c>
      <c r="I96" s="987">
        <f>SUM(I84:I95)</f>
        <v>1096.06</v>
      </c>
      <c r="J96" s="973" t="s">
        <v>159</v>
      </c>
      <c r="K96" s="987">
        <f>SUM(K84:K95)</f>
        <v>1171.1099999999999</v>
      </c>
      <c r="L96" s="973" t="s">
        <v>159</v>
      </c>
      <c r="M96" s="987">
        <f>SUM(M84:M95)</f>
        <v>1171.1099999999999</v>
      </c>
      <c r="N96" s="973" t="s">
        <v>159</v>
      </c>
      <c r="O96" s="987">
        <f>SUM(O84:O95)</f>
        <v>1216.47</v>
      </c>
    </row>
    <row r="97" spans="1:15" s="34" customFormat="1" ht="15" customHeight="1" x14ac:dyDescent="0.2">
      <c r="A97" s="71" t="s">
        <v>220</v>
      </c>
      <c r="B97" s="68"/>
      <c r="C97" s="68"/>
      <c r="D97" s="68"/>
      <c r="E97" s="68"/>
      <c r="F97" s="77"/>
      <c r="G97" s="78"/>
    </row>
    <row r="98" spans="1:15" s="34" customFormat="1" x14ac:dyDescent="0.2">
      <c r="A98" s="1295" t="s">
        <v>482</v>
      </c>
      <c r="B98" s="1185"/>
      <c r="C98" s="1185"/>
      <c r="D98" s="1185"/>
      <c r="E98" s="1185"/>
      <c r="F98" s="1185"/>
      <c r="G98" s="1185"/>
    </row>
    <row r="99" spans="1:15" s="34" customFormat="1" x14ac:dyDescent="0.2">
      <c r="A99" s="978"/>
      <c r="B99" s="68"/>
      <c r="C99" s="68"/>
      <c r="D99" s="68"/>
      <c r="E99" s="68"/>
      <c r="F99" s="77"/>
      <c r="G99" s="78"/>
    </row>
    <row r="100" spans="1:15" s="34" customFormat="1" x14ac:dyDescent="0.2">
      <c r="A100" s="1296" t="s">
        <v>225</v>
      </c>
      <c r="B100" s="1297"/>
      <c r="C100" s="1297"/>
      <c r="D100" s="1297"/>
      <c r="E100" s="1297"/>
      <c r="F100" s="1297"/>
      <c r="G100" s="1297"/>
      <c r="H100" s="1297"/>
      <c r="I100" s="1297"/>
      <c r="J100" s="1297"/>
      <c r="K100" s="1297"/>
      <c r="L100" s="1297"/>
      <c r="M100" s="1297"/>
    </row>
    <row r="101" spans="1:15" s="34" customFormat="1" ht="57" x14ac:dyDescent="0.2">
      <c r="A101" s="966">
        <v>2</v>
      </c>
      <c r="B101" s="1212" t="s">
        <v>226</v>
      </c>
      <c r="C101" s="1212"/>
      <c r="D101" s="1212"/>
      <c r="E101" s="1212"/>
      <c r="F101" s="1212"/>
      <c r="G101" s="966" t="s">
        <v>107</v>
      </c>
      <c r="H101" s="884" t="s">
        <v>226</v>
      </c>
      <c r="I101" s="966" t="s">
        <v>107</v>
      </c>
      <c r="J101" s="884" t="s">
        <v>226</v>
      </c>
      <c r="K101" s="966" t="s">
        <v>107</v>
      </c>
      <c r="L101" s="884" t="s">
        <v>226</v>
      </c>
      <c r="M101" s="966" t="s">
        <v>107</v>
      </c>
      <c r="N101" s="884" t="s">
        <v>226</v>
      </c>
      <c r="O101" s="966" t="s">
        <v>107</v>
      </c>
    </row>
    <row r="102" spans="1:15" s="34" customFormat="1" x14ac:dyDescent="0.2">
      <c r="A102" s="986" t="s">
        <v>211</v>
      </c>
      <c r="B102" s="967" t="str">
        <f>B48</f>
        <v>13º (décimo terceiro) Salário, Férias e Adicional de Férias</v>
      </c>
      <c r="C102" s="336"/>
      <c r="D102" s="336"/>
      <c r="E102" s="336"/>
      <c r="F102" s="991"/>
      <c r="G102" s="982">
        <f>G51</f>
        <v>746.93</v>
      </c>
      <c r="H102" s="616"/>
      <c r="I102" s="982">
        <f>I51</f>
        <v>746.93</v>
      </c>
      <c r="J102" s="616"/>
      <c r="K102" s="982">
        <f>K51</f>
        <v>810.42</v>
      </c>
      <c r="L102" s="616"/>
      <c r="M102" s="982">
        <f>M51</f>
        <v>810.42</v>
      </c>
      <c r="N102" s="616"/>
      <c r="O102" s="982">
        <f>O51</f>
        <v>857.83</v>
      </c>
    </row>
    <row r="103" spans="1:15" s="34" customFormat="1" x14ac:dyDescent="0.2">
      <c r="A103" s="986" t="s">
        <v>210</v>
      </c>
      <c r="B103" s="967" t="str">
        <f>B65</f>
        <v>GPS, FGTS e outras contribuições</v>
      </c>
      <c r="C103" s="336"/>
      <c r="D103" s="336"/>
      <c r="E103" s="336"/>
      <c r="F103" s="991"/>
      <c r="G103" s="982">
        <f>G74</f>
        <v>1552.47</v>
      </c>
      <c r="H103" s="882"/>
      <c r="I103" s="982">
        <f>I74</f>
        <v>1552.47</v>
      </c>
      <c r="J103" s="882"/>
      <c r="K103" s="982">
        <f>K74</f>
        <v>1692.29</v>
      </c>
      <c r="L103" s="882"/>
      <c r="M103" s="982">
        <f>M74</f>
        <v>1692.29</v>
      </c>
      <c r="N103" s="882"/>
      <c r="O103" s="982">
        <f>O74</f>
        <v>1823.64</v>
      </c>
    </row>
    <row r="104" spans="1:15" s="34" customFormat="1" x14ac:dyDescent="0.2">
      <c r="A104" s="986" t="s">
        <v>219</v>
      </c>
      <c r="B104" s="967" t="str">
        <f>B83</f>
        <v>Benefícios Mensais e Diários</v>
      </c>
      <c r="C104" s="336"/>
      <c r="D104" s="336"/>
      <c r="E104" s="336"/>
      <c r="F104" s="991"/>
      <c r="G104" s="982">
        <f>G96</f>
        <v>1096.06</v>
      </c>
      <c r="H104" s="882"/>
      <c r="I104" s="982">
        <f>I96</f>
        <v>1096.06</v>
      </c>
      <c r="J104" s="882"/>
      <c r="K104" s="982">
        <f>K96</f>
        <v>1171.1099999999999</v>
      </c>
      <c r="L104" s="882"/>
      <c r="M104" s="982">
        <f>M96</f>
        <v>1171.1099999999999</v>
      </c>
      <c r="N104" s="882"/>
      <c r="O104" s="982">
        <f>O96</f>
        <v>1216.47</v>
      </c>
    </row>
    <row r="105" spans="1:15" s="34" customFormat="1" x14ac:dyDescent="0.2">
      <c r="A105" s="1172" t="s">
        <v>159</v>
      </c>
      <c r="B105" s="1172"/>
      <c r="C105" s="1172"/>
      <c r="D105" s="1172"/>
      <c r="E105" s="1172"/>
      <c r="F105" s="1172"/>
      <c r="G105" s="981">
        <f>SUM(G102:G104)</f>
        <v>3395.46</v>
      </c>
      <c r="H105" s="973" t="s">
        <v>159</v>
      </c>
      <c r="I105" s="981">
        <f>SUM(I102:I104)</f>
        <v>3395.46</v>
      </c>
      <c r="J105" s="973" t="s">
        <v>159</v>
      </c>
      <c r="K105" s="981">
        <f>SUM(K102:K104)</f>
        <v>3673.82</v>
      </c>
      <c r="L105" s="973" t="s">
        <v>159</v>
      </c>
      <c r="M105" s="981">
        <f>SUM(M102:M104)</f>
        <v>3673.82</v>
      </c>
      <c r="N105" s="973" t="s">
        <v>159</v>
      </c>
      <c r="O105" s="981">
        <f>SUM(O102:O104)</f>
        <v>3897.94</v>
      </c>
    </row>
    <row r="106" spans="1:15" s="34" customFormat="1" x14ac:dyDescent="0.2">
      <c r="A106" s="71"/>
      <c r="B106" s="71"/>
      <c r="C106" s="71"/>
      <c r="D106" s="71"/>
      <c r="E106" s="71"/>
      <c r="F106" s="196"/>
      <c r="G106" s="197"/>
    </row>
    <row r="107" spans="1:15" s="34" customFormat="1" ht="15" customHeight="1" x14ac:dyDescent="0.2">
      <c r="A107" s="1221" t="s">
        <v>227</v>
      </c>
      <c r="B107" s="1222"/>
      <c r="C107" s="1222"/>
      <c r="D107" s="1222"/>
      <c r="E107" s="1222"/>
      <c r="F107" s="1222"/>
      <c r="G107" s="1222"/>
      <c r="H107" s="1222"/>
      <c r="I107" s="1222"/>
      <c r="J107" s="1222"/>
      <c r="K107" s="1222"/>
      <c r="L107" s="1222"/>
      <c r="M107" s="1222"/>
      <c r="N107" s="1222"/>
      <c r="O107" s="1223"/>
    </row>
    <row r="108" spans="1:15" s="34" customFormat="1" x14ac:dyDescent="0.2">
      <c r="A108" s="970">
        <v>3</v>
      </c>
      <c r="B108" s="1218" t="s">
        <v>84</v>
      </c>
      <c r="C108" s="1218"/>
      <c r="D108" s="1218"/>
      <c r="E108" s="1218"/>
      <c r="F108" s="970" t="s">
        <v>222</v>
      </c>
      <c r="G108" s="966" t="s">
        <v>107</v>
      </c>
      <c r="H108" s="970" t="s">
        <v>222</v>
      </c>
      <c r="I108" s="966" t="s">
        <v>107</v>
      </c>
      <c r="J108" s="970" t="s">
        <v>222</v>
      </c>
      <c r="K108" s="966" t="s">
        <v>107</v>
      </c>
      <c r="L108" s="970" t="s">
        <v>222</v>
      </c>
      <c r="M108" s="966" t="s">
        <v>107</v>
      </c>
      <c r="N108" s="970" t="s">
        <v>222</v>
      </c>
      <c r="O108" s="966" t="s">
        <v>107</v>
      </c>
    </row>
    <row r="109" spans="1:15" s="34" customFormat="1" x14ac:dyDescent="0.2">
      <c r="A109" s="972" t="s">
        <v>1</v>
      </c>
      <c r="B109" s="313" t="str">
        <f>Dados!B90</f>
        <v>Aviso Prévio Indenizado </v>
      </c>
      <c r="C109" s="122"/>
      <c r="D109" s="315"/>
      <c r="E109" s="304"/>
      <c r="F109" s="308">
        <f>Dados!G90</f>
        <v>2.5000000000000001E-3</v>
      </c>
      <c r="G109" s="980">
        <f>F109*$G$62</f>
        <v>10.67</v>
      </c>
      <c r="H109" s="308">
        <v>2.5000000000000001E-3</v>
      </c>
      <c r="I109" s="980">
        <f>H109*$I$62</f>
        <v>10.67</v>
      </c>
      <c r="J109" s="308">
        <v>2.5000000000000001E-3</v>
      </c>
      <c r="K109" s="980">
        <f>J109*$K$62</f>
        <v>11.58</v>
      </c>
      <c r="L109" s="308">
        <v>2.5000000000000001E-3</v>
      </c>
      <c r="M109" s="980">
        <f>L109*$K$62</f>
        <v>11.58</v>
      </c>
      <c r="N109" s="308">
        <v>2.5000000000000001E-3</v>
      </c>
      <c r="O109" s="980">
        <f>N109*$O$62</f>
        <v>12.26</v>
      </c>
    </row>
    <row r="110" spans="1:15" s="34" customFormat="1" x14ac:dyDescent="0.2">
      <c r="A110" s="972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980">
        <f t="shared" ref="G110:G115" si="20">F110*$G$62</f>
        <v>0.85</v>
      </c>
      <c r="H110" s="308">
        <v>2.0000000000000001E-4</v>
      </c>
      <c r="I110" s="980">
        <f t="shared" ref="I110:I115" si="21">H110*$I$62</f>
        <v>0.85</v>
      </c>
      <c r="J110" s="308">
        <v>2.0000000000000001E-4</v>
      </c>
      <c r="K110" s="980">
        <f t="shared" ref="K110:M115" si="22">J110*$K$62</f>
        <v>0.93</v>
      </c>
      <c r="L110" s="308">
        <v>2.0000000000000001E-4</v>
      </c>
      <c r="M110" s="980">
        <f t="shared" si="22"/>
        <v>0.93</v>
      </c>
      <c r="N110" s="308">
        <v>2.0000000000000001E-4</v>
      </c>
      <c r="O110" s="980">
        <f>N110*$O$62</f>
        <v>0.98</v>
      </c>
    </row>
    <row r="111" spans="1:15" s="34" customFormat="1" x14ac:dyDescent="0.2">
      <c r="A111" s="972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980">
        <f t="shared" si="20"/>
        <v>0</v>
      </c>
      <c r="H111" s="354">
        <v>9.9999999999999995E-7</v>
      </c>
      <c r="I111" s="980">
        <f t="shared" si="21"/>
        <v>0</v>
      </c>
      <c r="J111" s="354">
        <v>9.9999999999999995E-7</v>
      </c>
      <c r="K111" s="980">
        <f t="shared" si="22"/>
        <v>0</v>
      </c>
      <c r="L111" s="354">
        <v>9.9999999999999995E-7</v>
      </c>
      <c r="M111" s="980">
        <f t="shared" si="22"/>
        <v>0</v>
      </c>
      <c r="N111" s="354">
        <v>9.9999999999999995E-7</v>
      </c>
      <c r="O111" s="980">
        <f t="shared" ref="O111" si="23">N111*$K$62</f>
        <v>0</v>
      </c>
    </row>
    <row r="112" spans="1:15" s="34" customFormat="1" x14ac:dyDescent="0.2">
      <c r="A112" s="972" t="s">
        <v>5</v>
      </c>
      <c r="B112" s="313" t="str">
        <f>Dados!B93</f>
        <v>Aviso Prévio Trabalhado</v>
      </c>
      <c r="C112" s="122"/>
      <c r="D112" s="315"/>
      <c r="E112" s="304"/>
      <c r="F112" s="577">
        <v>1.9400000000000001E-3</v>
      </c>
      <c r="G112" s="980">
        <f t="shared" si="20"/>
        <v>8.2799999999999994</v>
      </c>
      <c r="H112" s="577">
        <v>1.9400000000000001E-3</v>
      </c>
      <c r="I112" s="980">
        <f t="shared" si="21"/>
        <v>8.2799999999999994</v>
      </c>
      <c r="J112" s="577">
        <v>1.9400000000000001E-3</v>
      </c>
      <c r="K112" s="980">
        <f t="shared" si="22"/>
        <v>8.98</v>
      </c>
      <c r="L112" s="577">
        <v>1.9400000000000001E-3</v>
      </c>
      <c r="M112" s="980">
        <f t="shared" si="22"/>
        <v>8.98</v>
      </c>
      <c r="N112" s="577">
        <v>1.9400000000000001E-3</v>
      </c>
      <c r="O112" s="980">
        <f>N112*$O$62</f>
        <v>9.51</v>
      </c>
    </row>
    <row r="113" spans="1:15" s="34" customFormat="1" x14ac:dyDescent="0.2">
      <c r="A113" s="972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v>6.9999999999999999E-4</v>
      </c>
      <c r="G113" s="980">
        <f t="shared" si="20"/>
        <v>2.99</v>
      </c>
      <c r="H113" s="308">
        <v>6.9999999999999999E-4</v>
      </c>
      <c r="I113" s="980">
        <f t="shared" si="21"/>
        <v>2.99</v>
      </c>
      <c r="J113" s="308">
        <v>6.9999999999999999E-4</v>
      </c>
      <c r="K113" s="980">
        <f t="shared" si="22"/>
        <v>3.24</v>
      </c>
      <c r="L113" s="308">
        <v>6.9999999999999999E-4</v>
      </c>
      <c r="M113" s="980">
        <f t="shared" si="22"/>
        <v>3.24</v>
      </c>
      <c r="N113" s="308">
        <v>6.9999999999999999E-4</v>
      </c>
      <c r="O113" s="980">
        <f>N113*$O$62</f>
        <v>3.43</v>
      </c>
    </row>
    <row r="114" spans="1:15" s="34" customFormat="1" x14ac:dyDescent="0.2">
      <c r="A114" s="972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54">
        <v>7.9999999999999996E-6</v>
      </c>
      <c r="G114" s="980">
        <f t="shared" si="20"/>
        <v>0.03</v>
      </c>
      <c r="H114" s="354">
        <v>7.9999999999999996E-6</v>
      </c>
      <c r="I114" s="980">
        <f t="shared" si="21"/>
        <v>0.03</v>
      </c>
      <c r="J114" s="354">
        <v>7.9999999999999996E-6</v>
      </c>
      <c r="K114" s="980">
        <f t="shared" si="22"/>
        <v>0.04</v>
      </c>
      <c r="L114" s="354">
        <v>7.9999999999999996E-6</v>
      </c>
      <c r="M114" s="980">
        <f t="shared" si="22"/>
        <v>0.04</v>
      </c>
      <c r="N114" s="354">
        <v>7.9999999999999996E-6</v>
      </c>
      <c r="O114" s="980">
        <f>N114*$O$62</f>
        <v>0.04</v>
      </c>
    </row>
    <row r="115" spans="1:15" s="34" customFormat="1" x14ac:dyDescent="0.2">
      <c r="A115" s="972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980">
        <f t="shared" si="20"/>
        <v>148.97</v>
      </c>
      <c r="H115" s="308">
        <v>3.49E-2</v>
      </c>
      <c r="I115" s="980">
        <f t="shared" si="21"/>
        <v>148.97</v>
      </c>
      <c r="J115" s="308">
        <v>3.49E-2</v>
      </c>
      <c r="K115" s="980">
        <f t="shared" si="22"/>
        <v>161.63</v>
      </c>
      <c r="L115" s="308">
        <v>3.49E-2</v>
      </c>
      <c r="M115" s="980">
        <f t="shared" si="22"/>
        <v>161.63</v>
      </c>
      <c r="N115" s="308">
        <v>3.49E-2</v>
      </c>
      <c r="O115" s="980">
        <f>N115*$O$62</f>
        <v>171.09</v>
      </c>
    </row>
    <row r="116" spans="1:15" s="34" customFormat="1" x14ac:dyDescent="0.2">
      <c r="A116" s="1172" t="s">
        <v>159</v>
      </c>
      <c r="B116" s="1172"/>
      <c r="C116" s="1172"/>
      <c r="D116" s="1172"/>
      <c r="E116" s="1172"/>
      <c r="F116" s="311">
        <f t="shared" ref="F116:M116" si="24">SUM(F109:F115)</f>
        <v>4.02E-2</v>
      </c>
      <c r="G116" s="981">
        <f t="shared" si="24"/>
        <v>171.79</v>
      </c>
      <c r="H116" s="311">
        <f t="shared" ref="H116:I116" si="25">SUM(H109:H115)</f>
        <v>4.02E-2</v>
      </c>
      <c r="I116" s="981">
        <f t="shared" si="25"/>
        <v>171.79</v>
      </c>
      <c r="J116" s="311">
        <f t="shared" si="24"/>
        <v>4.02E-2</v>
      </c>
      <c r="K116" s="981">
        <f t="shared" si="24"/>
        <v>186.4</v>
      </c>
      <c r="L116" s="311">
        <f t="shared" si="24"/>
        <v>4.02E-2</v>
      </c>
      <c r="M116" s="981">
        <f t="shared" si="24"/>
        <v>186.4</v>
      </c>
      <c r="N116" s="311">
        <f t="shared" ref="N116:O116" si="26">SUM(N109:N115)</f>
        <v>4.02E-2</v>
      </c>
      <c r="O116" s="981">
        <f t="shared" si="26"/>
        <v>197.31</v>
      </c>
    </row>
    <row r="117" spans="1:15" s="34" customFormat="1" ht="14.25" customHeight="1" x14ac:dyDescent="0.2">
      <c r="A117" s="71" t="s">
        <v>422</v>
      </c>
      <c r="B117" s="71"/>
      <c r="C117" s="71"/>
      <c r="D117" s="71"/>
      <c r="E117" s="335"/>
      <c r="F117" s="329"/>
      <c r="G117" s="330"/>
    </row>
    <row r="118" spans="1:15" s="34" customFormat="1" ht="14.25" customHeight="1" x14ac:dyDescent="0.2">
      <c r="A118" s="71" t="s">
        <v>423</v>
      </c>
      <c r="B118" s="71"/>
      <c r="C118" s="71"/>
      <c r="D118" s="71"/>
      <c r="E118" s="335"/>
      <c r="F118" s="329"/>
      <c r="G118" s="330"/>
    </row>
    <row r="119" spans="1:15" s="34" customFormat="1" x14ac:dyDescent="0.2">
      <c r="A119" s="195" t="s">
        <v>551</v>
      </c>
      <c r="B119" s="335"/>
      <c r="C119" s="335"/>
      <c r="D119" s="335"/>
      <c r="E119" s="335"/>
      <c r="F119" s="329"/>
      <c r="G119" s="330"/>
    </row>
    <row r="120" spans="1:15" s="34" customFormat="1" x14ac:dyDescent="0.2">
      <c r="A120" s="992"/>
      <c r="B120" s="992"/>
      <c r="C120" s="992"/>
      <c r="D120" s="992"/>
      <c r="E120" s="992"/>
      <c r="F120" s="77"/>
      <c r="G120" s="81"/>
    </row>
    <row r="121" spans="1:15" s="34" customFormat="1" ht="14.25" customHeight="1" x14ac:dyDescent="0.2">
      <c r="A121" s="1296" t="s">
        <v>228</v>
      </c>
      <c r="B121" s="1297"/>
      <c r="C121" s="1297"/>
      <c r="D121" s="1297"/>
      <c r="E121" s="1297"/>
      <c r="F121" s="1297"/>
      <c r="G121" s="1297"/>
      <c r="H121" s="1297"/>
      <c r="I121" s="1297"/>
      <c r="J121" s="1297"/>
      <c r="K121" s="1297"/>
    </row>
    <row r="122" spans="1:15" s="34" customFormat="1" ht="14.25" customHeight="1" x14ac:dyDescent="0.2">
      <c r="A122" s="1315" t="s">
        <v>258</v>
      </c>
      <c r="B122" s="1194"/>
      <c r="C122" s="1194"/>
      <c r="D122" s="1194"/>
      <c r="E122" s="1194"/>
      <c r="F122" s="1194"/>
      <c r="G122" s="1194"/>
      <c r="H122" s="1194"/>
      <c r="I122" s="1194"/>
      <c r="J122" s="1194"/>
      <c r="K122" s="1194"/>
    </row>
    <row r="123" spans="1:15" s="34" customFormat="1" x14ac:dyDescent="0.2">
      <c r="A123" s="1315"/>
      <c r="B123" s="1194"/>
      <c r="C123" s="1194"/>
      <c r="D123" s="1194"/>
      <c r="E123" s="1194"/>
      <c r="F123" s="1194"/>
      <c r="G123" s="1194"/>
      <c r="H123" s="1194"/>
      <c r="I123" s="1194"/>
      <c r="J123" s="1194"/>
      <c r="K123" s="1194"/>
    </row>
    <row r="124" spans="1:15" s="34" customFormat="1" x14ac:dyDescent="0.2">
      <c r="A124" s="1173" t="s">
        <v>259</v>
      </c>
      <c r="B124" s="1173"/>
      <c r="C124" s="1173"/>
      <c r="D124" s="1173"/>
      <c r="E124" s="1173"/>
      <c r="F124" s="1173"/>
      <c r="G124" s="1173"/>
      <c r="H124" s="122"/>
      <c r="I124" s="314"/>
      <c r="J124" s="122"/>
      <c r="K124" s="314"/>
      <c r="L124" s="122"/>
      <c r="M124" s="314"/>
      <c r="N124" s="122"/>
      <c r="O124" s="314"/>
    </row>
    <row r="125" spans="1:15" s="34" customFormat="1" ht="15.75" customHeight="1" x14ac:dyDescent="0.2">
      <c r="A125" s="993" t="s">
        <v>42</v>
      </c>
      <c r="B125" s="1312" t="s">
        <v>269</v>
      </c>
      <c r="C125" s="1312"/>
      <c r="D125" s="1312"/>
      <c r="E125" s="1312"/>
      <c r="F125" s="993" t="s">
        <v>254</v>
      </c>
      <c r="G125" s="732" t="s">
        <v>107</v>
      </c>
      <c r="H125" s="993" t="s">
        <v>254</v>
      </c>
      <c r="I125" s="732" t="s">
        <v>107</v>
      </c>
      <c r="J125" s="993" t="s">
        <v>254</v>
      </c>
      <c r="K125" s="732" t="s">
        <v>107</v>
      </c>
      <c r="L125" s="993" t="s">
        <v>254</v>
      </c>
      <c r="M125" s="732" t="s">
        <v>107</v>
      </c>
      <c r="N125" s="993" t="s">
        <v>254</v>
      </c>
      <c r="O125" s="732" t="s">
        <v>107</v>
      </c>
    </row>
    <row r="126" spans="1:15" s="34" customFormat="1" x14ac:dyDescent="0.2">
      <c r="A126" s="972" t="s">
        <v>1</v>
      </c>
      <c r="B126" s="313" t="str">
        <f>Dados!B99</f>
        <v>Substituto na cobertura de Férias</v>
      </c>
      <c r="C126" s="122"/>
      <c r="D126" s="315"/>
      <c r="E126" s="314"/>
      <c r="F126" s="308">
        <f>Dados!G99</f>
        <v>6.8999999999999999E-3</v>
      </c>
      <c r="G126" s="980">
        <f>$G$62*F126</f>
        <v>29.45</v>
      </c>
      <c r="H126" s="308">
        <v>6.8999999999999999E-3</v>
      </c>
      <c r="I126" s="980">
        <f>$I$62*H126</f>
        <v>29.45</v>
      </c>
      <c r="J126" s="308">
        <v>6.8999999999999999E-3</v>
      </c>
      <c r="K126" s="980">
        <f>$K$62*J126</f>
        <v>31.96</v>
      </c>
      <c r="L126" s="308">
        <v>6.8999999999999999E-3</v>
      </c>
      <c r="M126" s="980">
        <f>$K$62*L126</f>
        <v>31.96</v>
      </c>
      <c r="N126" s="308">
        <v>6.8999999999999999E-3</v>
      </c>
      <c r="O126" s="980">
        <f t="shared" ref="O126:O131" si="27">$O$62*N126</f>
        <v>33.83</v>
      </c>
    </row>
    <row r="127" spans="1:15" s="34" customFormat="1" x14ac:dyDescent="0.2">
      <c r="A127" s="972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980">
        <f t="shared" ref="G127:G131" si="28">$G$62*F127</f>
        <v>0.43</v>
      </c>
      <c r="H127" s="308">
        <v>1E-4</v>
      </c>
      <c r="I127" s="980">
        <f t="shared" ref="I127:I131" si="29">$I$62*H127</f>
        <v>0.43</v>
      </c>
      <c r="J127" s="308">
        <v>1E-4</v>
      </c>
      <c r="K127" s="980">
        <f t="shared" ref="K127:M131" si="30">$K$62*J127</f>
        <v>0.46</v>
      </c>
      <c r="L127" s="308">
        <v>1E-4</v>
      </c>
      <c r="M127" s="980">
        <f t="shared" si="30"/>
        <v>0.46</v>
      </c>
      <c r="N127" s="308">
        <v>1E-4</v>
      </c>
      <c r="O127" s="980">
        <f t="shared" si="27"/>
        <v>0.49</v>
      </c>
    </row>
    <row r="128" spans="1:15" s="34" customFormat="1" x14ac:dyDescent="0.2">
      <c r="A128" s="972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980">
        <f t="shared" si="28"/>
        <v>0.43</v>
      </c>
      <c r="H128" s="308">
        <v>1E-4</v>
      </c>
      <c r="I128" s="980">
        <f t="shared" si="29"/>
        <v>0.43</v>
      </c>
      <c r="J128" s="308">
        <v>1E-4</v>
      </c>
      <c r="K128" s="980">
        <f t="shared" si="30"/>
        <v>0.46</v>
      </c>
      <c r="L128" s="308">
        <v>1E-4</v>
      </c>
      <c r="M128" s="980">
        <f t="shared" si="30"/>
        <v>0.46</v>
      </c>
      <c r="N128" s="308">
        <v>1E-4</v>
      </c>
      <c r="O128" s="980">
        <f t="shared" si="27"/>
        <v>0.49</v>
      </c>
    </row>
    <row r="129" spans="1:15" s="34" customFormat="1" x14ac:dyDescent="0.2">
      <c r="A129" s="972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980">
        <f t="shared" si="28"/>
        <v>0.43</v>
      </c>
      <c r="H129" s="308">
        <v>1E-4</v>
      </c>
      <c r="I129" s="980">
        <f t="shared" si="29"/>
        <v>0.43</v>
      </c>
      <c r="J129" s="308">
        <v>1E-4</v>
      </c>
      <c r="K129" s="980">
        <f t="shared" si="30"/>
        <v>0.46</v>
      </c>
      <c r="L129" s="308">
        <v>1E-4</v>
      </c>
      <c r="M129" s="980">
        <f t="shared" si="30"/>
        <v>0.46</v>
      </c>
      <c r="N129" s="308">
        <v>1E-4</v>
      </c>
      <c r="O129" s="980">
        <f t="shared" si="27"/>
        <v>0.49</v>
      </c>
    </row>
    <row r="130" spans="1:15" s="34" customFormat="1" x14ac:dyDescent="0.2">
      <c r="A130" s="972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980">
        <f t="shared" si="28"/>
        <v>0.43</v>
      </c>
      <c r="H130" s="308">
        <v>1E-4</v>
      </c>
      <c r="I130" s="980">
        <f t="shared" si="29"/>
        <v>0.43</v>
      </c>
      <c r="J130" s="308">
        <v>1E-4</v>
      </c>
      <c r="K130" s="980">
        <f t="shared" si="30"/>
        <v>0.46</v>
      </c>
      <c r="L130" s="308">
        <v>1E-4</v>
      </c>
      <c r="M130" s="980">
        <f t="shared" si="30"/>
        <v>0.46</v>
      </c>
      <c r="N130" s="308">
        <v>1E-4</v>
      </c>
      <c r="O130" s="980">
        <f t="shared" si="27"/>
        <v>0.49</v>
      </c>
    </row>
    <row r="131" spans="1:15" s="34" customFormat="1" x14ac:dyDescent="0.2">
      <c r="A131" s="972" t="s">
        <v>7</v>
      </c>
      <c r="B131" s="313" t="str">
        <f>Dados!B104</f>
        <v>Substituto na cobertura de Outras ausências (especificar)</v>
      </c>
      <c r="C131" s="122"/>
      <c r="D131" s="315"/>
      <c r="E131" s="314"/>
      <c r="F131" s="308">
        <f>Dados!G104</f>
        <v>0</v>
      </c>
      <c r="G131" s="980">
        <f t="shared" si="28"/>
        <v>0</v>
      </c>
      <c r="H131" s="308">
        <f>Dados!G104</f>
        <v>0</v>
      </c>
      <c r="I131" s="980">
        <f t="shared" si="29"/>
        <v>0</v>
      </c>
      <c r="J131" s="308">
        <f>Dados!I104</f>
        <v>0</v>
      </c>
      <c r="K131" s="980">
        <f t="shared" si="30"/>
        <v>0</v>
      </c>
      <c r="L131" s="308">
        <f>Dados!K104</f>
        <v>0</v>
      </c>
      <c r="M131" s="980">
        <f t="shared" si="30"/>
        <v>0</v>
      </c>
      <c r="N131" s="308">
        <f>Dados!M104</f>
        <v>0</v>
      </c>
      <c r="O131" s="980">
        <f t="shared" si="27"/>
        <v>0</v>
      </c>
    </row>
    <row r="132" spans="1:15" s="34" customFormat="1" ht="14.25" customHeight="1" x14ac:dyDescent="0.2">
      <c r="A132" s="1172" t="s">
        <v>159</v>
      </c>
      <c r="B132" s="1172"/>
      <c r="C132" s="1172"/>
      <c r="D132" s="1172"/>
      <c r="E132" s="1172"/>
      <c r="F132" s="311">
        <f t="shared" ref="F132:M132" si="31">SUM(F126:F131)</f>
        <v>7.3000000000000001E-3</v>
      </c>
      <c r="G132" s="981">
        <f t="shared" si="31"/>
        <v>31.17</v>
      </c>
      <c r="H132" s="311">
        <f t="shared" ref="H132:I132" si="32">SUM(H126:H131)</f>
        <v>7.3000000000000001E-3</v>
      </c>
      <c r="I132" s="981">
        <f t="shared" si="32"/>
        <v>31.17</v>
      </c>
      <c r="J132" s="311">
        <f t="shared" si="31"/>
        <v>7.3000000000000001E-3</v>
      </c>
      <c r="K132" s="981">
        <f t="shared" si="31"/>
        <v>33.799999999999997</v>
      </c>
      <c r="L132" s="311">
        <f t="shared" si="31"/>
        <v>7.3000000000000001E-3</v>
      </c>
      <c r="M132" s="981">
        <f t="shared" si="31"/>
        <v>33.799999999999997</v>
      </c>
      <c r="N132" s="311">
        <f t="shared" ref="N132:O132" si="33">SUM(N126:N131)</f>
        <v>7.3000000000000001E-3</v>
      </c>
      <c r="O132" s="981">
        <f t="shared" si="33"/>
        <v>35.79</v>
      </c>
    </row>
    <row r="133" spans="1:15" s="34" customFormat="1" ht="14.25" customHeight="1" x14ac:dyDescent="0.2">
      <c r="A133" s="71" t="s">
        <v>424</v>
      </c>
      <c r="B133" s="71"/>
      <c r="C133" s="71"/>
      <c r="D133" s="71"/>
      <c r="E133" s="964"/>
      <c r="F133" s="964"/>
      <c r="G133" s="964"/>
    </row>
    <row r="134" spans="1:15" s="34" customFormat="1" x14ac:dyDescent="0.2">
      <c r="A134" s="195" t="s">
        <v>551</v>
      </c>
      <c r="B134" s="964"/>
      <c r="C134" s="964"/>
      <c r="D134" s="964"/>
      <c r="E134" s="964"/>
      <c r="F134" s="964"/>
      <c r="G134" s="964"/>
    </row>
    <row r="135" spans="1:15" s="34" customFormat="1" hidden="1" x14ac:dyDescent="0.2">
      <c r="A135" s="964"/>
      <c r="B135" s="964"/>
      <c r="C135" s="964"/>
      <c r="D135" s="964"/>
      <c r="E135" s="964"/>
      <c r="F135" s="964"/>
      <c r="G135" s="964"/>
    </row>
    <row r="136" spans="1:15" s="34" customFormat="1" hidden="1" x14ac:dyDescent="0.2">
      <c r="A136" s="1173" t="s">
        <v>267</v>
      </c>
      <c r="B136" s="1173"/>
      <c r="C136" s="1173"/>
      <c r="D136" s="1173"/>
      <c r="E136" s="1173"/>
      <c r="F136" s="1173"/>
      <c r="G136" s="1173"/>
    </row>
    <row r="137" spans="1:15" s="34" customFormat="1" hidden="1" x14ac:dyDescent="0.2">
      <c r="A137" s="708" t="s">
        <v>47</v>
      </c>
      <c r="B137" s="1178" t="s">
        <v>425</v>
      </c>
      <c r="C137" s="1179"/>
      <c r="D137" s="1179"/>
      <c r="E137" s="1179"/>
      <c r="F137" s="1180"/>
      <c r="G137" s="709" t="s">
        <v>107</v>
      </c>
    </row>
    <row r="138" spans="1:15" s="34" customFormat="1" hidden="1" x14ac:dyDescent="0.2">
      <c r="A138" s="972" t="s">
        <v>1</v>
      </c>
      <c r="B138" s="1220" t="s">
        <v>268</v>
      </c>
      <c r="C138" s="1220"/>
      <c r="D138" s="1220"/>
      <c r="E138" s="1220"/>
      <c r="F138" s="1220"/>
      <c r="G138" s="980" t="e">
        <f>ROUND(IF(G40=0,#REF!,0),2)</f>
        <v>#REF!</v>
      </c>
    </row>
    <row r="139" spans="1:15" s="34" customFormat="1" ht="15.75" hidden="1" customHeight="1" x14ac:dyDescent="0.2">
      <c r="A139" s="1172" t="s">
        <v>159</v>
      </c>
      <c r="B139" s="1172"/>
      <c r="C139" s="1172"/>
      <c r="D139" s="1172"/>
      <c r="E139" s="1172"/>
      <c r="F139" s="1172"/>
      <c r="G139" s="987" t="e">
        <f>SUM(G133:G138)</f>
        <v>#REF!</v>
      </c>
    </row>
    <row r="140" spans="1:15" s="34" customFormat="1" hidden="1" x14ac:dyDescent="0.2">
      <c r="A140" s="1185" t="s">
        <v>229</v>
      </c>
      <c r="B140" s="1185"/>
      <c r="C140" s="1185"/>
      <c r="D140" s="1185"/>
      <c r="E140" s="1185"/>
      <c r="F140" s="1185"/>
      <c r="G140" s="1185"/>
    </row>
    <row r="141" spans="1:15" s="34" customFormat="1" hidden="1" x14ac:dyDescent="0.2">
      <c r="A141" s="1185"/>
      <c r="B141" s="1185"/>
      <c r="C141" s="1185"/>
      <c r="D141" s="1185"/>
      <c r="E141" s="1185"/>
      <c r="F141" s="1185"/>
      <c r="G141" s="1185"/>
    </row>
    <row r="142" spans="1:15" s="34" customFormat="1" x14ac:dyDescent="0.2">
      <c r="A142" s="71"/>
      <c r="B142" s="71"/>
      <c r="C142" s="71"/>
      <c r="D142" s="71"/>
      <c r="E142" s="71"/>
      <c r="F142" s="196"/>
      <c r="G142" s="197"/>
    </row>
    <row r="143" spans="1:15" s="34" customFormat="1" x14ac:dyDescent="0.2">
      <c r="A143" s="1206" t="s">
        <v>231</v>
      </c>
      <c r="B143" s="1207"/>
      <c r="C143" s="1207"/>
      <c r="D143" s="1207"/>
      <c r="E143" s="1207"/>
      <c r="F143" s="1207"/>
      <c r="G143" s="1207"/>
      <c r="H143" s="1207"/>
      <c r="I143" s="1207"/>
      <c r="J143" s="1207"/>
      <c r="K143" s="1207"/>
    </row>
    <row r="144" spans="1:15" s="34" customFormat="1" ht="63" customHeight="1" x14ac:dyDescent="0.2">
      <c r="A144" s="993">
        <v>4</v>
      </c>
      <c r="B144" s="1313" t="s">
        <v>230</v>
      </c>
      <c r="C144" s="1191"/>
      <c r="D144" s="1191"/>
      <c r="E144" s="1191"/>
      <c r="F144" s="1314"/>
      <c r="G144" s="732" t="s">
        <v>107</v>
      </c>
      <c r="H144" s="962" t="s">
        <v>230</v>
      </c>
      <c r="I144" s="963" t="s">
        <v>107</v>
      </c>
      <c r="J144" s="962" t="s">
        <v>230</v>
      </c>
      <c r="K144" s="963" t="s">
        <v>107</v>
      </c>
      <c r="L144" s="962" t="s">
        <v>230</v>
      </c>
      <c r="M144" s="963" t="s">
        <v>107</v>
      </c>
      <c r="N144" s="962" t="s">
        <v>230</v>
      </c>
      <c r="O144" s="963" t="s">
        <v>107</v>
      </c>
    </row>
    <row r="145" spans="1:15" s="34" customFormat="1" x14ac:dyDescent="0.2">
      <c r="A145" s="986" t="s">
        <v>42</v>
      </c>
      <c r="B145" s="967" t="str">
        <f>B125</f>
        <v>Substituto nas Ausências Legais</v>
      </c>
      <c r="C145" s="336"/>
      <c r="D145" s="336"/>
      <c r="E145" s="336"/>
      <c r="F145" s="991"/>
      <c r="G145" s="982">
        <f>G132</f>
        <v>31.17</v>
      </c>
      <c r="H145" s="616"/>
      <c r="I145" s="982">
        <f>I132</f>
        <v>31.17</v>
      </c>
      <c r="J145" s="616"/>
      <c r="K145" s="982">
        <f>K132</f>
        <v>33.799999999999997</v>
      </c>
      <c r="L145" s="616"/>
      <c r="M145" s="982">
        <f>M132</f>
        <v>33.799999999999997</v>
      </c>
      <c r="N145" s="616"/>
      <c r="O145" s="982">
        <f>O132</f>
        <v>35.79</v>
      </c>
    </row>
    <row r="146" spans="1:15" s="34" customFormat="1" hidden="1" x14ac:dyDescent="0.2">
      <c r="A146" s="986" t="s">
        <v>47</v>
      </c>
      <c r="B146" s="967" t="str">
        <f>B137</f>
        <v>Substituto na Intrajornada</v>
      </c>
      <c r="C146" s="336"/>
      <c r="D146" s="336"/>
      <c r="E146" s="336"/>
      <c r="F146" s="991"/>
      <c r="G146" s="982" t="e">
        <f>G139</f>
        <v>#REF!</v>
      </c>
      <c r="H146" s="882"/>
      <c r="I146" s="982">
        <f>I139</f>
        <v>0</v>
      </c>
      <c r="J146" s="882"/>
      <c r="K146" s="982">
        <f>K139</f>
        <v>0</v>
      </c>
      <c r="L146" s="882"/>
      <c r="M146" s="982">
        <f>M139</f>
        <v>0</v>
      </c>
      <c r="N146" s="882"/>
      <c r="O146" s="982">
        <f>O139</f>
        <v>0</v>
      </c>
    </row>
    <row r="147" spans="1:15" s="34" customFormat="1" x14ac:dyDescent="0.2">
      <c r="A147" s="1172" t="s">
        <v>159</v>
      </c>
      <c r="B147" s="1172"/>
      <c r="C147" s="1172"/>
      <c r="D147" s="1172"/>
      <c r="E147" s="1172"/>
      <c r="F147" s="1172"/>
      <c r="G147" s="981">
        <f>G145</f>
        <v>31.17</v>
      </c>
      <c r="H147" s="973" t="s">
        <v>159</v>
      </c>
      <c r="I147" s="981">
        <f>I145</f>
        <v>31.17</v>
      </c>
      <c r="J147" s="973" t="s">
        <v>159</v>
      </c>
      <c r="K147" s="981">
        <f>K145</f>
        <v>33.799999999999997</v>
      </c>
      <c r="L147" s="973" t="s">
        <v>159</v>
      </c>
      <c r="M147" s="981">
        <f>M145</f>
        <v>33.799999999999997</v>
      </c>
      <c r="N147" s="973" t="s">
        <v>159</v>
      </c>
      <c r="O147" s="981">
        <f>O145</f>
        <v>35.79</v>
      </c>
    </row>
    <row r="148" spans="1:15" s="34" customFormat="1" x14ac:dyDescent="0.2">
      <c r="A148" s="71"/>
      <c r="B148" s="71"/>
      <c r="C148" s="71"/>
      <c r="D148" s="71"/>
      <c r="E148" s="71"/>
      <c r="F148" s="196"/>
      <c r="G148" s="197"/>
    </row>
    <row r="149" spans="1:15" ht="15" customHeight="1" x14ac:dyDescent="0.2">
      <c r="A149" s="1173" t="s">
        <v>233</v>
      </c>
      <c r="B149" s="1173"/>
      <c r="C149" s="1173"/>
      <c r="D149" s="1173"/>
      <c r="E149" s="1173"/>
      <c r="F149" s="1173"/>
      <c r="G149" s="1173"/>
      <c r="H149" s="885"/>
      <c r="I149" s="886"/>
      <c r="J149" s="885"/>
      <c r="K149" s="886"/>
      <c r="L149" s="885"/>
      <c r="M149" s="886"/>
      <c r="N149" s="885"/>
      <c r="O149" s="886"/>
    </row>
    <row r="150" spans="1:15" x14ac:dyDescent="0.2">
      <c r="A150" s="993">
        <v>5</v>
      </c>
      <c r="B150" s="1313" t="s">
        <v>79</v>
      </c>
      <c r="C150" s="1191"/>
      <c r="D150" s="1191"/>
      <c r="E150" s="1191"/>
      <c r="F150" s="1314"/>
      <c r="G150" s="732" t="s">
        <v>107</v>
      </c>
      <c r="H150" s="879" t="s">
        <v>79</v>
      </c>
      <c r="I150" s="732" t="s">
        <v>107</v>
      </c>
      <c r="J150" s="879" t="s">
        <v>79</v>
      </c>
      <c r="K150" s="732" t="s">
        <v>107</v>
      </c>
      <c r="L150" s="879" t="s">
        <v>79</v>
      </c>
      <c r="M150" s="732" t="s">
        <v>107</v>
      </c>
      <c r="N150" s="879" t="s">
        <v>79</v>
      </c>
      <c r="O150" s="732" t="s">
        <v>107</v>
      </c>
    </row>
    <row r="151" spans="1:15" x14ac:dyDescent="0.2">
      <c r="A151" s="986" t="s">
        <v>1</v>
      </c>
      <c r="B151" s="337" t="str">
        <f>Dados!A60</f>
        <v>Uniformes</v>
      </c>
      <c r="C151" s="336"/>
      <c r="D151" s="336"/>
      <c r="E151" s="336"/>
      <c r="F151" s="985">
        <f>Dados!J61</f>
        <v>62.41</v>
      </c>
      <c r="G151" s="982">
        <v>74.89</v>
      </c>
      <c r="I151" s="982">
        <f>'Uniformes III TA'!H52</f>
        <v>62.41</v>
      </c>
      <c r="K151" s="982">
        <f>'Uniformes III TA'!Q53</f>
        <v>68.45</v>
      </c>
      <c r="M151" s="982">
        <f>'Uniformes III TA'!AH53</f>
        <v>75.33</v>
      </c>
      <c r="O151" s="982">
        <f>'Uniformes III TA'!AH53</f>
        <v>75.33</v>
      </c>
    </row>
    <row r="152" spans="1:15" x14ac:dyDescent="0.2">
      <c r="A152" s="986" t="s">
        <v>2</v>
      </c>
      <c r="B152" s="337" t="str">
        <f>Dados!A62</f>
        <v>Materiais e Equipamentos</v>
      </c>
      <c r="C152" s="336"/>
      <c r="D152" s="336"/>
      <c r="E152" s="336"/>
      <c r="F152" s="985">
        <f>Dados!J63</f>
        <v>24.36</v>
      </c>
      <c r="G152" s="982">
        <f>'Mat. e Equip. II TA'!I30</f>
        <v>26.38</v>
      </c>
      <c r="I152" s="982">
        <f>'Mat. e Equip. II TA'!I30</f>
        <v>26.38</v>
      </c>
      <c r="K152" s="982">
        <f>'Mat. e Equip. II TA'!AC30</f>
        <v>28.93</v>
      </c>
      <c r="M152" s="982">
        <f>'Mat. e Equip. II TA'!AM30</f>
        <v>31.84</v>
      </c>
      <c r="O152" s="982">
        <f>'Mat. e Equip. II TA'!AM30</f>
        <v>31.84</v>
      </c>
    </row>
    <row r="153" spans="1:15" x14ac:dyDescent="0.2">
      <c r="A153" s="986" t="s">
        <v>4</v>
      </c>
      <c r="B153" s="967" t="str">
        <f>Dados!A64</f>
        <v>Depreciação e manutenção dos equipamentos</v>
      </c>
      <c r="C153" s="336"/>
      <c r="D153" s="336"/>
      <c r="E153" s="336"/>
      <c r="F153" s="991">
        <f>Dados!I64</f>
        <v>0.1</v>
      </c>
      <c r="G153" s="982">
        <f>G152*10%</f>
        <v>2.64</v>
      </c>
      <c r="I153" s="982">
        <f>I152*10%</f>
        <v>2.64</v>
      </c>
      <c r="K153" s="982">
        <f>K152*10%</f>
        <v>2.89</v>
      </c>
      <c r="M153" s="982">
        <f>F153*M152</f>
        <v>3.18</v>
      </c>
      <c r="O153" s="982">
        <f>F153*O152</f>
        <v>3.18</v>
      </c>
    </row>
    <row r="154" spans="1:15" x14ac:dyDescent="0.2">
      <c r="A154" s="986" t="s">
        <v>5</v>
      </c>
      <c r="B154" s="303" t="s">
        <v>51</v>
      </c>
      <c r="C154" s="306"/>
      <c r="D154" s="306"/>
      <c r="E154" s="122"/>
      <c r="F154" s="991"/>
      <c r="G154" s="984"/>
      <c r="I154" s="984"/>
      <c r="K154" s="984"/>
      <c r="M154" s="984"/>
      <c r="O154" s="984"/>
    </row>
    <row r="155" spans="1:15" x14ac:dyDescent="0.2">
      <c r="A155" s="1172" t="s">
        <v>159</v>
      </c>
      <c r="B155" s="1172"/>
      <c r="C155" s="1172"/>
      <c r="D155" s="1172"/>
      <c r="E155" s="1172"/>
      <c r="F155" s="1172"/>
      <c r="G155" s="981">
        <f>SUM(G151:G154)</f>
        <v>103.91</v>
      </c>
      <c r="H155" s="973" t="s">
        <v>159</v>
      </c>
      <c r="I155" s="981">
        <f>SUM(I151:I154)</f>
        <v>91.43</v>
      </c>
      <c r="J155" s="973" t="s">
        <v>159</v>
      </c>
      <c r="K155" s="981">
        <f>SUM(K151:K154)</f>
        <v>100.27</v>
      </c>
      <c r="L155" s="973" t="s">
        <v>159</v>
      </c>
      <c r="M155" s="981">
        <f>SUM(M151:M154)</f>
        <v>110.35</v>
      </c>
      <c r="N155" s="973" t="s">
        <v>159</v>
      </c>
      <c r="O155" s="981">
        <f>SUM(O151:O154)</f>
        <v>110.35</v>
      </c>
    </row>
    <row r="156" spans="1:15" s="34" customForma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</row>
    <row r="157" spans="1:15" s="34" customFormat="1" x14ac:dyDescent="0.2">
      <c r="A157" s="978"/>
      <c r="B157" s="68"/>
      <c r="C157" s="68"/>
      <c r="D157" s="68"/>
      <c r="E157" s="68"/>
      <c r="F157" s="77"/>
      <c r="G157" s="78"/>
    </row>
    <row r="158" spans="1:15" ht="15" customHeight="1" x14ac:dyDescent="0.2">
      <c r="A158" s="1173" t="s">
        <v>237</v>
      </c>
      <c r="B158" s="1173"/>
      <c r="C158" s="1173"/>
      <c r="D158" s="1173"/>
      <c r="E158" s="1173"/>
      <c r="F158" s="1173"/>
      <c r="G158" s="1173"/>
      <c r="H158" s="885"/>
      <c r="I158" s="886"/>
      <c r="J158" s="885"/>
      <c r="K158" s="886"/>
      <c r="L158" s="885"/>
      <c r="M158" s="886"/>
      <c r="N158" s="885"/>
      <c r="O158" s="886"/>
    </row>
    <row r="159" spans="1:15" ht="15.75" customHeight="1" x14ac:dyDescent="0.2">
      <c r="A159" s="993">
        <v>6</v>
      </c>
      <c r="B159" s="1312" t="s">
        <v>23</v>
      </c>
      <c r="C159" s="1312"/>
      <c r="D159" s="1312"/>
      <c r="E159" s="1312"/>
      <c r="F159" s="993" t="s">
        <v>222</v>
      </c>
      <c r="G159" s="732" t="s">
        <v>107</v>
      </c>
      <c r="H159" s="993" t="s">
        <v>222</v>
      </c>
      <c r="I159" s="732" t="s">
        <v>107</v>
      </c>
      <c r="J159" s="993" t="s">
        <v>222</v>
      </c>
      <c r="K159" s="732" t="s">
        <v>107</v>
      </c>
      <c r="L159" s="993" t="s">
        <v>222</v>
      </c>
      <c r="M159" s="732" t="s">
        <v>107</v>
      </c>
      <c r="N159" s="993" t="s">
        <v>222</v>
      </c>
      <c r="O159" s="732" t="s">
        <v>107</v>
      </c>
    </row>
    <row r="160" spans="1:15" ht="14.25" customHeight="1" x14ac:dyDescent="0.2">
      <c r="A160" s="972" t="s">
        <v>1</v>
      </c>
      <c r="B160" s="312" t="s">
        <v>24</v>
      </c>
      <c r="C160" s="315"/>
      <c r="D160" s="315"/>
      <c r="E160" s="304"/>
      <c r="F160" s="308">
        <f>Dados!J67</f>
        <v>0.01</v>
      </c>
      <c r="G160" s="983">
        <f>$G$180*F160</f>
        <v>72.239999999999995</v>
      </c>
      <c r="H160" s="308">
        <v>0.01</v>
      </c>
      <c r="I160" s="983">
        <f>$I$180*H160</f>
        <v>72.11</v>
      </c>
      <c r="J160" s="308">
        <v>0.01</v>
      </c>
      <c r="K160" s="983">
        <f>$K$180*J160</f>
        <v>78.150000000000006</v>
      </c>
      <c r="L160" s="308">
        <v>0.01</v>
      </c>
      <c r="M160" s="983">
        <f>$K$180*L160</f>
        <v>78.150000000000006</v>
      </c>
      <c r="N160" s="308">
        <v>0.01</v>
      </c>
      <c r="O160" s="983">
        <f>$O$180*N160</f>
        <v>82.86</v>
      </c>
    </row>
    <row r="161" spans="1:15" ht="14.25" customHeight="1" x14ac:dyDescent="0.2">
      <c r="A161" s="972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983">
        <f>($G$180+$G$160)*F161</f>
        <v>72.959999999999994</v>
      </c>
      <c r="H161" s="308">
        <v>0.01</v>
      </c>
      <c r="I161" s="983">
        <f>($I$180+$I$160)*H161</f>
        <v>72.84</v>
      </c>
      <c r="J161" s="308">
        <v>0.01</v>
      </c>
      <c r="K161" s="983">
        <f>($K$180+$K$160)*J161</f>
        <v>78.930000000000007</v>
      </c>
      <c r="L161" s="308">
        <v>0.01</v>
      </c>
      <c r="M161" s="983">
        <f>($K$180+$K$160)*L161</f>
        <v>78.930000000000007</v>
      </c>
      <c r="N161" s="308">
        <v>0.01</v>
      </c>
      <c r="O161" s="983">
        <f>($O$180+$O$160)*N161</f>
        <v>83.69</v>
      </c>
    </row>
    <row r="162" spans="1:15" ht="14.25" customHeight="1" x14ac:dyDescent="0.2">
      <c r="A162" s="972" t="s">
        <v>4</v>
      </c>
      <c r="B162" s="312" t="s">
        <v>426</v>
      </c>
      <c r="C162" s="315"/>
      <c r="D162" s="315"/>
      <c r="E162" s="304"/>
      <c r="F162" s="308"/>
      <c r="G162" s="983">
        <f>SUM(G160:G161)</f>
        <v>145.19999999999999</v>
      </c>
      <c r="H162" s="308"/>
      <c r="I162" s="271">
        <f>SUM(I160:I161)</f>
        <v>144.94999999999999</v>
      </c>
      <c r="J162" s="308"/>
      <c r="K162" s="271">
        <f>SUM(K160:K161)</f>
        <v>157.08000000000001</v>
      </c>
      <c r="L162" s="308"/>
      <c r="M162" s="271">
        <f>SUM(M160:M161)</f>
        <v>157.08000000000001</v>
      </c>
      <c r="N162" s="308"/>
      <c r="O162" s="271">
        <f>SUM(O160:O161)</f>
        <v>166.55</v>
      </c>
    </row>
    <row r="163" spans="1:15" ht="14.25" customHeight="1" x14ac:dyDescent="0.2">
      <c r="A163" s="972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52.43</v>
      </c>
      <c r="H163" s="309">
        <v>6.4999999999999997E-3</v>
      </c>
      <c r="I163" s="310">
        <f>(($I$180+$I$160+$I$161)/Dados!$H$72)*H163</f>
        <v>52.34</v>
      </c>
      <c r="J163" s="309">
        <v>6.4999999999999997E-3</v>
      </c>
      <c r="K163" s="310">
        <f>(($K$180+$K$160+$K$161)/Dados!$H$72)*J163</f>
        <v>56.73</v>
      </c>
      <c r="L163" s="309">
        <v>6.4999999999999997E-3</v>
      </c>
      <c r="M163" s="310">
        <f>(($K$180+$K$160+$K$161)/Dados!$H$72)*L163</f>
        <v>56.73</v>
      </c>
      <c r="N163" s="309">
        <v>6.4999999999999997E-3</v>
      </c>
      <c r="O163" s="310">
        <f>(($O$180+$O$160+$O$161)/Dados!$H$72)*N163</f>
        <v>60.14</v>
      </c>
    </row>
    <row r="164" spans="1:15" ht="14.25" customHeight="1" x14ac:dyDescent="0.2">
      <c r="A164" s="972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242.01</v>
      </c>
      <c r="H164" s="309">
        <v>0.03</v>
      </c>
      <c r="I164" s="310">
        <f>(($I$180+$I$160+$I$161)/Dados!$H$72)*H164</f>
        <v>241.59</v>
      </c>
      <c r="J164" s="309">
        <v>0.03</v>
      </c>
      <c r="K164" s="310">
        <f>(($K$180+$K$160+$K$161)/Dados!$H$72)*J164</f>
        <v>261.82</v>
      </c>
      <c r="L164" s="309">
        <v>0.03</v>
      </c>
      <c r="M164" s="310">
        <f>(($K$180+$K$160+$K$161)/Dados!$H$72)*L164</f>
        <v>261.82</v>
      </c>
      <c r="N164" s="309">
        <v>0.03</v>
      </c>
      <c r="O164" s="310">
        <f>(($O$180+$O$160+$O$161)/Dados!$H$72)*N164</f>
        <v>277.58</v>
      </c>
    </row>
    <row r="165" spans="1:15" ht="14.25" customHeight="1" x14ac:dyDescent="0.2">
      <c r="A165" s="972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403.35</v>
      </c>
      <c r="H165" s="309">
        <v>0.05</v>
      </c>
      <c r="I165" s="310">
        <f>(($I$180+$I$160+$I$161)/Dados!$H$72)*H165</f>
        <v>402.65</v>
      </c>
      <c r="J165" s="309">
        <v>0.05</v>
      </c>
      <c r="K165" s="310">
        <f>(($K$180+$K$160+$K$161)/Dados!$H$72)*J165</f>
        <v>436.36</v>
      </c>
      <c r="L165" s="309">
        <v>0.05</v>
      </c>
      <c r="M165" s="310">
        <f>(($K$180+$K$160+$K$161)/Dados!$H$72)*L165</f>
        <v>436.36</v>
      </c>
      <c r="N165" s="309">
        <v>0.05</v>
      </c>
      <c r="O165" s="310">
        <f>(($O$180+$O$160+$O$161)/Dados!$H$72)*N165</f>
        <v>462.64</v>
      </c>
    </row>
    <row r="166" spans="1:15" ht="14.25" customHeight="1" x14ac:dyDescent="0.2">
      <c r="A166" s="972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309">
        <v>0</v>
      </c>
      <c r="I166" s="310">
        <v>0</v>
      </c>
      <c r="J166" s="309">
        <v>0</v>
      </c>
      <c r="K166" s="310">
        <v>0</v>
      </c>
      <c r="L166" s="309">
        <v>0</v>
      </c>
      <c r="M166" s="310">
        <v>0</v>
      </c>
      <c r="N166" s="309">
        <v>0</v>
      </c>
      <c r="O166" s="310">
        <v>0</v>
      </c>
    </row>
    <row r="167" spans="1:15" ht="18" customHeight="1" x14ac:dyDescent="0.2">
      <c r="A167" s="1172" t="s">
        <v>159</v>
      </c>
      <c r="B167" s="1172"/>
      <c r="C167" s="1172"/>
      <c r="D167" s="1172"/>
      <c r="E167" s="1172"/>
      <c r="F167" s="311">
        <f>SUM(F160:F165)</f>
        <v>0.1065</v>
      </c>
      <c r="G167" s="988">
        <f>G160+G163+G164+G165+G161</f>
        <v>842.99</v>
      </c>
      <c r="H167" s="311">
        <f>SUM(H160:H165)</f>
        <v>0.1065</v>
      </c>
      <c r="I167" s="988">
        <f>I160+I163+I164+I165+I161</f>
        <v>841.53</v>
      </c>
      <c r="J167" s="311">
        <f>SUM(J160:J165)</f>
        <v>0.1065</v>
      </c>
      <c r="K167" s="988">
        <f>K160+K163+K164+K165+K161</f>
        <v>911.99</v>
      </c>
      <c r="L167" s="311">
        <f>SUM(L160:L165)</f>
        <v>0.1065</v>
      </c>
      <c r="M167" s="988">
        <f>M160+M163+M164+M165+M161</f>
        <v>911.99</v>
      </c>
      <c r="N167" s="311">
        <f>SUM(N160:N165)</f>
        <v>0.1065</v>
      </c>
      <c r="O167" s="988">
        <f>O160+O163+O164+O165+O161</f>
        <v>966.91</v>
      </c>
    </row>
    <row r="168" spans="1:15" x14ac:dyDescent="0.2">
      <c r="A168" s="195" t="s">
        <v>236</v>
      </c>
      <c r="B168" s="961"/>
      <c r="C168" s="961"/>
      <c r="D168" s="961"/>
      <c r="E168" s="961"/>
      <c r="F168" s="961"/>
      <c r="G168" s="82"/>
    </row>
    <row r="169" spans="1:15" x14ac:dyDescent="0.2">
      <c r="A169" s="195" t="s">
        <v>235</v>
      </c>
      <c r="B169" s="961"/>
      <c r="C169" s="961"/>
      <c r="D169" s="961"/>
      <c r="E169" s="961"/>
      <c r="F169" s="961"/>
      <c r="G169" s="82"/>
    </row>
    <row r="170" spans="1:15" x14ac:dyDescent="0.2">
      <c r="A170" s="1186" t="s">
        <v>433</v>
      </c>
      <c r="B170" s="1186"/>
      <c r="C170" s="1186"/>
      <c r="D170" s="1186"/>
      <c r="E170" s="1186"/>
      <c r="F170" s="1186"/>
      <c r="G170" s="1186"/>
    </row>
    <row r="171" spans="1:15" x14ac:dyDescent="0.2">
      <c r="A171" s="1186"/>
      <c r="B171" s="1186"/>
      <c r="C171" s="1186"/>
      <c r="D171" s="1186"/>
      <c r="E171" s="1186"/>
      <c r="F171" s="1186"/>
      <c r="G171" s="1186"/>
    </row>
    <row r="172" spans="1:15" x14ac:dyDescent="0.2">
      <c r="A172" s="195"/>
      <c r="B172" s="961"/>
      <c r="C172" s="961"/>
      <c r="D172" s="961"/>
      <c r="E172" s="961"/>
      <c r="F172" s="961"/>
      <c r="G172" s="82"/>
    </row>
    <row r="173" spans="1:15" x14ac:dyDescent="0.2">
      <c r="A173" s="638" t="s">
        <v>434</v>
      </c>
      <c r="B173" s="1206"/>
      <c r="C173" s="1207"/>
      <c r="D173" s="1207"/>
      <c r="E173" s="1207"/>
      <c r="F173" s="1207"/>
      <c r="G173" s="1207"/>
    </row>
    <row r="174" spans="1:15" ht="68.25" customHeight="1" x14ac:dyDescent="0.2">
      <c r="A174" s="1212" t="s">
        <v>201</v>
      </c>
      <c r="B174" s="1212"/>
      <c r="C174" s="1212"/>
      <c r="D174" s="1212"/>
      <c r="E174" s="1212"/>
      <c r="F174" s="1212"/>
      <c r="G174" s="966" t="s">
        <v>521</v>
      </c>
      <c r="H174" s="729" t="s">
        <v>201</v>
      </c>
      <c r="I174" s="783" t="s">
        <v>607</v>
      </c>
      <c r="J174" s="729" t="s">
        <v>201</v>
      </c>
      <c r="K174" s="783" t="s">
        <v>607</v>
      </c>
      <c r="L174" s="729" t="s">
        <v>201</v>
      </c>
      <c r="M174" s="783" t="s">
        <v>603</v>
      </c>
      <c r="N174" s="729" t="s">
        <v>201</v>
      </c>
      <c r="O174" s="783" t="s">
        <v>600</v>
      </c>
    </row>
    <row r="175" spans="1:15" ht="14.25" customHeight="1" x14ac:dyDescent="0.2">
      <c r="A175" s="972" t="s">
        <v>1</v>
      </c>
      <c r="B175" s="967" t="str">
        <f>A33</f>
        <v>Módulo 1 - Composição da Remuneração</v>
      </c>
      <c r="C175" s="968"/>
      <c r="D175" s="976"/>
      <c r="E175" s="976"/>
      <c r="F175" s="990"/>
      <c r="G175" s="984">
        <f>G41</f>
        <v>3521.6</v>
      </c>
      <c r="I175" s="984">
        <f>I41</f>
        <v>3521.6</v>
      </c>
      <c r="K175" s="984">
        <f>K41</f>
        <v>3820.93</v>
      </c>
      <c r="M175" s="984">
        <f>M41</f>
        <v>3820.93</v>
      </c>
      <c r="O175" s="984">
        <f>O41</f>
        <v>4044.46</v>
      </c>
    </row>
    <row r="176" spans="1:15" ht="14.25" customHeight="1" x14ac:dyDescent="0.2">
      <c r="A176" s="972" t="s">
        <v>2</v>
      </c>
      <c r="B176" s="967" t="str">
        <f>A46</f>
        <v>Módulo 2 - Encargos e Benefícios Anuais, Mensais e Diários</v>
      </c>
      <c r="C176" s="968"/>
      <c r="D176" s="976"/>
      <c r="E176" s="976"/>
      <c r="F176" s="990"/>
      <c r="G176" s="984">
        <f>G105</f>
        <v>3395.46</v>
      </c>
      <c r="I176" s="984">
        <f>I105</f>
        <v>3395.46</v>
      </c>
      <c r="K176" s="984">
        <f>K105</f>
        <v>3673.82</v>
      </c>
      <c r="M176" s="984">
        <f>M105</f>
        <v>3673.82</v>
      </c>
      <c r="O176" s="984">
        <f>O105</f>
        <v>3897.94</v>
      </c>
    </row>
    <row r="177" spans="1:15" ht="14.25" customHeight="1" x14ac:dyDescent="0.2">
      <c r="A177" s="972" t="s">
        <v>4</v>
      </c>
      <c r="B177" s="967" t="str">
        <f>A107</f>
        <v>Módulo 3 - Provisão para Rescisão</v>
      </c>
      <c r="C177" s="968"/>
      <c r="D177" s="976"/>
      <c r="E177" s="976"/>
      <c r="F177" s="990"/>
      <c r="G177" s="984">
        <f>G116</f>
        <v>171.79</v>
      </c>
      <c r="I177" s="984">
        <f>I116</f>
        <v>171.79</v>
      </c>
      <c r="K177" s="984">
        <f>K116</f>
        <v>186.4</v>
      </c>
      <c r="M177" s="984">
        <f>M116</f>
        <v>186.4</v>
      </c>
      <c r="O177" s="984">
        <f>O116</f>
        <v>197.31</v>
      </c>
    </row>
    <row r="178" spans="1:15" ht="14.25" customHeight="1" x14ac:dyDescent="0.2">
      <c r="A178" s="972" t="s">
        <v>5</v>
      </c>
      <c r="B178" s="967" t="str">
        <f>A121</f>
        <v>Módulo 4 - Custo de Reposição do Profissional</v>
      </c>
      <c r="C178" s="968"/>
      <c r="D178" s="976"/>
      <c r="E178" s="976"/>
      <c r="F178" s="990"/>
      <c r="G178" s="984">
        <f>G147</f>
        <v>31.17</v>
      </c>
      <c r="I178" s="984">
        <f>I147</f>
        <v>31.17</v>
      </c>
      <c r="K178" s="984">
        <f>K147</f>
        <v>33.799999999999997</v>
      </c>
      <c r="M178" s="984">
        <f>M147</f>
        <v>33.799999999999997</v>
      </c>
      <c r="O178" s="984">
        <f>O147</f>
        <v>35.79</v>
      </c>
    </row>
    <row r="179" spans="1:15" x14ac:dyDescent="0.2">
      <c r="A179" s="986" t="s">
        <v>6</v>
      </c>
      <c r="B179" s="967" t="str">
        <f>A149</f>
        <v>Módulo 5 - Insumos Diversos</v>
      </c>
      <c r="C179" s="319"/>
      <c r="D179" s="319"/>
      <c r="E179" s="319"/>
      <c r="F179" s="318"/>
      <c r="G179" s="711">
        <f>G155</f>
        <v>103.91</v>
      </c>
      <c r="I179" s="711">
        <f>I155</f>
        <v>91.43</v>
      </c>
      <c r="K179" s="711">
        <f>K155</f>
        <v>100.27</v>
      </c>
      <c r="M179" s="711">
        <f>M155</f>
        <v>110.35</v>
      </c>
      <c r="O179" s="711">
        <f>O155</f>
        <v>110.35</v>
      </c>
    </row>
    <row r="180" spans="1:15" x14ac:dyDescent="0.2">
      <c r="A180" s="1172" t="s">
        <v>238</v>
      </c>
      <c r="B180" s="1172"/>
      <c r="C180" s="1172"/>
      <c r="D180" s="1172"/>
      <c r="E180" s="1172"/>
      <c r="F180" s="1172"/>
      <c r="G180" s="981">
        <f>SUM(G175:G179)</f>
        <v>7223.93</v>
      </c>
      <c r="H180" s="879" t="s">
        <v>238</v>
      </c>
      <c r="I180" s="981">
        <f>SUM(I175:I179)</f>
        <v>7211.45</v>
      </c>
      <c r="J180" s="879" t="s">
        <v>238</v>
      </c>
      <c r="K180" s="981">
        <f>SUM(K175:K179)</f>
        <v>7815.22</v>
      </c>
      <c r="L180" s="879" t="s">
        <v>238</v>
      </c>
      <c r="M180" s="981">
        <f>SUM(M175:M179)</f>
        <v>7825.3</v>
      </c>
      <c r="N180" s="879" t="s">
        <v>238</v>
      </c>
      <c r="O180" s="981">
        <f>SUM(O175:O179)</f>
        <v>8285.85</v>
      </c>
    </row>
    <row r="181" spans="1:15" ht="14.25" customHeight="1" x14ac:dyDescent="0.2">
      <c r="A181" s="972" t="s">
        <v>7</v>
      </c>
      <c r="B181" s="967" t="str">
        <f>A158</f>
        <v>Módulo 6 - Custos Indiretos, Tributos e Lucro</v>
      </c>
      <c r="C181" s="968"/>
      <c r="D181" s="976"/>
      <c r="E181" s="976"/>
      <c r="F181" s="990"/>
      <c r="G181" s="981">
        <f>G167</f>
        <v>842.99</v>
      </c>
      <c r="I181" s="981">
        <f>I167</f>
        <v>841.53</v>
      </c>
      <c r="K181" s="981">
        <f>K167</f>
        <v>911.99</v>
      </c>
      <c r="M181" s="981">
        <f>M167</f>
        <v>911.99</v>
      </c>
      <c r="O181" s="981">
        <f>O167</f>
        <v>966.91</v>
      </c>
    </row>
    <row r="182" spans="1:15" ht="15.75" customHeight="1" x14ac:dyDescent="0.2">
      <c r="A182" s="1172" t="s">
        <v>179</v>
      </c>
      <c r="B182" s="1172"/>
      <c r="C182" s="1172"/>
      <c r="D182" s="1172"/>
      <c r="E182" s="1172"/>
      <c r="F182" s="1172"/>
      <c r="G182" s="981">
        <f>SUM(G180:G181)</f>
        <v>8066.92</v>
      </c>
      <c r="H182" s="881" t="s">
        <v>159</v>
      </c>
      <c r="I182" s="981">
        <f>SUM(I180:I181)</f>
        <v>8052.98</v>
      </c>
      <c r="J182" s="881" t="s">
        <v>159</v>
      </c>
      <c r="K182" s="981">
        <f>SUM(K180:K181)</f>
        <v>8727.2099999999991</v>
      </c>
      <c r="L182" s="881" t="s">
        <v>159</v>
      </c>
      <c r="M182" s="981">
        <f>SUM(M180:M181)</f>
        <v>8737.2900000000009</v>
      </c>
      <c r="N182" s="881" t="s">
        <v>159</v>
      </c>
      <c r="O182" s="981">
        <f>SUM(O180:O181)</f>
        <v>9252.76</v>
      </c>
    </row>
    <row r="183" spans="1:15" hidden="1" x14ac:dyDescent="0.2">
      <c r="A183" s="1171" t="s">
        <v>436</v>
      </c>
      <c r="B183" s="1171"/>
      <c r="C183" s="1171"/>
      <c r="D183" s="1171"/>
      <c r="E183" s="1171"/>
      <c r="F183" s="1171"/>
      <c r="G183" s="326"/>
    </row>
    <row r="184" spans="1:15" hidden="1" x14ac:dyDescent="0.2">
      <c r="A184" s="1171" t="s">
        <v>179</v>
      </c>
      <c r="B184" s="1171"/>
      <c r="C184" s="1171"/>
      <c r="D184" s="1171"/>
      <c r="E184" s="1171"/>
      <c r="F184" s="1171"/>
      <c r="G184" s="326">
        <f>SUM(G182:G183)</f>
        <v>8066.92</v>
      </c>
    </row>
  </sheetData>
  <mergeCells count="104">
    <mergeCell ref="H30:I30"/>
    <mergeCell ref="J31:K31"/>
    <mergeCell ref="A82:K82"/>
    <mergeCell ref="A64:K64"/>
    <mergeCell ref="A46:K46"/>
    <mergeCell ref="A47:K47"/>
    <mergeCell ref="A76:G76"/>
    <mergeCell ref="A77:G77"/>
    <mergeCell ref="A74:E74"/>
    <mergeCell ref="A52:G53"/>
    <mergeCell ref="A54:G55"/>
    <mergeCell ref="B50:E50"/>
    <mergeCell ref="N26:O26"/>
    <mergeCell ref="N27:O27"/>
    <mergeCell ref="N28:O28"/>
    <mergeCell ref="N29:O29"/>
    <mergeCell ref="N30:O30"/>
    <mergeCell ref="N31:O31"/>
    <mergeCell ref="A43:G44"/>
    <mergeCell ref="B48:E48"/>
    <mergeCell ref="A33:G33"/>
    <mergeCell ref="B34:E34"/>
    <mergeCell ref="A41:F41"/>
    <mergeCell ref="B30:E30"/>
    <mergeCell ref="F30:G30"/>
    <mergeCell ref="B31:E31"/>
    <mergeCell ref="F31:G31"/>
    <mergeCell ref="B28:E28"/>
    <mergeCell ref="H31:I31"/>
    <mergeCell ref="J28:K28"/>
    <mergeCell ref="J29:K29"/>
    <mergeCell ref="J30:K30"/>
    <mergeCell ref="H28:I28"/>
    <mergeCell ref="F28:G28"/>
    <mergeCell ref="F29:G29"/>
    <mergeCell ref="B26:E26"/>
    <mergeCell ref="B144:F144"/>
    <mergeCell ref="A75:G75"/>
    <mergeCell ref="A62:F62"/>
    <mergeCell ref="B65:E65"/>
    <mergeCell ref="A56:G57"/>
    <mergeCell ref="A59:F59"/>
    <mergeCell ref="A143:K143"/>
    <mergeCell ref="A121:K121"/>
    <mergeCell ref="A122:K123"/>
    <mergeCell ref="A100:M100"/>
    <mergeCell ref="A132:E132"/>
    <mergeCell ref="A116:E116"/>
    <mergeCell ref="A124:G124"/>
    <mergeCell ref="A105:F105"/>
    <mergeCell ref="B108:E108"/>
    <mergeCell ref="B138:F138"/>
    <mergeCell ref="A139:F139"/>
    <mergeCell ref="A136:G136"/>
    <mergeCell ref="B137:F137"/>
    <mergeCell ref="B125:E125"/>
    <mergeCell ref="H27:I27"/>
    <mergeCell ref="B83:E83"/>
    <mergeCell ref="A84:A85"/>
    <mergeCell ref="A51:E51"/>
    <mergeCell ref="A184:F184"/>
    <mergeCell ref="B173:G173"/>
    <mergeCell ref="A174:F174"/>
    <mergeCell ref="A180:F180"/>
    <mergeCell ref="A167:E167"/>
    <mergeCell ref="A170:G171"/>
    <mergeCell ref="A98:G98"/>
    <mergeCell ref="B101:F101"/>
    <mergeCell ref="A86:A87"/>
    <mergeCell ref="A96:F96"/>
    <mergeCell ref="A107:O107"/>
    <mergeCell ref="A182:F182"/>
    <mergeCell ref="A183:F183"/>
    <mergeCell ref="A155:F155"/>
    <mergeCell ref="A158:G158"/>
    <mergeCell ref="B159:E159"/>
    <mergeCell ref="A147:F147"/>
    <mergeCell ref="A149:G149"/>
    <mergeCell ref="B150:F150"/>
    <mergeCell ref="A140:G141"/>
    <mergeCell ref="H29:I29"/>
    <mergeCell ref="A21:G21"/>
    <mergeCell ref="A22:B22"/>
    <mergeCell ref="F18:G18"/>
    <mergeCell ref="F19:G19"/>
    <mergeCell ref="A16:G16"/>
    <mergeCell ref="F17:G17"/>
    <mergeCell ref="A5:G5"/>
    <mergeCell ref="A6:G6"/>
    <mergeCell ref="A7:G7"/>
    <mergeCell ref="A8:G8"/>
    <mergeCell ref="A13:B13"/>
    <mergeCell ref="C13:D13"/>
    <mergeCell ref="A9:G9"/>
    <mergeCell ref="A12:B12"/>
    <mergeCell ref="C12:D12"/>
    <mergeCell ref="F26:G26"/>
    <mergeCell ref="B27:E27"/>
    <mergeCell ref="F27:G27"/>
    <mergeCell ref="A23:B23"/>
    <mergeCell ref="A25:K25"/>
    <mergeCell ref="J26:K26"/>
    <mergeCell ref="J27:K27"/>
    <mergeCell ref="H26:I26"/>
  </mergeCells>
  <dataValidations disablePrompts="1"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J84:J95 L84:L95 H84:H95 N84:N95" xr:uid="{00000000-0002-0000-05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5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1">
    <tabColor theme="3" tint="0.59999389629810485"/>
    <pageSetUpPr fitToPage="1"/>
  </sheetPr>
  <dimension ref="A1:P106"/>
  <sheetViews>
    <sheetView topLeftCell="A90" zoomScaleNormal="100" zoomScaleSheetLayoutView="90" workbookViewId="0">
      <selection activeCell="G32" sqref="G32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4" width="9.140625" style="87" customWidth="1"/>
    <col min="15" max="16384" width="9.140625" style="87"/>
  </cols>
  <sheetData>
    <row r="1" spans="1:10" ht="14.25" x14ac:dyDescent="0.2"/>
    <row r="2" spans="1:10" ht="14.25" x14ac:dyDescent="0.2">
      <c r="A2" s="1326" t="str">
        <f>Dados!A5</f>
        <v>CONSELHO DA JUSTIÇA FEDERAL - CJF</v>
      </c>
      <c r="B2" s="1326"/>
      <c r="C2" s="1326"/>
      <c r="D2" s="1326"/>
      <c r="E2" s="1326"/>
      <c r="F2" s="1326"/>
      <c r="G2" s="1326"/>
      <c r="H2" s="1326"/>
    </row>
    <row r="3" spans="1:10" ht="14.25" x14ac:dyDescent="0.2">
      <c r="A3" s="1326" t="str">
        <f>Dados!A9</f>
        <v>PREGÃO ELETRÔNICO Nº 09/2020 - CJF</v>
      </c>
      <c r="B3" s="1326"/>
      <c r="C3" s="1326"/>
      <c r="D3" s="1326"/>
      <c r="E3" s="1326"/>
      <c r="F3" s="1326"/>
      <c r="G3" s="1326"/>
      <c r="H3" s="1326"/>
    </row>
    <row r="4" spans="1:10" ht="18" customHeight="1" x14ac:dyDescent="0.2">
      <c r="A4" s="1328" t="str">
        <f>Dados!A10</f>
        <v>CONTRATO Nº __________/201__ - CONTRATANTE - PRESTAÇÃO DE SERVIÇOS --------</v>
      </c>
      <c r="B4" s="1328"/>
      <c r="C4" s="1328"/>
      <c r="D4" s="1328"/>
      <c r="E4" s="1328"/>
      <c r="F4" s="1328"/>
      <c r="G4" s="1328"/>
      <c r="H4" s="1328"/>
    </row>
    <row r="5" spans="1:10" ht="17.25" customHeight="1" x14ac:dyDescent="0.2">
      <c r="A5" s="1328" t="str">
        <f>Dados!H2</f>
        <v xml:space="preserve">REPACTUAÇÃO CONTRATUAL 20___ - </v>
      </c>
      <c r="B5" s="1328"/>
      <c r="C5" s="1328"/>
      <c r="D5" s="1328"/>
      <c r="E5" s="1328"/>
      <c r="F5" s="1328"/>
      <c r="G5" s="1328"/>
      <c r="H5" s="1328"/>
    </row>
    <row r="6" spans="1:10" ht="14.25" x14ac:dyDescent="0.2">
      <c r="A6" s="84"/>
      <c r="B6" s="85"/>
      <c r="C6" s="86"/>
      <c r="D6" s="86"/>
      <c r="E6" s="86"/>
      <c r="F6" s="86"/>
      <c r="G6" s="85"/>
      <c r="H6" s="85"/>
    </row>
    <row r="7" spans="1:10" ht="14.25" x14ac:dyDescent="0.2">
      <c r="A7" s="84"/>
      <c r="B7" s="85"/>
      <c r="C7" s="86"/>
      <c r="D7" s="86"/>
      <c r="E7" s="86"/>
      <c r="F7" s="86"/>
      <c r="G7" s="85"/>
      <c r="H7" s="85"/>
    </row>
    <row r="8" spans="1:10" ht="14.25" customHeight="1" x14ac:dyDescent="0.2">
      <c r="A8" s="1327" t="s">
        <v>384</v>
      </c>
      <c r="B8" s="1327"/>
      <c r="C8" s="1327"/>
      <c r="D8" s="1327"/>
      <c r="E8" s="1327"/>
      <c r="F8" s="1327"/>
      <c r="G8" s="1327"/>
      <c r="H8" s="1327"/>
    </row>
    <row r="9" spans="1:10" ht="14.25" customHeight="1" x14ac:dyDescent="0.2">
      <c r="A9" s="1327" t="s">
        <v>385</v>
      </c>
      <c r="B9" s="1327"/>
      <c r="C9" s="1327"/>
      <c r="D9" s="1327"/>
      <c r="E9" s="1327"/>
      <c r="F9" s="1327"/>
      <c r="G9" s="1327"/>
      <c r="H9" s="1327"/>
    </row>
    <row r="10" spans="1:10" ht="14.25" x14ac:dyDescent="0.2">
      <c r="B10" s="88"/>
      <c r="C10" s="88"/>
      <c r="D10" s="88"/>
      <c r="E10" s="88"/>
      <c r="F10" s="88"/>
      <c r="G10" s="88"/>
      <c r="H10" s="88"/>
    </row>
    <row r="11" spans="1:10" ht="14.25" x14ac:dyDescent="0.2">
      <c r="B11" s="257"/>
      <c r="C11" s="257"/>
      <c r="D11" s="257"/>
      <c r="E11" s="257"/>
      <c r="F11" s="257"/>
      <c r="G11" s="257"/>
      <c r="H11" s="257"/>
    </row>
    <row r="12" spans="1:10" ht="14.25" x14ac:dyDescent="0.2">
      <c r="A12" s="278" t="s">
        <v>410</v>
      </c>
      <c r="B12" s="88"/>
      <c r="C12" s="88"/>
      <c r="D12" s="88"/>
      <c r="E12" s="88"/>
      <c r="F12" s="88"/>
      <c r="G12" s="88"/>
      <c r="H12" s="88"/>
    </row>
    <row r="13" spans="1:10" s="83" customFormat="1" ht="14.25" customHeight="1" x14ac:dyDescent="0.2">
      <c r="A13" s="1323" t="s">
        <v>63</v>
      </c>
      <c r="B13" s="1324" t="s">
        <v>85</v>
      </c>
      <c r="C13" s="1322" t="s">
        <v>66</v>
      </c>
      <c r="D13" s="1322" t="s">
        <v>67</v>
      </c>
      <c r="E13" s="1322"/>
      <c r="F13" s="1322"/>
      <c r="G13" s="1322" t="s">
        <v>387</v>
      </c>
      <c r="H13" s="1322" t="s">
        <v>388</v>
      </c>
    </row>
    <row r="14" spans="1:10" s="83" customFormat="1" ht="14.25" x14ac:dyDescent="0.2">
      <c r="A14" s="1323"/>
      <c r="B14" s="1325"/>
      <c r="C14" s="1322"/>
      <c r="D14" s="89" t="s">
        <v>70</v>
      </c>
      <c r="E14" s="89" t="s">
        <v>71</v>
      </c>
      <c r="F14" s="89" t="s">
        <v>72</v>
      </c>
      <c r="G14" s="1322"/>
      <c r="H14" s="1322"/>
    </row>
    <row r="15" spans="1:10" s="83" customFormat="1" ht="28.5" x14ac:dyDescent="0.2">
      <c r="A15" s="90">
        <v>1</v>
      </c>
      <c r="B15" s="293" t="s">
        <v>397</v>
      </c>
      <c r="C15" s="274" t="s">
        <v>66</v>
      </c>
      <c r="D15" s="275">
        <v>2</v>
      </c>
      <c r="E15" s="275">
        <v>2</v>
      </c>
      <c r="F15" s="275">
        <f t="shared" ref="F15:F23" si="0">D15+E15</f>
        <v>4</v>
      </c>
      <c r="G15" s="93">
        <f>J15*Dados!$I$60</f>
        <v>28.84</v>
      </c>
      <c r="H15" s="93">
        <f>G15*F15</f>
        <v>115.36</v>
      </c>
      <c r="J15" s="263">
        <v>28.84</v>
      </c>
    </row>
    <row r="16" spans="1:10" s="83" customFormat="1" ht="14.25" x14ac:dyDescent="0.2">
      <c r="A16" s="268">
        <v>2</v>
      </c>
      <c r="B16" s="293" t="s">
        <v>398</v>
      </c>
      <c r="C16" s="291" t="s">
        <v>66</v>
      </c>
      <c r="D16" s="292">
        <v>2</v>
      </c>
      <c r="E16" s="292">
        <v>2</v>
      </c>
      <c r="F16" s="292">
        <f t="shared" si="0"/>
        <v>4</v>
      </c>
      <c r="G16" s="93">
        <f>J16*Dados!$I$60</f>
        <v>5.6</v>
      </c>
      <c r="H16" s="93">
        <f>G16*F16</f>
        <v>22.4</v>
      </c>
      <c r="J16" s="263">
        <v>5.6</v>
      </c>
    </row>
    <row r="17" spans="1:16" s="83" customFormat="1" ht="28.5" x14ac:dyDescent="0.2">
      <c r="A17" s="1320">
        <v>3</v>
      </c>
      <c r="B17" s="269" t="s">
        <v>399</v>
      </c>
      <c r="C17" s="274" t="s">
        <v>66</v>
      </c>
      <c r="D17" s="275">
        <v>4</v>
      </c>
      <c r="E17" s="275">
        <v>4</v>
      </c>
      <c r="F17" s="292">
        <f t="shared" si="0"/>
        <v>8</v>
      </c>
      <c r="G17" s="93">
        <f>J17*Dados!$I$60</f>
        <v>28</v>
      </c>
      <c r="H17" s="93">
        <f t="shared" ref="H17:H23" si="1">G17*F17</f>
        <v>224</v>
      </c>
      <c r="J17" s="263">
        <v>28</v>
      </c>
    </row>
    <row r="18" spans="1:16" s="83" customFormat="1" ht="28.5" x14ac:dyDescent="0.2">
      <c r="A18" s="1321"/>
      <c r="B18" s="293" t="s">
        <v>386</v>
      </c>
      <c r="C18" s="274" t="s">
        <v>66</v>
      </c>
      <c r="D18" s="275">
        <v>0</v>
      </c>
      <c r="E18" s="275">
        <v>0</v>
      </c>
      <c r="F18" s="292">
        <f t="shared" si="0"/>
        <v>0</v>
      </c>
      <c r="G18" s="93">
        <f>J18*Dados!$I$60</f>
        <v>0</v>
      </c>
      <c r="H18" s="93">
        <f t="shared" si="1"/>
        <v>0</v>
      </c>
      <c r="J18" s="263">
        <v>0</v>
      </c>
    </row>
    <row r="19" spans="1:16" s="83" customFormat="1" ht="18" customHeight="1" x14ac:dyDescent="0.2">
      <c r="A19" s="90">
        <v>4</v>
      </c>
      <c r="B19" s="269" t="s">
        <v>400</v>
      </c>
      <c r="C19" s="274" t="s">
        <v>73</v>
      </c>
      <c r="D19" s="275">
        <v>4</v>
      </c>
      <c r="E19" s="275">
        <v>4</v>
      </c>
      <c r="F19" s="292">
        <f t="shared" si="0"/>
        <v>8</v>
      </c>
      <c r="G19" s="93">
        <f>J19*Dados!$I$60</f>
        <v>0.89</v>
      </c>
      <c r="H19" s="93">
        <f t="shared" si="1"/>
        <v>7.12</v>
      </c>
      <c r="J19" s="263">
        <v>0.89</v>
      </c>
    </row>
    <row r="20" spans="1:16" s="83" customFormat="1" ht="28.5" x14ac:dyDescent="0.2">
      <c r="A20" s="90">
        <v>5</v>
      </c>
      <c r="B20" s="293" t="s">
        <v>401</v>
      </c>
      <c r="C20" s="274" t="s">
        <v>66</v>
      </c>
      <c r="D20" s="275">
        <v>1</v>
      </c>
      <c r="E20" s="275">
        <v>1</v>
      </c>
      <c r="F20" s="292">
        <f t="shared" si="0"/>
        <v>2</v>
      </c>
      <c r="G20" s="93">
        <f>J20*Dados!$I$60</f>
        <v>3.85</v>
      </c>
      <c r="H20" s="93">
        <f t="shared" si="1"/>
        <v>7.7</v>
      </c>
      <c r="J20" s="263">
        <v>3.85</v>
      </c>
    </row>
    <row r="21" spans="1:16" s="83" customFormat="1" ht="28.5" x14ac:dyDescent="0.2">
      <c r="A21" s="90">
        <v>6</v>
      </c>
      <c r="B21" s="269" t="s">
        <v>402</v>
      </c>
      <c r="C21" s="274" t="s">
        <v>66</v>
      </c>
      <c r="D21" s="275">
        <v>1</v>
      </c>
      <c r="E21" s="292">
        <v>1</v>
      </c>
      <c r="F21" s="292">
        <f t="shared" si="0"/>
        <v>2</v>
      </c>
      <c r="G21" s="93">
        <f>J21*Dados!$I$60</f>
        <v>49</v>
      </c>
      <c r="H21" s="93">
        <f t="shared" si="1"/>
        <v>98</v>
      </c>
      <c r="J21" s="263">
        <v>49</v>
      </c>
      <c r="P21" s="363"/>
    </row>
    <row r="22" spans="1:16" ht="99.75" x14ac:dyDescent="0.2">
      <c r="A22" s="90">
        <v>7</v>
      </c>
      <c r="B22" s="293" t="s">
        <v>403</v>
      </c>
      <c r="C22" s="274" t="s">
        <v>73</v>
      </c>
      <c r="D22" s="275">
        <v>1</v>
      </c>
      <c r="E22" s="292">
        <v>0</v>
      </c>
      <c r="F22" s="292">
        <f t="shared" si="0"/>
        <v>1</v>
      </c>
      <c r="G22" s="93">
        <f>J22*Dados!$I$60</f>
        <v>27.3</v>
      </c>
      <c r="H22" s="93">
        <f t="shared" si="1"/>
        <v>27.3</v>
      </c>
      <c r="J22" s="263">
        <v>27.3</v>
      </c>
      <c r="P22" s="363"/>
    </row>
    <row r="23" spans="1:16" s="101" customFormat="1" ht="42.75" x14ac:dyDescent="0.2">
      <c r="A23" s="90">
        <v>8</v>
      </c>
      <c r="B23" s="293" t="s">
        <v>404</v>
      </c>
      <c r="C23" s="274" t="s">
        <v>66</v>
      </c>
      <c r="D23" s="275">
        <v>1</v>
      </c>
      <c r="E23" s="292">
        <v>0</v>
      </c>
      <c r="F23" s="292">
        <f t="shared" si="0"/>
        <v>1</v>
      </c>
      <c r="G23" s="93">
        <f>J23*Dados!$I$60</f>
        <v>6.09</v>
      </c>
      <c r="H23" s="93">
        <f t="shared" si="1"/>
        <v>6.09</v>
      </c>
      <c r="J23" s="263">
        <v>6.09</v>
      </c>
      <c r="O23" s="87"/>
    </row>
    <row r="24" spans="1:16" s="101" customFormat="1" ht="18" customHeight="1" x14ac:dyDescent="0.2">
      <c r="A24" s="1317" t="s">
        <v>389</v>
      </c>
      <c r="B24" s="1318"/>
      <c r="C24" s="1318"/>
      <c r="D24" s="1318"/>
      <c r="E24" s="1318"/>
      <c r="F24" s="1318"/>
      <c r="G24" s="1319"/>
      <c r="H24" s="276">
        <f>SUM(H15:H23)</f>
        <v>507.97</v>
      </c>
      <c r="O24" s="87"/>
    </row>
    <row r="25" spans="1:16" s="101" customFormat="1" ht="18" customHeight="1" x14ac:dyDescent="0.2">
      <c r="A25" s="1317" t="s">
        <v>390</v>
      </c>
      <c r="B25" s="1318"/>
      <c r="C25" s="1318"/>
      <c r="D25" s="1318"/>
      <c r="E25" s="1318"/>
      <c r="F25" s="1318"/>
      <c r="G25" s="1319"/>
      <c r="H25" s="276">
        <f>H24/12</f>
        <v>42.33</v>
      </c>
    </row>
    <row r="26" spans="1:16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16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16" s="98" customFormat="1" ht="14.25" x14ac:dyDescent="0.2">
      <c r="A28" s="285" t="s">
        <v>409</v>
      </c>
      <c r="B28" s="257"/>
      <c r="C28" s="257"/>
      <c r="D28" s="257"/>
      <c r="E28" s="257"/>
      <c r="F28" s="257"/>
      <c r="G28" s="257"/>
      <c r="H28" s="257"/>
      <c r="I28" s="87"/>
      <c r="J28" s="87"/>
    </row>
    <row r="29" spans="1:16" s="98" customFormat="1" ht="14.25" x14ac:dyDescent="0.2">
      <c r="A29" s="288" t="s">
        <v>407</v>
      </c>
      <c r="B29" s="257"/>
      <c r="C29" s="257"/>
      <c r="D29" s="257"/>
      <c r="E29" s="257"/>
      <c r="F29" s="257"/>
      <c r="G29" s="257"/>
      <c r="H29" s="257"/>
      <c r="I29" s="87"/>
      <c r="J29" s="87"/>
    </row>
    <row r="30" spans="1:16" s="98" customFormat="1" ht="18" customHeight="1" x14ac:dyDescent="0.2">
      <c r="A30" s="1323" t="s">
        <v>63</v>
      </c>
      <c r="B30" s="1324" t="s">
        <v>85</v>
      </c>
      <c r="C30" s="1322" t="s">
        <v>66</v>
      </c>
      <c r="D30" s="1322" t="s">
        <v>67</v>
      </c>
      <c r="E30" s="1322"/>
      <c r="F30" s="1322"/>
      <c r="G30" s="1322" t="s">
        <v>387</v>
      </c>
      <c r="H30" s="1322" t="s">
        <v>388</v>
      </c>
      <c r="I30" s="83"/>
      <c r="J30" s="83"/>
    </row>
    <row r="31" spans="1:16" ht="18" customHeight="1" x14ac:dyDescent="0.2">
      <c r="A31" s="1323"/>
      <c r="B31" s="1325"/>
      <c r="C31" s="1322"/>
      <c r="D31" s="258" t="s">
        <v>70</v>
      </c>
      <c r="E31" s="258" t="s">
        <v>71</v>
      </c>
      <c r="F31" s="258" t="s">
        <v>72</v>
      </c>
      <c r="G31" s="1322"/>
      <c r="H31" s="1322"/>
      <c r="I31" s="83"/>
      <c r="J31" s="83"/>
    </row>
    <row r="32" spans="1:16" ht="18" customHeight="1" x14ac:dyDescent="0.2">
      <c r="A32" s="280">
        <v>1</v>
      </c>
      <c r="B32" s="281" t="s">
        <v>391</v>
      </c>
      <c r="C32" s="282" t="s">
        <v>66</v>
      </c>
      <c r="D32" s="283">
        <v>2</v>
      </c>
      <c r="E32" s="283">
        <v>2</v>
      </c>
      <c r="F32" s="283">
        <f>D32+E32</f>
        <v>4</v>
      </c>
      <c r="G32" s="93">
        <f>J32*Dados!$I$61</f>
        <v>94.76</v>
      </c>
      <c r="H32" s="93">
        <f>G32*F32</f>
        <v>379.04</v>
      </c>
      <c r="I32" s="83"/>
      <c r="J32" s="263">
        <v>94.76</v>
      </c>
    </row>
    <row r="33" spans="1:10" ht="18" customHeight="1" x14ac:dyDescent="0.2">
      <c r="A33" s="280">
        <v>2</v>
      </c>
      <c r="B33" s="281" t="s">
        <v>166</v>
      </c>
      <c r="C33" s="282" t="s">
        <v>66</v>
      </c>
      <c r="D33" s="283">
        <v>4</v>
      </c>
      <c r="E33" s="283">
        <v>4</v>
      </c>
      <c r="F33" s="292">
        <f>D33+E33</f>
        <v>8</v>
      </c>
      <c r="G33" s="93">
        <f>J33*Dados!$I$61</f>
        <v>25.55</v>
      </c>
      <c r="H33" s="93">
        <f t="shared" ref="H33:H35" si="2">G33*F33</f>
        <v>204.4</v>
      </c>
      <c r="I33" s="83"/>
      <c r="J33" s="263">
        <v>25.55</v>
      </c>
    </row>
    <row r="34" spans="1:10" ht="18" customHeight="1" x14ac:dyDescent="0.2">
      <c r="A34" s="284">
        <v>3</v>
      </c>
      <c r="B34" s="281" t="s">
        <v>167</v>
      </c>
      <c r="C34" s="282" t="s">
        <v>73</v>
      </c>
      <c r="D34" s="283">
        <v>2</v>
      </c>
      <c r="E34" s="283">
        <v>2</v>
      </c>
      <c r="F34" s="292">
        <f>D34+E34</f>
        <v>4</v>
      </c>
      <c r="G34" s="93">
        <f>J34*Dados!$I$61</f>
        <v>37.89</v>
      </c>
      <c r="H34" s="93">
        <f t="shared" si="2"/>
        <v>151.56</v>
      </c>
      <c r="I34" s="83"/>
      <c r="J34" s="263">
        <v>37.89</v>
      </c>
    </row>
    <row r="35" spans="1:10" ht="18" customHeight="1" x14ac:dyDescent="0.2">
      <c r="A35" s="284">
        <v>4</v>
      </c>
      <c r="B35" s="281" t="s">
        <v>165</v>
      </c>
      <c r="C35" s="282" t="s">
        <v>73</v>
      </c>
      <c r="D35" s="283">
        <v>4</v>
      </c>
      <c r="E35" s="283">
        <v>4</v>
      </c>
      <c r="F35" s="292">
        <f>D35+E35</f>
        <v>8</v>
      </c>
      <c r="G35" s="93">
        <f>J35*Dados!$I$61</f>
        <v>0.88</v>
      </c>
      <c r="H35" s="93">
        <f t="shared" si="2"/>
        <v>7.04</v>
      </c>
      <c r="I35" s="83"/>
      <c r="J35" s="263">
        <v>0.88</v>
      </c>
    </row>
    <row r="36" spans="1:10" ht="18" customHeight="1" x14ac:dyDescent="0.2">
      <c r="A36" s="1317" t="s">
        <v>389</v>
      </c>
      <c r="B36" s="1318"/>
      <c r="C36" s="1318"/>
      <c r="D36" s="1318"/>
      <c r="E36" s="1318"/>
      <c r="F36" s="1318"/>
      <c r="G36" s="1319"/>
      <c r="H36" s="279">
        <f>SUM(H32:H35)</f>
        <v>742.04</v>
      </c>
      <c r="I36" s="101"/>
      <c r="J36" s="101"/>
    </row>
    <row r="37" spans="1:10" ht="18" customHeight="1" x14ac:dyDescent="0.2">
      <c r="A37" s="1317" t="s">
        <v>390</v>
      </c>
      <c r="B37" s="1318"/>
      <c r="C37" s="1318"/>
      <c r="D37" s="1318"/>
      <c r="E37" s="1318"/>
      <c r="F37" s="1318"/>
      <c r="G37" s="1319"/>
      <c r="H37" s="279">
        <f>H36/12</f>
        <v>61.84</v>
      </c>
      <c r="I37" s="101"/>
      <c r="J37" s="101"/>
    </row>
    <row r="38" spans="1:10" ht="14.25" x14ac:dyDescent="0.2">
      <c r="A38" s="287" t="s">
        <v>408</v>
      </c>
      <c r="B38" s="257"/>
      <c r="C38" s="257"/>
      <c r="D38" s="257"/>
      <c r="E38" s="257"/>
      <c r="F38" s="257"/>
      <c r="G38" s="257"/>
      <c r="H38" s="257"/>
    </row>
    <row r="39" spans="1:10" ht="18" customHeight="1" x14ac:dyDescent="0.2">
      <c r="A39" s="1323" t="s">
        <v>63</v>
      </c>
      <c r="B39" s="1324" t="s">
        <v>85</v>
      </c>
      <c r="C39" s="1322" t="s">
        <v>66</v>
      </c>
      <c r="D39" s="1322" t="s">
        <v>67</v>
      </c>
      <c r="E39" s="1322"/>
      <c r="F39" s="1322"/>
      <c r="G39" s="1322" t="s">
        <v>387</v>
      </c>
      <c r="H39" s="1322" t="s">
        <v>388</v>
      </c>
      <c r="I39" s="83"/>
      <c r="J39" s="83"/>
    </row>
    <row r="40" spans="1:10" ht="18" customHeight="1" x14ac:dyDescent="0.2">
      <c r="A40" s="1323"/>
      <c r="B40" s="1325"/>
      <c r="C40" s="1322"/>
      <c r="D40" s="258" t="s">
        <v>70</v>
      </c>
      <c r="E40" s="258" t="s">
        <v>71</v>
      </c>
      <c r="F40" s="258" t="s">
        <v>72</v>
      </c>
      <c r="G40" s="1322"/>
      <c r="H40" s="1322"/>
      <c r="I40" s="83"/>
      <c r="J40" s="83"/>
    </row>
    <row r="41" spans="1:10" ht="18" customHeight="1" x14ac:dyDescent="0.2">
      <c r="A41" s="289">
        <v>1</v>
      </c>
      <c r="B41" s="290" t="s">
        <v>411</v>
      </c>
      <c r="C41" s="291" t="s">
        <v>66</v>
      </c>
      <c r="D41" s="292">
        <v>2</v>
      </c>
      <c r="E41" s="292">
        <v>2</v>
      </c>
      <c r="F41" s="292">
        <f>D41+E41</f>
        <v>4</v>
      </c>
      <c r="G41" s="93">
        <f>J41*Dados!$I$61</f>
        <v>32.119999999999997</v>
      </c>
      <c r="H41" s="93">
        <f>G41*F41</f>
        <v>128.47999999999999</v>
      </c>
      <c r="I41" s="83"/>
      <c r="J41" s="263">
        <v>32.119999999999997</v>
      </c>
    </row>
    <row r="42" spans="1:10" ht="28.5" x14ac:dyDescent="0.2">
      <c r="A42" s="289">
        <v>2</v>
      </c>
      <c r="B42" s="270" t="s">
        <v>412</v>
      </c>
      <c r="C42" s="291" t="s">
        <v>66</v>
      </c>
      <c r="D42" s="292">
        <v>2</v>
      </c>
      <c r="E42" s="292">
        <v>2</v>
      </c>
      <c r="F42" s="292">
        <f>D42+E42</f>
        <v>4</v>
      </c>
      <c r="G42" s="93">
        <f>J42*Dados!$I$61</f>
        <v>75.19</v>
      </c>
      <c r="H42" s="93">
        <f t="shared" ref="H42:H45" si="3">G42*F42</f>
        <v>300.76</v>
      </c>
      <c r="I42" s="83"/>
      <c r="J42" s="263">
        <v>75.19</v>
      </c>
    </row>
    <row r="43" spans="1:10" ht="18" customHeight="1" x14ac:dyDescent="0.2">
      <c r="A43" s="294">
        <v>3</v>
      </c>
      <c r="B43" s="290" t="s">
        <v>413</v>
      </c>
      <c r="C43" s="291" t="s">
        <v>66</v>
      </c>
      <c r="D43" s="292">
        <v>4</v>
      </c>
      <c r="E43" s="292">
        <v>4</v>
      </c>
      <c r="F43" s="292">
        <f>D43+E43</f>
        <v>8</v>
      </c>
      <c r="G43" s="93">
        <f>J43*Dados!$I$61</f>
        <v>35.409999999999997</v>
      </c>
      <c r="H43" s="93">
        <f t="shared" si="3"/>
        <v>283.27999999999997</v>
      </c>
      <c r="I43" s="83"/>
      <c r="J43" s="263">
        <v>35.409999999999997</v>
      </c>
    </row>
    <row r="44" spans="1:10" ht="18" customHeight="1" x14ac:dyDescent="0.2">
      <c r="A44" s="294">
        <v>4</v>
      </c>
      <c r="B44" s="290" t="s">
        <v>414</v>
      </c>
      <c r="C44" s="291" t="s">
        <v>73</v>
      </c>
      <c r="D44" s="292">
        <v>2</v>
      </c>
      <c r="E44" s="292">
        <v>2</v>
      </c>
      <c r="F44" s="292">
        <f>D44+E44</f>
        <v>4</v>
      </c>
      <c r="G44" s="93">
        <f>J44*Dados!$I$61</f>
        <v>29.2</v>
      </c>
      <c r="H44" s="93">
        <f t="shared" si="3"/>
        <v>116.8</v>
      </c>
      <c r="I44" s="83"/>
      <c r="J44" s="263">
        <v>29.2</v>
      </c>
    </row>
    <row r="45" spans="1:10" ht="18" customHeight="1" x14ac:dyDescent="0.2">
      <c r="A45" s="289">
        <v>5</v>
      </c>
      <c r="B45" s="290" t="s">
        <v>392</v>
      </c>
      <c r="C45" s="291" t="s">
        <v>73</v>
      </c>
      <c r="D45" s="292">
        <v>4</v>
      </c>
      <c r="E45" s="292">
        <v>4</v>
      </c>
      <c r="F45" s="292">
        <f>D45+E45</f>
        <v>8</v>
      </c>
      <c r="G45" s="93">
        <f>J45*Dados!$I$61</f>
        <v>6.21</v>
      </c>
      <c r="H45" s="93">
        <f t="shared" si="3"/>
        <v>49.68</v>
      </c>
      <c r="I45" s="83"/>
      <c r="J45" s="263">
        <v>6.21</v>
      </c>
    </row>
    <row r="46" spans="1:10" ht="18" customHeight="1" x14ac:dyDescent="0.2">
      <c r="A46" s="1317" t="s">
        <v>389</v>
      </c>
      <c r="B46" s="1318"/>
      <c r="C46" s="1318"/>
      <c r="D46" s="1318"/>
      <c r="E46" s="1318"/>
      <c r="F46" s="1318"/>
      <c r="G46" s="1319"/>
      <c r="H46" s="286">
        <f>SUM(H41:H45)</f>
        <v>879</v>
      </c>
      <c r="I46" s="101"/>
      <c r="J46" s="101"/>
    </row>
    <row r="47" spans="1:10" ht="18" customHeight="1" x14ac:dyDescent="0.2">
      <c r="A47" s="1317" t="s">
        <v>390</v>
      </c>
      <c r="B47" s="1318"/>
      <c r="C47" s="1318"/>
      <c r="D47" s="1318"/>
      <c r="E47" s="1318"/>
      <c r="F47" s="1318"/>
      <c r="G47" s="1319"/>
      <c r="H47" s="286">
        <f>H46/12</f>
        <v>73.25</v>
      </c>
      <c r="I47" s="101"/>
      <c r="J47" s="101"/>
    </row>
    <row r="49" spans="1:8" ht="18" customHeight="1" x14ac:dyDescent="0.2">
      <c r="E49" s="1329" t="s">
        <v>365</v>
      </c>
      <c r="F49" s="1329"/>
      <c r="G49" s="277" t="s">
        <v>254</v>
      </c>
      <c r="H49" s="277" t="s">
        <v>393</v>
      </c>
    </row>
    <row r="50" spans="1:8" ht="18" customHeight="1" x14ac:dyDescent="0.2">
      <c r="E50" s="1329" t="s">
        <v>396</v>
      </c>
      <c r="F50" s="1329"/>
      <c r="G50" s="273">
        <v>0.95</v>
      </c>
      <c r="H50" s="103">
        <f>H37*G50</f>
        <v>58.75</v>
      </c>
    </row>
    <row r="51" spans="1:8" ht="18" customHeight="1" x14ac:dyDescent="0.2">
      <c r="E51" s="1329" t="s">
        <v>395</v>
      </c>
      <c r="F51" s="1329"/>
      <c r="G51" s="273">
        <v>0.05</v>
      </c>
      <c r="H51" s="103">
        <f>H47*G51</f>
        <v>3.66</v>
      </c>
    </row>
    <row r="52" spans="1:8" ht="18" customHeight="1" x14ac:dyDescent="0.2">
      <c r="E52" s="1329" t="s">
        <v>394</v>
      </c>
      <c r="F52" s="1329"/>
      <c r="G52" s="272">
        <f>SUM(G50:G51)</f>
        <v>1</v>
      </c>
      <c r="H52" s="271">
        <f>SUM(H50:H51)</f>
        <v>62.41</v>
      </c>
    </row>
    <row r="56" spans="1:8" ht="18" customHeight="1" x14ac:dyDescent="0.2">
      <c r="A56" s="1326" t="str">
        <f>Dados!A5</f>
        <v>CONSELHO DA JUSTIÇA FEDERAL - CJF</v>
      </c>
      <c r="B56" s="1326"/>
      <c r="C56" s="1326"/>
      <c r="D56" s="1326"/>
      <c r="E56" s="1326"/>
      <c r="F56" s="1326"/>
      <c r="G56" s="1326"/>
      <c r="H56" s="1326"/>
    </row>
    <row r="57" spans="1:8" ht="15.75" customHeight="1" x14ac:dyDescent="0.2">
      <c r="A57" s="1326" t="str">
        <f>Dados!A9</f>
        <v>PREGÃO ELETRÔNICO Nº 09/2020 - CJF</v>
      </c>
      <c r="B57" s="1326"/>
      <c r="C57" s="1326"/>
      <c r="D57" s="1326"/>
      <c r="E57" s="1326"/>
      <c r="F57" s="1326"/>
      <c r="G57" s="1326"/>
      <c r="H57" s="1326"/>
    </row>
    <row r="58" spans="1:8" ht="18" hidden="1" customHeight="1" x14ac:dyDescent="0.2">
      <c r="A58" s="1328" t="str">
        <f>Dados!A10</f>
        <v>CONTRATO Nº __________/201__ - CONTRATANTE - PRESTAÇÃO DE SERVIÇOS --------</v>
      </c>
      <c r="B58" s="1328"/>
      <c r="C58" s="1328"/>
      <c r="D58" s="1328"/>
      <c r="E58" s="1328"/>
      <c r="F58" s="1328"/>
      <c r="G58" s="1328"/>
      <c r="H58" s="1328"/>
    </row>
    <row r="59" spans="1:8" ht="18" hidden="1" customHeight="1" x14ac:dyDescent="0.2">
      <c r="A59" s="1328" t="str">
        <f>Dados!H2</f>
        <v xml:space="preserve">REPACTUAÇÃO CONTRATUAL 20___ - </v>
      </c>
      <c r="B59" s="1328"/>
      <c r="C59" s="1328"/>
      <c r="D59" s="1328"/>
      <c r="E59" s="1328"/>
      <c r="F59" s="1328"/>
      <c r="G59" s="1328"/>
      <c r="H59" s="1328"/>
    </row>
    <row r="60" spans="1:8" ht="18" customHeight="1" x14ac:dyDescent="0.2">
      <c r="A60" s="84"/>
      <c r="B60" s="85"/>
      <c r="C60" s="86"/>
      <c r="D60" s="86"/>
      <c r="E60" s="86"/>
      <c r="F60" s="86"/>
      <c r="G60" s="85"/>
      <c r="H60" s="85"/>
    </row>
    <row r="61" spans="1:8" ht="18" customHeight="1" x14ac:dyDescent="0.2">
      <c r="A61" s="84"/>
      <c r="B61" s="85"/>
      <c r="C61" s="86"/>
      <c r="D61" s="86"/>
      <c r="E61" s="86"/>
      <c r="F61" s="86"/>
      <c r="G61" s="85"/>
      <c r="H61" s="85"/>
    </row>
    <row r="62" spans="1:8" ht="18" customHeight="1" x14ac:dyDescent="0.2">
      <c r="A62" s="1327" t="s">
        <v>384</v>
      </c>
      <c r="B62" s="1327"/>
      <c r="C62" s="1327"/>
      <c r="D62" s="1327"/>
      <c r="E62" s="1327"/>
      <c r="F62" s="1327"/>
      <c r="G62" s="1327"/>
      <c r="H62" s="1327"/>
    </row>
    <row r="63" spans="1:8" ht="18" customHeight="1" x14ac:dyDescent="0.2">
      <c r="A63" s="1327" t="s">
        <v>385</v>
      </c>
      <c r="B63" s="1327"/>
      <c r="C63" s="1327"/>
      <c r="D63" s="1327"/>
      <c r="E63" s="1327"/>
      <c r="F63" s="1327"/>
      <c r="G63" s="1327"/>
      <c r="H63" s="1327"/>
    </row>
    <row r="64" spans="1:8" ht="18" customHeight="1" x14ac:dyDescent="0.2">
      <c r="B64" s="585"/>
      <c r="C64" s="585"/>
      <c r="D64" s="585"/>
      <c r="E64" s="585"/>
      <c r="F64" s="585"/>
      <c r="G64" s="585"/>
      <c r="H64" s="585"/>
    </row>
    <row r="65" spans="1:10" ht="18" customHeight="1" x14ac:dyDescent="0.2">
      <c r="B65" s="585"/>
      <c r="C65" s="585"/>
      <c r="D65" s="585"/>
      <c r="E65" s="585"/>
      <c r="F65" s="585"/>
      <c r="G65" s="585"/>
      <c r="H65" s="585"/>
    </row>
    <row r="66" spans="1:10" ht="18" customHeight="1" x14ac:dyDescent="0.2">
      <c r="A66" s="288" t="s">
        <v>410</v>
      </c>
      <c r="B66" s="585"/>
      <c r="C66" s="585"/>
      <c r="D66" s="585"/>
      <c r="E66" s="585"/>
      <c r="F66" s="585"/>
      <c r="G66" s="585"/>
      <c r="H66" s="585"/>
    </row>
    <row r="67" spans="1:10" ht="18" customHeight="1" x14ac:dyDescent="0.2">
      <c r="A67" s="1323" t="s">
        <v>63</v>
      </c>
      <c r="B67" s="1324" t="s">
        <v>85</v>
      </c>
      <c r="C67" s="1322" t="s">
        <v>66</v>
      </c>
      <c r="D67" s="1322" t="s">
        <v>67</v>
      </c>
      <c r="E67" s="1322"/>
      <c r="F67" s="1322"/>
      <c r="G67" s="1322" t="s">
        <v>387</v>
      </c>
      <c r="H67" s="1322" t="s">
        <v>388</v>
      </c>
      <c r="I67" s="363"/>
      <c r="J67" s="363"/>
    </row>
    <row r="68" spans="1:10" ht="18" customHeight="1" x14ac:dyDescent="0.2">
      <c r="A68" s="1323"/>
      <c r="B68" s="1325"/>
      <c r="C68" s="1322"/>
      <c r="D68" s="584" t="s">
        <v>70</v>
      </c>
      <c r="E68" s="584" t="s">
        <v>71</v>
      </c>
      <c r="F68" s="584" t="s">
        <v>72</v>
      </c>
      <c r="G68" s="1322"/>
      <c r="H68" s="1322"/>
      <c r="I68" s="363"/>
      <c r="J68" s="363"/>
    </row>
    <row r="69" spans="1:10" ht="28.5" customHeight="1" x14ac:dyDescent="0.2">
      <c r="A69" s="90">
        <v>1</v>
      </c>
      <c r="B69" s="293" t="s">
        <v>397</v>
      </c>
      <c r="C69" s="291" t="s">
        <v>66</v>
      </c>
      <c r="D69" s="292">
        <v>2</v>
      </c>
      <c r="E69" s="292">
        <v>2</v>
      </c>
      <c r="F69" s="292">
        <f t="shared" ref="F69:F77" si="4">D69+E69</f>
        <v>4</v>
      </c>
      <c r="G69" s="93">
        <f>J69*Dados!$I$60</f>
        <v>28.84</v>
      </c>
      <c r="H69" s="93">
        <f>G69*F69</f>
        <v>115.36</v>
      </c>
      <c r="I69" s="363"/>
      <c r="J69" s="263">
        <v>28.84</v>
      </c>
    </row>
    <row r="70" spans="1:10" ht="38.25" customHeight="1" x14ac:dyDescent="0.2">
      <c r="A70" s="586">
        <v>2</v>
      </c>
      <c r="B70" s="293" t="s">
        <v>398</v>
      </c>
      <c r="C70" s="291" t="s">
        <v>66</v>
      </c>
      <c r="D70" s="292">
        <v>2</v>
      </c>
      <c r="E70" s="292">
        <v>2</v>
      </c>
      <c r="F70" s="292">
        <f t="shared" si="4"/>
        <v>4</v>
      </c>
      <c r="G70" s="93">
        <f>J70*Dados!$I$60</f>
        <v>5.6</v>
      </c>
      <c r="H70" s="93">
        <f>G70*F70</f>
        <v>22.4</v>
      </c>
      <c r="I70" s="363"/>
      <c r="J70" s="263">
        <v>5.6</v>
      </c>
    </row>
    <row r="71" spans="1:10" ht="36" customHeight="1" x14ac:dyDescent="0.2">
      <c r="A71" s="1320">
        <v>3</v>
      </c>
      <c r="B71" s="269" t="s">
        <v>399</v>
      </c>
      <c r="C71" s="291" t="s">
        <v>66</v>
      </c>
      <c r="D71" s="292">
        <v>4</v>
      </c>
      <c r="E71" s="292">
        <v>4</v>
      </c>
      <c r="F71" s="292">
        <f t="shared" si="4"/>
        <v>8</v>
      </c>
      <c r="G71" s="93">
        <f>J71*Dados!$I$60</f>
        <v>28</v>
      </c>
      <c r="H71" s="93">
        <f t="shared" ref="H71:H77" si="5">G71*F71</f>
        <v>224</v>
      </c>
      <c r="I71" s="363"/>
      <c r="J71" s="263">
        <v>28</v>
      </c>
    </row>
    <row r="72" spans="1:10" ht="40.5" customHeight="1" x14ac:dyDescent="0.2">
      <c r="A72" s="1321"/>
      <c r="B72" s="293" t="s">
        <v>386</v>
      </c>
      <c r="C72" s="291" t="s">
        <v>66</v>
      </c>
      <c r="D72" s="292">
        <v>0</v>
      </c>
      <c r="E72" s="292">
        <v>0</v>
      </c>
      <c r="F72" s="292">
        <f t="shared" si="4"/>
        <v>0</v>
      </c>
      <c r="G72" s="93">
        <f>J72*Dados!$I$60</f>
        <v>0</v>
      </c>
      <c r="H72" s="93">
        <f t="shared" si="5"/>
        <v>0</v>
      </c>
      <c r="I72" s="363"/>
      <c r="J72" s="263">
        <v>0</v>
      </c>
    </row>
    <row r="73" spans="1:10" ht="36" customHeight="1" x14ac:dyDescent="0.2">
      <c r="A73" s="90">
        <v>4</v>
      </c>
      <c r="B73" s="269" t="s">
        <v>400</v>
      </c>
      <c r="C73" s="291" t="s">
        <v>73</v>
      </c>
      <c r="D73" s="292">
        <v>4</v>
      </c>
      <c r="E73" s="292">
        <v>4</v>
      </c>
      <c r="F73" s="292">
        <f t="shared" si="4"/>
        <v>8</v>
      </c>
      <c r="G73" s="93">
        <f>J73*Dados!$I$60</f>
        <v>0.89</v>
      </c>
      <c r="H73" s="93">
        <f t="shared" si="5"/>
        <v>7.12</v>
      </c>
      <c r="I73" s="363"/>
      <c r="J73" s="263">
        <v>0.89</v>
      </c>
    </row>
    <row r="74" spans="1:10" ht="31.5" customHeight="1" x14ac:dyDescent="0.2">
      <c r="A74" s="90">
        <v>5</v>
      </c>
      <c r="B74" s="293" t="s">
        <v>401</v>
      </c>
      <c r="C74" s="291" t="s">
        <v>66</v>
      </c>
      <c r="D74" s="292">
        <v>1</v>
      </c>
      <c r="E74" s="292">
        <v>1</v>
      </c>
      <c r="F74" s="292">
        <f t="shared" si="4"/>
        <v>2</v>
      </c>
      <c r="G74" s="93">
        <f>J74*Dados!$I$60</f>
        <v>3.85</v>
      </c>
      <c r="H74" s="93">
        <f t="shared" si="5"/>
        <v>7.7</v>
      </c>
      <c r="I74" s="363"/>
      <c r="J74" s="263">
        <v>3.85</v>
      </c>
    </row>
    <row r="75" spans="1:10" ht="30" customHeight="1" x14ac:dyDescent="0.2">
      <c r="A75" s="90">
        <v>6</v>
      </c>
      <c r="B75" s="269" t="s">
        <v>402</v>
      </c>
      <c r="C75" s="291" t="s">
        <v>66</v>
      </c>
      <c r="D75" s="292">
        <v>1</v>
      </c>
      <c r="E75" s="292">
        <v>1</v>
      </c>
      <c r="F75" s="292">
        <f t="shared" si="4"/>
        <v>2</v>
      </c>
      <c r="G75" s="93">
        <f>J75*Dados!$I$60</f>
        <v>49</v>
      </c>
      <c r="H75" s="93">
        <f t="shared" si="5"/>
        <v>98</v>
      </c>
      <c r="I75" s="363"/>
      <c r="J75" s="263">
        <v>49</v>
      </c>
    </row>
    <row r="76" spans="1:10" ht="108.75" customHeight="1" x14ac:dyDescent="0.2">
      <c r="A76" s="90">
        <v>7</v>
      </c>
      <c r="B76" s="293" t="s">
        <v>403</v>
      </c>
      <c r="C76" s="291" t="s">
        <v>73</v>
      </c>
      <c r="D76" s="292">
        <v>1</v>
      </c>
      <c r="E76" s="292">
        <v>0</v>
      </c>
      <c r="F76" s="292">
        <f t="shared" si="4"/>
        <v>1</v>
      </c>
      <c r="G76" s="93">
        <f>J76*Dados!$I$60</f>
        <v>27.3</v>
      </c>
      <c r="H76" s="93">
        <f t="shared" si="5"/>
        <v>27.3</v>
      </c>
      <c r="J76" s="263">
        <v>27.3</v>
      </c>
    </row>
    <row r="77" spans="1:10" ht="60.75" customHeight="1" x14ac:dyDescent="0.2">
      <c r="A77" s="90">
        <v>8</v>
      </c>
      <c r="B77" s="293" t="s">
        <v>404</v>
      </c>
      <c r="C77" s="291" t="s">
        <v>66</v>
      </c>
      <c r="D77" s="292">
        <v>1</v>
      </c>
      <c r="E77" s="292">
        <v>0</v>
      </c>
      <c r="F77" s="292">
        <f t="shared" si="4"/>
        <v>1</v>
      </c>
      <c r="G77" s="93">
        <f>J77*Dados!$I$60</f>
        <v>6.09</v>
      </c>
      <c r="H77" s="93">
        <f t="shared" si="5"/>
        <v>6.09</v>
      </c>
      <c r="I77" s="101"/>
      <c r="J77" s="263">
        <v>6.09</v>
      </c>
    </row>
    <row r="78" spans="1:10" ht="18" customHeight="1" x14ac:dyDescent="0.2">
      <c r="A78" s="1317" t="s">
        <v>389</v>
      </c>
      <c r="B78" s="1318"/>
      <c r="C78" s="1318"/>
      <c r="D78" s="1318"/>
      <c r="E78" s="1318"/>
      <c r="F78" s="1318"/>
      <c r="G78" s="1319"/>
      <c r="H78" s="286">
        <f>SUM(H69:H77)</f>
        <v>507.97</v>
      </c>
      <c r="I78" s="101"/>
      <c r="J78" s="101"/>
    </row>
    <row r="79" spans="1:10" ht="18" customHeight="1" x14ac:dyDescent="0.2">
      <c r="A79" s="1317" t="s">
        <v>390</v>
      </c>
      <c r="B79" s="1318"/>
      <c r="C79" s="1318"/>
      <c r="D79" s="1318"/>
      <c r="E79" s="1318"/>
      <c r="F79" s="1318"/>
      <c r="G79" s="1319"/>
      <c r="H79" s="286">
        <f>H78/12</f>
        <v>42.33</v>
      </c>
      <c r="I79" s="101"/>
      <c r="J79" s="101"/>
    </row>
    <row r="80" spans="1:10" ht="18" customHeight="1" x14ac:dyDescent="0.2">
      <c r="A80" s="94"/>
      <c r="B80" s="94"/>
      <c r="C80" s="94"/>
      <c r="D80" s="94"/>
      <c r="E80" s="94"/>
      <c r="F80" s="94"/>
      <c r="G80" s="94"/>
      <c r="H80" s="94"/>
      <c r="I80" s="101"/>
      <c r="J80" s="101"/>
    </row>
    <row r="81" spans="1:10" ht="18" customHeight="1" x14ac:dyDescent="0.2">
      <c r="A81" s="94"/>
      <c r="B81" s="94"/>
      <c r="C81" s="94"/>
      <c r="D81" s="94"/>
      <c r="E81" s="94"/>
      <c r="F81" s="94"/>
      <c r="G81" s="94"/>
      <c r="H81" s="94"/>
      <c r="I81" s="101"/>
      <c r="J81" s="101"/>
    </row>
    <row r="82" spans="1:10" ht="18" customHeight="1" x14ac:dyDescent="0.2">
      <c r="A82" s="288" t="s">
        <v>409</v>
      </c>
      <c r="B82" s="585"/>
      <c r="C82" s="585"/>
      <c r="D82" s="585"/>
      <c r="E82" s="585"/>
      <c r="F82" s="585"/>
      <c r="G82" s="585"/>
      <c r="H82" s="585"/>
    </row>
    <row r="83" spans="1:10" ht="18" customHeight="1" x14ac:dyDescent="0.2">
      <c r="A83" s="288" t="s">
        <v>407</v>
      </c>
      <c r="B83" s="585"/>
      <c r="C83" s="585"/>
      <c r="D83" s="585"/>
      <c r="E83" s="585"/>
      <c r="F83" s="585"/>
      <c r="G83" s="585"/>
      <c r="H83" s="585"/>
    </row>
    <row r="84" spans="1:10" ht="18" customHeight="1" x14ac:dyDescent="0.2">
      <c r="A84" s="1323" t="s">
        <v>63</v>
      </c>
      <c r="B84" s="1324" t="s">
        <v>85</v>
      </c>
      <c r="C84" s="1322" t="s">
        <v>66</v>
      </c>
      <c r="D84" s="1322" t="s">
        <v>67</v>
      </c>
      <c r="E84" s="1322"/>
      <c r="F84" s="1322"/>
      <c r="G84" s="1322" t="s">
        <v>387</v>
      </c>
      <c r="H84" s="1322" t="s">
        <v>388</v>
      </c>
      <c r="I84" s="363"/>
      <c r="J84" s="363"/>
    </row>
    <row r="85" spans="1:10" ht="18" customHeight="1" x14ac:dyDescent="0.2">
      <c r="A85" s="1323"/>
      <c r="B85" s="1325"/>
      <c r="C85" s="1322"/>
      <c r="D85" s="584" t="s">
        <v>70</v>
      </c>
      <c r="E85" s="584" t="s">
        <v>71</v>
      </c>
      <c r="F85" s="584" t="s">
        <v>72</v>
      </c>
      <c r="G85" s="1322"/>
      <c r="H85" s="1322"/>
      <c r="I85" s="363"/>
      <c r="J85" s="363"/>
    </row>
    <row r="86" spans="1:10" ht="18" customHeight="1" x14ac:dyDescent="0.2">
      <c r="A86" s="289">
        <v>1</v>
      </c>
      <c r="B86" s="290" t="s">
        <v>391</v>
      </c>
      <c r="C86" s="291" t="s">
        <v>66</v>
      </c>
      <c r="D86" s="292">
        <v>2</v>
      </c>
      <c r="E86" s="292">
        <v>2</v>
      </c>
      <c r="F86" s="292">
        <f>D86+E86</f>
        <v>4</v>
      </c>
      <c r="G86" s="93">
        <f>J86*Dados!$I$61</f>
        <v>94.76</v>
      </c>
      <c r="H86" s="93">
        <f>G86*F86</f>
        <v>379.04</v>
      </c>
      <c r="I86" s="363"/>
      <c r="J86" s="263">
        <v>94.76</v>
      </c>
    </row>
    <row r="87" spans="1:10" ht="18" customHeight="1" x14ac:dyDescent="0.2">
      <c r="A87" s="289">
        <v>2</v>
      </c>
      <c r="B87" s="290" t="s">
        <v>166</v>
      </c>
      <c r="C87" s="291" t="s">
        <v>66</v>
      </c>
      <c r="D87" s="292">
        <v>4</v>
      </c>
      <c r="E87" s="292">
        <v>4</v>
      </c>
      <c r="F87" s="292">
        <f>D87+E87</f>
        <v>8</v>
      </c>
      <c r="G87" s="93">
        <f>J87*Dados!$I$61</f>
        <v>25.55</v>
      </c>
      <c r="H87" s="93">
        <f t="shared" ref="H87:H89" si="6">G87*F87</f>
        <v>204.4</v>
      </c>
      <c r="I87" s="363"/>
      <c r="J87" s="263">
        <v>25.55</v>
      </c>
    </row>
    <row r="88" spans="1:10" ht="18" customHeight="1" x14ac:dyDescent="0.2">
      <c r="A88" s="294">
        <v>3</v>
      </c>
      <c r="B88" s="290" t="s">
        <v>167</v>
      </c>
      <c r="C88" s="291" t="s">
        <v>73</v>
      </c>
      <c r="D88" s="292">
        <v>2</v>
      </c>
      <c r="E88" s="292">
        <v>2</v>
      </c>
      <c r="F88" s="292">
        <f>D88+E88</f>
        <v>4</v>
      </c>
      <c r="G88" s="93">
        <f>J88*Dados!$I$61</f>
        <v>37.89</v>
      </c>
      <c r="H88" s="93">
        <f t="shared" si="6"/>
        <v>151.56</v>
      </c>
      <c r="I88" s="363"/>
      <c r="J88" s="263">
        <v>37.89</v>
      </c>
    </row>
    <row r="89" spans="1:10" ht="18" customHeight="1" x14ac:dyDescent="0.2">
      <c r="A89" s="294">
        <v>4</v>
      </c>
      <c r="B89" s="290" t="s">
        <v>165</v>
      </c>
      <c r="C89" s="291" t="s">
        <v>73</v>
      </c>
      <c r="D89" s="292">
        <v>4</v>
      </c>
      <c r="E89" s="292">
        <v>4</v>
      </c>
      <c r="F89" s="292">
        <f>D89+E89</f>
        <v>8</v>
      </c>
      <c r="G89" s="93">
        <f>J89*Dados!$I$61</f>
        <v>0.88</v>
      </c>
      <c r="H89" s="93">
        <f t="shared" si="6"/>
        <v>7.04</v>
      </c>
      <c r="I89" s="363"/>
      <c r="J89" s="263">
        <v>0.88</v>
      </c>
    </row>
    <row r="90" spans="1:10" ht="18" customHeight="1" x14ac:dyDescent="0.2">
      <c r="A90" s="1317" t="s">
        <v>389</v>
      </c>
      <c r="B90" s="1318"/>
      <c r="C90" s="1318"/>
      <c r="D90" s="1318"/>
      <c r="E90" s="1318"/>
      <c r="F90" s="1318"/>
      <c r="G90" s="1319"/>
      <c r="H90" s="286">
        <f>SUM(H86:H89)</f>
        <v>742.04</v>
      </c>
      <c r="I90" s="101"/>
      <c r="J90" s="101"/>
    </row>
    <row r="91" spans="1:10" ht="18" customHeight="1" x14ac:dyDescent="0.2">
      <c r="A91" s="1317" t="s">
        <v>390</v>
      </c>
      <c r="B91" s="1318"/>
      <c r="C91" s="1318"/>
      <c r="D91" s="1318"/>
      <c r="E91" s="1318"/>
      <c r="F91" s="1318"/>
      <c r="G91" s="1319"/>
      <c r="H91" s="286">
        <f>H90/12</f>
        <v>61.84</v>
      </c>
      <c r="I91" s="101"/>
      <c r="J91" s="101"/>
    </row>
    <row r="92" spans="1:10" ht="18" customHeight="1" x14ac:dyDescent="0.2">
      <c r="A92" s="288" t="s">
        <v>408</v>
      </c>
      <c r="B92" s="585"/>
      <c r="C92" s="585"/>
      <c r="D92" s="585"/>
      <c r="E92" s="585"/>
      <c r="F92" s="585"/>
      <c r="G92" s="585"/>
      <c r="H92" s="585"/>
    </row>
    <row r="93" spans="1:10" ht="18" customHeight="1" x14ac:dyDescent="0.2">
      <c r="A93" s="1323" t="s">
        <v>63</v>
      </c>
      <c r="B93" s="1324" t="s">
        <v>85</v>
      </c>
      <c r="C93" s="1322" t="s">
        <v>66</v>
      </c>
      <c r="D93" s="1322" t="s">
        <v>67</v>
      </c>
      <c r="E93" s="1322"/>
      <c r="F93" s="1322"/>
      <c r="G93" s="1322" t="s">
        <v>387</v>
      </c>
      <c r="H93" s="1322" t="s">
        <v>388</v>
      </c>
      <c r="I93" s="363"/>
      <c r="J93" s="363"/>
    </row>
    <row r="94" spans="1:10" ht="18" customHeight="1" x14ac:dyDescent="0.2">
      <c r="A94" s="1323"/>
      <c r="B94" s="1325"/>
      <c r="C94" s="1322"/>
      <c r="D94" s="584" t="s">
        <v>70</v>
      </c>
      <c r="E94" s="584" t="s">
        <v>71</v>
      </c>
      <c r="F94" s="584" t="s">
        <v>72</v>
      </c>
      <c r="G94" s="1322"/>
      <c r="H94" s="1322"/>
      <c r="I94" s="363"/>
      <c r="J94" s="363"/>
    </row>
    <row r="95" spans="1:10" ht="18" customHeight="1" x14ac:dyDescent="0.2">
      <c r="A95" s="289">
        <v>1</v>
      </c>
      <c r="B95" s="290" t="s">
        <v>411</v>
      </c>
      <c r="C95" s="291" t="s">
        <v>66</v>
      </c>
      <c r="D95" s="292">
        <v>2</v>
      </c>
      <c r="E95" s="292">
        <v>2</v>
      </c>
      <c r="F95" s="292">
        <f>D95+E95</f>
        <v>4</v>
      </c>
      <c r="G95" s="93">
        <f>J95*Dados!$I$61</f>
        <v>32.119999999999997</v>
      </c>
      <c r="H95" s="93">
        <f>G95*F95</f>
        <v>128.47999999999999</v>
      </c>
      <c r="I95" s="363"/>
      <c r="J95" s="263">
        <v>32.119999999999997</v>
      </c>
    </row>
    <row r="96" spans="1:10" ht="29.25" customHeight="1" x14ac:dyDescent="0.2">
      <c r="A96" s="289">
        <v>2</v>
      </c>
      <c r="B96" s="270" t="s">
        <v>412</v>
      </c>
      <c r="C96" s="291" t="s">
        <v>66</v>
      </c>
      <c r="D96" s="292">
        <v>2</v>
      </c>
      <c r="E96" s="292">
        <v>2</v>
      </c>
      <c r="F96" s="292">
        <f>D96+E96</f>
        <v>4</v>
      </c>
      <c r="G96" s="93">
        <f>J96*Dados!$I$61</f>
        <v>75.19</v>
      </c>
      <c r="H96" s="93">
        <f t="shared" ref="H96:H99" si="7">G96*F96</f>
        <v>300.76</v>
      </c>
      <c r="I96" s="363"/>
      <c r="J96" s="263">
        <v>75.19</v>
      </c>
    </row>
    <row r="97" spans="1:10" ht="18" customHeight="1" x14ac:dyDescent="0.2">
      <c r="A97" s="294">
        <v>3</v>
      </c>
      <c r="B97" s="290" t="s">
        <v>413</v>
      </c>
      <c r="C97" s="291" t="s">
        <v>66</v>
      </c>
      <c r="D97" s="292">
        <v>4</v>
      </c>
      <c r="E97" s="292">
        <v>4</v>
      </c>
      <c r="F97" s="292">
        <f>D97+E97</f>
        <v>8</v>
      </c>
      <c r="G97" s="93">
        <f>J97*Dados!$I$61</f>
        <v>35.409999999999997</v>
      </c>
      <c r="H97" s="93">
        <f t="shared" si="7"/>
        <v>283.27999999999997</v>
      </c>
      <c r="I97" s="363"/>
      <c r="J97" s="263">
        <v>35.409999999999997</v>
      </c>
    </row>
    <row r="98" spans="1:10" ht="18" customHeight="1" x14ac:dyDescent="0.2">
      <c r="A98" s="294">
        <v>4</v>
      </c>
      <c r="B98" s="290" t="s">
        <v>414</v>
      </c>
      <c r="C98" s="291" t="s">
        <v>73</v>
      </c>
      <c r="D98" s="292">
        <v>2</v>
      </c>
      <c r="E98" s="292">
        <v>2</v>
      </c>
      <c r="F98" s="292">
        <f>D98+E98</f>
        <v>4</v>
      </c>
      <c r="G98" s="93">
        <f>J98*Dados!$I$61</f>
        <v>29.2</v>
      </c>
      <c r="H98" s="93">
        <f t="shared" si="7"/>
        <v>116.8</v>
      </c>
      <c r="I98" s="363"/>
      <c r="J98" s="263">
        <v>29.2</v>
      </c>
    </row>
    <row r="99" spans="1:10" ht="18" customHeight="1" x14ac:dyDescent="0.2">
      <c r="A99" s="289">
        <v>5</v>
      </c>
      <c r="B99" s="290" t="s">
        <v>392</v>
      </c>
      <c r="C99" s="291" t="s">
        <v>73</v>
      </c>
      <c r="D99" s="292">
        <v>4</v>
      </c>
      <c r="E99" s="292">
        <v>4</v>
      </c>
      <c r="F99" s="292">
        <f>D99+E99</f>
        <v>8</v>
      </c>
      <c r="G99" s="93">
        <f>J99*Dados!$I$61</f>
        <v>6.21</v>
      </c>
      <c r="H99" s="93">
        <f t="shared" si="7"/>
        <v>49.68</v>
      </c>
      <c r="I99" s="363"/>
      <c r="J99" s="263">
        <v>6.21</v>
      </c>
    </row>
    <row r="100" spans="1:10" ht="18" customHeight="1" x14ac:dyDescent="0.2">
      <c r="A100" s="1317" t="s">
        <v>389</v>
      </c>
      <c r="B100" s="1318"/>
      <c r="C100" s="1318"/>
      <c r="D100" s="1318"/>
      <c r="E100" s="1318"/>
      <c r="F100" s="1318"/>
      <c r="G100" s="1319"/>
      <c r="H100" s="286">
        <f>SUM(H95:H99)</f>
        <v>879</v>
      </c>
      <c r="I100" s="101"/>
      <c r="J100" s="101"/>
    </row>
    <row r="101" spans="1:10" ht="18" customHeight="1" x14ac:dyDescent="0.2">
      <c r="A101" s="1317" t="s">
        <v>390</v>
      </c>
      <c r="B101" s="1318"/>
      <c r="C101" s="1318"/>
      <c r="D101" s="1318"/>
      <c r="E101" s="1318"/>
      <c r="F101" s="1318"/>
      <c r="G101" s="1319"/>
      <c r="H101" s="286">
        <f>H100/12</f>
        <v>73.25</v>
      </c>
      <c r="I101" s="101"/>
      <c r="J101" s="101"/>
    </row>
    <row r="103" spans="1:10" ht="18" customHeight="1" x14ac:dyDescent="0.2">
      <c r="E103" s="1329" t="s">
        <v>365</v>
      </c>
      <c r="F103" s="1329"/>
      <c r="G103" s="583" t="s">
        <v>254</v>
      </c>
      <c r="H103" s="583" t="s">
        <v>393</v>
      </c>
    </row>
    <row r="104" spans="1:10" ht="18" customHeight="1" x14ac:dyDescent="0.2">
      <c r="E104" s="1329" t="s">
        <v>396</v>
      </c>
      <c r="F104" s="1329"/>
      <c r="G104" s="273">
        <v>0.95</v>
      </c>
      <c r="H104" s="631">
        <f>H91*G104</f>
        <v>58.75</v>
      </c>
    </row>
    <row r="105" spans="1:10" ht="18" customHeight="1" x14ac:dyDescent="0.2">
      <c r="E105" s="1329" t="s">
        <v>395</v>
      </c>
      <c r="F105" s="1329"/>
      <c r="G105" s="273">
        <v>0.05</v>
      </c>
      <c r="H105" s="631">
        <f>H101*G105</f>
        <v>3.66</v>
      </c>
    </row>
    <row r="106" spans="1:10" ht="18" customHeight="1" x14ac:dyDescent="0.2">
      <c r="E106" s="1329" t="s">
        <v>394</v>
      </c>
      <c r="F106" s="1329"/>
      <c r="G106" s="272">
        <f>SUM(G104:G105)</f>
        <v>1</v>
      </c>
      <c r="H106" s="271">
        <f>SUM(H104:H105)</f>
        <v>62.41</v>
      </c>
    </row>
  </sheetData>
  <mergeCells count="70">
    <mergeCell ref="E106:F106"/>
    <mergeCell ref="A100:G100"/>
    <mergeCell ref="A101:G101"/>
    <mergeCell ref="E103:F103"/>
    <mergeCell ref="E104:F104"/>
    <mergeCell ref="E105:F105"/>
    <mergeCell ref="A56:H56"/>
    <mergeCell ref="A57:H57"/>
    <mergeCell ref="A58:H58"/>
    <mergeCell ref="A59:H59"/>
    <mergeCell ref="A62:H62"/>
    <mergeCell ref="A63:H63"/>
    <mergeCell ref="A67:A68"/>
    <mergeCell ref="B67:B68"/>
    <mergeCell ref="C67:C68"/>
    <mergeCell ref="D67:F67"/>
    <mergeCell ref="G67:G68"/>
    <mergeCell ref="H67:H68"/>
    <mergeCell ref="A71:A72"/>
    <mergeCell ref="A78:G78"/>
    <mergeCell ref="C84:C85"/>
    <mergeCell ref="D84:F84"/>
    <mergeCell ref="G84:G85"/>
    <mergeCell ref="A79:G79"/>
    <mergeCell ref="H84:H85"/>
    <mergeCell ref="B93:B94"/>
    <mergeCell ref="C93:C94"/>
    <mergeCell ref="A90:G90"/>
    <mergeCell ref="A91:G91"/>
    <mergeCell ref="A93:A94"/>
    <mergeCell ref="D93:F93"/>
    <mergeCell ref="G93:G94"/>
    <mergeCell ref="H93:H94"/>
    <mergeCell ref="A84:A85"/>
    <mergeCell ref="B84:B85"/>
    <mergeCell ref="E52:F52"/>
    <mergeCell ref="A46:G46"/>
    <mergeCell ref="A47:G47"/>
    <mergeCell ref="E49:F49"/>
    <mergeCell ref="E50:F50"/>
    <mergeCell ref="E51:F51"/>
    <mergeCell ref="H39:H40"/>
    <mergeCell ref="A30:A31"/>
    <mergeCell ref="A2:H2"/>
    <mergeCell ref="A3:H3"/>
    <mergeCell ref="A8:H8"/>
    <mergeCell ref="A13:A14"/>
    <mergeCell ref="B13:B14"/>
    <mergeCell ref="C13:C14"/>
    <mergeCell ref="D13:F13"/>
    <mergeCell ref="G13:G14"/>
    <mergeCell ref="H13:H14"/>
    <mergeCell ref="A9:H9"/>
    <mergeCell ref="A4:H4"/>
    <mergeCell ref="A5:H5"/>
    <mergeCell ref="B30:B31"/>
    <mergeCell ref="C30:C31"/>
    <mergeCell ref="A37:G37"/>
    <mergeCell ref="A39:A40"/>
    <mergeCell ref="B39:B40"/>
    <mergeCell ref="C39:C40"/>
    <mergeCell ref="D39:F39"/>
    <mergeCell ref="G39:G40"/>
    <mergeCell ref="A25:G25"/>
    <mergeCell ref="A24:G24"/>
    <mergeCell ref="A17:A18"/>
    <mergeCell ref="H30:H31"/>
    <mergeCell ref="A36:G36"/>
    <mergeCell ref="D30:F30"/>
    <mergeCell ref="G30:G31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AI53"/>
  <sheetViews>
    <sheetView topLeftCell="M1" zoomScaleNormal="100" zoomScaleSheetLayoutView="90" workbookViewId="0">
      <selection activeCell="AM22" sqref="AM22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2" width="59.85546875" style="87" customWidth="1"/>
    <col min="13" max="15" width="9.140625" style="87"/>
    <col min="16" max="16" width="13.85546875" style="87" customWidth="1"/>
    <col min="17" max="17" width="11.28515625" style="87" customWidth="1"/>
    <col min="18" max="18" width="13.28515625" style="87" customWidth="1"/>
    <col min="19" max="19" width="9.7109375" style="87" hidden="1" customWidth="1"/>
    <col min="20" max="20" width="59.85546875" style="87" hidden="1" customWidth="1"/>
    <col min="21" max="23" width="0" style="87" hidden="1" customWidth="1"/>
    <col min="24" max="24" width="13.85546875" style="87" hidden="1" customWidth="1"/>
    <col min="25" max="25" width="13.140625" style="87" hidden="1" customWidth="1"/>
    <col min="26" max="26" width="13.28515625" style="87" hidden="1" customWidth="1"/>
    <col min="27" max="27" width="9.140625" style="87"/>
    <col min="28" max="28" width="6.5703125" style="87" customWidth="1"/>
    <col min="29" max="29" width="59.85546875" style="87" customWidth="1"/>
    <col min="30" max="32" width="9.140625" style="87"/>
    <col min="33" max="33" width="13.85546875" style="87" customWidth="1"/>
    <col min="34" max="34" width="13" style="87" customWidth="1"/>
    <col min="35" max="35" width="13.28515625" style="87" customWidth="1"/>
    <col min="36" max="16384" width="9.140625" style="87"/>
  </cols>
  <sheetData>
    <row r="1" spans="1:35" ht="14.25" x14ac:dyDescent="0.2"/>
    <row r="2" spans="1:35" ht="13.9" customHeight="1" x14ac:dyDescent="0.2">
      <c r="A2" s="1326" t="str">
        <f>Dados!A5</f>
        <v>CONSELHO DA JUSTIÇA FEDERAL - CJF</v>
      </c>
      <c r="B2" s="1326"/>
      <c r="C2" s="1326"/>
      <c r="D2" s="1326"/>
      <c r="E2" s="1326"/>
      <c r="F2" s="1326"/>
      <c r="G2" s="1326"/>
      <c r="H2" s="1326"/>
      <c r="K2" s="1334" t="s">
        <v>306</v>
      </c>
      <c r="L2" s="1334"/>
      <c r="M2" s="1334"/>
      <c r="N2" s="1334"/>
      <c r="O2" s="1334"/>
      <c r="P2" s="1334"/>
      <c r="Q2" s="1334"/>
      <c r="R2" s="1334"/>
      <c r="AB2" s="1336" t="s">
        <v>306</v>
      </c>
      <c r="AC2" s="1336"/>
      <c r="AD2" s="1336"/>
      <c r="AE2" s="1336"/>
      <c r="AF2" s="1336"/>
      <c r="AG2" s="1336"/>
      <c r="AH2" s="1336"/>
      <c r="AI2" s="1336"/>
    </row>
    <row r="3" spans="1:35" ht="14.25" x14ac:dyDescent="0.2">
      <c r="A3" s="1326" t="str">
        <f>Dados!A9</f>
        <v>PREGÃO ELETRÔNICO Nº 09/2020 - CJF</v>
      </c>
      <c r="B3" s="1326"/>
      <c r="C3" s="1326"/>
      <c r="D3" s="1326"/>
      <c r="E3" s="1326"/>
      <c r="F3" s="1326"/>
      <c r="G3" s="1326"/>
      <c r="H3" s="1326"/>
      <c r="K3" s="1334" t="s">
        <v>309</v>
      </c>
      <c r="L3" s="1334"/>
      <c r="M3" s="1334"/>
      <c r="N3" s="1334"/>
      <c r="O3" s="1334"/>
      <c r="P3" s="1334"/>
      <c r="Q3" s="1334"/>
      <c r="R3" s="1334"/>
      <c r="AB3" s="1334" t="s">
        <v>309</v>
      </c>
      <c r="AC3" s="1334"/>
      <c r="AD3" s="1334"/>
      <c r="AE3" s="1334"/>
      <c r="AF3" s="1334"/>
      <c r="AG3" s="1334"/>
      <c r="AH3" s="1334"/>
      <c r="AI3" s="1334"/>
    </row>
    <row r="4" spans="1:35" ht="0.75" customHeight="1" x14ac:dyDescent="0.2">
      <c r="A4" s="1326" t="str">
        <f>Dados!A10</f>
        <v>CONTRATO Nº __________/201__ - CONTRATANTE - PRESTAÇÃO DE SERVIÇOS --------</v>
      </c>
      <c r="B4" s="1326"/>
      <c r="C4" s="1326"/>
      <c r="D4" s="1326"/>
      <c r="E4" s="1326"/>
      <c r="F4" s="1326"/>
      <c r="G4" s="1326"/>
      <c r="H4" s="1326"/>
      <c r="K4" s="87" t="s">
        <v>288</v>
      </c>
      <c r="AB4" s="87" t="s">
        <v>288</v>
      </c>
    </row>
    <row r="5" spans="1:35" ht="17.25" hidden="1" customHeight="1" x14ac:dyDescent="0.2">
      <c r="A5" s="1326" t="str">
        <f>Dados!H2</f>
        <v xml:space="preserve">REPACTUAÇÃO CONTRATUAL 20___ - </v>
      </c>
      <c r="B5" s="1326"/>
      <c r="C5" s="1326"/>
      <c r="D5" s="1326"/>
      <c r="E5" s="1326"/>
      <c r="F5" s="1326"/>
      <c r="G5" s="1326"/>
      <c r="H5" s="1326"/>
      <c r="K5" s="87" t="s">
        <v>289</v>
      </c>
      <c r="AB5" s="87" t="s">
        <v>289</v>
      </c>
    </row>
    <row r="6" spans="1:35" ht="14.25" x14ac:dyDescent="0.2">
      <c r="A6" s="84"/>
      <c r="B6" s="85"/>
      <c r="C6" s="86"/>
      <c r="D6" s="86"/>
      <c r="E6" s="86"/>
      <c r="F6" s="86"/>
      <c r="G6" s="85"/>
      <c r="H6" s="85"/>
    </row>
    <row r="7" spans="1:35" ht="14.25" x14ac:dyDescent="0.2">
      <c r="A7" s="84"/>
      <c r="B7" s="85"/>
      <c r="C7" s="86"/>
      <c r="D7" s="86"/>
      <c r="E7" s="86"/>
      <c r="F7" s="86"/>
      <c r="G7" s="85"/>
      <c r="H7" s="85"/>
    </row>
    <row r="8" spans="1:35" ht="14.25" customHeight="1" x14ac:dyDescent="0.2">
      <c r="A8" s="1327" t="s">
        <v>575</v>
      </c>
      <c r="B8" s="1327"/>
      <c r="C8" s="1327"/>
      <c r="D8" s="1327"/>
      <c r="E8" s="1327"/>
      <c r="F8" s="1327"/>
      <c r="G8" s="1327"/>
      <c r="H8" s="1327"/>
      <c r="K8" s="1335" t="s">
        <v>384</v>
      </c>
      <c r="L8" s="1335"/>
      <c r="M8" s="1335"/>
      <c r="N8" s="1335"/>
      <c r="O8" s="1335"/>
      <c r="P8" s="1335"/>
      <c r="Q8" s="1335"/>
      <c r="R8" s="1335"/>
      <c r="S8" s="1335" t="s">
        <v>384</v>
      </c>
      <c r="T8" s="1335"/>
      <c r="U8" s="1335"/>
      <c r="V8" s="1335"/>
      <c r="W8" s="1335"/>
      <c r="X8" s="1335"/>
      <c r="Y8" s="1335"/>
      <c r="Z8" s="1335"/>
      <c r="AB8" s="1335" t="s">
        <v>384</v>
      </c>
      <c r="AC8" s="1335"/>
      <c r="AD8" s="1335"/>
      <c r="AE8" s="1335"/>
      <c r="AF8" s="1335"/>
      <c r="AG8" s="1335"/>
      <c r="AH8" s="1335"/>
      <c r="AI8" s="1335"/>
    </row>
    <row r="9" spans="1:35" ht="14.25" customHeight="1" x14ac:dyDescent="0.2">
      <c r="A9" s="1327" t="s">
        <v>385</v>
      </c>
      <c r="B9" s="1327"/>
      <c r="C9" s="1327"/>
      <c r="D9" s="1327"/>
      <c r="E9" s="1327"/>
      <c r="F9" s="1327"/>
      <c r="G9" s="1327"/>
      <c r="H9" s="1327"/>
      <c r="K9" s="1335" t="s">
        <v>385</v>
      </c>
      <c r="L9" s="1335"/>
      <c r="M9" s="1335"/>
      <c r="N9" s="1335"/>
      <c r="O9" s="1335"/>
      <c r="P9" s="1335"/>
      <c r="Q9" s="1335"/>
      <c r="R9" s="1335"/>
      <c r="S9" s="1335" t="s">
        <v>385</v>
      </c>
      <c r="T9" s="1335"/>
      <c r="U9" s="1335"/>
      <c r="V9" s="1335"/>
      <c r="W9" s="1335"/>
      <c r="X9" s="1335"/>
      <c r="Y9" s="1335"/>
      <c r="Z9" s="1335"/>
      <c r="AB9" s="1335" t="s">
        <v>385</v>
      </c>
      <c r="AC9" s="1335"/>
      <c r="AD9" s="1335"/>
      <c r="AE9" s="1335"/>
      <c r="AF9" s="1335"/>
      <c r="AG9" s="1335"/>
      <c r="AH9" s="1335"/>
      <c r="AI9" s="1335"/>
    </row>
    <row r="10" spans="1:35" ht="13.9" customHeight="1" x14ac:dyDescent="0.2">
      <c r="B10" s="1327" t="s">
        <v>573</v>
      </c>
      <c r="C10" s="1327"/>
      <c r="D10" s="1327"/>
      <c r="E10" s="1327"/>
      <c r="F10" s="1327"/>
      <c r="G10" s="1327"/>
      <c r="H10" s="1327"/>
      <c r="K10" s="1334" t="s">
        <v>562</v>
      </c>
      <c r="L10" s="1334"/>
      <c r="M10" s="1334"/>
      <c r="N10" s="1334"/>
      <c r="O10" s="1334"/>
      <c r="P10" s="1334"/>
      <c r="Q10" s="1334"/>
      <c r="R10" s="1334"/>
      <c r="S10" s="1334" t="s">
        <v>576</v>
      </c>
      <c r="T10" s="1334"/>
      <c r="U10" s="1334"/>
      <c r="V10" s="1334"/>
      <c r="W10" s="1334"/>
      <c r="X10" s="1334"/>
      <c r="Y10" s="1334"/>
      <c r="Z10" s="1334"/>
      <c r="AB10" s="1334" t="s">
        <v>566</v>
      </c>
      <c r="AC10" s="1334"/>
      <c r="AD10" s="1334"/>
      <c r="AE10" s="1334"/>
      <c r="AF10" s="1334"/>
      <c r="AG10" s="1334"/>
      <c r="AH10" s="1334"/>
      <c r="AI10" s="1334"/>
    </row>
    <row r="11" spans="1:35" ht="13.9" customHeight="1" x14ac:dyDescent="0.2">
      <c r="B11" s="954"/>
      <c r="C11" s="954"/>
      <c r="D11" s="954"/>
      <c r="E11" s="954"/>
      <c r="F11" s="954"/>
      <c r="G11" s="954"/>
      <c r="H11" s="954"/>
    </row>
    <row r="12" spans="1:35" ht="13.9" customHeight="1" x14ac:dyDescent="0.2">
      <c r="A12" s="288" t="s">
        <v>410</v>
      </c>
      <c r="B12" s="954"/>
      <c r="C12" s="954"/>
      <c r="D12" s="954"/>
      <c r="E12" s="954"/>
      <c r="F12" s="954"/>
      <c r="G12" s="954"/>
      <c r="H12" s="954"/>
      <c r="K12" s="869" t="s">
        <v>410</v>
      </c>
      <c r="S12" s="288" t="s">
        <v>410</v>
      </c>
      <c r="AB12" s="288" t="s">
        <v>410</v>
      </c>
    </row>
    <row r="13" spans="1:35" s="363" customFormat="1" ht="14.25" customHeight="1" x14ac:dyDescent="0.2">
      <c r="A13" s="1323" t="s">
        <v>63</v>
      </c>
      <c r="B13" s="1324" t="s">
        <v>85</v>
      </c>
      <c r="C13" s="1322" t="s">
        <v>66</v>
      </c>
      <c r="D13" s="1322" t="s">
        <v>67</v>
      </c>
      <c r="E13" s="1322"/>
      <c r="F13" s="1322"/>
      <c r="G13" s="1322" t="s">
        <v>387</v>
      </c>
      <c r="H13" s="1322" t="s">
        <v>388</v>
      </c>
      <c r="I13" s="958"/>
      <c r="J13" s="958"/>
      <c r="K13" s="1323" t="s">
        <v>63</v>
      </c>
      <c r="L13" s="1324" t="s">
        <v>85</v>
      </c>
      <c r="M13" s="1322" t="s">
        <v>66</v>
      </c>
      <c r="N13" s="1322" t="s">
        <v>67</v>
      </c>
      <c r="O13" s="1322"/>
      <c r="P13" s="1322"/>
      <c r="Q13" s="1322" t="s">
        <v>387</v>
      </c>
      <c r="R13" s="1322" t="s">
        <v>388</v>
      </c>
      <c r="S13" s="1323" t="s">
        <v>63</v>
      </c>
      <c r="T13" s="1324" t="s">
        <v>85</v>
      </c>
      <c r="U13" s="1322" t="s">
        <v>66</v>
      </c>
      <c r="V13" s="1322" t="s">
        <v>67</v>
      </c>
      <c r="W13" s="1322"/>
      <c r="X13" s="1322"/>
      <c r="Y13" s="1322" t="s">
        <v>387</v>
      </c>
      <c r="Z13" s="1322" t="s">
        <v>388</v>
      </c>
      <c r="AA13" s="958"/>
      <c r="AB13" s="1323" t="s">
        <v>63</v>
      </c>
      <c r="AC13" s="1324" t="s">
        <v>85</v>
      </c>
      <c r="AD13" s="1322" t="s">
        <v>66</v>
      </c>
      <c r="AE13" s="1322" t="s">
        <v>67</v>
      </c>
      <c r="AF13" s="1322"/>
      <c r="AG13" s="1322"/>
      <c r="AH13" s="1322" t="s">
        <v>387</v>
      </c>
      <c r="AI13" s="1322" t="s">
        <v>388</v>
      </c>
    </row>
    <row r="14" spans="1:35" s="363" customFormat="1" ht="42.75" x14ac:dyDescent="0.2">
      <c r="A14" s="1323"/>
      <c r="B14" s="1325"/>
      <c r="C14" s="1322"/>
      <c r="D14" s="952" t="s">
        <v>70</v>
      </c>
      <c r="E14" s="952" t="s">
        <v>71</v>
      </c>
      <c r="F14" s="952" t="s">
        <v>567</v>
      </c>
      <c r="G14" s="1322"/>
      <c r="H14" s="1322"/>
      <c r="I14" s="958"/>
      <c r="J14" s="958"/>
      <c r="K14" s="1323"/>
      <c r="L14" s="1325"/>
      <c r="M14" s="1322"/>
      <c r="N14" s="952" t="s">
        <v>70</v>
      </c>
      <c r="O14" s="952" t="s">
        <v>71</v>
      </c>
      <c r="P14" s="952" t="s">
        <v>567</v>
      </c>
      <c r="Q14" s="1322"/>
      <c r="R14" s="1322"/>
      <c r="S14" s="1323"/>
      <c r="T14" s="1325"/>
      <c r="U14" s="1322"/>
      <c r="V14" s="952" t="s">
        <v>70</v>
      </c>
      <c r="W14" s="952" t="s">
        <v>71</v>
      </c>
      <c r="X14" s="952" t="s">
        <v>540</v>
      </c>
      <c r="Y14" s="1322"/>
      <c r="Z14" s="1322"/>
      <c r="AA14" s="958"/>
      <c r="AB14" s="1323"/>
      <c r="AC14" s="1325"/>
      <c r="AD14" s="1322"/>
      <c r="AE14" s="952" t="s">
        <v>70</v>
      </c>
      <c r="AF14" s="952" t="s">
        <v>71</v>
      </c>
      <c r="AG14" s="952" t="s">
        <v>540</v>
      </c>
      <c r="AH14" s="1322"/>
      <c r="AI14" s="1322"/>
    </row>
    <row r="15" spans="1:35" s="363" customFormat="1" ht="32.450000000000003" customHeight="1" x14ac:dyDescent="0.2">
      <c r="A15" s="90">
        <v>1</v>
      </c>
      <c r="B15" s="293" t="s">
        <v>397</v>
      </c>
      <c r="C15" s="291" t="s">
        <v>66</v>
      </c>
      <c r="D15" s="292">
        <v>2</v>
      </c>
      <c r="E15" s="292">
        <v>2</v>
      </c>
      <c r="F15" s="292">
        <f t="shared" ref="F15:F23" si="0">SUM(D15:E15)</f>
        <v>4</v>
      </c>
      <c r="G15" s="93">
        <f>J15*Dados!$I$60</f>
        <v>28.84</v>
      </c>
      <c r="H15" s="93">
        <f>G15*F15</f>
        <v>115.36</v>
      </c>
      <c r="I15" s="958"/>
      <c r="J15" s="263">
        <v>28.84</v>
      </c>
      <c r="K15" s="90">
        <v>1</v>
      </c>
      <c r="L15" s="293" t="s">
        <v>397</v>
      </c>
      <c r="M15" s="291" t="s">
        <v>66</v>
      </c>
      <c r="N15" s="292">
        <v>2</v>
      </c>
      <c r="O15" s="292">
        <v>2</v>
      </c>
      <c r="P15" s="292">
        <v>4</v>
      </c>
      <c r="Q15" s="93">
        <f t="shared" ref="Q15:Q23" si="1">G15*1.096714</f>
        <v>31.63</v>
      </c>
      <c r="R15" s="93">
        <f>Q15*P15</f>
        <v>126.52</v>
      </c>
      <c r="S15" s="90">
        <v>1</v>
      </c>
      <c r="T15" s="293" t="s">
        <v>397</v>
      </c>
      <c r="U15" s="291" t="s">
        <v>66</v>
      </c>
      <c r="V15" s="292">
        <v>2</v>
      </c>
      <c r="W15" s="292">
        <v>2</v>
      </c>
      <c r="X15" s="292">
        <f t="shared" ref="X15:X23" si="2">SUM(V15:W15)</f>
        <v>4</v>
      </c>
      <c r="Y15" s="93">
        <f t="shared" ref="Y15:Y23" si="3">Q15</f>
        <v>31.63</v>
      </c>
      <c r="Z15" s="93">
        <f>Y15*X15</f>
        <v>126.52</v>
      </c>
      <c r="AA15" s="958"/>
      <c r="AB15" s="90">
        <v>1</v>
      </c>
      <c r="AC15" s="293" t="s">
        <v>397</v>
      </c>
      <c r="AD15" s="291" t="s">
        <v>66</v>
      </c>
      <c r="AE15" s="292">
        <v>2</v>
      </c>
      <c r="AF15" s="292">
        <v>2</v>
      </c>
      <c r="AG15" s="292">
        <f t="shared" ref="AG15:AG23" si="4">SUM(AE15:AF15)</f>
        <v>4</v>
      </c>
      <c r="AH15" s="93">
        <f t="shared" ref="AH15:AH23" si="5">Q15*1.100692</f>
        <v>34.81</v>
      </c>
      <c r="AI15" s="93">
        <f>AH15*AG15</f>
        <v>139.24</v>
      </c>
    </row>
    <row r="16" spans="1:35" s="363" customFormat="1" ht="28.9" customHeight="1" x14ac:dyDescent="0.2">
      <c r="A16" s="951">
        <v>2</v>
      </c>
      <c r="B16" s="293" t="s">
        <v>398</v>
      </c>
      <c r="C16" s="291" t="s">
        <v>66</v>
      </c>
      <c r="D16" s="292">
        <v>2</v>
      </c>
      <c r="E16" s="292">
        <v>2</v>
      </c>
      <c r="F16" s="292">
        <f t="shared" si="0"/>
        <v>4</v>
      </c>
      <c r="G16" s="93">
        <f>J16*Dados!$I$60</f>
        <v>5.6</v>
      </c>
      <c r="H16" s="93">
        <f>G16*F16</f>
        <v>22.4</v>
      </c>
      <c r="I16" s="958"/>
      <c r="J16" s="263">
        <v>5.6</v>
      </c>
      <c r="K16" s="951">
        <v>2</v>
      </c>
      <c r="L16" s="293" t="s">
        <v>398</v>
      </c>
      <c r="M16" s="291" t="s">
        <v>66</v>
      </c>
      <c r="N16" s="292">
        <v>2</v>
      </c>
      <c r="O16" s="292">
        <v>2</v>
      </c>
      <c r="P16" s="292">
        <v>4</v>
      </c>
      <c r="Q16" s="93">
        <f t="shared" si="1"/>
        <v>6.14</v>
      </c>
      <c r="R16" s="93">
        <f>Q16*P16</f>
        <v>24.56</v>
      </c>
      <c r="S16" s="951">
        <v>2</v>
      </c>
      <c r="T16" s="293" t="s">
        <v>398</v>
      </c>
      <c r="U16" s="291" t="s">
        <v>66</v>
      </c>
      <c r="V16" s="292">
        <v>2</v>
      </c>
      <c r="W16" s="292">
        <v>2</v>
      </c>
      <c r="X16" s="292">
        <f t="shared" si="2"/>
        <v>4</v>
      </c>
      <c r="Y16" s="93">
        <f t="shared" si="3"/>
        <v>6.14</v>
      </c>
      <c r="Z16" s="93">
        <f>Y16*X16</f>
        <v>24.56</v>
      </c>
      <c r="AA16" s="958"/>
      <c r="AB16" s="951">
        <v>2</v>
      </c>
      <c r="AC16" s="293" t="s">
        <v>398</v>
      </c>
      <c r="AD16" s="291" t="s">
        <v>66</v>
      </c>
      <c r="AE16" s="292">
        <v>2</v>
      </c>
      <c r="AF16" s="292">
        <v>2</v>
      </c>
      <c r="AG16" s="292">
        <f t="shared" si="4"/>
        <v>4</v>
      </c>
      <c r="AH16" s="93">
        <f t="shared" si="5"/>
        <v>6.76</v>
      </c>
      <c r="AI16" s="93">
        <f>AH16*AG16</f>
        <v>27.04</v>
      </c>
    </row>
    <row r="17" spans="1:35" s="363" customFormat="1" ht="46.15" customHeight="1" x14ac:dyDescent="0.2">
      <c r="A17" s="1320">
        <v>3</v>
      </c>
      <c r="B17" s="269" t="s">
        <v>399</v>
      </c>
      <c r="C17" s="291" t="s">
        <v>66</v>
      </c>
      <c r="D17" s="292">
        <v>4</v>
      </c>
      <c r="E17" s="292">
        <v>4</v>
      </c>
      <c r="F17" s="292">
        <f t="shared" si="0"/>
        <v>8</v>
      </c>
      <c r="G17" s="93">
        <f>J17*Dados!$I$60</f>
        <v>28</v>
      </c>
      <c r="H17" s="93">
        <f t="shared" ref="H17:H23" si="6">G17*F17</f>
        <v>224</v>
      </c>
      <c r="I17" s="958"/>
      <c r="J17" s="263">
        <v>28</v>
      </c>
      <c r="K17" s="1320">
        <v>3</v>
      </c>
      <c r="L17" s="269" t="s">
        <v>399</v>
      </c>
      <c r="M17" s="291" t="s">
        <v>66</v>
      </c>
      <c r="N17" s="292">
        <v>4</v>
      </c>
      <c r="O17" s="292">
        <v>4</v>
      </c>
      <c r="P17" s="292">
        <v>8</v>
      </c>
      <c r="Q17" s="93">
        <f t="shared" si="1"/>
        <v>30.71</v>
      </c>
      <c r="R17" s="93">
        <f t="shared" ref="R17:R23" si="7">Q17*P17</f>
        <v>245.68</v>
      </c>
      <c r="S17" s="1320">
        <v>3</v>
      </c>
      <c r="T17" s="269" t="s">
        <v>399</v>
      </c>
      <c r="U17" s="291" t="s">
        <v>66</v>
      </c>
      <c r="V17" s="292">
        <v>4</v>
      </c>
      <c r="W17" s="292">
        <v>4</v>
      </c>
      <c r="X17" s="292">
        <f t="shared" si="2"/>
        <v>8</v>
      </c>
      <c r="Y17" s="93">
        <f t="shared" si="3"/>
        <v>30.71</v>
      </c>
      <c r="Z17" s="93">
        <f t="shared" ref="Z17:Z18" si="8">Y17*X17</f>
        <v>245.68</v>
      </c>
      <c r="AA17" s="958"/>
      <c r="AB17" s="1320">
        <v>3</v>
      </c>
      <c r="AC17" s="269" t="s">
        <v>399</v>
      </c>
      <c r="AD17" s="291" t="s">
        <v>66</v>
      </c>
      <c r="AE17" s="292">
        <v>4</v>
      </c>
      <c r="AF17" s="292">
        <v>4</v>
      </c>
      <c r="AG17" s="292">
        <f t="shared" si="4"/>
        <v>8</v>
      </c>
      <c r="AH17" s="93">
        <f t="shared" si="5"/>
        <v>33.799999999999997</v>
      </c>
      <c r="AI17" s="93">
        <f t="shared" ref="AI17:AI18" si="9">AH17*AG17</f>
        <v>270.39999999999998</v>
      </c>
    </row>
    <row r="18" spans="1:35" s="363" customFormat="1" ht="39.6" customHeight="1" x14ac:dyDescent="0.2">
      <c r="A18" s="1321"/>
      <c r="B18" s="293" t="s">
        <v>386</v>
      </c>
      <c r="C18" s="291" t="s">
        <v>66</v>
      </c>
      <c r="D18" s="292">
        <v>0</v>
      </c>
      <c r="E18" s="292">
        <v>0</v>
      </c>
      <c r="F18" s="292">
        <f t="shared" si="0"/>
        <v>0</v>
      </c>
      <c r="G18" s="93">
        <f>J18*Dados!$I$60</f>
        <v>0</v>
      </c>
      <c r="H18" s="93">
        <f t="shared" si="6"/>
        <v>0</v>
      </c>
      <c r="I18" s="958"/>
      <c r="J18" s="263">
        <v>0</v>
      </c>
      <c r="K18" s="1321"/>
      <c r="L18" s="293" t="s">
        <v>386</v>
      </c>
      <c r="M18" s="291" t="s">
        <v>66</v>
      </c>
      <c r="N18" s="292">
        <v>0</v>
      </c>
      <c r="O18" s="292">
        <v>0</v>
      </c>
      <c r="P18" s="292">
        <f t="shared" ref="P18" si="10">SUM(N18:O18)</f>
        <v>0</v>
      </c>
      <c r="Q18" s="93">
        <f t="shared" si="1"/>
        <v>0</v>
      </c>
      <c r="R18" s="93">
        <f t="shared" si="7"/>
        <v>0</v>
      </c>
      <c r="S18" s="1321"/>
      <c r="T18" s="293" t="s">
        <v>386</v>
      </c>
      <c r="U18" s="291" t="s">
        <v>66</v>
      </c>
      <c r="V18" s="292">
        <v>0</v>
      </c>
      <c r="W18" s="292">
        <v>0</v>
      </c>
      <c r="X18" s="292">
        <f t="shared" si="2"/>
        <v>0</v>
      </c>
      <c r="Y18" s="93">
        <f t="shared" si="3"/>
        <v>0</v>
      </c>
      <c r="Z18" s="93">
        <f t="shared" si="8"/>
        <v>0</v>
      </c>
      <c r="AA18" s="958"/>
      <c r="AB18" s="1321"/>
      <c r="AC18" s="293" t="s">
        <v>386</v>
      </c>
      <c r="AD18" s="291" t="s">
        <v>66</v>
      </c>
      <c r="AE18" s="292">
        <v>0</v>
      </c>
      <c r="AF18" s="292">
        <v>0</v>
      </c>
      <c r="AG18" s="292">
        <f t="shared" si="4"/>
        <v>0</v>
      </c>
      <c r="AH18" s="93">
        <f t="shared" si="5"/>
        <v>0</v>
      </c>
      <c r="AI18" s="93">
        <f t="shared" si="9"/>
        <v>0</v>
      </c>
    </row>
    <row r="19" spans="1:35" s="363" customFormat="1" ht="18" customHeight="1" x14ac:dyDescent="0.2">
      <c r="A19" s="90">
        <v>4</v>
      </c>
      <c r="B19" s="269" t="s">
        <v>400</v>
      </c>
      <c r="C19" s="291" t="s">
        <v>73</v>
      </c>
      <c r="D19" s="292">
        <v>4</v>
      </c>
      <c r="E19" s="292">
        <v>4</v>
      </c>
      <c r="F19" s="292">
        <f t="shared" si="0"/>
        <v>8</v>
      </c>
      <c r="G19" s="93">
        <f>J19*Dados!$I$60</f>
        <v>0.89</v>
      </c>
      <c r="H19" s="93">
        <f t="shared" si="6"/>
        <v>7.12</v>
      </c>
      <c r="I19" s="958"/>
      <c r="J19" s="263">
        <v>0.89</v>
      </c>
      <c r="K19" s="90">
        <v>4</v>
      </c>
      <c r="L19" s="269" t="s">
        <v>400</v>
      </c>
      <c r="M19" s="291" t="s">
        <v>73</v>
      </c>
      <c r="N19" s="292">
        <v>4</v>
      </c>
      <c r="O19" s="292">
        <v>4</v>
      </c>
      <c r="P19" s="292">
        <v>8</v>
      </c>
      <c r="Q19" s="93">
        <f t="shared" si="1"/>
        <v>0.98</v>
      </c>
      <c r="R19" s="93">
        <f>Q19*P19</f>
        <v>7.84</v>
      </c>
      <c r="S19" s="90">
        <v>4</v>
      </c>
      <c r="T19" s="269" t="s">
        <v>400</v>
      </c>
      <c r="U19" s="291" t="s">
        <v>73</v>
      </c>
      <c r="V19" s="292">
        <v>4</v>
      </c>
      <c r="W19" s="292">
        <v>4</v>
      </c>
      <c r="X19" s="292">
        <f t="shared" si="2"/>
        <v>8</v>
      </c>
      <c r="Y19" s="93">
        <f t="shared" si="3"/>
        <v>0.98</v>
      </c>
      <c r="Z19" s="93">
        <f>Y19*X19</f>
        <v>7.84</v>
      </c>
      <c r="AA19" s="958"/>
      <c r="AB19" s="90">
        <v>4</v>
      </c>
      <c r="AC19" s="269" t="s">
        <v>400</v>
      </c>
      <c r="AD19" s="291" t="s">
        <v>73</v>
      </c>
      <c r="AE19" s="292">
        <v>4</v>
      </c>
      <c r="AF19" s="292">
        <v>4</v>
      </c>
      <c r="AG19" s="292">
        <f t="shared" si="4"/>
        <v>8</v>
      </c>
      <c r="AH19" s="93">
        <f t="shared" si="5"/>
        <v>1.08</v>
      </c>
      <c r="AI19" s="93">
        <f>AH19*AG19</f>
        <v>8.64</v>
      </c>
    </row>
    <row r="20" spans="1:35" s="363" customFormat="1" ht="45" customHeight="1" x14ac:dyDescent="0.2">
      <c r="A20" s="90">
        <v>5</v>
      </c>
      <c r="B20" s="293" t="s">
        <v>401</v>
      </c>
      <c r="C20" s="291" t="s">
        <v>66</v>
      </c>
      <c r="D20" s="292">
        <v>1</v>
      </c>
      <c r="E20" s="292">
        <v>1</v>
      </c>
      <c r="F20" s="292">
        <f t="shared" si="0"/>
        <v>2</v>
      </c>
      <c r="G20" s="93">
        <f>J20*Dados!$I$60</f>
        <v>3.85</v>
      </c>
      <c r="H20" s="93">
        <f t="shared" si="6"/>
        <v>7.7</v>
      </c>
      <c r="I20" s="958"/>
      <c r="J20" s="263">
        <v>3.85</v>
      </c>
      <c r="K20" s="90">
        <v>5</v>
      </c>
      <c r="L20" s="293" t="s">
        <v>401</v>
      </c>
      <c r="M20" s="291" t="s">
        <v>66</v>
      </c>
      <c r="N20" s="292">
        <v>1</v>
      </c>
      <c r="O20" s="292">
        <v>1</v>
      </c>
      <c r="P20" s="292">
        <v>2</v>
      </c>
      <c r="Q20" s="93">
        <f t="shared" si="1"/>
        <v>4.22</v>
      </c>
      <c r="R20" s="93">
        <f t="shared" si="7"/>
        <v>8.44</v>
      </c>
      <c r="S20" s="90">
        <v>5</v>
      </c>
      <c r="T20" s="293" t="s">
        <v>401</v>
      </c>
      <c r="U20" s="291" t="s">
        <v>66</v>
      </c>
      <c r="V20" s="292">
        <v>1</v>
      </c>
      <c r="W20" s="292">
        <v>1</v>
      </c>
      <c r="X20" s="292">
        <f t="shared" si="2"/>
        <v>2</v>
      </c>
      <c r="Y20" s="93">
        <f t="shared" si="3"/>
        <v>4.22</v>
      </c>
      <c r="Z20" s="93">
        <f t="shared" ref="Z20:Z23" si="11">Y20*X20</f>
        <v>8.44</v>
      </c>
      <c r="AA20" s="958"/>
      <c r="AB20" s="90">
        <v>5</v>
      </c>
      <c r="AC20" s="293" t="s">
        <v>401</v>
      </c>
      <c r="AD20" s="291" t="s">
        <v>66</v>
      </c>
      <c r="AE20" s="292">
        <v>1</v>
      </c>
      <c r="AF20" s="292">
        <v>1</v>
      </c>
      <c r="AG20" s="292">
        <f t="shared" si="4"/>
        <v>2</v>
      </c>
      <c r="AH20" s="93">
        <f t="shared" si="5"/>
        <v>4.6399999999999997</v>
      </c>
      <c r="AI20" s="93">
        <f t="shared" ref="AI20:AI23" si="12">AH20*AG20</f>
        <v>9.2799999999999994</v>
      </c>
    </row>
    <row r="21" spans="1:35" s="363" customFormat="1" ht="41.45" customHeight="1" x14ac:dyDescent="0.2">
      <c r="A21" s="90">
        <v>6</v>
      </c>
      <c r="B21" s="269" t="s">
        <v>402</v>
      </c>
      <c r="C21" s="291" t="s">
        <v>66</v>
      </c>
      <c r="D21" s="292">
        <v>1</v>
      </c>
      <c r="E21" s="292">
        <v>1</v>
      </c>
      <c r="F21" s="292">
        <f t="shared" si="0"/>
        <v>2</v>
      </c>
      <c r="G21" s="93">
        <f>J21*Dados!$I$60</f>
        <v>49</v>
      </c>
      <c r="H21" s="93">
        <f t="shared" si="6"/>
        <v>98</v>
      </c>
      <c r="I21" s="958"/>
      <c r="J21" s="263">
        <v>49</v>
      </c>
      <c r="K21" s="90">
        <v>6</v>
      </c>
      <c r="L21" s="269" t="s">
        <v>402</v>
      </c>
      <c r="M21" s="291" t="s">
        <v>66</v>
      </c>
      <c r="N21" s="292">
        <v>1</v>
      </c>
      <c r="O21" s="292">
        <v>1</v>
      </c>
      <c r="P21" s="292">
        <v>2</v>
      </c>
      <c r="Q21" s="93">
        <f t="shared" si="1"/>
        <v>53.74</v>
      </c>
      <c r="R21" s="93">
        <f t="shared" si="7"/>
        <v>107.48</v>
      </c>
      <c r="S21" s="90">
        <v>6</v>
      </c>
      <c r="T21" s="269" t="s">
        <v>402</v>
      </c>
      <c r="U21" s="291" t="s">
        <v>66</v>
      </c>
      <c r="V21" s="292">
        <v>1</v>
      </c>
      <c r="W21" s="292">
        <v>1</v>
      </c>
      <c r="X21" s="292">
        <f t="shared" si="2"/>
        <v>2</v>
      </c>
      <c r="Y21" s="93">
        <f t="shared" si="3"/>
        <v>53.74</v>
      </c>
      <c r="Z21" s="93">
        <f t="shared" si="11"/>
        <v>107.48</v>
      </c>
      <c r="AA21" s="958"/>
      <c r="AB21" s="90">
        <v>6</v>
      </c>
      <c r="AC21" s="269" t="s">
        <v>402</v>
      </c>
      <c r="AD21" s="291" t="s">
        <v>66</v>
      </c>
      <c r="AE21" s="292">
        <v>1</v>
      </c>
      <c r="AF21" s="292">
        <v>1</v>
      </c>
      <c r="AG21" s="292">
        <f t="shared" si="4"/>
        <v>2</v>
      </c>
      <c r="AH21" s="93">
        <f t="shared" si="5"/>
        <v>59.15</v>
      </c>
      <c r="AI21" s="93">
        <f t="shared" si="12"/>
        <v>118.3</v>
      </c>
    </row>
    <row r="22" spans="1:35" ht="102" customHeight="1" x14ac:dyDescent="0.2">
      <c r="A22" s="90">
        <v>7</v>
      </c>
      <c r="B22" s="293" t="s">
        <v>403</v>
      </c>
      <c r="C22" s="291" t="s">
        <v>73</v>
      </c>
      <c r="D22" s="292">
        <v>1</v>
      </c>
      <c r="E22" s="292">
        <v>0</v>
      </c>
      <c r="F22" s="292">
        <f t="shared" si="0"/>
        <v>1</v>
      </c>
      <c r="G22" s="93">
        <f>J22*Dados!$I$60</f>
        <v>27.3</v>
      </c>
      <c r="H22" s="93">
        <f t="shared" si="6"/>
        <v>27.3</v>
      </c>
      <c r="J22" s="263">
        <v>27.3</v>
      </c>
      <c r="K22" s="90">
        <v>7</v>
      </c>
      <c r="L22" s="293" t="s">
        <v>403</v>
      </c>
      <c r="M22" s="291" t="s">
        <v>73</v>
      </c>
      <c r="N22" s="292">
        <v>1</v>
      </c>
      <c r="O22" s="292">
        <v>0</v>
      </c>
      <c r="P22" s="292">
        <v>1</v>
      </c>
      <c r="Q22" s="93">
        <f t="shared" si="1"/>
        <v>29.94</v>
      </c>
      <c r="R22" s="93">
        <f t="shared" si="7"/>
        <v>29.94</v>
      </c>
      <c r="S22" s="90">
        <v>7</v>
      </c>
      <c r="T22" s="293" t="s">
        <v>403</v>
      </c>
      <c r="U22" s="291" t="s">
        <v>73</v>
      </c>
      <c r="V22" s="292">
        <v>1</v>
      </c>
      <c r="W22" s="292">
        <v>0</v>
      </c>
      <c r="X22" s="292">
        <f t="shared" si="2"/>
        <v>1</v>
      </c>
      <c r="Y22" s="93">
        <f t="shared" si="3"/>
        <v>29.94</v>
      </c>
      <c r="Z22" s="93">
        <f t="shared" si="11"/>
        <v>29.94</v>
      </c>
      <c r="AB22" s="90">
        <v>7</v>
      </c>
      <c r="AC22" s="293" t="s">
        <v>403</v>
      </c>
      <c r="AD22" s="291" t="s">
        <v>73</v>
      </c>
      <c r="AE22" s="292">
        <v>1</v>
      </c>
      <c r="AF22" s="292">
        <v>0</v>
      </c>
      <c r="AG22" s="292">
        <f t="shared" si="4"/>
        <v>1</v>
      </c>
      <c r="AH22" s="93">
        <f t="shared" si="5"/>
        <v>32.950000000000003</v>
      </c>
      <c r="AI22" s="93">
        <f t="shared" si="12"/>
        <v>32.950000000000003</v>
      </c>
    </row>
    <row r="23" spans="1:35" s="101" customFormat="1" ht="52.15" customHeight="1" x14ac:dyDescent="0.2">
      <c r="A23" s="90">
        <v>8</v>
      </c>
      <c r="B23" s="293" t="s">
        <v>404</v>
      </c>
      <c r="C23" s="291" t="s">
        <v>66</v>
      </c>
      <c r="D23" s="292">
        <v>1</v>
      </c>
      <c r="E23" s="292">
        <v>0</v>
      </c>
      <c r="F23" s="292">
        <f t="shared" si="0"/>
        <v>1</v>
      </c>
      <c r="G23" s="93">
        <f>J23*Dados!$I$60</f>
        <v>6.09</v>
      </c>
      <c r="H23" s="93">
        <f t="shared" si="6"/>
        <v>6.09</v>
      </c>
      <c r="J23" s="263">
        <v>6.09</v>
      </c>
      <c r="K23" s="90">
        <v>8</v>
      </c>
      <c r="L23" s="293" t="s">
        <v>404</v>
      </c>
      <c r="M23" s="291" t="s">
        <v>66</v>
      </c>
      <c r="N23" s="292">
        <v>1</v>
      </c>
      <c r="O23" s="292">
        <v>0</v>
      </c>
      <c r="P23" s="292">
        <v>1</v>
      </c>
      <c r="Q23" s="93">
        <f t="shared" si="1"/>
        <v>6.68</v>
      </c>
      <c r="R23" s="93">
        <f t="shared" si="7"/>
        <v>6.68</v>
      </c>
      <c r="S23" s="90">
        <v>8</v>
      </c>
      <c r="T23" s="293" t="s">
        <v>404</v>
      </c>
      <c r="U23" s="291" t="s">
        <v>66</v>
      </c>
      <c r="V23" s="292">
        <v>1</v>
      </c>
      <c r="W23" s="292">
        <v>0</v>
      </c>
      <c r="X23" s="292">
        <f t="shared" si="2"/>
        <v>1</v>
      </c>
      <c r="Y23" s="93">
        <f t="shared" si="3"/>
        <v>6.68</v>
      </c>
      <c r="Z23" s="93">
        <f t="shared" si="11"/>
        <v>6.68</v>
      </c>
      <c r="AB23" s="90">
        <v>8</v>
      </c>
      <c r="AC23" s="293" t="s">
        <v>404</v>
      </c>
      <c r="AD23" s="291" t="s">
        <v>66</v>
      </c>
      <c r="AE23" s="292">
        <v>1</v>
      </c>
      <c r="AF23" s="292">
        <v>0</v>
      </c>
      <c r="AG23" s="292">
        <f t="shared" si="4"/>
        <v>1</v>
      </c>
      <c r="AH23" s="93">
        <f t="shared" si="5"/>
        <v>7.35</v>
      </c>
      <c r="AI23" s="93">
        <f t="shared" si="12"/>
        <v>7.35</v>
      </c>
    </row>
    <row r="24" spans="1:35" s="101" customFormat="1" ht="18" customHeight="1" x14ac:dyDescent="0.2">
      <c r="A24" s="1317" t="s">
        <v>543</v>
      </c>
      <c r="B24" s="1318"/>
      <c r="C24" s="1318"/>
      <c r="D24" s="1318"/>
      <c r="E24" s="1318"/>
      <c r="F24" s="1318"/>
      <c r="G24" s="1319"/>
      <c r="H24" s="286">
        <f>SUM(H15:H23)</f>
        <v>507.97</v>
      </c>
      <c r="K24" s="1317" t="s">
        <v>569</v>
      </c>
      <c r="L24" s="1318"/>
      <c r="M24" s="1318"/>
      <c r="N24" s="1318"/>
      <c r="O24" s="1318"/>
      <c r="P24" s="1318"/>
      <c r="Q24" s="1319"/>
      <c r="R24" s="286">
        <f>SUM(R15:R23)</f>
        <v>557.14</v>
      </c>
      <c r="S24" s="1317" t="s">
        <v>570</v>
      </c>
      <c r="T24" s="1318"/>
      <c r="U24" s="1318"/>
      <c r="V24" s="1318"/>
      <c r="W24" s="1318"/>
      <c r="X24" s="1318"/>
      <c r="Y24" s="1319"/>
      <c r="Z24" s="286">
        <f>SUM(Z15:Z23)</f>
        <v>557.14</v>
      </c>
      <c r="AB24" s="1317" t="s">
        <v>543</v>
      </c>
      <c r="AC24" s="1318"/>
      <c r="AD24" s="1318"/>
      <c r="AE24" s="1318"/>
      <c r="AF24" s="1318"/>
      <c r="AG24" s="1318"/>
      <c r="AH24" s="1319"/>
      <c r="AI24" s="286">
        <f>SUM(AI15:AI23)</f>
        <v>613.20000000000005</v>
      </c>
    </row>
    <row r="25" spans="1:35" s="101" customFormat="1" ht="18" customHeight="1" x14ac:dyDescent="0.2">
      <c r="A25" s="1317" t="s">
        <v>390</v>
      </c>
      <c r="B25" s="1318"/>
      <c r="C25" s="1318"/>
      <c r="D25" s="1318"/>
      <c r="E25" s="1318"/>
      <c r="F25" s="1318"/>
      <c r="G25" s="1319"/>
      <c r="H25" s="286">
        <f>H24/12</f>
        <v>42.33</v>
      </c>
      <c r="K25" s="1317" t="s">
        <v>390</v>
      </c>
      <c r="L25" s="1318"/>
      <c r="M25" s="1318"/>
      <c r="N25" s="1318"/>
      <c r="O25" s="1318"/>
      <c r="P25" s="1318"/>
      <c r="Q25" s="1319"/>
      <c r="R25" s="286">
        <f>R24/12</f>
        <v>46.43</v>
      </c>
      <c r="S25" s="1317" t="s">
        <v>390</v>
      </c>
      <c r="T25" s="1318"/>
      <c r="U25" s="1318"/>
      <c r="V25" s="1318"/>
      <c r="W25" s="1318"/>
      <c r="X25" s="1318"/>
      <c r="Y25" s="1319"/>
      <c r="Z25" s="286">
        <f>Z24/12</f>
        <v>46.43</v>
      </c>
      <c r="AB25" s="1317" t="s">
        <v>390</v>
      </c>
      <c r="AC25" s="1318"/>
      <c r="AD25" s="1318"/>
      <c r="AE25" s="1318"/>
      <c r="AF25" s="1318"/>
      <c r="AG25" s="1318"/>
      <c r="AH25" s="1319"/>
      <c r="AI25" s="286">
        <f>AI24/12</f>
        <v>51.1</v>
      </c>
    </row>
    <row r="26" spans="1:35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35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35" s="98" customFormat="1" ht="14.25" x14ac:dyDescent="0.2">
      <c r="A28" s="288" t="s">
        <v>409</v>
      </c>
      <c r="B28" s="954"/>
      <c r="C28" s="954"/>
      <c r="D28" s="954"/>
      <c r="E28" s="954"/>
      <c r="F28" s="954"/>
      <c r="G28" s="954"/>
      <c r="H28" s="954"/>
      <c r="I28" s="87"/>
      <c r="J28" s="87"/>
      <c r="K28" s="288" t="s">
        <v>409</v>
      </c>
      <c r="S28" s="288" t="s">
        <v>409</v>
      </c>
      <c r="AB28" s="288" t="s">
        <v>409</v>
      </c>
    </row>
    <row r="29" spans="1:35" s="98" customFormat="1" ht="14.25" x14ac:dyDescent="0.2">
      <c r="A29" s="288" t="s">
        <v>407</v>
      </c>
      <c r="B29" s="954"/>
      <c r="C29" s="954"/>
      <c r="D29" s="954"/>
      <c r="E29" s="954"/>
      <c r="F29" s="954"/>
      <c r="G29" s="954"/>
      <c r="H29" s="954"/>
      <c r="I29" s="87"/>
      <c r="J29" s="87"/>
      <c r="K29" s="288" t="s">
        <v>407</v>
      </c>
      <c r="S29" s="288" t="s">
        <v>407</v>
      </c>
      <c r="AB29" s="288" t="s">
        <v>407</v>
      </c>
    </row>
    <row r="30" spans="1:35" s="98" customFormat="1" ht="18" customHeight="1" x14ac:dyDescent="0.2">
      <c r="A30" s="1323" t="s">
        <v>63</v>
      </c>
      <c r="B30" s="1324" t="s">
        <v>85</v>
      </c>
      <c r="C30" s="1322" t="s">
        <v>66</v>
      </c>
      <c r="D30" s="1322" t="s">
        <v>67</v>
      </c>
      <c r="E30" s="1322"/>
      <c r="F30" s="1322"/>
      <c r="G30" s="1322" t="s">
        <v>387</v>
      </c>
      <c r="H30" s="1322" t="s">
        <v>388</v>
      </c>
      <c r="I30" s="958"/>
      <c r="J30" s="958"/>
      <c r="K30" s="1323" t="s">
        <v>63</v>
      </c>
      <c r="L30" s="1324" t="s">
        <v>85</v>
      </c>
      <c r="M30" s="1322" t="s">
        <v>66</v>
      </c>
      <c r="N30" s="1322" t="s">
        <v>67</v>
      </c>
      <c r="O30" s="1322"/>
      <c r="P30" s="1322"/>
      <c r="Q30" s="1322" t="s">
        <v>387</v>
      </c>
      <c r="R30" s="1322" t="s">
        <v>388</v>
      </c>
      <c r="S30" s="1323" t="s">
        <v>63</v>
      </c>
      <c r="T30" s="1324" t="s">
        <v>85</v>
      </c>
      <c r="U30" s="1322" t="s">
        <v>66</v>
      </c>
      <c r="V30" s="1322" t="s">
        <v>67</v>
      </c>
      <c r="W30" s="1322"/>
      <c r="X30" s="1322"/>
      <c r="Y30" s="1322" t="s">
        <v>387</v>
      </c>
      <c r="Z30" s="1322" t="s">
        <v>388</v>
      </c>
      <c r="AB30" s="1323" t="s">
        <v>63</v>
      </c>
      <c r="AC30" s="1324" t="s">
        <v>85</v>
      </c>
      <c r="AD30" s="1322" t="s">
        <v>66</v>
      </c>
      <c r="AE30" s="1322" t="s">
        <v>67</v>
      </c>
      <c r="AF30" s="1322"/>
      <c r="AG30" s="1322"/>
      <c r="AH30" s="1322" t="s">
        <v>387</v>
      </c>
      <c r="AI30" s="1322" t="s">
        <v>388</v>
      </c>
    </row>
    <row r="31" spans="1:35" ht="28.5" customHeight="1" x14ac:dyDescent="0.2">
      <c r="A31" s="1323"/>
      <c r="B31" s="1325"/>
      <c r="C31" s="1322"/>
      <c r="D31" s="952" t="s">
        <v>70</v>
      </c>
      <c r="E31" s="952" t="s">
        <v>71</v>
      </c>
      <c r="F31" s="952" t="s">
        <v>574</v>
      </c>
      <c r="G31" s="1322"/>
      <c r="H31" s="1322"/>
      <c r="I31" s="958"/>
      <c r="J31" s="958"/>
      <c r="K31" s="1323"/>
      <c r="L31" s="1325"/>
      <c r="M31" s="1322"/>
      <c r="N31" s="952" t="s">
        <v>70</v>
      </c>
      <c r="O31" s="952" t="s">
        <v>71</v>
      </c>
      <c r="P31" s="952" t="s">
        <v>568</v>
      </c>
      <c r="Q31" s="1322"/>
      <c r="R31" s="1322"/>
      <c r="S31" s="1323"/>
      <c r="T31" s="1325"/>
      <c r="U31" s="1322"/>
      <c r="V31" s="952" t="s">
        <v>70</v>
      </c>
      <c r="W31" s="952" t="s">
        <v>71</v>
      </c>
      <c r="X31" s="952" t="s">
        <v>568</v>
      </c>
      <c r="Y31" s="1322"/>
      <c r="Z31" s="1322"/>
      <c r="AB31" s="1323"/>
      <c r="AC31" s="1325"/>
      <c r="AD31" s="1322"/>
      <c r="AE31" s="952" t="s">
        <v>70</v>
      </c>
      <c r="AF31" s="952" t="s">
        <v>71</v>
      </c>
      <c r="AG31" s="952" t="s">
        <v>541</v>
      </c>
      <c r="AH31" s="1322"/>
      <c r="AI31" s="1322"/>
    </row>
    <row r="32" spans="1:35" ht="18" customHeight="1" x14ac:dyDescent="0.2">
      <c r="A32" s="289">
        <v>1</v>
      </c>
      <c r="B32" s="290" t="s">
        <v>391</v>
      </c>
      <c r="C32" s="291" t="s">
        <v>66</v>
      </c>
      <c r="D32" s="292">
        <v>2</v>
      </c>
      <c r="E32" s="292">
        <v>2</v>
      </c>
      <c r="F32" s="292">
        <f>SUM(D32:E32)</f>
        <v>4</v>
      </c>
      <c r="G32" s="93">
        <f>J32*Dados!$I$61</f>
        <v>94.76</v>
      </c>
      <c r="H32" s="93">
        <f>G32*F32</f>
        <v>379.04</v>
      </c>
      <c r="I32" s="958"/>
      <c r="J32" s="263">
        <v>94.76</v>
      </c>
      <c r="K32" s="289">
        <v>1</v>
      </c>
      <c r="L32" s="290" t="s">
        <v>391</v>
      </c>
      <c r="M32" s="291" t="s">
        <v>66</v>
      </c>
      <c r="N32" s="292">
        <v>2</v>
      </c>
      <c r="O32" s="292">
        <v>2</v>
      </c>
      <c r="P32" s="292">
        <f>SUM(N32:O32)</f>
        <v>4</v>
      </c>
      <c r="Q32" s="93">
        <f>G32*1.096714</f>
        <v>103.92</v>
      </c>
      <c r="R32" s="93">
        <f>Q32*P32</f>
        <v>415.68</v>
      </c>
      <c r="S32" s="289">
        <v>1</v>
      </c>
      <c r="T32" s="290" t="s">
        <v>391</v>
      </c>
      <c r="U32" s="291" t="s">
        <v>66</v>
      </c>
      <c r="V32" s="292">
        <v>2</v>
      </c>
      <c r="W32" s="292">
        <v>2</v>
      </c>
      <c r="X32" s="292">
        <f>SUM(V32:W32)</f>
        <v>4</v>
      </c>
      <c r="Y32" s="876">
        <f>Q32</f>
        <v>103.92</v>
      </c>
      <c r="Z32" s="93">
        <f>X32*Y32</f>
        <v>415.68</v>
      </c>
      <c r="AB32" s="289">
        <v>1</v>
      </c>
      <c r="AC32" s="290" t="s">
        <v>391</v>
      </c>
      <c r="AD32" s="291" t="s">
        <v>66</v>
      </c>
      <c r="AE32" s="292">
        <v>2</v>
      </c>
      <c r="AF32" s="292">
        <v>2</v>
      </c>
      <c r="AG32" s="292">
        <f>SUM(AE32:AF32)</f>
        <v>4</v>
      </c>
      <c r="AH32" s="93">
        <f>Q32*1.100692</f>
        <v>114.38</v>
      </c>
      <c r="AI32" s="93">
        <f>AH32*AG32</f>
        <v>457.52</v>
      </c>
    </row>
    <row r="33" spans="1:35" ht="18" customHeight="1" x14ac:dyDescent="0.2">
      <c r="A33" s="289">
        <v>2</v>
      </c>
      <c r="B33" s="290" t="s">
        <v>166</v>
      </c>
      <c r="C33" s="291" t="s">
        <v>66</v>
      </c>
      <c r="D33" s="292">
        <v>4</v>
      </c>
      <c r="E33" s="292">
        <v>4</v>
      </c>
      <c r="F33" s="292">
        <f>SUM(D33:E33)</f>
        <v>8</v>
      </c>
      <c r="G33" s="93">
        <f>J33*Dados!$I$61</f>
        <v>25.55</v>
      </c>
      <c r="H33" s="93">
        <f t="shared" ref="H33:H35" si="13">G33*F33</f>
        <v>204.4</v>
      </c>
      <c r="I33" s="958"/>
      <c r="J33" s="263">
        <v>25.55</v>
      </c>
      <c r="K33" s="289">
        <v>2</v>
      </c>
      <c r="L33" s="290" t="s">
        <v>166</v>
      </c>
      <c r="M33" s="291" t="s">
        <v>66</v>
      </c>
      <c r="N33" s="292">
        <v>4</v>
      </c>
      <c r="O33" s="292">
        <v>4</v>
      </c>
      <c r="P33" s="292">
        <f>SUM(N33:O33)</f>
        <v>8</v>
      </c>
      <c r="Q33" s="93">
        <f>G33*1.096714</f>
        <v>28.02</v>
      </c>
      <c r="R33" s="93">
        <f t="shared" ref="R33:R35" si="14">Q33*P33</f>
        <v>224.16</v>
      </c>
      <c r="S33" s="289">
        <v>2</v>
      </c>
      <c r="T33" s="290" t="s">
        <v>166</v>
      </c>
      <c r="U33" s="291" t="s">
        <v>66</v>
      </c>
      <c r="V33" s="292">
        <v>4</v>
      </c>
      <c r="W33" s="292">
        <v>4</v>
      </c>
      <c r="X33" s="292">
        <f>SUM(V33:W33)</f>
        <v>8</v>
      </c>
      <c r="Y33" s="876">
        <f>Q33</f>
        <v>28.02</v>
      </c>
      <c r="Z33" s="93">
        <f t="shared" ref="Z33:Z35" si="15">X33*Y33</f>
        <v>224.16</v>
      </c>
      <c r="AB33" s="289">
        <v>2</v>
      </c>
      <c r="AC33" s="290" t="s">
        <v>166</v>
      </c>
      <c r="AD33" s="291" t="s">
        <v>66</v>
      </c>
      <c r="AE33" s="292">
        <v>4</v>
      </c>
      <c r="AF33" s="292">
        <v>4</v>
      </c>
      <c r="AG33" s="292">
        <f>SUM(AE33:AF33)</f>
        <v>8</v>
      </c>
      <c r="AH33" s="93">
        <f>Q33*1.100692</f>
        <v>30.84</v>
      </c>
      <c r="AI33" s="93">
        <f t="shared" ref="AI33:AI35" si="16">AH33*AG33</f>
        <v>246.72</v>
      </c>
    </row>
    <row r="34" spans="1:35" ht="18" customHeight="1" x14ac:dyDescent="0.2">
      <c r="A34" s="294">
        <v>3</v>
      </c>
      <c r="B34" s="290" t="s">
        <v>167</v>
      </c>
      <c r="C34" s="291" t="s">
        <v>73</v>
      </c>
      <c r="D34" s="292">
        <v>2</v>
      </c>
      <c r="E34" s="292">
        <v>2</v>
      </c>
      <c r="F34" s="292">
        <f>SUM(D34:E34)</f>
        <v>4</v>
      </c>
      <c r="G34" s="93">
        <f>J34*Dados!$I$61</f>
        <v>37.89</v>
      </c>
      <c r="H34" s="93">
        <f t="shared" si="13"/>
        <v>151.56</v>
      </c>
      <c r="I34" s="958"/>
      <c r="J34" s="263">
        <v>37.89</v>
      </c>
      <c r="K34" s="294">
        <v>3</v>
      </c>
      <c r="L34" s="290" t="s">
        <v>167</v>
      </c>
      <c r="M34" s="291" t="s">
        <v>73</v>
      </c>
      <c r="N34" s="292">
        <v>2</v>
      </c>
      <c r="O34" s="292">
        <v>2</v>
      </c>
      <c r="P34" s="292">
        <f>SUM(N34:O34)</f>
        <v>4</v>
      </c>
      <c r="Q34" s="93">
        <f>G34*1.096714</f>
        <v>41.55</v>
      </c>
      <c r="R34" s="93">
        <f t="shared" si="14"/>
        <v>166.2</v>
      </c>
      <c r="S34" s="294">
        <v>3</v>
      </c>
      <c r="T34" s="290" t="s">
        <v>167</v>
      </c>
      <c r="U34" s="291" t="s">
        <v>73</v>
      </c>
      <c r="V34" s="292">
        <v>2</v>
      </c>
      <c r="W34" s="292">
        <v>2</v>
      </c>
      <c r="X34" s="292">
        <f>SUM(V34:W34)</f>
        <v>4</v>
      </c>
      <c r="Y34" s="876">
        <f>Q34</f>
        <v>41.55</v>
      </c>
      <c r="Z34" s="93">
        <f t="shared" si="15"/>
        <v>166.2</v>
      </c>
      <c r="AB34" s="294">
        <v>3</v>
      </c>
      <c r="AC34" s="290" t="s">
        <v>167</v>
      </c>
      <c r="AD34" s="291" t="s">
        <v>73</v>
      </c>
      <c r="AE34" s="292">
        <v>2</v>
      </c>
      <c r="AF34" s="292">
        <v>2</v>
      </c>
      <c r="AG34" s="292">
        <f>SUM(AE34:AF34)</f>
        <v>4</v>
      </c>
      <c r="AH34" s="93">
        <f>Q34*1.100692</f>
        <v>45.73</v>
      </c>
      <c r="AI34" s="93">
        <f t="shared" si="16"/>
        <v>182.92</v>
      </c>
    </row>
    <row r="35" spans="1:35" ht="18" customHeight="1" x14ac:dyDescent="0.2">
      <c r="A35" s="294">
        <v>4</v>
      </c>
      <c r="B35" s="290" t="s">
        <v>165</v>
      </c>
      <c r="C35" s="291" t="s">
        <v>73</v>
      </c>
      <c r="D35" s="292">
        <v>4</v>
      </c>
      <c r="E35" s="292">
        <v>4</v>
      </c>
      <c r="F35" s="292">
        <f>SUM(D35:E35)</f>
        <v>8</v>
      </c>
      <c r="G35" s="93">
        <f>J35*Dados!$I$61</f>
        <v>0.88</v>
      </c>
      <c r="H35" s="93">
        <f t="shared" si="13"/>
        <v>7.04</v>
      </c>
      <c r="I35" s="958"/>
      <c r="J35" s="263">
        <v>0.88</v>
      </c>
      <c r="K35" s="294">
        <v>4</v>
      </c>
      <c r="L35" s="290" t="s">
        <v>165</v>
      </c>
      <c r="M35" s="291" t="s">
        <v>73</v>
      </c>
      <c r="N35" s="292">
        <v>4</v>
      </c>
      <c r="O35" s="292">
        <v>4</v>
      </c>
      <c r="P35" s="292">
        <f>SUM(N35:O35)</f>
        <v>8</v>
      </c>
      <c r="Q35" s="93">
        <f>G35*1.096714</f>
        <v>0.97</v>
      </c>
      <c r="R35" s="93">
        <f t="shared" si="14"/>
        <v>7.76</v>
      </c>
      <c r="S35" s="294">
        <v>4</v>
      </c>
      <c r="T35" s="290" t="s">
        <v>165</v>
      </c>
      <c r="U35" s="291" t="s">
        <v>73</v>
      </c>
      <c r="V35" s="292">
        <v>4</v>
      </c>
      <c r="W35" s="292">
        <v>4</v>
      </c>
      <c r="X35" s="292">
        <f>SUM(V35:W35)</f>
        <v>8</v>
      </c>
      <c r="Y35" s="876">
        <f>Q35</f>
        <v>0.97</v>
      </c>
      <c r="Z35" s="93">
        <f t="shared" si="15"/>
        <v>7.76</v>
      </c>
      <c r="AB35" s="294">
        <v>4</v>
      </c>
      <c r="AC35" s="290" t="s">
        <v>165</v>
      </c>
      <c r="AD35" s="291" t="s">
        <v>73</v>
      </c>
      <c r="AE35" s="292">
        <v>4</v>
      </c>
      <c r="AF35" s="292">
        <v>4</v>
      </c>
      <c r="AG35" s="292">
        <f>SUM(AE35:AF35)</f>
        <v>8</v>
      </c>
      <c r="AH35" s="93">
        <f>Q35*1.100692</f>
        <v>1.07</v>
      </c>
      <c r="AI35" s="93">
        <f t="shared" si="16"/>
        <v>8.56</v>
      </c>
    </row>
    <row r="36" spans="1:35" ht="18" customHeight="1" x14ac:dyDescent="0.2">
      <c r="A36" s="1317" t="s">
        <v>389</v>
      </c>
      <c r="B36" s="1318"/>
      <c r="C36" s="1318"/>
      <c r="D36" s="1318"/>
      <c r="E36" s="1318"/>
      <c r="F36" s="1318"/>
      <c r="G36" s="1319"/>
      <c r="H36" s="286">
        <f>SUM(H32:H35)</f>
        <v>742.04</v>
      </c>
      <c r="I36" s="101"/>
      <c r="J36" s="101"/>
      <c r="K36" s="1317" t="s">
        <v>389</v>
      </c>
      <c r="L36" s="1318"/>
      <c r="M36" s="1318"/>
      <c r="N36" s="1318"/>
      <c r="O36" s="1318"/>
      <c r="P36" s="1318"/>
      <c r="Q36" s="1319"/>
      <c r="R36" s="286">
        <f>SUM(R32:R35)</f>
        <v>813.8</v>
      </c>
      <c r="S36" s="1317" t="s">
        <v>389</v>
      </c>
      <c r="T36" s="1318"/>
      <c r="U36" s="1318"/>
      <c r="V36" s="1318"/>
      <c r="W36" s="1318"/>
      <c r="X36" s="1318"/>
      <c r="Y36" s="1319"/>
      <c r="Z36" s="286">
        <f>SUM(Z32:Z35)</f>
        <v>813.8</v>
      </c>
      <c r="AB36" s="1317" t="s">
        <v>389</v>
      </c>
      <c r="AC36" s="1318"/>
      <c r="AD36" s="1318"/>
      <c r="AE36" s="1318"/>
      <c r="AF36" s="1318"/>
      <c r="AG36" s="1318"/>
      <c r="AH36" s="1319"/>
      <c r="AI36" s="286">
        <f>SUM(AI32:AI35)</f>
        <v>895.72</v>
      </c>
    </row>
    <row r="37" spans="1:35" ht="18" customHeight="1" x14ac:dyDescent="0.2">
      <c r="A37" s="1317" t="s">
        <v>390</v>
      </c>
      <c r="B37" s="1318"/>
      <c r="C37" s="1318"/>
      <c r="D37" s="1318"/>
      <c r="E37" s="1318"/>
      <c r="F37" s="1318"/>
      <c r="G37" s="1319"/>
      <c r="H37" s="286">
        <f>H36/12</f>
        <v>61.84</v>
      </c>
      <c r="I37" s="101"/>
      <c r="J37" s="101"/>
      <c r="K37" s="1317" t="s">
        <v>390</v>
      </c>
      <c r="L37" s="1318"/>
      <c r="M37" s="1318"/>
      <c r="N37" s="1318"/>
      <c r="O37" s="1318"/>
      <c r="P37" s="1318"/>
      <c r="Q37" s="1319"/>
      <c r="R37" s="286">
        <f>R36/12</f>
        <v>67.819999999999993</v>
      </c>
      <c r="S37" s="1317" t="s">
        <v>390</v>
      </c>
      <c r="T37" s="1318"/>
      <c r="U37" s="1318"/>
      <c r="V37" s="1318"/>
      <c r="W37" s="1318"/>
      <c r="X37" s="1318"/>
      <c r="Y37" s="1319"/>
      <c r="Z37" s="286">
        <f>Z36/12</f>
        <v>67.819999999999993</v>
      </c>
      <c r="AB37" s="1317" t="s">
        <v>390</v>
      </c>
      <c r="AC37" s="1318"/>
      <c r="AD37" s="1318"/>
      <c r="AE37" s="1318"/>
      <c r="AF37" s="1318"/>
      <c r="AG37" s="1318"/>
      <c r="AH37" s="1319"/>
      <c r="AI37" s="286">
        <f>AI36/12</f>
        <v>74.64</v>
      </c>
    </row>
    <row r="38" spans="1:35" ht="14.25" x14ac:dyDescent="0.2">
      <c r="A38" s="288" t="s">
        <v>408</v>
      </c>
      <c r="B38" s="954"/>
      <c r="C38" s="954"/>
      <c r="D38" s="954"/>
      <c r="E38" s="954"/>
      <c r="F38" s="954"/>
      <c r="G38" s="954"/>
      <c r="H38" s="954"/>
      <c r="K38" s="288" t="s">
        <v>408</v>
      </c>
      <c r="L38" s="954"/>
      <c r="M38" s="954"/>
      <c r="N38" s="954"/>
      <c r="O38" s="954"/>
      <c r="P38" s="954"/>
      <c r="Q38" s="954"/>
      <c r="R38" s="954"/>
      <c r="S38" s="288" t="s">
        <v>408</v>
      </c>
      <c r="T38" s="954"/>
      <c r="U38" s="954"/>
      <c r="V38" s="954"/>
      <c r="W38" s="954"/>
      <c r="X38" s="954"/>
      <c r="Y38" s="954"/>
      <c r="Z38" s="954"/>
      <c r="AB38" s="288" t="s">
        <v>408</v>
      </c>
      <c r="AC38" s="954"/>
      <c r="AD38" s="954"/>
      <c r="AE38" s="954"/>
      <c r="AF38" s="954"/>
      <c r="AG38" s="954"/>
      <c r="AH38" s="954"/>
      <c r="AI38" s="954"/>
    </row>
    <row r="39" spans="1:35" ht="19.899999999999999" customHeight="1" x14ac:dyDescent="0.2">
      <c r="A39" s="1323" t="s">
        <v>63</v>
      </c>
      <c r="B39" s="1324" t="s">
        <v>85</v>
      </c>
      <c r="C39" s="1322" t="s">
        <v>66</v>
      </c>
      <c r="D39" s="1322" t="s">
        <v>67</v>
      </c>
      <c r="E39" s="1322"/>
      <c r="F39" s="1322"/>
      <c r="G39" s="1322" t="s">
        <v>387</v>
      </c>
      <c r="H39" s="1322" t="s">
        <v>388</v>
      </c>
      <c r="I39" s="958"/>
      <c r="J39" s="958"/>
      <c r="K39" s="1323" t="s">
        <v>63</v>
      </c>
      <c r="L39" s="1324" t="s">
        <v>85</v>
      </c>
      <c r="M39" s="1322" t="s">
        <v>66</v>
      </c>
      <c r="N39" s="1322" t="s">
        <v>67</v>
      </c>
      <c r="O39" s="1322"/>
      <c r="P39" s="1322"/>
      <c r="Q39" s="1322" t="s">
        <v>387</v>
      </c>
      <c r="R39" s="1332" t="s">
        <v>388</v>
      </c>
      <c r="S39" s="1323" t="s">
        <v>63</v>
      </c>
      <c r="T39" s="1324" t="s">
        <v>85</v>
      </c>
      <c r="U39" s="1322" t="s">
        <v>66</v>
      </c>
      <c r="V39" s="1322" t="s">
        <v>67</v>
      </c>
      <c r="W39" s="1322"/>
      <c r="X39" s="1322"/>
      <c r="Y39" s="1322" t="s">
        <v>387</v>
      </c>
      <c r="Z39" s="1332" t="s">
        <v>388</v>
      </c>
      <c r="AB39" s="1323" t="s">
        <v>63</v>
      </c>
      <c r="AC39" s="1324" t="s">
        <v>85</v>
      </c>
      <c r="AD39" s="1322" t="s">
        <v>66</v>
      </c>
      <c r="AE39" s="1322" t="s">
        <v>67</v>
      </c>
      <c r="AF39" s="1322"/>
      <c r="AG39" s="1322"/>
      <c r="AH39" s="1322" t="s">
        <v>387</v>
      </c>
      <c r="AI39" s="1332" t="s">
        <v>388</v>
      </c>
    </row>
    <row r="40" spans="1:35" ht="25.9" customHeight="1" x14ac:dyDescent="0.2">
      <c r="A40" s="1323"/>
      <c r="B40" s="1325"/>
      <c r="C40" s="1322"/>
      <c r="D40" s="952" t="s">
        <v>70</v>
      </c>
      <c r="E40" s="952" t="s">
        <v>71</v>
      </c>
      <c r="F40" s="952" t="s">
        <v>568</v>
      </c>
      <c r="G40" s="1322"/>
      <c r="H40" s="1322"/>
      <c r="I40" s="958"/>
      <c r="J40" s="958"/>
      <c r="K40" s="1323"/>
      <c r="L40" s="1325"/>
      <c r="M40" s="1322"/>
      <c r="N40" s="952" t="s">
        <v>70</v>
      </c>
      <c r="O40" s="952" t="s">
        <v>71</v>
      </c>
      <c r="P40" s="952" t="s">
        <v>568</v>
      </c>
      <c r="Q40" s="1322"/>
      <c r="R40" s="1333"/>
      <c r="S40" s="1323"/>
      <c r="T40" s="1325"/>
      <c r="U40" s="1322"/>
      <c r="V40" s="952" t="s">
        <v>70</v>
      </c>
      <c r="W40" s="952" t="s">
        <v>71</v>
      </c>
      <c r="X40" s="952" t="s">
        <v>541</v>
      </c>
      <c r="Y40" s="1322"/>
      <c r="Z40" s="1333"/>
      <c r="AB40" s="1323"/>
      <c r="AC40" s="1325"/>
      <c r="AD40" s="1322"/>
      <c r="AE40" s="952" t="s">
        <v>70</v>
      </c>
      <c r="AF40" s="952" t="s">
        <v>71</v>
      </c>
      <c r="AG40" s="952" t="s">
        <v>541</v>
      </c>
      <c r="AH40" s="1322"/>
      <c r="AI40" s="1333"/>
    </row>
    <row r="41" spans="1:35" ht="23.45" customHeight="1" x14ac:dyDescent="0.2">
      <c r="A41" s="289">
        <v>1</v>
      </c>
      <c r="B41" s="290" t="s">
        <v>411</v>
      </c>
      <c r="C41" s="291" t="s">
        <v>66</v>
      </c>
      <c r="D41" s="292">
        <v>2</v>
      </c>
      <c r="E41" s="292">
        <v>2</v>
      </c>
      <c r="F41" s="292">
        <f>SUM(D41:E41)</f>
        <v>4</v>
      </c>
      <c r="G41" s="93">
        <f>J41*Dados!$I$61</f>
        <v>32.119999999999997</v>
      </c>
      <c r="H41" s="93">
        <f>G41*F41</f>
        <v>128.47999999999999</v>
      </c>
      <c r="I41" s="958"/>
      <c r="J41" s="263">
        <v>32.119999999999997</v>
      </c>
      <c r="K41" s="289">
        <v>1</v>
      </c>
      <c r="L41" s="290" t="s">
        <v>411</v>
      </c>
      <c r="M41" s="291" t="s">
        <v>66</v>
      </c>
      <c r="N41" s="292">
        <v>2</v>
      </c>
      <c r="O41" s="292">
        <v>2</v>
      </c>
      <c r="P41" s="292">
        <f>SUM(N41:O41)</f>
        <v>4</v>
      </c>
      <c r="Q41" s="93">
        <f>G41*1.096714</f>
        <v>35.229999999999997</v>
      </c>
      <c r="R41" s="93">
        <f>Q41*P41</f>
        <v>140.91999999999999</v>
      </c>
      <c r="S41" s="289">
        <v>1</v>
      </c>
      <c r="T41" s="290" t="s">
        <v>411</v>
      </c>
      <c r="U41" s="291" t="s">
        <v>66</v>
      </c>
      <c r="V41" s="292">
        <v>2</v>
      </c>
      <c r="W41" s="292">
        <v>2</v>
      </c>
      <c r="X41" s="292">
        <f>SUM(V41:W41)</f>
        <v>4</v>
      </c>
      <c r="Y41" s="93">
        <f>Q41</f>
        <v>35.229999999999997</v>
      </c>
      <c r="Z41" s="93">
        <f>Y41*X41</f>
        <v>140.91999999999999</v>
      </c>
      <c r="AB41" s="289">
        <v>1</v>
      </c>
      <c r="AC41" s="290" t="s">
        <v>411</v>
      </c>
      <c r="AD41" s="291" t="s">
        <v>66</v>
      </c>
      <c r="AE41" s="292">
        <v>2</v>
      </c>
      <c r="AF41" s="292">
        <v>2</v>
      </c>
      <c r="AG41" s="292">
        <f>SUM(AE41:AF41)</f>
        <v>4</v>
      </c>
      <c r="AH41" s="93">
        <f>Q41*1.100692</f>
        <v>38.78</v>
      </c>
      <c r="AI41" s="93">
        <f>AH41*AG41</f>
        <v>155.12</v>
      </c>
    </row>
    <row r="42" spans="1:35" ht="28.5" x14ac:dyDescent="0.2">
      <c r="A42" s="289">
        <v>2</v>
      </c>
      <c r="B42" s="270" t="s">
        <v>412</v>
      </c>
      <c r="C42" s="291" t="s">
        <v>66</v>
      </c>
      <c r="D42" s="292">
        <v>2</v>
      </c>
      <c r="E42" s="292">
        <v>2</v>
      </c>
      <c r="F42" s="292">
        <f>SUM(D42:E42)</f>
        <v>4</v>
      </c>
      <c r="G42" s="93">
        <f>J42*Dados!$I$61</f>
        <v>75.19</v>
      </c>
      <c r="H42" s="93">
        <f t="shared" ref="H42:H45" si="17">G42*F42</f>
        <v>300.76</v>
      </c>
      <c r="I42" s="958"/>
      <c r="J42" s="263">
        <v>75.19</v>
      </c>
      <c r="K42" s="289">
        <v>2</v>
      </c>
      <c r="L42" s="270" t="s">
        <v>412</v>
      </c>
      <c r="M42" s="291" t="s">
        <v>66</v>
      </c>
      <c r="N42" s="292">
        <v>2</v>
      </c>
      <c r="O42" s="292">
        <v>2</v>
      </c>
      <c r="P42" s="292">
        <f>SUM(N42:O42)</f>
        <v>4</v>
      </c>
      <c r="Q42" s="93">
        <f>G42*1.096714</f>
        <v>82.46</v>
      </c>
      <c r="R42" s="93">
        <f t="shared" ref="R42:R45" si="18">Q42*P42</f>
        <v>329.84</v>
      </c>
      <c r="S42" s="289">
        <v>2</v>
      </c>
      <c r="T42" s="270" t="s">
        <v>412</v>
      </c>
      <c r="U42" s="291" t="s">
        <v>66</v>
      </c>
      <c r="V42" s="292">
        <v>2</v>
      </c>
      <c r="W42" s="292">
        <v>2</v>
      </c>
      <c r="X42" s="292">
        <f>SUM(V42:W42)</f>
        <v>4</v>
      </c>
      <c r="Y42" s="93">
        <f>Q42</f>
        <v>82.46</v>
      </c>
      <c r="Z42" s="93">
        <f t="shared" ref="Z42:Z45" si="19">Y42*X42</f>
        <v>329.84</v>
      </c>
      <c r="AB42" s="289">
        <v>2</v>
      </c>
      <c r="AC42" s="270" t="s">
        <v>412</v>
      </c>
      <c r="AD42" s="291" t="s">
        <v>66</v>
      </c>
      <c r="AE42" s="292">
        <v>2</v>
      </c>
      <c r="AF42" s="292">
        <v>2</v>
      </c>
      <c r="AG42" s="292">
        <f>SUM(AE42:AF42)</f>
        <v>4</v>
      </c>
      <c r="AH42" s="93">
        <f>Q42*1.100692</f>
        <v>90.76</v>
      </c>
      <c r="AI42" s="93">
        <f t="shared" ref="AI42:AI45" si="20">AH42*AG42</f>
        <v>363.04</v>
      </c>
    </row>
    <row r="43" spans="1:35" ht="18" customHeight="1" x14ac:dyDescent="0.2">
      <c r="A43" s="294">
        <v>3</v>
      </c>
      <c r="B43" s="290" t="s">
        <v>413</v>
      </c>
      <c r="C43" s="291" t="s">
        <v>66</v>
      </c>
      <c r="D43" s="292">
        <v>4</v>
      </c>
      <c r="E43" s="292">
        <v>4</v>
      </c>
      <c r="F43" s="292">
        <f>SUM(D43:E43)</f>
        <v>8</v>
      </c>
      <c r="G43" s="93">
        <f>J43*Dados!$I$61</f>
        <v>35.409999999999997</v>
      </c>
      <c r="H43" s="93">
        <f t="shared" si="17"/>
        <v>283.27999999999997</v>
      </c>
      <c r="I43" s="958"/>
      <c r="J43" s="263">
        <v>35.409999999999997</v>
      </c>
      <c r="K43" s="294">
        <v>3</v>
      </c>
      <c r="L43" s="290" t="s">
        <v>413</v>
      </c>
      <c r="M43" s="291" t="s">
        <v>66</v>
      </c>
      <c r="N43" s="292">
        <v>4</v>
      </c>
      <c r="O43" s="292">
        <v>4</v>
      </c>
      <c r="P43" s="292">
        <f>SUM(N43:O43)</f>
        <v>8</v>
      </c>
      <c r="Q43" s="93">
        <f>G43*1.096714</f>
        <v>38.83</v>
      </c>
      <c r="R43" s="93">
        <f t="shared" si="18"/>
        <v>310.64</v>
      </c>
      <c r="S43" s="294">
        <v>3</v>
      </c>
      <c r="T43" s="290" t="s">
        <v>413</v>
      </c>
      <c r="U43" s="291" t="s">
        <v>66</v>
      </c>
      <c r="V43" s="292">
        <v>4</v>
      </c>
      <c r="W43" s="292">
        <v>4</v>
      </c>
      <c r="X43" s="292">
        <f>SUM(V43:W43)</f>
        <v>8</v>
      </c>
      <c r="Y43" s="93">
        <f>Q43</f>
        <v>38.83</v>
      </c>
      <c r="Z43" s="93">
        <f t="shared" si="19"/>
        <v>310.64</v>
      </c>
      <c r="AB43" s="294">
        <v>3</v>
      </c>
      <c r="AC43" s="290" t="s">
        <v>413</v>
      </c>
      <c r="AD43" s="291" t="s">
        <v>66</v>
      </c>
      <c r="AE43" s="292">
        <v>4</v>
      </c>
      <c r="AF43" s="292">
        <v>4</v>
      </c>
      <c r="AG43" s="292">
        <f>SUM(AE43:AF43)</f>
        <v>8</v>
      </c>
      <c r="AH43" s="93">
        <f>Q43*1.100692</f>
        <v>42.74</v>
      </c>
      <c r="AI43" s="93">
        <f t="shared" si="20"/>
        <v>341.92</v>
      </c>
    </row>
    <row r="44" spans="1:35" ht="18" customHeight="1" x14ac:dyDescent="0.2">
      <c r="A44" s="294">
        <v>4</v>
      </c>
      <c r="B44" s="290" t="s">
        <v>414</v>
      </c>
      <c r="C44" s="291" t="s">
        <v>73</v>
      </c>
      <c r="D44" s="292">
        <v>2</v>
      </c>
      <c r="E44" s="292">
        <v>2</v>
      </c>
      <c r="F44" s="292">
        <f>SUM(D44:E44)</f>
        <v>4</v>
      </c>
      <c r="G44" s="93">
        <f>J44*Dados!$I$61</f>
        <v>29.2</v>
      </c>
      <c r="H44" s="93">
        <f t="shared" si="17"/>
        <v>116.8</v>
      </c>
      <c r="I44" s="958"/>
      <c r="J44" s="263">
        <v>29.2</v>
      </c>
      <c r="K44" s="294">
        <v>4</v>
      </c>
      <c r="L44" s="290" t="s">
        <v>414</v>
      </c>
      <c r="M44" s="291" t="s">
        <v>73</v>
      </c>
      <c r="N44" s="292">
        <v>2</v>
      </c>
      <c r="O44" s="292">
        <v>2</v>
      </c>
      <c r="P44" s="292">
        <f>SUM(N44:O44)</f>
        <v>4</v>
      </c>
      <c r="Q44" s="93">
        <f>G44*1.096714</f>
        <v>32.020000000000003</v>
      </c>
      <c r="R44" s="93">
        <f t="shared" si="18"/>
        <v>128.08000000000001</v>
      </c>
      <c r="S44" s="294">
        <v>4</v>
      </c>
      <c r="T44" s="290" t="s">
        <v>414</v>
      </c>
      <c r="U44" s="291" t="s">
        <v>73</v>
      </c>
      <c r="V44" s="292">
        <v>2</v>
      </c>
      <c r="W44" s="292">
        <v>2</v>
      </c>
      <c r="X44" s="292">
        <f>SUM(V44:W44)</f>
        <v>4</v>
      </c>
      <c r="Y44" s="93">
        <f>Q44</f>
        <v>32.020000000000003</v>
      </c>
      <c r="Z44" s="93">
        <f t="shared" si="19"/>
        <v>128.08000000000001</v>
      </c>
      <c r="AB44" s="294">
        <v>4</v>
      </c>
      <c r="AC44" s="290" t="s">
        <v>414</v>
      </c>
      <c r="AD44" s="291" t="s">
        <v>73</v>
      </c>
      <c r="AE44" s="292">
        <v>2</v>
      </c>
      <c r="AF44" s="292">
        <v>2</v>
      </c>
      <c r="AG44" s="292">
        <f>SUM(AE44:AF44)</f>
        <v>4</v>
      </c>
      <c r="AH44" s="93">
        <f>Q44*1.100692</f>
        <v>35.24</v>
      </c>
      <c r="AI44" s="93">
        <f t="shared" si="20"/>
        <v>140.96</v>
      </c>
    </row>
    <row r="45" spans="1:35" ht="30.6" customHeight="1" x14ac:dyDescent="0.2">
      <c r="A45" s="289">
        <v>5</v>
      </c>
      <c r="B45" s="290" t="s">
        <v>392</v>
      </c>
      <c r="C45" s="291" t="s">
        <v>73</v>
      </c>
      <c r="D45" s="292">
        <v>4</v>
      </c>
      <c r="E45" s="292">
        <v>4</v>
      </c>
      <c r="F45" s="292">
        <f>SUM(D45:E45)</f>
        <v>8</v>
      </c>
      <c r="G45" s="93">
        <f>J45*Dados!$I$61</f>
        <v>6.21</v>
      </c>
      <c r="H45" s="93">
        <f t="shared" si="17"/>
        <v>49.68</v>
      </c>
      <c r="I45" s="958"/>
      <c r="J45" s="263">
        <v>6.21</v>
      </c>
      <c r="K45" s="289">
        <v>5</v>
      </c>
      <c r="L45" s="290" t="s">
        <v>392</v>
      </c>
      <c r="M45" s="291" t="s">
        <v>73</v>
      </c>
      <c r="N45" s="292">
        <v>4</v>
      </c>
      <c r="O45" s="292">
        <v>4</v>
      </c>
      <c r="P45" s="292">
        <f>SUM(N45:O45)</f>
        <v>8</v>
      </c>
      <c r="Q45" s="93">
        <f>G45*1.096714</f>
        <v>6.81</v>
      </c>
      <c r="R45" s="93">
        <f t="shared" si="18"/>
        <v>54.48</v>
      </c>
      <c r="S45" s="289">
        <v>5</v>
      </c>
      <c r="T45" s="290" t="s">
        <v>392</v>
      </c>
      <c r="U45" s="291" t="s">
        <v>73</v>
      </c>
      <c r="V45" s="292">
        <v>4</v>
      </c>
      <c r="W45" s="292">
        <v>4</v>
      </c>
      <c r="X45" s="292">
        <f>SUM(V45:W45)</f>
        <v>8</v>
      </c>
      <c r="Y45" s="93">
        <f>Q45</f>
        <v>6.81</v>
      </c>
      <c r="Z45" s="93">
        <f t="shared" si="19"/>
        <v>54.48</v>
      </c>
      <c r="AB45" s="289">
        <v>5</v>
      </c>
      <c r="AC45" s="290" t="s">
        <v>392</v>
      </c>
      <c r="AD45" s="291" t="s">
        <v>73</v>
      </c>
      <c r="AE45" s="292">
        <v>4</v>
      </c>
      <c r="AF45" s="292">
        <v>4</v>
      </c>
      <c r="AG45" s="292">
        <f>SUM(AE45:AF45)</f>
        <v>8</v>
      </c>
      <c r="AH45" s="93">
        <f>Q45*1.100692</f>
        <v>7.5</v>
      </c>
      <c r="AI45" s="93">
        <f t="shared" si="20"/>
        <v>60</v>
      </c>
    </row>
    <row r="46" spans="1:35" ht="18" customHeight="1" x14ac:dyDescent="0.2">
      <c r="A46" s="1317" t="s">
        <v>389</v>
      </c>
      <c r="B46" s="1318"/>
      <c r="C46" s="1318"/>
      <c r="D46" s="1318"/>
      <c r="E46" s="1318"/>
      <c r="F46" s="1318"/>
      <c r="G46" s="1319"/>
      <c r="H46" s="286">
        <f>SUM(H41:H45)</f>
        <v>879</v>
      </c>
      <c r="I46" s="101"/>
      <c r="J46" s="101"/>
      <c r="K46" s="1317" t="s">
        <v>389</v>
      </c>
      <c r="L46" s="1318"/>
      <c r="M46" s="1318"/>
      <c r="N46" s="1318"/>
      <c r="O46" s="1318"/>
      <c r="P46" s="1318"/>
      <c r="Q46" s="1319"/>
      <c r="R46" s="286">
        <f>SUM(R41:R45)</f>
        <v>963.96</v>
      </c>
      <c r="S46" s="1317" t="s">
        <v>389</v>
      </c>
      <c r="T46" s="1318"/>
      <c r="U46" s="1318"/>
      <c r="V46" s="1318"/>
      <c r="W46" s="1318"/>
      <c r="X46" s="1318"/>
      <c r="Y46" s="1319"/>
      <c r="Z46" s="286">
        <f>SUM(Z41:Z45)</f>
        <v>963.96</v>
      </c>
      <c r="AB46" s="1317" t="s">
        <v>389</v>
      </c>
      <c r="AC46" s="1318"/>
      <c r="AD46" s="1318"/>
      <c r="AE46" s="1318"/>
      <c r="AF46" s="1318"/>
      <c r="AG46" s="1318"/>
      <c r="AH46" s="1319"/>
      <c r="AI46" s="286">
        <f>SUM(AI41:AI45)</f>
        <v>1061.04</v>
      </c>
    </row>
    <row r="47" spans="1:35" ht="18" customHeight="1" x14ac:dyDescent="0.2">
      <c r="A47" s="1317" t="s">
        <v>390</v>
      </c>
      <c r="B47" s="1318"/>
      <c r="C47" s="1318"/>
      <c r="D47" s="1318"/>
      <c r="E47" s="1318"/>
      <c r="F47" s="1318"/>
      <c r="G47" s="1319"/>
      <c r="H47" s="286">
        <f>H46/12</f>
        <v>73.25</v>
      </c>
      <c r="I47" s="101"/>
      <c r="J47" s="101"/>
      <c r="K47" s="1317" t="s">
        <v>390</v>
      </c>
      <c r="L47" s="1318"/>
      <c r="M47" s="1318"/>
      <c r="N47" s="1318"/>
      <c r="O47" s="1318"/>
      <c r="P47" s="1318"/>
      <c r="Q47" s="1319"/>
      <c r="R47" s="286">
        <f>R46/12</f>
        <v>80.33</v>
      </c>
      <c r="S47" s="1317" t="s">
        <v>390</v>
      </c>
      <c r="T47" s="1318"/>
      <c r="U47" s="1318"/>
      <c r="V47" s="1318"/>
      <c r="W47" s="1318"/>
      <c r="X47" s="1318"/>
      <c r="Y47" s="1319"/>
      <c r="Z47" s="286">
        <f>Z46/12</f>
        <v>80.33</v>
      </c>
      <c r="AB47" s="1317" t="s">
        <v>390</v>
      </c>
      <c r="AC47" s="1318"/>
      <c r="AD47" s="1318"/>
      <c r="AE47" s="1318"/>
      <c r="AF47" s="1318"/>
      <c r="AG47" s="1318"/>
      <c r="AH47" s="1319"/>
      <c r="AI47" s="286">
        <f>AI46/12</f>
        <v>88.42</v>
      </c>
    </row>
    <row r="49" spans="5:34" ht="16.149999999999999" customHeight="1" x14ac:dyDescent="0.2">
      <c r="E49" s="1329" t="s">
        <v>365</v>
      </c>
      <c r="F49" s="1329"/>
      <c r="G49" s="955" t="s">
        <v>254</v>
      </c>
      <c r="H49" s="955" t="s">
        <v>393</v>
      </c>
    </row>
    <row r="50" spans="5:34" ht="24" customHeight="1" x14ac:dyDescent="0.2">
      <c r="E50" s="1329" t="s">
        <v>396</v>
      </c>
      <c r="F50" s="1329"/>
      <c r="G50" s="273">
        <v>0.95</v>
      </c>
      <c r="H50" s="950">
        <f>H37*G50</f>
        <v>58.75</v>
      </c>
      <c r="N50" s="1330" t="s">
        <v>365</v>
      </c>
      <c r="O50" s="1331"/>
      <c r="P50" s="955" t="s">
        <v>254</v>
      </c>
      <c r="Q50" s="952" t="s">
        <v>393</v>
      </c>
      <c r="V50" s="1330" t="s">
        <v>365</v>
      </c>
      <c r="W50" s="1331"/>
      <c r="X50" s="955" t="s">
        <v>254</v>
      </c>
      <c r="Y50" s="955" t="s">
        <v>393</v>
      </c>
      <c r="AE50" s="1330" t="s">
        <v>365</v>
      </c>
      <c r="AF50" s="1331"/>
      <c r="AG50" s="955" t="s">
        <v>254</v>
      </c>
      <c r="AH50" s="955" t="s">
        <v>393</v>
      </c>
    </row>
    <row r="51" spans="5:34" ht="18" customHeight="1" x14ac:dyDescent="0.2">
      <c r="E51" s="1329" t="s">
        <v>395</v>
      </c>
      <c r="F51" s="1329"/>
      <c r="G51" s="273">
        <v>0.05</v>
      </c>
      <c r="H51" s="950">
        <f>H47*G51</f>
        <v>3.66</v>
      </c>
      <c r="N51" s="1330" t="s">
        <v>396</v>
      </c>
      <c r="O51" s="1331"/>
      <c r="P51" s="273">
        <v>0.95</v>
      </c>
      <c r="Q51" s="1005">
        <f>P51*R37</f>
        <v>64.430000000000007</v>
      </c>
      <c r="V51" s="1330" t="s">
        <v>396</v>
      </c>
      <c r="W51" s="1331"/>
      <c r="X51" s="273">
        <v>0.95</v>
      </c>
      <c r="Y51" s="1005">
        <f>X51*Z37</f>
        <v>64.430000000000007</v>
      </c>
      <c r="AE51" s="1330" t="s">
        <v>396</v>
      </c>
      <c r="AF51" s="1331"/>
      <c r="AG51" s="273">
        <v>0.95</v>
      </c>
      <c r="AH51" s="1005">
        <f>AG51*AI37</f>
        <v>70.91</v>
      </c>
    </row>
    <row r="52" spans="5:34" ht="18" customHeight="1" x14ac:dyDescent="0.2">
      <c r="E52" s="1329" t="s">
        <v>394</v>
      </c>
      <c r="F52" s="1329"/>
      <c r="G52" s="272">
        <f>SUM(G50:G51)</f>
        <v>1</v>
      </c>
      <c r="H52" s="271">
        <f>SUM(H50:H51)</f>
        <v>62.41</v>
      </c>
      <c r="N52" s="1330" t="s">
        <v>395</v>
      </c>
      <c r="O52" s="1331"/>
      <c r="P52" s="273">
        <v>0.05</v>
      </c>
      <c r="Q52" s="950">
        <f>P52*R47</f>
        <v>4.0199999999999996</v>
      </c>
      <c r="V52" s="1330" t="s">
        <v>395</v>
      </c>
      <c r="W52" s="1331"/>
      <c r="X52" s="273">
        <v>0.05</v>
      </c>
      <c r="Y52" s="950">
        <f>X52*Z47</f>
        <v>4.0199999999999996</v>
      </c>
      <c r="AE52" s="1330" t="s">
        <v>395</v>
      </c>
      <c r="AF52" s="1331"/>
      <c r="AG52" s="273">
        <v>0.05</v>
      </c>
      <c r="AH52" s="950">
        <f>AG52*AI47</f>
        <v>4.42</v>
      </c>
    </row>
    <row r="53" spans="5:34" ht="25.9" customHeight="1" x14ac:dyDescent="0.2">
      <c r="N53" s="1330" t="s">
        <v>394</v>
      </c>
      <c r="O53" s="1331"/>
      <c r="P53" s="272">
        <f>SUM(P51:P52)</f>
        <v>1</v>
      </c>
      <c r="Q53" s="271">
        <f>SUM(Q51:Q52)</f>
        <v>68.45</v>
      </c>
      <c r="V53" s="1330" t="s">
        <v>394</v>
      </c>
      <c r="W53" s="1331"/>
      <c r="X53" s="272">
        <f>SUM(X51:X52)</f>
        <v>1</v>
      </c>
      <c r="Y53" s="271">
        <f>SUM(Y51:Y52)</f>
        <v>68.45</v>
      </c>
      <c r="AE53" s="1330" t="s">
        <v>394</v>
      </c>
      <c r="AF53" s="1331"/>
      <c r="AG53" s="272">
        <f>SUM(AG51:AG52)</f>
        <v>1</v>
      </c>
      <c r="AH53" s="271">
        <f>SUM(AH51:AH52)</f>
        <v>75.33</v>
      </c>
    </row>
  </sheetData>
  <mergeCells count="136">
    <mergeCell ref="AE51:AF51"/>
    <mergeCell ref="AE52:AF52"/>
    <mergeCell ref="AE53:AF53"/>
    <mergeCell ref="V53:W53"/>
    <mergeCell ref="S46:Y46"/>
    <mergeCell ref="S47:Y47"/>
    <mergeCell ref="V50:W50"/>
    <mergeCell ref="V51:W51"/>
    <mergeCell ref="V52:W52"/>
    <mergeCell ref="S36:Y36"/>
    <mergeCell ref="S37:Y37"/>
    <mergeCell ref="S39:S40"/>
    <mergeCell ref="T39:T40"/>
    <mergeCell ref="U39:U40"/>
    <mergeCell ref="V39:X39"/>
    <mergeCell ref="Y39:Y40"/>
    <mergeCell ref="Z39:Z40"/>
    <mergeCell ref="AE50:AF50"/>
    <mergeCell ref="S17:S18"/>
    <mergeCell ref="S24:Y24"/>
    <mergeCell ref="S25:Y25"/>
    <mergeCell ref="S30:S31"/>
    <mergeCell ref="T30:T31"/>
    <mergeCell ref="U30:U31"/>
    <mergeCell ref="V30:X30"/>
    <mergeCell ref="Y30:Y31"/>
    <mergeCell ref="S8:Z8"/>
    <mergeCell ref="S9:Z9"/>
    <mergeCell ref="S10:Z10"/>
    <mergeCell ref="S13:S14"/>
    <mergeCell ref="T13:T14"/>
    <mergeCell ref="U13:U14"/>
    <mergeCell ref="V13:X13"/>
    <mergeCell ref="Y13:Y14"/>
    <mergeCell ref="Z13:Z14"/>
    <mergeCell ref="Z30:Z31"/>
    <mergeCell ref="K2:R2"/>
    <mergeCell ref="K3:R3"/>
    <mergeCell ref="K8:R8"/>
    <mergeCell ref="K9:R9"/>
    <mergeCell ref="K10:R10"/>
    <mergeCell ref="AB2:AI2"/>
    <mergeCell ref="AB3:AI3"/>
    <mergeCell ref="AB8:AI8"/>
    <mergeCell ref="AB9:AI9"/>
    <mergeCell ref="AB10:AI10"/>
    <mergeCell ref="AI39:AI40"/>
    <mergeCell ref="AB46:AH46"/>
    <mergeCell ref="AB47:AH47"/>
    <mergeCell ref="AB36:AH36"/>
    <mergeCell ref="AB37:AH37"/>
    <mergeCell ref="AB39:AB40"/>
    <mergeCell ref="AC39:AC40"/>
    <mergeCell ref="AD39:AD40"/>
    <mergeCell ref="AE39:AG39"/>
    <mergeCell ref="AH39:AH40"/>
    <mergeCell ref="AI13:AI14"/>
    <mergeCell ref="AB17:AB18"/>
    <mergeCell ref="AB24:AH24"/>
    <mergeCell ref="AB25:AH25"/>
    <mergeCell ref="AB30:AB31"/>
    <mergeCell ref="AC30:AC31"/>
    <mergeCell ref="AD30:AD31"/>
    <mergeCell ref="AE30:AG30"/>
    <mergeCell ref="AH30:AH31"/>
    <mergeCell ref="AI30:AI31"/>
    <mergeCell ref="AB13:AB14"/>
    <mergeCell ref="AC13:AC14"/>
    <mergeCell ref="AD13:AD14"/>
    <mergeCell ref="AE13:AG13"/>
    <mergeCell ref="AH13:AH14"/>
    <mergeCell ref="N50:O50"/>
    <mergeCell ref="N51:O51"/>
    <mergeCell ref="N52:O52"/>
    <mergeCell ref="N53:O53"/>
    <mergeCell ref="K46:Q46"/>
    <mergeCell ref="K47:Q47"/>
    <mergeCell ref="R39:R40"/>
    <mergeCell ref="K17:K18"/>
    <mergeCell ref="K24:Q24"/>
    <mergeCell ref="K25:Q25"/>
    <mergeCell ref="K30:K31"/>
    <mergeCell ref="L30:L31"/>
    <mergeCell ref="M30:M31"/>
    <mergeCell ref="N30:P30"/>
    <mergeCell ref="K36:Q36"/>
    <mergeCell ref="K37:Q37"/>
    <mergeCell ref="K39:K40"/>
    <mergeCell ref="L39:L40"/>
    <mergeCell ref="M39:M40"/>
    <mergeCell ref="N39:P39"/>
    <mergeCell ref="Q39:Q40"/>
    <mergeCell ref="Q30:Q31"/>
    <mergeCell ref="R30:R31"/>
    <mergeCell ref="K13:K14"/>
    <mergeCell ref="L13:L14"/>
    <mergeCell ref="M13:M14"/>
    <mergeCell ref="N13:P13"/>
    <mergeCell ref="Q13:Q14"/>
    <mergeCell ref="R13:R14"/>
    <mergeCell ref="E52:F52"/>
    <mergeCell ref="H30:H31"/>
    <mergeCell ref="A36:G36"/>
    <mergeCell ref="A37:G37"/>
    <mergeCell ref="A39:A40"/>
    <mergeCell ref="B39:B40"/>
    <mergeCell ref="C39:C40"/>
    <mergeCell ref="D39:F39"/>
    <mergeCell ref="G39:G40"/>
    <mergeCell ref="H39:H40"/>
    <mergeCell ref="A46:G46"/>
    <mergeCell ref="A47:G47"/>
    <mergeCell ref="E49:F49"/>
    <mergeCell ref="E50:F50"/>
    <mergeCell ref="E51:F51"/>
    <mergeCell ref="A17:A18"/>
    <mergeCell ref="A24:G24"/>
    <mergeCell ref="A25:G25"/>
    <mergeCell ref="A30:A31"/>
    <mergeCell ref="B30:B31"/>
    <mergeCell ref="C30:C31"/>
    <mergeCell ref="D30:F30"/>
    <mergeCell ref="G30:G31"/>
    <mergeCell ref="H13:H14"/>
    <mergeCell ref="A2:H2"/>
    <mergeCell ref="A3:H3"/>
    <mergeCell ref="A4:H4"/>
    <mergeCell ref="A5:H5"/>
    <mergeCell ref="A8:H8"/>
    <mergeCell ref="A9:H9"/>
    <mergeCell ref="A13:A14"/>
    <mergeCell ref="B13:B14"/>
    <mergeCell ref="C13:C14"/>
    <mergeCell ref="D13:F13"/>
    <mergeCell ref="G13:G14"/>
    <mergeCell ref="B10:H10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AM38"/>
  <sheetViews>
    <sheetView zoomScale="115" zoomScaleNormal="115" zoomScaleSheetLayoutView="90" workbookViewId="0">
      <selection activeCell="A3" sqref="A3:I3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5" width="15.85546875" style="100" customWidth="1"/>
    <col min="6" max="6" width="13.7109375" style="100" customWidth="1"/>
    <col min="7" max="8" width="16" style="99" customWidth="1"/>
    <col min="9" max="9" width="16.42578125" style="87" customWidth="1"/>
    <col min="10" max="10" width="9.140625" style="87" customWidth="1"/>
    <col min="11" max="11" width="16.140625" style="262" customWidth="1"/>
    <col min="12" max="12" width="6" style="87" customWidth="1"/>
    <col min="13" max="13" width="92.140625" style="87" customWidth="1"/>
    <col min="14" max="14" width="11" style="87" customWidth="1"/>
    <col min="15" max="15" width="15.85546875" style="87" customWidth="1"/>
    <col min="16" max="16" width="13.7109375" style="87" customWidth="1"/>
    <col min="17" max="18" width="16" style="87" customWidth="1"/>
    <col min="19" max="19" width="16.42578125" style="87" customWidth="1"/>
    <col min="20" max="20" width="13.140625" style="87" customWidth="1"/>
    <col min="21" max="21" width="6" style="87" customWidth="1"/>
    <col min="22" max="22" width="92.140625" style="87" customWidth="1"/>
    <col min="23" max="23" width="11" style="87" customWidth="1"/>
    <col min="24" max="25" width="15.85546875" style="87" customWidth="1"/>
    <col min="26" max="26" width="13.7109375" style="87" customWidth="1"/>
    <col min="27" max="28" width="16" style="87" customWidth="1"/>
    <col min="29" max="29" width="16.42578125" style="87" customWidth="1"/>
    <col min="30" max="30" width="9.140625" style="87"/>
    <col min="31" max="31" width="6" style="87" customWidth="1"/>
    <col min="32" max="32" width="92.140625" style="87" customWidth="1"/>
    <col min="33" max="33" width="11" style="87" customWidth="1"/>
    <col min="34" max="34" width="13" style="87" customWidth="1"/>
    <col min="35" max="35" width="14.7109375" style="87" customWidth="1"/>
    <col min="36" max="36" width="13.7109375" style="87" customWidth="1"/>
    <col min="37" max="38" width="16" style="87" customWidth="1"/>
    <col min="39" max="39" width="16.42578125" style="87" customWidth="1"/>
    <col min="40" max="16384" width="9.140625" style="87"/>
  </cols>
  <sheetData>
    <row r="1" spans="1:39" ht="13.9" customHeight="1" x14ac:dyDescent="0.2">
      <c r="A1" s="99"/>
      <c r="I1" s="868">
        <f>K2/20</f>
        <v>58.5</v>
      </c>
      <c r="J1" s="99"/>
      <c r="K1" s="763"/>
      <c r="L1" s="99"/>
      <c r="M1" s="99"/>
      <c r="N1" s="100"/>
      <c r="O1" s="100"/>
      <c r="P1" s="100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9" ht="14.25" x14ac:dyDescent="0.2">
      <c r="A2" s="1326" t="str">
        <f>Dados!A5</f>
        <v>CONSELHO DA JUSTIÇA FEDERAL - CJF</v>
      </c>
      <c r="B2" s="1326"/>
      <c r="C2" s="1326"/>
      <c r="D2" s="1326"/>
      <c r="E2" s="1326"/>
      <c r="F2" s="1326"/>
      <c r="G2" s="1326"/>
      <c r="H2" s="1326"/>
      <c r="I2" s="1326"/>
      <c r="J2" s="99"/>
      <c r="K2" s="763">
        <f>((1170*6)/120)*20</f>
        <v>1170</v>
      </c>
      <c r="L2" s="1326" t="str">
        <f>A2</f>
        <v>CONSELHO DA JUSTIÇA FEDERAL - CJF</v>
      </c>
      <c r="M2" s="1326"/>
      <c r="N2" s="1326"/>
      <c r="O2" s="1326"/>
      <c r="P2" s="1326"/>
      <c r="Q2" s="1326"/>
      <c r="R2" s="1326"/>
      <c r="S2" s="1326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E2" s="1326" t="str">
        <f>L2</f>
        <v>CONSELHO DA JUSTIÇA FEDERAL - CJF</v>
      </c>
      <c r="AF2" s="1326"/>
      <c r="AG2" s="1326"/>
      <c r="AH2" s="1326"/>
      <c r="AI2" s="1326"/>
      <c r="AJ2" s="1326"/>
      <c r="AK2" s="1326"/>
      <c r="AL2" s="1326"/>
      <c r="AM2" s="1326"/>
    </row>
    <row r="3" spans="1:39" ht="14.25" x14ac:dyDescent="0.2">
      <c r="A3" s="1326" t="str">
        <f>Dados!A9</f>
        <v>PREGÃO ELETRÔNICO Nº 09/2020 - CJF</v>
      </c>
      <c r="B3" s="1326"/>
      <c r="C3" s="1326"/>
      <c r="D3" s="1326"/>
      <c r="E3" s="1326"/>
      <c r="F3" s="1326"/>
      <c r="G3" s="1326"/>
      <c r="H3" s="1326"/>
      <c r="I3" s="1326"/>
      <c r="J3" s="99">
        <f>(1170*5)</f>
        <v>5850</v>
      </c>
      <c r="K3" s="763">
        <f>J3/120</f>
        <v>48.75</v>
      </c>
      <c r="L3" s="1326" t="str">
        <f>A3</f>
        <v>PREGÃO ELETRÔNICO Nº 09/2020 - CJF</v>
      </c>
      <c r="M3" s="1326"/>
      <c r="N3" s="1326"/>
      <c r="O3" s="1326"/>
      <c r="P3" s="1326"/>
      <c r="Q3" s="1326"/>
      <c r="R3" s="1326"/>
      <c r="S3" s="1326"/>
      <c r="T3" s="866">
        <f>20*15.75</f>
        <v>315</v>
      </c>
      <c r="U3" s="953"/>
      <c r="V3" s="953"/>
      <c r="W3" s="953"/>
      <c r="X3" s="953"/>
      <c r="Y3" s="953"/>
      <c r="Z3" s="953"/>
      <c r="AA3" s="953"/>
      <c r="AB3" s="953"/>
      <c r="AC3" s="953"/>
      <c r="AE3" s="1326" t="str">
        <f>L3</f>
        <v>PREGÃO ELETRÔNICO Nº 09/2020 - CJF</v>
      </c>
      <c r="AF3" s="1326"/>
      <c r="AG3" s="1326"/>
      <c r="AH3" s="1326"/>
      <c r="AI3" s="1326"/>
      <c r="AJ3" s="1326"/>
      <c r="AK3" s="1326"/>
      <c r="AL3" s="1326"/>
      <c r="AM3" s="1326"/>
    </row>
    <row r="4" spans="1:39" ht="55.15" hidden="1" customHeight="1" x14ac:dyDescent="0.2">
      <c r="A4" s="1326" t="str">
        <f>Dados!A10</f>
        <v>CONTRATO Nº __________/201__ - CONTRATANTE - PRESTAÇÃO DE SERVIÇOS --------</v>
      </c>
      <c r="B4" s="1326"/>
      <c r="C4" s="1326"/>
      <c r="D4" s="1326"/>
      <c r="E4" s="1326"/>
      <c r="F4" s="1326"/>
      <c r="G4" s="1326"/>
      <c r="H4" s="1326"/>
      <c r="I4" s="1326"/>
      <c r="J4" s="99"/>
      <c r="K4" s="763"/>
      <c r="L4" s="1326">
        <f>Dados!L10</f>
        <v>0</v>
      </c>
      <c r="M4" s="1326"/>
      <c r="N4" s="1326"/>
      <c r="O4" s="1326"/>
      <c r="P4" s="1326"/>
      <c r="Q4" s="1326"/>
      <c r="R4" s="1326"/>
      <c r="S4" s="1326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E4" s="1326">
        <f>Dados!U10</f>
        <v>0</v>
      </c>
      <c r="AF4" s="1326"/>
      <c r="AG4" s="1326"/>
      <c r="AH4" s="1326"/>
      <c r="AI4" s="1326"/>
      <c r="AJ4" s="1326"/>
      <c r="AK4" s="1326"/>
      <c r="AL4" s="1326"/>
      <c r="AM4" s="1326"/>
    </row>
    <row r="5" spans="1:39" ht="82.9" hidden="1" customHeight="1" x14ac:dyDescent="0.2">
      <c r="A5" s="1326" t="str">
        <f>Dados!H2</f>
        <v xml:space="preserve">REPACTUAÇÃO CONTRATUAL 20___ - </v>
      </c>
      <c r="B5" s="1326"/>
      <c r="C5" s="1326"/>
      <c r="D5" s="1326"/>
      <c r="E5" s="1326"/>
      <c r="F5" s="1326"/>
      <c r="G5" s="1326"/>
      <c r="H5" s="1326"/>
      <c r="I5" s="1326"/>
      <c r="J5" s="99"/>
      <c r="K5" s="763"/>
      <c r="L5" s="1326">
        <f>Dados!S2</f>
        <v>0</v>
      </c>
      <c r="M5" s="1326"/>
      <c r="N5" s="1326"/>
      <c r="O5" s="1326"/>
      <c r="P5" s="1326"/>
      <c r="Q5" s="1326"/>
      <c r="R5" s="1326"/>
      <c r="S5" s="1326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E5" s="1326">
        <f>Dados!AB2</f>
        <v>0</v>
      </c>
      <c r="AF5" s="1326"/>
      <c r="AG5" s="1326"/>
      <c r="AH5" s="1326"/>
      <c r="AI5" s="1326"/>
      <c r="AJ5" s="1326"/>
      <c r="AK5" s="1326"/>
      <c r="AL5" s="1326"/>
      <c r="AM5" s="1326"/>
    </row>
    <row r="6" spans="1:39" ht="14.25" x14ac:dyDescent="0.2">
      <c r="A6" s="85"/>
      <c r="B6" s="85"/>
      <c r="C6" s="86"/>
      <c r="D6" s="86"/>
      <c r="E6" s="86"/>
      <c r="F6" s="86"/>
      <c r="G6" s="85"/>
      <c r="H6" s="85">
        <f>(15.75*20)*10</f>
        <v>3150</v>
      </c>
      <c r="I6" s="85"/>
      <c r="J6" s="99"/>
      <c r="K6" s="763"/>
      <c r="L6" s="85"/>
      <c r="M6" s="85"/>
      <c r="N6" s="86"/>
      <c r="O6" s="86"/>
      <c r="P6" s="86"/>
      <c r="Q6" s="85"/>
      <c r="R6" s="85"/>
      <c r="S6" s="867">
        <f>T6/12</f>
        <v>52.5</v>
      </c>
      <c r="T6" s="867">
        <f>T3*2</f>
        <v>630</v>
      </c>
      <c r="U6" s="85"/>
      <c r="V6" s="85"/>
      <c r="W6" s="85"/>
      <c r="X6" s="85"/>
      <c r="Y6" s="85"/>
      <c r="Z6" s="85"/>
      <c r="AA6" s="85"/>
      <c r="AB6" s="85"/>
      <c r="AC6" s="85"/>
      <c r="AE6" s="85"/>
      <c r="AF6" s="85"/>
      <c r="AG6" s="86"/>
      <c r="AH6" s="86"/>
      <c r="AI6" s="86"/>
      <c r="AJ6" s="86"/>
      <c r="AK6" s="85"/>
      <c r="AL6" s="85"/>
      <c r="AM6" s="85"/>
    </row>
    <row r="7" spans="1:39" ht="13.9" customHeight="1" x14ac:dyDescent="0.2">
      <c r="A7" s="85"/>
      <c r="B7" s="85"/>
      <c r="C7" s="86"/>
      <c r="D7" s="86"/>
      <c r="E7" s="86"/>
      <c r="F7" s="86"/>
      <c r="G7" s="85"/>
      <c r="H7" s="85">
        <f>H6/60</f>
        <v>52.5</v>
      </c>
      <c r="I7" s="85"/>
      <c r="J7" s="99">
        <f>(15.75*22)*3</f>
        <v>1039.5</v>
      </c>
      <c r="K7" s="763">
        <f>((15.75*22)/6)*20</f>
        <v>1155</v>
      </c>
      <c r="L7" s="1327" t="s">
        <v>363</v>
      </c>
      <c r="M7" s="1327"/>
      <c r="N7" s="1327"/>
      <c r="O7" s="1327"/>
      <c r="P7" s="1327"/>
      <c r="Q7" s="1327"/>
      <c r="R7" s="1327"/>
      <c r="S7" s="1327"/>
      <c r="T7" s="954"/>
      <c r="U7" s="1327" t="s">
        <v>363</v>
      </c>
      <c r="V7" s="1327"/>
      <c r="W7" s="1327"/>
      <c r="X7" s="1327"/>
      <c r="Y7" s="1327"/>
      <c r="Z7" s="1327"/>
      <c r="AA7" s="1327"/>
      <c r="AB7" s="1327"/>
      <c r="AC7" s="954"/>
      <c r="AD7" s="855"/>
      <c r="AE7" s="1327" t="s">
        <v>363</v>
      </c>
      <c r="AF7" s="1327"/>
      <c r="AG7" s="1327"/>
      <c r="AH7" s="1327"/>
      <c r="AI7" s="1327"/>
      <c r="AJ7" s="1327"/>
      <c r="AK7" s="1327"/>
      <c r="AL7" s="1327"/>
      <c r="AM7" s="85"/>
    </row>
    <row r="8" spans="1:39" ht="13.9" customHeight="1" x14ac:dyDescent="0.2">
      <c r="A8" s="1327" t="s">
        <v>363</v>
      </c>
      <c r="B8" s="1327"/>
      <c r="C8" s="1327"/>
      <c r="D8" s="1327"/>
      <c r="E8" s="1327"/>
      <c r="F8" s="1327"/>
      <c r="G8" s="1327"/>
      <c r="H8" s="1327"/>
      <c r="I8" s="1327"/>
      <c r="J8" s="99">
        <f>J7/20</f>
        <v>51.975000000000001</v>
      </c>
      <c r="K8" s="763">
        <f>K7/60</f>
        <v>19.25</v>
      </c>
      <c r="L8" s="1327" t="s">
        <v>364</v>
      </c>
      <c r="M8" s="1327"/>
      <c r="N8" s="1327"/>
      <c r="O8" s="1327"/>
      <c r="P8" s="1327"/>
      <c r="Q8" s="1327"/>
      <c r="R8" s="1327"/>
      <c r="S8" s="1327"/>
      <c r="T8" s="954"/>
      <c r="U8" s="1327" t="s">
        <v>364</v>
      </c>
      <c r="V8" s="1327"/>
      <c r="W8" s="1327"/>
      <c r="X8" s="1327"/>
      <c r="Y8" s="1327"/>
      <c r="Z8" s="1327"/>
      <c r="AA8" s="1327"/>
      <c r="AB8" s="1327"/>
      <c r="AC8" s="954"/>
      <c r="AD8" s="855"/>
      <c r="AE8" s="1327" t="s">
        <v>364</v>
      </c>
      <c r="AF8" s="1327"/>
      <c r="AG8" s="1327"/>
      <c r="AH8" s="1327"/>
      <c r="AI8" s="1327"/>
      <c r="AJ8" s="1327"/>
      <c r="AK8" s="1327"/>
      <c r="AL8" s="1327"/>
      <c r="AM8" s="1327"/>
    </row>
    <row r="9" spans="1:39" ht="14.25" x14ac:dyDescent="0.2">
      <c r="A9" s="1327" t="s">
        <v>364</v>
      </c>
      <c r="B9" s="1327"/>
      <c r="C9" s="1327"/>
      <c r="D9" s="1327"/>
      <c r="E9" s="1327"/>
      <c r="F9" s="1327"/>
      <c r="G9" s="1327"/>
      <c r="H9" s="1327"/>
      <c r="I9" s="1327"/>
      <c r="J9" s="99"/>
      <c r="K9" s="763"/>
      <c r="M9" s="1334" t="s">
        <v>564</v>
      </c>
      <c r="N9" s="1334"/>
      <c r="O9" s="1334"/>
      <c r="P9" s="1334"/>
      <c r="Q9" s="1334"/>
      <c r="R9" s="1334"/>
      <c r="S9" s="1334"/>
      <c r="T9" s="957"/>
      <c r="U9" s="1334" t="s">
        <v>565</v>
      </c>
      <c r="V9" s="1334"/>
      <c r="W9" s="1334"/>
      <c r="X9" s="1334"/>
      <c r="Y9" s="1334"/>
      <c r="Z9" s="1334"/>
      <c r="AA9" s="1334"/>
      <c r="AB9" s="957"/>
      <c r="AC9" s="957"/>
      <c r="AE9" s="1327" t="s">
        <v>563</v>
      </c>
      <c r="AF9" s="1327"/>
      <c r="AG9" s="1327"/>
      <c r="AH9" s="1327"/>
      <c r="AI9" s="1327"/>
      <c r="AJ9" s="1327"/>
      <c r="AK9" s="1327"/>
      <c r="AL9" s="1327"/>
      <c r="AM9" s="1327"/>
    </row>
    <row r="10" spans="1:39" ht="14.25" x14ac:dyDescent="0.2">
      <c r="A10" s="954"/>
      <c r="B10" s="954"/>
      <c r="C10" s="954"/>
      <c r="D10" s="954"/>
      <c r="E10" s="954"/>
      <c r="F10" s="954"/>
      <c r="G10" s="954"/>
      <c r="H10" s="954"/>
      <c r="I10" s="954"/>
      <c r="J10" s="99"/>
      <c r="K10" s="763"/>
      <c r="L10" s="954"/>
      <c r="M10" s="954"/>
      <c r="N10" s="954"/>
      <c r="O10" s="954"/>
      <c r="P10" s="954"/>
      <c r="Q10" s="954"/>
      <c r="R10" s="954"/>
      <c r="S10" s="954"/>
      <c r="T10" s="954"/>
      <c r="U10" s="954"/>
      <c r="V10" s="954"/>
      <c r="W10" s="954"/>
      <c r="X10" s="954"/>
      <c r="Y10" s="954"/>
      <c r="Z10" s="954"/>
      <c r="AA10" s="954"/>
      <c r="AB10" s="954"/>
      <c r="AC10" s="954"/>
      <c r="AE10" s="954"/>
      <c r="AF10" s="954"/>
      <c r="AG10" s="954"/>
      <c r="AH10" s="954"/>
      <c r="AI10" s="954"/>
      <c r="AJ10" s="954"/>
      <c r="AK10" s="954"/>
      <c r="AL10" s="954"/>
      <c r="AM10" s="954"/>
    </row>
    <row r="11" spans="1:39" s="363" customFormat="1" ht="53.25" customHeight="1" x14ac:dyDescent="0.2">
      <c r="A11" s="952" t="s">
        <v>63</v>
      </c>
      <c r="B11" s="952" t="s">
        <v>85</v>
      </c>
      <c r="C11" s="952" t="s">
        <v>66</v>
      </c>
      <c r="D11" s="956" t="s">
        <v>369</v>
      </c>
      <c r="E11" s="956" t="s">
        <v>542</v>
      </c>
      <c r="F11" s="956" t="s">
        <v>366</v>
      </c>
      <c r="G11" s="952" t="s">
        <v>68</v>
      </c>
      <c r="H11" s="952" t="s">
        <v>352</v>
      </c>
      <c r="I11" s="952" t="s">
        <v>69</v>
      </c>
      <c r="J11" s="97"/>
      <c r="K11" s="764"/>
      <c r="L11" s="952" t="s">
        <v>63</v>
      </c>
      <c r="M11" s="952" t="s">
        <v>85</v>
      </c>
      <c r="N11" s="952" t="s">
        <v>66</v>
      </c>
      <c r="O11" s="956" t="s">
        <v>369</v>
      </c>
      <c r="P11" s="956" t="s">
        <v>366</v>
      </c>
      <c r="Q11" s="952" t="s">
        <v>68</v>
      </c>
      <c r="R11" s="952" t="s">
        <v>352</v>
      </c>
      <c r="S11" s="952" t="s">
        <v>69</v>
      </c>
      <c r="T11" s="856"/>
      <c r="U11" s="952" t="s">
        <v>63</v>
      </c>
      <c r="V11" s="952" t="s">
        <v>85</v>
      </c>
      <c r="W11" s="952" t="s">
        <v>66</v>
      </c>
      <c r="X11" s="956" t="s">
        <v>369</v>
      </c>
      <c r="Y11" s="956" t="s">
        <v>542</v>
      </c>
      <c r="Z11" s="956" t="s">
        <v>366</v>
      </c>
      <c r="AA11" s="952" t="s">
        <v>68</v>
      </c>
      <c r="AB11" s="952" t="s">
        <v>352</v>
      </c>
      <c r="AC11" s="952" t="s">
        <v>69</v>
      </c>
      <c r="AD11" s="958"/>
      <c r="AE11" s="952" t="s">
        <v>63</v>
      </c>
      <c r="AF11" s="952" t="s">
        <v>85</v>
      </c>
      <c r="AG11" s="952" t="s">
        <v>66</v>
      </c>
      <c r="AH11" s="956" t="s">
        <v>369</v>
      </c>
      <c r="AI11" s="956" t="s">
        <v>542</v>
      </c>
      <c r="AJ11" s="956" t="s">
        <v>366</v>
      </c>
      <c r="AK11" s="952" t="s">
        <v>68</v>
      </c>
      <c r="AL11" s="952" t="s">
        <v>352</v>
      </c>
      <c r="AM11" s="952" t="s">
        <v>69</v>
      </c>
    </row>
    <row r="12" spans="1:39" s="363" customFormat="1" ht="13.9" customHeight="1" x14ac:dyDescent="0.2">
      <c r="A12" s="1330" t="s">
        <v>379</v>
      </c>
      <c r="B12" s="1331"/>
      <c r="C12" s="1331"/>
      <c r="D12" s="1331"/>
      <c r="E12" s="1331"/>
      <c r="F12" s="1331"/>
      <c r="G12" s="1331"/>
      <c r="H12" s="1331"/>
      <c r="I12" s="1340"/>
      <c r="J12" s="97"/>
      <c r="K12" s="764"/>
      <c r="L12" s="1330" t="s">
        <v>379</v>
      </c>
      <c r="M12" s="1331"/>
      <c r="N12" s="1331"/>
      <c r="O12" s="1331"/>
      <c r="P12" s="1331"/>
      <c r="Q12" s="1331"/>
      <c r="R12" s="1331"/>
      <c r="S12" s="1340"/>
      <c r="T12" s="856"/>
      <c r="U12" s="1330" t="s">
        <v>379</v>
      </c>
      <c r="V12" s="1331"/>
      <c r="W12" s="1331"/>
      <c r="X12" s="1331"/>
      <c r="Y12" s="1331"/>
      <c r="Z12" s="1331"/>
      <c r="AA12" s="1331"/>
      <c r="AB12" s="1331"/>
      <c r="AC12" s="1340"/>
      <c r="AD12" s="958"/>
      <c r="AE12" s="1330" t="s">
        <v>379</v>
      </c>
      <c r="AF12" s="1331"/>
      <c r="AG12" s="1331"/>
      <c r="AH12" s="1331"/>
      <c r="AI12" s="1331"/>
      <c r="AJ12" s="1331"/>
      <c r="AK12" s="1331"/>
      <c r="AL12" s="1331"/>
      <c r="AM12" s="1340"/>
    </row>
    <row r="13" spans="1:39" s="363" customFormat="1" ht="59.25" customHeight="1" x14ac:dyDescent="0.2">
      <c r="A13" s="90">
        <v>1</v>
      </c>
      <c r="B13" s="765" t="s">
        <v>377</v>
      </c>
      <c r="C13" s="91" t="s">
        <v>66</v>
      </c>
      <c r="D13" s="92">
        <v>5</v>
      </c>
      <c r="E13" s="92">
        <f>D13+1</f>
        <v>6</v>
      </c>
      <c r="F13" s="92">
        <v>120</v>
      </c>
      <c r="G13" s="93">
        <f>K13*Dados!$I$62</f>
        <v>1170</v>
      </c>
      <c r="H13" s="105">
        <f>((G13*E13)/F13)*20</f>
        <v>1170</v>
      </c>
      <c r="I13" s="105">
        <f>H13/20</f>
        <v>58.5</v>
      </c>
      <c r="J13" s="97"/>
      <c r="K13" s="764">
        <v>1170</v>
      </c>
      <c r="L13" s="90">
        <v>1</v>
      </c>
      <c r="M13" s="765" t="s">
        <v>377</v>
      </c>
      <c r="N13" s="91" t="s">
        <v>66</v>
      </c>
      <c r="O13" s="92">
        <v>5</v>
      </c>
      <c r="P13" s="92">
        <v>120</v>
      </c>
      <c r="Q13" s="93">
        <f>(G13*1.096714)</f>
        <v>1283.1600000000001</v>
      </c>
      <c r="R13" s="105">
        <f>((1283.16*O13)/P13)*20</f>
        <v>1069.3</v>
      </c>
      <c r="S13" s="105">
        <f>R13/20</f>
        <v>53.47</v>
      </c>
      <c r="T13" s="460"/>
      <c r="U13" s="90">
        <v>1</v>
      </c>
      <c r="V13" s="765" t="s">
        <v>377</v>
      </c>
      <c r="W13" s="91" t="s">
        <v>66</v>
      </c>
      <c r="X13" s="92">
        <v>5</v>
      </c>
      <c r="Y13" s="92">
        <f>X13+1</f>
        <v>6</v>
      </c>
      <c r="Z13" s="92">
        <v>120</v>
      </c>
      <c r="AA13" s="93">
        <f>Q13</f>
        <v>1283.1600000000001</v>
      </c>
      <c r="AB13" s="105">
        <f>((AA13*Y13)/Z13)*20</f>
        <v>1283.1600000000001</v>
      </c>
      <c r="AC13" s="105">
        <f>AB13/20</f>
        <v>64.16</v>
      </c>
      <c r="AD13" s="958"/>
      <c r="AE13" s="90">
        <v>1</v>
      </c>
      <c r="AF13" s="765" t="s">
        <v>377</v>
      </c>
      <c r="AG13" s="91" t="s">
        <v>66</v>
      </c>
      <c r="AH13" s="92">
        <v>5</v>
      </c>
      <c r="AI13" s="92">
        <f>AH13+1</f>
        <v>6</v>
      </c>
      <c r="AJ13" s="92">
        <v>120</v>
      </c>
      <c r="AK13" s="93">
        <f t="shared" ref="AK13:AK21" si="0">Q13*1.100692</f>
        <v>1412.36</v>
      </c>
      <c r="AL13" s="105">
        <f>((AK13*AI13)/AJ13)*20</f>
        <v>1412.36</v>
      </c>
      <c r="AM13" s="105">
        <f>AL13/20</f>
        <v>70.62</v>
      </c>
    </row>
    <row r="14" spans="1:39" s="363" customFormat="1" ht="42.75" x14ac:dyDescent="0.2">
      <c r="A14" s="90">
        <v>2</v>
      </c>
      <c r="B14" s="765" t="s">
        <v>370</v>
      </c>
      <c r="C14" s="91" t="s">
        <v>66</v>
      </c>
      <c r="D14" s="92">
        <v>20</v>
      </c>
      <c r="E14" s="92">
        <f>D14+2</f>
        <v>22</v>
      </c>
      <c r="F14" s="92">
        <v>6</v>
      </c>
      <c r="G14" s="93">
        <f>K14*Dados!$I$62</f>
        <v>15.75</v>
      </c>
      <c r="H14" s="105">
        <f>((G14*E14)/F14)*20</f>
        <v>1155</v>
      </c>
      <c r="I14" s="105">
        <f>H14/20</f>
        <v>57.75</v>
      </c>
      <c r="J14" s="97"/>
      <c r="K14" s="764">
        <v>15.75</v>
      </c>
      <c r="L14" s="90">
        <v>2</v>
      </c>
      <c r="M14" s="765" t="s">
        <v>370</v>
      </c>
      <c r="N14" s="91" t="s">
        <v>66</v>
      </c>
      <c r="O14" s="92">
        <v>20</v>
      </c>
      <c r="P14" s="92">
        <v>6</v>
      </c>
      <c r="Q14" s="93">
        <f>(G14*1.096714)</f>
        <v>17.27</v>
      </c>
      <c r="R14" s="105">
        <f>((Q14*O14)/P14)*20</f>
        <v>1151.33</v>
      </c>
      <c r="S14" s="105">
        <f t="shared" ref="S14:S21" si="1">R14/20</f>
        <v>57.57</v>
      </c>
      <c r="T14" s="460"/>
      <c r="U14" s="90">
        <v>2</v>
      </c>
      <c r="V14" s="765" t="s">
        <v>370</v>
      </c>
      <c r="W14" s="91" t="s">
        <v>66</v>
      </c>
      <c r="X14" s="92">
        <v>20</v>
      </c>
      <c r="Y14" s="92">
        <f>X14+2</f>
        <v>22</v>
      </c>
      <c r="Z14" s="92">
        <v>6</v>
      </c>
      <c r="AA14" s="93">
        <f>Q14</f>
        <v>17.27</v>
      </c>
      <c r="AB14" s="105">
        <f>((AA14*Y14)/Z14)*20</f>
        <v>1266.47</v>
      </c>
      <c r="AC14" s="105">
        <f t="shared" ref="AC14:AC21" si="2">AB14/20</f>
        <v>63.32</v>
      </c>
      <c r="AD14" s="958"/>
      <c r="AE14" s="90">
        <v>2</v>
      </c>
      <c r="AF14" s="765" t="s">
        <v>370</v>
      </c>
      <c r="AG14" s="91" t="s">
        <v>66</v>
      </c>
      <c r="AH14" s="92">
        <v>20</v>
      </c>
      <c r="AI14" s="92">
        <f>AH14+2</f>
        <v>22</v>
      </c>
      <c r="AJ14" s="92">
        <v>6</v>
      </c>
      <c r="AK14" s="93">
        <f t="shared" si="0"/>
        <v>19.010000000000002</v>
      </c>
      <c r="AL14" s="105">
        <f>((AK14*AI14)/AJ14)*20</f>
        <v>1394.07</v>
      </c>
      <c r="AM14" s="105">
        <f t="shared" ref="AM14:AM21" si="3">AL14/20</f>
        <v>69.7</v>
      </c>
    </row>
    <row r="15" spans="1:39" s="363" customFormat="1" ht="14.25" x14ac:dyDescent="0.2">
      <c r="A15" s="90">
        <v>3</v>
      </c>
      <c r="B15" s="765" t="s">
        <v>443</v>
      </c>
      <c r="C15" s="91" t="s">
        <v>66</v>
      </c>
      <c r="D15" s="92">
        <v>5</v>
      </c>
      <c r="E15" s="92">
        <f>D15+2</f>
        <v>7</v>
      </c>
      <c r="F15" s="92">
        <v>60</v>
      </c>
      <c r="G15" s="93">
        <f>K15*Dados!$I$62</f>
        <v>387.36</v>
      </c>
      <c r="H15" s="105">
        <f t="shared" ref="H15:H21" si="4">((G15*E15)/F15)*20</f>
        <v>903.84</v>
      </c>
      <c r="I15" s="105">
        <f t="shared" ref="I15:I21" si="5">H15/20</f>
        <v>45.19</v>
      </c>
      <c r="J15" s="97"/>
      <c r="K15" s="764">
        <v>387.36</v>
      </c>
      <c r="L15" s="90">
        <v>3</v>
      </c>
      <c r="M15" s="765" t="s">
        <v>443</v>
      </c>
      <c r="N15" s="91" t="s">
        <v>66</v>
      </c>
      <c r="O15" s="92">
        <v>5</v>
      </c>
      <c r="P15" s="92">
        <v>60</v>
      </c>
      <c r="Q15" s="93">
        <f t="shared" ref="Q15:Q20" si="6">(G15*1.096714)</f>
        <v>424.82</v>
      </c>
      <c r="R15" s="105">
        <f t="shared" ref="R15:R21" si="7">((Q15*O15)/P15)*20</f>
        <v>708.03</v>
      </c>
      <c r="S15" s="105">
        <f t="shared" si="1"/>
        <v>35.4</v>
      </c>
      <c r="T15" s="460"/>
      <c r="U15" s="90">
        <v>3</v>
      </c>
      <c r="V15" s="765" t="s">
        <v>443</v>
      </c>
      <c r="W15" s="91" t="s">
        <v>66</v>
      </c>
      <c r="X15" s="92">
        <v>5</v>
      </c>
      <c r="Y15" s="92">
        <f>X15+2</f>
        <v>7</v>
      </c>
      <c r="Z15" s="92">
        <v>60</v>
      </c>
      <c r="AA15" s="93">
        <f t="shared" ref="AA15:AA21" si="8">Q15</f>
        <v>424.82</v>
      </c>
      <c r="AB15" s="105">
        <f t="shared" ref="AB15:AB21" si="9">((AA15*Y15)/Z15)*20</f>
        <v>991.25</v>
      </c>
      <c r="AC15" s="105">
        <f t="shared" si="2"/>
        <v>49.56</v>
      </c>
      <c r="AD15" s="958"/>
      <c r="AE15" s="90">
        <v>3</v>
      </c>
      <c r="AF15" s="765" t="s">
        <v>443</v>
      </c>
      <c r="AG15" s="91" t="s">
        <v>66</v>
      </c>
      <c r="AH15" s="92">
        <v>5</v>
      </c>
      <c r="AI15" s="92">
        <f>AH15+2</f>
        <v>7</v>
      </c>
      <c r="AJ15" s="92">
        <v>60</v>
      </c>
      <c r="AK15" s="93">
        <f t="shared" si="0"/>
        <v>467.6</v>
      </c>
      <c r="AL15" s="105">
        <f t="shared" ref="AL15:AL21" si="10">((AK15*AI15)/AJ15)*20</f>
        <v>1091.07</v>
      </c>
      <c r="AM15" s="105">
        <f t="shared" si="3"/>
        <v>54.55</v>
      </c>
    </row>
    <row r="16" spans="1:39" s="363" customFormat="1" ht="71.25" x14ac:dyDescent="0.2">
      <c r="A16" s="90">
        <v>4</v>
      </c>
      <c r="B16" s="765" t="s">
        <v>444</v>
      </c>
      <c r="C16" s="91" t="s">
        <v>66</v>
      </c>
      <c r="D16" s="92">
        <f>D15*3</f>
        <v>15</v>
      </c>
      <c r="E16" s="92">
        <f>D16+6</f>
        <v>21</v>
      </c>
      <c r="F16" s="92">
        <v>6</v>
      </c>
      <c r="G16" s="93">
        <f>K16*Dados!$I$62</f>
        <v>35.01</v>
      </c>
      <c r="H16" s="105">
        <f t="shared" si="4"/>
        <v>2450.6999999999998</v>
      </c>
      <c r="I16" s="105">
        <f t="shared" si="5"/>
        <v>122.54</v>
      </c>
      <c r="J16" s="97"/>
      <c r="K16" s="764">
        <v>35.01</v>
      </c>
      <c r="L16" s="90">
        <v>4</v>
      </c>
      <c r="M16" s="765" t="s">
        <v>444</v>
      </c>
      <c r="N16" s="91" t="s">
        <v>66</v>
      </c>
      <c r="O16" s="92">
        <f>O15*3</f>
        <v>15</v>
      </c>
      <c r="P16" s="92">
        <v>6</v>
      </c>
      <c r="Q16" s="93">
        <f t="shared" si="6"/>
        <v>38.4</v>
      </c>
      <c r="R16" s="105">
        <f>((Q16*O16)/P16)*20</f>
        <v>1920</v>
      </c>
      <c r="S16" s="105">
        <f t="shared" si="1"/>
        <v>96</v>
      </c>
      <c r="T16" s="460"/>
      <c r="U16" s="90">
        <v>4</v>
      </c>
      <c r="V16" s="765" t="s">
        <v>444</v>
      </c>
      <c r="W16" s="91" t="s">
        <v>66</v>
      </c>
      <c r="X16" s="92">
        <f>X15*3</f>
        <v>15</v>
      </c>
      <c r="Y16" s="92">
        <f>X16+6</f>
        <v>21</v>
      </c>
      <c r="Z16" s="92">
        <v>6</v>
      </c>
      <c r="AA16" s="93">
        <f t="shared" si="8"/>
        <v>38.4</v>
      </c>
      <c r="AB16" s="105">
        <f t="shared" si="9"/>
        <v>2688</v>
      </c>
      <c r="AC16" s="105">
        <f t="shared" si="2"/>
        <v>134.4</v>
      </c>
      <c r="AD16" s="958"/>
      <c r="AE16" s="90">
        <v>4</v>
      </c>
      <c r="AF16" s="765" t="s">
        <v>444</v>
      </c>
      <c r="AG16" s="91" t="s">
        <v>66</v>
      </c>
      <c r="AH16" s="92">
        <f>AH15*3</f>
        <v>15</v>
      </c>
      <c r="AI16" s="92">
        <f>AH16+6</f>
        <v>21</v>
      </c>
      <c r="AJ16" s="92">
        <v>6</v>
      </c>
      <c r="AK16" s="93">
        <f t="shared" si="0"/>
        <v>42.27</v>
      </c>
      <c r="AL16" s="105">
        <f t="shared" si="10"/>
        <v>2958.9</v>
      </c>
      <c r="AM16" s="105">
        <f t="shared" si="3"/>
        <v>147.94999999999999</v>
      </c>
    </row>
    <row r="17" spans="1:39" s="363" customFormat="1" ht="28.5" x14ac:dyDescent="0.2">
      <c r="A17" s="90">
        <v>4</v>
      </c>
      <c r="B17" s="765" t="s">
        <v>554</v>
      </c>
      <c r="C17" s="91" t="s">
        <v>66</v>
      </c>
      <c r="D17" s="92">
        <v>55</v>
      </c>
      <c r="E17" s="92">
        <f>D17+11</f>
        <v>66</v>
      </c>
      <c r="F17" s="92">
        <v>12</v>
      </c>
      <c r="G17" s="93">
        <f>K17*Dados!$I$62</f>
        <v>3.86</v>
      </c>
      <c r="H17" s="105">
        <f t="shared" si="4"/>
        <v>424.6</v>
      </c>
      <c r="I17" s="105">
        <f t="shared" si="5"/>
        <v>21.23</v>
      </c>
      <c r="J17" s="97"/>
      <c r="K17" s="764">
        <v>3.86</v>
      </c>
      <c r="L17" s="90">
        <v>4</v>
      </c>
      <c r="M17" s="765" t="s">
        <v>371</v>
      </c>
      <c r="N17" s="91" t="s">
        <v>66</v>
      </c>
      <c r="O17" s="92">
        <v>55</v>
      </c>
      <c r="P17" s="92">
        <v>12</v>
      </c>
      <c r="Q17" s="93">
        <f t="shared" si="6"/>
        <v>4.2300000000000004</v>
      </c>
      <c r="R17" s="105">
        <f t="shared" si="7"/>
        <v>387.75</v>
      </c>
      <c r="S17" s="105">
        <f t="shared" si="1"/>
        <v>19.39</v>
      </c>
      <c r="T17" s="460"/>
      <c r="U17" s="90">
        <v>4</v>
      </c>
      <c r="V17" s="765" t="s">
        <v>554</v>
      </c>
      <c r="W17" s="91" t="s">
        <v>66</v>
      </c>
      <c r="X17" s="92">
        <v>55</v>
      </c>
      <c r="Y17" s="92">
        <f>X17+11</f>
        <v>66</v>
      </c>
      <c r="Z17" s="92">
        <v>12</v>
      </c>
      <c r="AA17" s="93">
        <f t="shared" si="8"/>
        <v>4.2300000000000004</v>
      </c>
      <c r="AB17" s="105">
        <f t="shared" si="9"/>
        <v>465.3</v>
      </c>
      <c r="AC17" s="105">
        <f t="shared" si="2"/>
        <v>23.27</v>
      </c>
      <c r="AD17" s="958"/>
      <c r="AE17" s="90">
        <v>4</v>
      </c>
      <c r="AF17" s="765" t="s">
        <v>554</v>
      </c>
      <c r="AG17" s="91" t="s">
        <v>66</v>
      </c>
      <c r="AH17" s="92">
        <v>55</v>
      </c>
      <c r="AI17" s="92">
        <f>AH17+11</f>
        <v>66</v>
      </c>
      <c r="AJ17" s="92">
        <v>12</v>
      </c>
      <c r="AK17" s="93">
        <f t="shared" si="0"/>
        <v>4.66</v>
      </c>
      <c r="AL17" s="105">
        <f t="shared" si="10"/>
        <v>512.6</v>
      </c>
      <c r="AM17" s="105">
        <f t="shared" si="3"/>
        <v>25.63</v>
      </c>
    </row>
    <row r="18" spans="1:39" s="363" customFormat="1" ht="27.6" customHeight="1" x14ac:dyDescent="0.2">
      <c r="A18" s="90">
        <v>5</v>
      </c>
      <c r="B18" s="765" t="s">
        <v>372</v>
      </c>
      <c r="C18" s="91" t="s">
        <v>66</v>
      </c>
      <c r="D18" s="92">
        <v>20</v>
      </c>
      <c r="E18" s="92">
        <f>D18+2</f>
        <v>22</v>
      </c>
      <c r="F18" s="92">
        <v>6</v>
      </c>
      <c r="G18" s="93">
        <f>K18*Dados!$I$62</f>
        <v>22.32</v>
      </c>
      <c r="H18" s="105">
        <f t="shared" si="4"/>
        <v>1636.8</v>
      </c>
      <c r="I18" s="105">
        <f t="shared" si="5"/>
        <v>81.84</v>
      </c>
      <c r="J18" s="97"/>
      <c r="K18" s="764">
        <v>22.32</v>
      </c>
      <c r="L18" s="90">
        <v>5</v>
      </c>
      <c r="M18" s="765" t="s">
        <v>372</v>
      </c>
      <c r="N18" s="91" t="s">
        <v>66</v>
      </c>
      <c r="O18" s="92">
        <v>20</v>
      </c>
      <c r="P18" s="92">
        <v>6</v>
      </c>
      <c r="Q18" s="93">
        <f t="shared" si="6"/>
        <v>24.48</v>
      </c>
      <c r="R18" s="105">
        <f t="shared" si="7"/>
        <v>1632</v>
      </c>
      <c r="S18" s="105">
        <f t="shared" si="1"/>
        <v>81.599999999999994</v>
      </c>
      <c r="T18" s="460"/>
      <c r="U18" s="90">
        <v>5</v>
      </c>
      <c r="V18" s="765" t="s">
        <v>372</v>
      </c>
      <c r="W18" s="91" t="s">
        <v>66</v>
      </c>
      <c r="X18" s="92">
        <v>20</v>
      </c>
      <c r="Y18" s="92">
        <f>X18+2</f>
        <v>22</v>
      </c>
      <c r="Z18" s="92">
        <v>6</v>
      </c>
      <c r="AA18" s="93">
        <f t="shared" si="8"/>
        <v>24.48</v>
      </c>
      <c r="AB18" s="105">
        <f t="shared" si="9"/>
        <v>1795.2</v>
      </c>
      <c r="AC18" s="105">
        <f t="shared" si="2"/>
        <v>89.76</v>
      </c>
      <c r="AD18" s="958"/>
      <c r="AE18" s="90">
        <v>5</v>
      </c>
      <c r="AF18" s="765" t="s">
        <v>372</v>
      </c>
      <c r="AG18" s="91" t="s">
        <v>66</v>
      </c>
      <c r="AH18" s="92">
        <v>20</v>
      </c>
      <c r="AI18" s="92">
        <f>AH18+2</f>
        <v>22</v>
      </c>
      <c r="AJ18" s="92">
        <v>6</v>
      </c>
      <c r="AK18" s="93">
        <f t="shared" si="0"/>
        <v>26.94</v>
      </c>
      <c r="AL18" s="105">
        <f t="shared" si="10"/>
        <v>1975.6</v>
      </c>
      <c r="AM18" s="105">
        <f t="shared" si="3"/>
        <v>98.78</v>
      </c>
    </row>
    <row r="19" spans="1:39" s="363" customFormat="1" ht="57" x14ac:dyDescent="0.2">
      <c r="A19" s="90">
        <v>6</v>
      </c>
      <c r="B19" s="765" t="s">
        <v>373</v>
      </c>
      <c r="C19" s="91" t="s">
        <v>66</v>
      </c>
      <c r="D19" s="92">
        <v>10</v>
      </c>
      <c r="E19" s="92">
        <f>D19+1</f>
        <v>11</v>
      </c>
      <c r="F19" s="92">
        <v>12</v>
      </c>
      <c r="G19" s="93">
        <f>K19*Dados!$I$62</f>
        <v>34.200000000000003</v>
      </c>
      <c r="H19" s="105">
        <f t="shared" si="4"/>
        <v>627</v>
      </c>
      <c r="I19" s="105">
        <f t="shared" si="5"/>
        <v>31.35</v>
      </c>
      <c r="J19" s="97"/>
      <c r="K19" s="764">
        <v>34.200000000000003</v>
      </c>
      <c r="L19" s="90">
        <v>6</v>
      </c>
      <c r="M19" s="765" t="s">
        <v>373</v>
      </c>
      <c r="N19" s="91" t="s">
        <v>66</v>
      </c>
      <c r="O19" s="92">
        <v>10</v>
      </c>
      <c r="P19" s="92">
        <v>12</v>
      </c>
      <c r="Q19" s="93">
        <f t="shared" si="6"/>
        <v>37.51</v>
      </c>
      <c r="R19" s="105">
        <f t="shared" si="7"/>
        <v>625.16999999999996</v>
      </c>
      <c r="S19" s="105">
        <f t="shared" si="1"/>
        <v>31.26</v>
      </c>
      <c r="T19" s="460"/>
      <c r="U19" s="90">
        <v>6</v>
      </c>
      <c r="V19" s="765" t="s">
        <v>373</v>
      </c>
      <c r="W19" s="91" t="s">
        <v>66</v>
      </c>
      <c r="X19" s="92">
        <v>10</v>
      </c>
      <c r="Y19" s="92">
        <f>X19+1</f>
        <v>11</v>
      </c>
      <c r="Z19" s="92">
        <v>12</v>
      </c>
      <c r="AA19" s="93">
        <f t="shared" si="8"/>
        <v>37.51</v>
      </c>
      <c r="AB19" s="105">
        <f t="shared" si="9"/>
        <v>687.68</v>
      </c>
      <c r="AC19" s="105">
        <f t="shared" si="2"/>
        <v>34.380000000000003</v>
      </c>
      <c r="AD19" s="958"/>
      <c r="AE19" s="90">
        <v>6</v>
      </c>
      <c r="AF19" s="765" t="s">
        <v>373</v>
      </c>
      <c r="AG19" s="91" t="s">
        <v>66</v>
      </c>
      <c r="AH19" s="92">
        <v>10</v>
      </c>
      <c r="AI19" s="92">
        <f>AH19+1</f>
        <v>11</v>
      </c>
      <c r="AJ19" s="92">
        <v>12</v>
      </c>
      <c r="AK19" s="93">
        <f t="shared" si="0"/>
        <v>41.29</v>
      </c>
      <c r="AL19" s="105">
        <f t="shared" si="10"/>
        <v>756.98</v>
      </c>
      <c r="AM19" s="105">
        <f t="shared" si="3"/>
        <v>37.85</v>
      </c>
    </row>
    <row r="20" spans="1:39" s="101" customFormat="1" ht="28.5" x14ac:dyDescent="0.2">
      <c r="A20" s="90">
        <v>7</v>
      </c>
      <c r="B20" s="765" t="s">
        <v>375</v>
      </c>
      <c r="C20" s="91" t="s">
        <v>66</v>
      </c>
      <c r="D20" s="92">
        <v>20</v>
      </c>
      <c r="E20" s="92">
        <f>D20+2</f>
        <v>22</v>
      </c>
      <c r="F20" s="92">
        <v>12</v>
      </c>
      <c r="G20" s="93">
        <f>K20*Dados!$I$62</f>
        <v>17.100000000000001</v>
      </c>
      <c r="H20" s="105">
        <f t="shared" si="4"/>
        <v>627</v>
      </c>
      <c r="I20" s="105">
        <f t="shared" si="5"/>
        <v>31.35</v>
      </c>
      <c r="J20" s="766"/>
      <c r="K20" s="764">
        <v>17.100000000000001</v>
      </c>
      <c r="L20" s="90">
        <v>7</v>
      </c>
      <c r="M20" s="765" t="s">
        <v>375</v>
      </c>
      <c r="N20" s="91" t="s">
        <v>66</v>
      </c>
      <c r="O20" s="92">
        <v>20</v>
      </c>
      <c r="P20" s="92">
        <v>12</v>
      </c>
      <c r="Q20" s="93">
        <f t="shared" si="6"/>
        <v>18.75</v>
      </c>
      <c r="R20" s="105">
        <f t="shared" si="7"/>
        <v>625</v>
      </c>
      <c r="S20" s="105">
        <f t="shared" si="1"/>
        <v>31.25</v>
      </c>
      <c r="T20" s="460"/>
      <c r="U20" s="90">
        <v>7</v>
      </c>
      <c r="V20" s="765" t="s">
        <v>375</v>
      </c>
      <c r="W20" s="91" t="s">
        <v>66</v>
      </c>
      <c r="X20" s="92">
        <v>20</v>
      </c>
      <c r="Y20" s="92">
        <f>X20+2</f>
        <v>22</v>
      </c>
      <c r="Z20" s="92">
        <v>12</v>
      </c>
      <c r="AA20" s="93">
        <f t="shared" si="8"/>
        <v>18.75</v>
      </c>
      <c r="AB20" s="105">
        <f t="shared" si="9"/>
        <v>687.5</v>
      </c>
      <c r="AC20" s="105">
        <f t="shared" si="2"/>
        <v>34.380000000000003</v>
      </c>
      <c r="AE20" s="90">
        <v>7</v>
      </c>
      <c r="AF20" s="765" t="s">
        <v>375</v>
      </c>
      <c r="AG20" s="91" t="s">
        <v>66</v>
      </c>
      <c r="AH20" s="92">
        <v>20</v>
      </c>
      <c r="AI20" s="92">
        <f>AH20+2</f>
        <v>22</v>
      </c>
      <c r="AJ20" s="92">
        <v>12</v>
      </c>
      <c r="AK20" s="93">
        <f t="shared" si="0"/>
        <v>20.64</v>
      </c>
      <c r="AL20" s="105">
        <f t="shared" si="10"/>
        <v>756.8</v>
      </c>
      <c r="AM20" s="105">
        <f t="shared" si="3"/>
        <v>37.840000000000003</v>
      </c>
    </row>
    <row r="21" spans="1:39" s="101" customFormat="1" ht="28.5" x14ac:dyDescent="0.2">
      <c r="A21" s="90">
        <v>8</v>
      </c>
      <c r="B21" s="765" t="s">
        <v>376</v>
      </c>
      <c r="C21" s="91" t="s">
        <v>66</v>
      </c>
      <c r="D21" s="92">
        <v>20</v>
      </c>
      <c r="E21" s="92">
        <f>D21+2</f>
        <v>22</v>
      </c>
      <c r="F21" s="92">
        <v>60</v>
      </c>
      <c r="G21" s="93">
        <f>K21*Dados!$I$62</f>
        <v>24.21</v>
      </c>
      <c r="H21" s="105">
        <f t="shared" si="4"/>
        <v>177.54</v>
      </c>
      <c r="I21" s="105">
        <f t="shared" si="5"/>
        <v>8.8800000000000008</v>
      </c>
      <c r="J21" s="766"/>
      <c r="K21" s="764">
        <v>24.21</v>
      </c>
      <c r="L21" s="90">
        <v>8</v>
      </c>
      <c r="M21" s="765" t="s">
        <v>376</v>
      </c>
      <c r="N21" s="91" t="s">
        <v>66</v>
      </c>
      <c r="O21" s="92">
        <v>20</v>
      </c>
      <c r="P21" s="92">
        <v>60</v>
      </c>
      <c r="Q21" s="93">
        <f>(G21*1.096714)</f>
        <v>26.55</v>
      </c>
      <c r="R21" s="105">
        <f t="shared" si="7"/>
        <v>177</v>
      </c>
      <c r="S21" s="105">
        <f t="shared" si="1"/>
        <v>8.85</v>
      </c>
      <c r="T21" s="460"/>
      <c r="U21" s="90">
        <v>8</v>
      </c>
      <c r="V21" s="765" t="s">
        <v>376</v>
      </c>
      <c r="W21" s="91" t="s">
        <v>66</v>
      </c>
      <c r="X21" s="92">
        <v>20</v>
      </c>
      <c r="Y21" s="92">
        <f>X21+2</f>
        <v>22</v>
      </c>
      <c r="Z21" s="92">
        <v>60</v>
      </c>
      <c r="AA21" s="93">
        <f t="shared" si="8"/>
        <v>26.55</v>
      </c>
      <c r="AB21" s="105">
        <f t="shared" si="9"/>
        <v>194.7</v>
      </c>
      <c r="AC21" s="105">
        <f t="shared" si="2"/>
        <v>9.74</v>
      </c>
      <c r="AE21" s="90">
        <v>8</v>
      </c>
      <c r="AF21" s="765" t="s">
        <v>376</v>
      </c>
      <c r="AG21" s="91" t="s">
        <v>66</v>
      </c>
      <c r="AH21" s="92">
        <v>20</v>
      </c>
      <c r="AI21" s="92">
        <f>AH21+2</f>
        <v>22</v>
      </c>
      <c r="AJ21" s="92">
        <v>60</v>
      </c>
      <c r="AK21" s="93">
        <f t="shared" si="0"/>
        <v>29.22</v>
      </c>
      <c r="AL21" s="105">
        <f t="shared" si="10"/>
        <v>214.28</v>
      </c>
      <c r="AM21" s="105">
        <f t="shared" si="3"/>
        <v>10.71</v>
      </c>
    </row>
    <row r="22" spans="1:39" s="101" customFormat="1" ht="13.9" customHeight="1" x14ac:dyDescent="0.2">
      <c r="A22" s="1337" t="s">
        <v>41</v>
      </c>
      <c r="B22" s="1338"/>
      <c r="C22" s="1338"/>
      <c r="D22" s="1338"/>
      <c r="E22" s="1338"/>
      <c r="F22" s="1338"/>
      <c r="G22" s="1338"/>
      <c r="H22" s="1339"/>
      <c r="I22" s="267">
        <f>SUM(I13:I21)</f>
        <v>458.63</v>
      </c>
      <c r="J22" s="766"/>
      <c r="K22" s="764"/>
      <c r="L22" s="1337" t="s">
        <v>41</v>
      </c>
      <c r="M22" s="1338"/>
      <c r="N22" s="1338"/>
      <c r="O22" s="1338"/>
      <c r="P22" s="1338"/>
      <c r="Q22" s="1338"/>
      <c r="R22" s="1339"/>
      <c r="S22" s="267">
        <f>SUM(S13:S21)</f>
        <v>414.79</v>
      </c>
      <c r="T22" s="857"/>
      <c r="U22" s="1337" t="s">
        <v>41</v>
      </c>
      <c r="V22" s="1338"/>
      <c r="W22" s="1338"/>
      <c r="X22" s="1338"/>
      <c r="Y22" s="1338"/>
      <c r="Z22" s="1338"/>
      <c r="AA22" s="1338"/>
      <c r="AB22" s="1339"/>
      <c r="AC22" s="267">
        <f>SUM(AC13:AC21)</f>
        <v>502.97</v>
      </c>
      <c r="AE22" s="1337" t="s">
        <v>41</v>
      </c>
      <c r="AF22" s="1338"/>
      <c r="AG22" s="1338"/>
      <c r="AH22" s="1338"/>
      <c r="AI22" s="1338"/>
      <c r="AJ22" s="1338"/>
      <c r="AK22" s="1338"/>
      <c r="AL22" s="1339"/>
      <c r="AM22" s="267">
        <f>SUM(AM13:AM21)</f>
        <v>553.63</v>
      </c>
    </row>
    <row r="23" spans="1:39" s="101" customFormat="1" ht="13.9" customHeight="1" x14ac:dyDescent="0.2">
      <c r="A23" s="1337" t="s">
        <v>367</v>
      </c>
      <c r="B23" s="1338"/>
      <c r="C23" s="1338"/>
      <c r="D23" s="1338"/>
      <c r="E23" s="1338"/>
      <c r="F23" s="1338"/>
      <c r="G23" s="1338"/>
      <c r="H23" s="1339"/>
      <c r="I23" s="266">
        <v>22</v>
      </c>
      <c r="J23" s="766"/>
      <c r="K23" s="764"/>
      <c r="L23" s="1337" t="s">
        <v>367</v>
      </c>
      <c r="M23" s="1338"/>
      <c r="N23" s="1338"/>
      <c r="O23" s="1338"/>
      <c r="P23" s="1338"/>
      <c r="Q23" s="1338"/>
      <c r="R23" s="1339"/>
      <c r="S23" s="266">
        <v>20</v>
      </c>
      <c r="T23" s="858"/>
      <c r="U23" s="1337" t="s">
        <v>367</v>
      </c>
      <c r="V23" s="1338"/>
      <c r="W23" s="1338"/>
      <c r="X23" s="1338"/>
      <c r="Y23" s="1338"/>
      <c r="Z23" s="1338"/>
      <c r="AA23" s="1338"/>
      <c r="AB23" s="1339"/>
      <c r="AC23" s="266">
        <v>22</v>
      </c>
      <c r="AE23" s="1337" t="s">
        <v>367</v>
      </c>
      <c r="AF23" s="1338"/>
      <c r="AG23" s="1338"/>
      <c r="AH23" s="1338"/>
      <c r="AI23" s="1338"/>
      <c r="AJ23" s="1338"/>
      <c r="AK23" s="1338"/>
      <c r="AL23" s="1339"/>
      <c r="AM23" s="266">
        <v>22</v>
      </c>
    </row>
    <row r="24" spans="1:39" s="101" customFormat="1" ht="13.9" customHeight="1" x14ac:dyDescent="0.2">
      <c r="A24" s="1337" t="s">
        <v>368</v>
      </c>
      <c r="B24" s="1338"/>
      <c r="C24" s="1338"/>
      <c r="D24" s="1338"/>
      <c r="E24" s="1338"/>
      <c r="F24" s="1338"/>
      <c r="G24" s="1338"/>
      <c r="H24" s="1339"/>
      <c r="I24" s="267">
        <f>I22/I23</f>
        <v>20.85</v>
      </c>
      <c r="J24" s="766"/>
      <c r="K24" s="764"/>
      <c r="L24" s="1337" t="s">
        <v>368</v>
      </c>
      <c r="M24" s="1338"/>
      <c r="N24" s="1338"/>
      <c r="O24" s="1338"/>
      <c r="P24" s="1338"/>
      <c r="Q24" s="1338"/>
      <c r="R24" s="1339"/>
      <c r="S24" s="267">
        <f>S22/S23</f>
        <v>20.74</v>
      </c>
      <c r="T24" s="857"/>
      <c r="U24" s="1337" t="s">
        <v>368</v>
      </c>
      <c r="V24" s="1338"/>
      <c r="W24" s="1338"/>
      <c r="X24" s="1338"/>
      <c r="Y24" s="1338"/>
      <c r="Z24" s="1338"/>
      <c r="AA24" s="1338"/>
      <c r="AB24" s="1339"/>
      <c r="AC24" s="267">
        <f>AC22/AC23</f>
        <v>22.86</v>
      </c>
      <c r="AE24" s="1337" t="s">
        <v>368</v>
      </c>
      <c r="AF24" s="1338"/>
      <c r="AG24" s="1338"/>
      <c r="AH24" s="1338"/>
      <c r="AI24" s="1338"/>
      <c r="AJ24" s="1338"/>
      <c r="AK24" s="1338"/>
      <c r="AL24" s="1339"/>
      <c r="AM24" s="267">
        <f>AM22/AM23</f>
        <v>25.17</v>
      </c>
    </row>
    <row r="25" spans="1:39" s="101" customFormat="1" ht="13.9" customHeight="1" x14ac:dyDescent="0.2">
      <c r="A25" s="1330" t="s">
        <v>380</v>
      </c>
      <c r="B25" s="1331"/>
      <c r="C25" s="1331"/>
      <c r="D25" s="1331"/>
      <c r="E25" s="1331"/>
      <c r="F25" s="1331"/>
      <c r="G25" s="1331"/>
      <c r="H25" s="1331"/>
      <c r="I25" s="1340"/>
      <c r="J25" s="766"/>
      <c r="K25" s="764"/>
      <c r="L25" s="1330" t="s">
        <v>380</v>
      </c>
      <c r="M25" s="1331"/>
      <c r="N25" s="1331"/>
      <c r="O25" s="1331"/>
      <c r="P25" s="1331"/>
      <c r="Q25" s="1331"/>
      <c r="R25" s="1331"/>
      <c r="S25" s="1340"/>
      <c r="T25" s="856"/>
      <c r="U25" s="1330" t="s">
        <v>380</v>
      </c>
      <c r="V25" s="1331"/>
      <c r="W25" s="1331"/>
      <c r="X25" s="1331"/>
      <c r="Y25" s="1331"/>
      <c r="Z25" s="1331"/>
      <c r="AA25" s="1331"/>
      <c r="AB25" s="1331"/>
      <c r="AC25" s="1340"/>
      <c r="AE25" s="1330" t="s">
        <v>380</v>
      </c>
      <c r="AF25" s="1331"/>
      <c r="AG25" s="1331"/>
      <c r="AH25" s="1331"/>
      <c r="AI25" s="1331"/>
      <c r="AJ25" s="1331"/>
      <c r="AK25" s="1331"/>
      <c r="AL25" s="1331"/>
      <c r="AM25" s="1340"/>
    </row>
    <row r="26" spans="1:39" s="101" customFormat="1" ht="28.5" x14ac:dyDescent="0.2">
      <c r="A26" s="90">
        <v>9</v>
      </c>
      <c r="B26" s="765" t="s">
        <v>374</v>
      </c>
      <c r="C26" s="91" t="s">
        <v>66</v>
      </c>
      <c r="D26" s="92">
        <v>15</v>
      </c>
      <c r="E26" s="92">
        <f>D26+5</f>
        <v>20</v>
      </c>
      <c r="F26" s="92">
        <v>1</v>
      </c>
      <c r="G26" s="93">
        <f>K26*Dados!$I$63</f>
        <v>42</v>
      </c>
      <c r="H26" s="105">
        <f>((G26*E26)/F26)*20</f>
        <v>16800</v>
      </c>
      <c r="I26" s="105">
        <f>H26/20</f>
        <v>840</v>
      </c>
      <c r="J26" s="99"/>
      <c r="K26" s="764">
        <v>42</v>
      </c>
      <c r="L26" s="90">
        <v>9</v>
      </c>
      <c r="M26" s="765" t="s">
        <v>374</v>
      </c>
      <c r="N26" s="91" t="s">
        <v>66</v>
      </c>
      <c r="O26" s="92">
        <v>15</v>
      </c>
      <c r="P26" s="92">
        <v>1</v>
      </c>
      <c r="Q26" s="93">
        <f>(G26*1.096714)</f>
        <v>46.06</v>
      </c>
      <c r="R26" s="105">
        <f>((Q26*O26)/P26)*20</f>
        <v>13818</v>
      </c>
      <c r="S26" s="105">
        <f>R26/20</f>
        <v>690.9</v>
      </c>
      <c r="T26" s="460"/>
      <c r="U26" s="90">
        <v>9</v>
      </c>
      <c r="V26" s="765" t="s">
        <v>374</v>
      </c>
      <c r="W26" s="91" t="s">
        <v>66</v>
      </c>
      <c r="X26" s="92">
        <v>15</v>
      </c>
      <c r="Y26" s="92">
        <f>X26+5</f>
        <v>20</v>
      </c>
      <c r="Z26" s="92">
        <v>1</v>
      </c>
      <c r="AA26" s="93">
        <f>Q26</f>
        <v>46.06</v>
      </c>
      <c r="AB26" s="105">
        <f>((AA26*Y26)/Z26)*20</f>
        <v>18424</v>
      </c>
      <c r="AC26" s="105">
        <f>AB26/20</f>
        <v>921.2</v>
      </c>
      <c r="AE26" s="90">
        <v>9</v>
      </c>
      <c r="AF26" s="765" t="s">
        <v>374</v>
      </c>
      <c r="AG26" s="91" t="s">
        <v>66</v>
      </c>
      <c r="AH26" s="92">
        <v>15</v>
      </c>
      <c r="AI26" s="92">
        <f>AH26+5</f>
        <v>20</v>
      </c>
      <c r="AJ26" s="92">
        <v>1</v>
      </c>
      <c r="AK26" s="93">
        <f>Q26*1.100692</f>
        <v>50.7</v>
      </c>
      <c r="AL26" s="105">
        <f>((AK26*AI26)/AJ26)*20</f>
        <v>20280</v>
      </c>
      <c r="AM26" s="105">
        <f>AL26/20</f>
        <v>1014</v>
      </c>
    </row>
    <row r="27" spans="1:39" s="101" customFormat="1" ht="28.5" x14ac:dyDescent="0.2">
      <c r="A27" s="90">
        <v>10</v>
      </c>
      <c r="B27" s="765" t="s">
        <v>378</v>
      </c>
      <c r="C27" s="91" t="s">
        <v>66</v>
      </c>
      <c r="D27" s="92">
        <v>26</v>
      </c>
      <c r="E27" s="92">
        <f>D27+6</f>
        <v>32</v>
      </c>
      <c r="F27" s="92">
        <v>12</v>
      </c>
      <c r="G27" s="93">
        <f>K27*Dados!$I$63</f>
        <v>1.5</v>
      </c>
      <c r="H27" s="105">
        <f>((G27*E27)/F27)*20</f>
        <v>80</v>
      </c>
      <c r="I27" s="105">
        <f>H27/20</f>
        <v>4</v>
      </c>
      <c r="J27" s="766"/>
      <c r="K27" s="764">
        <v>1.5</v>
      </c>
      <c r="L27" s="90">
        <v>10</v>
      </c>
      <c r="M27" s="765" t="s">
        <v>378</v>
      </c>
      <c r="N27" s="91" t="s">
        <v>66</v>
      </c>
      <c r="O27" s="92">
        <v>26</v>
      </c>
      <c r="P27" s="92">
        <v>12</v>
      </c>
      <c r="Q27" s="93">
        <f>(G27*1.096714)</f>
        <v>1.65</v>
      </c>
      <c r="R27" s="105">
        <f>((Q27*O27)/P27)*20</f>
        <v>71.5</v>
      </c>
      <c r="S27" s="105">
        <f>R27/20</f>
        <v>3.58</v>
      </c>
      <c r="T27" s="460"/>
      <c r="U27" s="90">
        <v>10</v>
      </c>
      <c r="V27" s="765" t="s">
        <v>378</v>
      </c>
      <c r="W27" s="91" t="s">
        <v>66</v>
      </c>
      <c r="X27" s="92">
        <v>26</v>
      </c>
      <c r="Y27" s="92">
        <f>X27+6</f>
        <v>32</v>
      </c>
      <c r="Z27" s="92">
        <v>12</v>
      </c>
      <c r="AA27" s="93">
        <f>Q27</f>
        <v>1.65</v>
      </c>
      <c r="AB27" s="105">
        <f>((AA27*Y27)/Z27)*20</f>
        <v>88</v>
      </c>
      <c r="AC27" s="105">
        <f>AB27/20</f>
        <v>4.4000000000000004</v>
      </c>
      <c r="AE27" s="90">
        <v>10</v>
      </c>
      <c r="AF27" s="765" t="s">
        <v>378</v>
      </c>
      <c r="AG27" s="91" t="s">
        <v>66</v>
      </c>
      <c r="AH27" s="92">
        <v>26</v>
      </c>
      <c r="AI27" s="92">
        <f>AH27+6</f>
        <v>32</v>
      </c>
      <c r="AJ27" s="92">
        <v>12</v>
      </c>
      <c r="AK27" s="93">
        <f>Q27*1.100692</f>
        <v>1.82</v>
      </c>
      <c r="AL27" s="105">
        <f>((AK27*AI27)/AJ27)*20</f>
        <v>97.07</v>
      </c>
      <c r="AM27" s="105">
        <f>AL27/20</f>
        <v>4.8499999999999996</v>
      </c>
    </row>
    <row r="28" spans="1:39" s="101" customFormat="1" ht="18" customHeight="1" x14ac:dyDescent="0.2">
      <c r="A28" s="1337" t="s">
        <v>41</v>
      </c>
      <c r="B28" s="1338"/>
      <c r="C28" s="1338"/>
      <c r="D28" s="1338"/>
      <c r="E28" s="1338"/>
      <c r="F28" s="1338"/>
      <c r="G28" s="1338"/>
      <c r="H28" s="1339"/>
      <c r="I28" s="267">
        <f>SUM(I26:I27)</f>
        <v>844</v>
      </c>
      <c r="J28" s="766"/>
      <c r="K28" s="166"/>
      <c r="L28" s="1337" t="s">
        <v>41</v>
      </c>
      <c r="M28" s="1338"/>
      <c r="N28" s="1338"/>
      <c r="O28" s="1338"/>
      <c r="P28" s="1338"/>
      <c r="Q28" s="1338"/>
      <c r="R28" s="1339"/>
      <c r="S28" s="267">
        <f>SUM(S26:S27)</f>
        <v>694.48</v>
      </c>
      <c r="T28" s="857"/>
      <c r="U28" s="1337" t="s">
        <v>41</v>
      </c>
      <c r="V28" s="1338"/>
      <c r="W28" s="1338"/>
      <c r="X28" s="1338"/>
      <c r="Y28" s="1338"/>
      <c r="Z28" s="1338"/>
      <c r="AA28" s="1338"/>
      <c r="AB28" s="1339"/>
      <c r="AC28" s="267">
        <f>SUM(AC26:AC27)</f>
        <v>925.6</v>
      </c>
      <c r="AE28" s="1337" t="s">
        <v>41</v>
      </c>
      <c r="AF28" s="1338"/>
      <c r="AG28" s="1338"/>
      <c r="AH28" s="1338"/>
      <c r="AI28" s="1338"/>
      <c r="AJ28" s="1338"/>
      <c r="AK28" s="1338"/>
      <c r="AL28" s="1339"/>
      <c r="AM28" s="267">
        <f>SUM(AM26:AM27)</f>
        <v>1018.85</v>
      </c>
    </row>
    <row r="29" spans="1:39" s="101" customFormat="1" ht="18" customHeight="1" x14ac:dyDescent="0.2">
      <c r="A29" s="1337" t="s">
        <v>367</v>
      </c>
      <c r="B29" s="1338"/>
      <c r="C29" s="1338"/>
      <c r="D29" s="1338"/>
      <c r="E29" s="1338"/>
      <c r="F29" s="1338"/>
      <c r="G29" s="1338"/>
      <c r="H29" s="1339"/>
      <c r="I29" s="266">
        <v>32</v>
      </c>
      <c r="J29" s="766"/>
      <c r="K29" s="166"/>
      <c r="L29" s="1337" t="s">
        <v>367</v>
      </c>
      <c r="M29" s="1338"/>
      <c r="N29" s="1338"/>
      <c r="O29" s="1338"/>
      <c r="P29" s="1338"/>
      <c r="Q29" s="1338"/>
      <c r="R29" s="1339"/>
      <c r="S29" s="266">
        <v>26</v>
      </c>
      <c r="T29" s="858"/>
      <c r="U29" s="1337" t="s">
        <v>367</v>
      </c>
      <c r="V29" s="1338"/>
      <c r="W29" s="1338"/>
      <c r="X29" s="1338"/>
      <c r="Y29" s="1338"/>
      <c r="Z29" s="1338"/>
      <c r="AA29" s="1338"/>
      <c r="AB29" s="1339"/>
      <c r="AC29" s="266">
        <v>32</v>
      </c>
      <c r="AE29" s="1337" t="s">
        <v>367</v>
      </c>
      <c r="AF29" s="1338"/>
      <c r="AG29" s="1338"/>
      <c r="AH29" s="1338"/>
      <c r="AI29" s="1338"/>
      <c r="AJ29" s="1338"/>
      <c r="AK29" s="1338"/>
      <c r="AL29" s="1339"/>
      <c r="AM29" s="266">
        <v>32</v>
      </c>
    </row>
    <row r="30" spans="1:39" s="101" customFormat="1" ht="18" customHeight="1" x14ac:dyDescent="0.2">
      <c r="A30" s="1337" t="s">
        <v>368</v>
      </c>
      <c r="B30" s="1338"/>
      <c r="C30" s="1338"/>
      <c r="D30" s="1338"/>
      <c r="E30" s="1338"/>
      <c r="F30" s="1338"/>
      <c r="G30" s="1338"/>
      <c r="H30" s="1339"/>
      <c r="I30" s="267">
        <f>I28/I29</f>
        <v>26.38</v>
      </c>
      <c r="J30" s="766"/>
      <c r="K30" s="166"/>
      <c r="L30" s="1337" t="s">
        <v>368</v>
      </c>
      <c r="M30" s="1338"/>
      <c r="N30" s="1338"/>
      <c r="O30" s="1338"/>
      <c r="P30" s="1338"/>
      <c r="Q30" s="1338"/>
      <c r="R30" s="1339"/>
      <c r="S30" s="267">
        <f>S28/S29</f>
        <v>26.71</v>
      </c>
      <c r="T30" s="857"/>
      <c r="U30" s="1337" t="s">
        <v>368</v>
      </c>
      <c r="V30" s="1338"/>
      <c r="W30" s="1338"/>
      <c r="X30" s="1338"/>
      <c r="Y30" s="1338"/>
      <c r="Z30" s="1338"/>
      <c r="AA30" s="1338"/>
      <c r="AB30" s="1339"/>
      <c r="AC30" s="267">
        <f>AC28/AC29</f>
        <v>28.93</v>
      </c>
      <c r="AE30" s="1337" t="s">
        <v>368</v>
      </c>
      <c r="AF30" s="1338"/>
      <c r="AG30" s="1338"/>
      <c r="AH30" s="1338"/>
      <c r="AI30" s="1338"/>
      <c r="AJ30" s="1338"/>
      <c r="AK30" s="1338"/>
      <c r="AL30" s="1339"/>
      <c r="AM30" s="267">
        <f>AM28/AM29</f>
        <v>31.84</v>
      </c>
    </row>
    <row r="31" spans="1:39" s="98" customFormat="1" ht="18" customHeight="1" x14ac:dyDescent="0.2">
      <c r="A31" s="95"/>
      <c r="B31" s="96"/>
      <c r="C31" s="97"/>
      <c r="D31" s="97"/>
      <c r="E31" s="97"/>
      <c r="F31" s="97"/>
      <c r="G31" s="96"/>
      <c r="H31" s="96"/>
      <c r="K31" s="265"/>
      <c r="L31" s="654"/>
    </row>
    <row r="32" spans="1:39" s="98" customFormat="1" ht="18" customHeight="1" x14ac:dyDescent="0.2">
      <c r="A32" s="95"/>
      <c r="B32" s="96"/>
      <c r="C32" s="97"/>
      <c r="D32" s="97"/>
      <c r="E32" s="97"/>
      <c r="F32" s="97"/>
      <c r="G32" s="96"/>
      <c r="H32" s="96"/>
      <c r="K32" s="265"/>
      <c r="L32" s="654"/>
      <c r="M32" s="654"/>
    </row>
    <row r="33" spans="9:37" ht="18" customHeight="1" x14ac:dyDescent="0.2">
      <c r="AK33" s="859"/>
    </row>
    <row r="36" spans="9:37" ht="18" customHeight="1" x14ac:dyDescent="0.2">
      <c r="O36" s="87">
        <f>1.5*0.096714</f>
        <v>0.14507100000000001</v>
      </c>
    </row>
    <row r="37" spans="9:37" ht="18" customHeight="1" x14ac:dyDescent="0.2">
      <c r="O37" s="87">
        <f>O36+1.5</f>
        <v>1.6450709999999999</v>
      </c>
    </row>
    <row r="38" spans="9:37" ht="18" customHeight="1" x14ac:dyDescent="0.2">
      <c r="I38" s="859">
        <f>I24+I30</f>
        <v>47.23</v>
      </c>
    </row>
  </sheetData>
  <mergeCells count="55">
    <mergeCell ref="U22:AB22"/>
    <mergeCell ref="U23:AB23"/>
    <mergeCell ref="U12:AC12"/>
    <mergeCell ref="U24:AB24"/>
    <mergeCell ref="AE2:AM2"/>
    <mergeCell ref="AE3:AM3"/>
    <mergeCell ref="AE4:AM4"/>
    <mergeCell ref="AE5:AM5"/>
    <mergeCell ref="AE8:AM8"/>
    <mergeCell ref="AE9:AM9"/>
    <mergeCell ref="AE22:AL22"/>
    <mergeCell ref="AE23:AL23"/>
    <mergeCell ref="AE24:AL24"/>
    <mergeCell ref="AE12:AM12"/>
    <mergeCell ref="AE7:AL7"/>
    <mergeCell ref="U7:AB7"/>
    <mergeCell ref="AE25:AM25"/>
    <mergeCell ref="AE28:AL28"/>
    <mergeCell ref="AE29:AL29"/>
    <mergeCell ref="AE30:AL30"/>
    <mergeCell ref="L28:R28"/>
    <mergeCell ref="L29:R29"/>
    <mergeCell ref="L30:R30"/>
    <mergeCell ref="U28:AB28"/>
    <mergeCell ref="U29:AB29"/>
    <mergeCell ref="U25:AC25"/>
    <mergeCell ref="U30:AB30"/>
    <mergeCell ref="L2:S2"/>
    <mergeCell ref="L3:S3"/>
    <mergeCell ref="L4:S4"/>
    <mergeCell ref="L5:S5"/>
    <mergeCell ref="M9:S9"/>
    <mergeCell ref="L7:S7"/>
    <mergeCell ref="L8:S8"/>
    <mergeCell ref="U8:AB8"/>
    <mergeCell ref="U9:AA9"/>
    <mergeCell ref="A29:H29"/>
    <mergeCell ref="A30:H30"/>
    <mergeCell ref="A12:I12"/>
    <mergeCell ref="A22:H22"/>
    <mergeCell ref="A23:H23"/>
    <mergeCell ref="A24:H24"/>
    <mergeCell ref="A25:I25"/>
    <mergeCell ref="A28:H28"/>
    <mergeCell ref="A9:I9"/>
    <mergeCell ref="L12:S12"/>
    <mergeCell ref="L22:R22"/>
    <mergeCell ref="L23:R23"/>
    <mergeCell ref="L24:R24"/>
    <mergeCell ref="L25:S25"/>
    <mergeCell ref="A2:I2"/>
    <mergeCell ref="A3:I3"/>
    <mergeCell ref="A4:I4"/>
    <mergeCell ref="A5:I5"/>
    <mergeCell ref="A8:I8"/>
  </mergeCells>
  <printOptions horizontalCentered="1"/>
  <pageMargins left="0.51181102362204722" right="0.39370078740157483" top="1.6535433070866143" bottom="0.35433070866141736" header="0.19685039370078741" footer="0.27559055118110237"/>
  <pageSetup paperSize="9" scale="47" fitToHeight="0" orientation="portrait" r:id="rId1"/>
  <headerFooter>
    <oddHeader>&amp;L&amp;"+,Negrito"&amp;8PROPOSTA Nº 053/2020 - CJF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Dados</vt:lpstr>
      <vt:lpstr>Proposta</vt:lpstr>
      <vt:lpstr>Item 01</vt:lpstr>
      <vt:lpstr>Item 02</vt:lpstr>
      <vt:lpstr>Item 03</vt:lpstr>
      <vt:lpstr>Item 4 Inserido após o II TA </vt:lpstr>
      <vt:lpstr>Uniformes</vt:lpstr>
      <vt:lpstr>Uniformes III TA</vt:lpstr>
      <vt:lpstr>Mat. e Equip. II TA</vt:lpstr>
      <vt:lpstr>Mat. e Equip.</vt:lpstr>
      <vt:lpstr>Local</vt:lpstr>
      <vt:lpstr>Mem.Submódulo 2.3</vt:lpstr>
      <vt:lpstr>Mem.Encargos</vt:lpstr>
      <vt:lpstr>Mem.Módulo 6</vt:lpstr>
      <vt:lpstr>Resumo</vt:lpstr>
      <vt:lpstr>Garantia</vt:lpstr>
      <vt:lpstr>Cálculo art. 65 §1º 25%</vt:lpstr>
      <vt:lpstr>'Cálculo art. 65 §1º 25%'!Area_de_impressao</vt:lpstr>
      <vt:lpstr>Dados!Area_de_impressao</vt:lpstr>
      <vt:lpstr>'Item 01'!Area_de_impressao</vt:lpstr>
      <vt:lpstr>'Item 02'!Area_de_impressao</vt:lpstr>
      <vt:lpstr>'Item 03'!Area_de_impressao</vt:lpstr>
      <vt:lpstr>'Item 4 Inserido após o II TA '!Area_de_impressao</vt:lpstr>
      <vt:lpstr>Local!Area_de_impressao</vt:lpstr>
      <vt:lpstr>'Mat. e Equip.'!Area_de_impressao</vt:lpstr>
      <vt:lpstr>'Mat. e Equip. II TA'!Area_de_impressao</vt:lpstr>
      <vt:lpstr>Mem.Encargos!Area_de_impressao</vt:lpstr>
      <vt:lpstr>'Mem.Módulo 6'!Area_de_impressao</vt:lpstr>
      <vt:lpstr>'Mem.Submódulo 2.3'!Area_de_impressao</vt:lpstr>
      <vt:lpstr>Proposta!Area_de_impressao</vt:lpstr>
      <vt:lpstr>Resumo!Area_de_impressao</vt:lpstr>
      <vt:lpstr>Uniformes!Area_de_impressao</vt:lpstr>
      <vt:lpstr>'Uniformes III TA'!Area_de_impressao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Fernanda Mateus Kawano</cp:lastModifiedBy>
  <cp:lastPrinted>2022-09-23T00:36:48Z</cp:lastPrinted>
  <dcterms:created xsi:type="dcterms:W3CDTF">2003-01-09T15:21:37Z</dcterms:created>
  <dcterms:modified xsi:type="dcterms:W3CDTF">2023-11-17T16:40:11Z</dcterms:modified>
</cp:coreProperties>
</file>